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defaultThemeVersion="164011"/>
  <mc:AlternateContent xmlns:mc="http://schemas.openxmlformats.org/markup-compatibility/2006">
    <mc:Choice Requires="x15">
      <x15ac:absPath xmlns:x15ac="http://schemas.microsoft.com/office/spreadsheetml/2010/11/ac" url="Z:\EaP Index\2017\Research\FINAL FILES\"/>
    </mc:Choice>
  </mc:AlternateContent>
  <bookViews>
    <workbookView xWindow="0" yWindow="0" windowWidth="28800" windowHeight="9480" tabRatio="500"/>
  </bookViews>
  <sheets>
    <sheet name="Summary 2017" sheetId="6" r:id="rId1"/>
    <sheet name="Approximation 2017" sheetId="5" r:id="rId2"/>
    <sheet name="Approximation 2015-16" sheetId="1" r:id="rId3"/>
    <sheet name="Approximation 2014" sheetId="2" r:id="rId4"/>
    <sheet name="Approximation 2013" sheetId="3" r:id="rId5"/>
    <sheet name="Approximation 2012" sheetId="4" r:id="rId6"/>
  </sheets>
  <definedNames>
    <definedName name="_xlnm._FilterDatabase" localSheetId="1" hidden="1">'Approximation 2017'!$A$1:$FU$451</definedName>
  </definedNames>
  <calcPr calcId="162913"/>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763" i="5" l="1"/>
  <c r="H763" i="5"/>
  <c r="F763" i="5"/>
  <c r="E763" i="5"/>
  <c r="D763" i="5"/>
  <c r="C763" i="5"/>
  <c r="H453" i="5"/>
  <c r="H741" i="5" l="1"/>
  <c r="H740" i="5"/>
  <c r="O743" i="5"/>
  <c r="M743" i="5"/>
  <c r="L743" i="5"/>
  <c r="G732" i="5"/>
  <c r="D732" i="5"/>
  <c r="E732" i="5"/>
  <c r="F732" i="5"/>
  <c r="D734" i="5"/>
  <c r="E734" i="5"/>
  <c r="F734" i="5"/>
  <c r="G734" i="5"/>
  <c r="H734" i="5"/>
  <c r="C734" i="5"/>
  <c r="C662" i="1"/>
  <c r="D739" i="5" l="1"/>
  <c r="E739" i="5"/>
  <c r="F739" i="5"/>
  <c r="G739" i="5"/>
  <c r="H739" i="5"/>
  <c r="C739" i="5"/>
  <c r="C667" i="1"/>
  <c r="D738" i="5"/>
  <c r="E738" i="5"/>
  <c r="F738" i="5"/>
  <c r="G738" i="5"/>
  <c r="H738" i="5"/>
  <c r="C738" i="5"/>
  <c r="C666" i="1"/>
  <c r="D737" i="5"/>
  <c r="E737" i="5"/>
  <c r="F737" i="5"/>
  <c r="G737" i="5"/>
  <c r="H737" i="5"/>
  <c r="C737" i="5"/>
  <c r="C665" i="1"/>
  <c r="D736" i="5"/>
  <c r="E736" i="5"/>
  <c r="F736" i="5"/>
  <c r="G736" i="5"/>
  <c r="H736" i="5"/>
  <c r="C736" i="5"/>
  <c r="C664" i="1"/>
  <c r="D735" i="5"/>
  <c r="E735" i="5"/>
  <c r="F735" i="5"/>
  <c r="G735" i="5"/>
  <c r="H735" i="5"/>
  <c r="C735" i="5"/>
  <c r="C663" i="1"/>
  <c r="C729" i="5"/>
  <c r="C732" i="5"/>
  <c r="C660" i="1"/>
  <c r="D731" i="5"/>
  <c r="E731" i="5"/>
  <c r="F731" i="5"/>
  <c r="G731" i="5"/>
  <c r="H731" i="5"/>
  <c r="C731" i="5"/>
  <c r="C659" i="1"/>
  <c r="D730" i="5"/>
  <c r="E730" i="5"/>
  <c r="F730" i="5"/>
  <c r="G730" i="5"/>
  <c r="H730" i="5"/>
  <c r="C730" i="5"/>
  <c r="C658" i="1"/>
  <c r="D724" i="5"/>
  <c r="E724" i="5"/>
  <c r="F724" i="5"/>
  <c r="G724" i="5"/>
  <c r="H724" i="5"/>
  <c r="C724" i="5"/>
  <c r="C652" i="1"/>
  <c r="C718" i="5"/>
  <c r="C646" i="1"/>
  <c r="D717" i="5"/>
  <c r="E717" i="5"/>
  <c r="F717" i="5"/>
  <c r="G717" i="5"/>
  <c r="H717" i="5"/>
  <c r="C717" i="5"/>
  <c r="C645" i="1"/>
  <c r="D719" i="5"/>
  <c r="E719" i="5"/>
  <c r="F719" i="5"/>
  <c r="G719" i="5"/>
  <c r="H719" i="5"/>
  <c r="C719" i="5"/>
  <c r="C647" i="1"/>
  <c r="H718" i="5"/>
  <c r="H720" i="5"/>
  <c r="H721" i="5"/>
  <c r="H722" i="5"/>
  <c r="G718" i="5"/>
  <c r="G720" i="5"/>
  <c r="G721" i="5"/>
  <c r="G722" i="5"/>
  <c r="F718" i="5"/>
  <c r="F720" i="5"/>
  <c r="F721" i="5"/>
  <c r="F722" i="5"/>
  <c r="E718" i="5"/>
  <c r="E720" i="5"/>
  <c r="E721" i="5"/>
  <c r="E722" i="5"/>
  <c r="D718" i="5"/>
  <c r="D720" i="5"/>
  <c r="D721" i="5"/>
  <c r="D722" i="5"/>
  <c r="C720" i="5"/>
  <c r="C721" i="5"/>
  <c r="C722" i="5"/>
  <c r="D716" i="5"/>
  <c r="E716" i="5"/>
  <c r="F716" i="5"/>
  <c r="G716" i="5"/>
  <c r="H716" i="5"/>
  <c r="C716" i="5"/>
  <c r="C715" i="5" s="1"/>
  <c r="C644" i="1"/>
  <c r="C643" i="1" s="1"/>
  <c r="D714" i="5"/>
  <c r="E714" i="5"/>
  <c r="F714" i="5"/>
  <c r="G714" i="5"/>
  <c r="H714" i="5"/>
  <c r="C714" i="5"/>
  <c r="C642" i="1"/>
  <c r="C712" i="5"/>
  <c r="D713" i="5"/>
  <c r="E713" i="5"/>
  <c r="F713" i="5"/>
  <c r="G713" i="5"/>
  <c r="H713" i="5"/>
  <c r="C713" i="5"/>
  <c r="C641" i="1"/>
  <c r="D712" i="5"/>
  <c r="E712" i="5"/>
  <c r="F712" i="5"/>
  <c r="G712" i="5"/>
  <c r="H712" i="5"/>
  <c r="C640" i="1"/>
  <c r="D711" i="5"/>
  <c r="E711" i="5"/>
  <c r="F711" i="5"/>
  <c r="G711" i="5"/>
  <c r="H711" i="5"/>
  <c r="C711" i="5"/>
  <c r="C639" i="1"/>
  <c r="D710" i="5"/>
  <c r="E710" i="5"/>
  <c r="F710" i="5"/>
  <c r="G710" i="5"/>
  <c r="H710" i="5"/>
  <c r="C710" i="5"/>
  <c r="C638" i="1"/>
  <c r="D707" i="5"/>
  <c r="E707" i="5"/>
  <c r="F707" i="5"/>
  <c r="G707" i="5"/>
  <c r="H707" i="5"/>
  <c r="C707" i="5"/>
  <c r="C708" i="5"/>
  <c r="D708" i="5"/>
  <c r="E708" i="5"/>
  <c r="F708" i="5"/>
  <c r="G708" i="5"/>
  <c r="H708" i="5"/>
  <c r="C636" i="1"/>
  <c r="D705" i="5"/>
  <c r="E705" i="5"/>
  <c r="F705" i="5"/>
  <c r="G705" i="5"/>
  <c r="H705" i="5"/>
  <c r="C705" i="5"/>
  <c r="C633" i="1"/>
  <c r="D696" i="5"/>
  <c r="E696" i="5"/>
  <c r="F696" i="5"/>
  <c r="G696" i="5"/>
  <c r="H696" i="5"/>
  <c r="C696" i="5"/>
  <c r="C624" i="1"/>
  <c r="D697" i="5"/>
  <c r="E697" i="5"/>
  <c r="F697" i="5"/>
  <c r="G697" i="5"/>
  <c r="H697" i="5"/>
  <c r="C697" i="5"/>
  <c r="C625" i="1"/>
  <c r="D698" i="5"/>
  <c r="E698" i="5"/>
  <c r="F698" i="5"/>
  <c r="G698" i="5"/>
  <c r="H698" i="5"/>
  <c r="C698" i="5"/>
  <c r="C691" i="5" s="1"/>
  <c r="C626" i="1"/>
  <c r="C623" i="1"/>
  <c r="C622" i="1"/>
  <c r="C621" i="1"/>
  <c r="C692" i="5"/>
  <c r="C699" i="5"/>
  <c r="D695" i="5"/>
  <c r="E695" i="5"/>
  <c r="F695" i="5"/>
  <c r="G695" i="5"/>
  <c r="H695" i="5"/>
  <c r="C695" i="5"/>
  <c r="C694" i="5"/>
  <c r="D694" i="5"/>
  <c r="E694" i="5"/>
  <c r="F694" i="5"/>
  <c r="G694" i="5"/>
  <c r="H694" i="5"/>
  <c r="D693" i="5"/>
  <c r="E693" i="5"/>
  <c r="F693" i="5"/>
  <c r="G693" i="5"/>
  <c r="H693" i="5"/>
  <c r="C693" i="5"/>
  <c r="D692" i="5"/>
  <c r="E692" i="5"/>
  <c r="F692" i="5"/>
  <c r="G692" i="5"/>
  <c r="H692" i="5"/>
  <c r="C620" i="1"/>
  <c r="C637" i="1" l="1"/>
  <c r="H318" i="5"/>
  <c r="G318" i="5"/>
  <c r="F318" i="5"/>
  <c r="E318" i="5"/>
  <c r="D318" i="5"/>
  <c r="C318" i="5"/>
  <c r="H315" i="5"/>
  <c r="G315" i="5"/>
  <c r="F315" i="5"/>
  <c r="E315" i="5"/>
  <c r="D315" i="5"/>
  <c r="C315" i="5"/>
  <c r="H312" i="5"/>
  <c r="G312" i="5"/>
  <c r="F312" i="5"/>
  <c r="E312" i="5"/>
  <c r="D312" i="5"/>
  <c r="C312" i="5"/>
  <c r="H11" i="5"/>
  <c r="C33" i="5"/>
  <c r="C36" i="5"/>
  <c r="C751" i="5"/>
  <c r="C754" i="5"/>
  <c r="C757" i="5"/>
  <c r="C726" i="5"/>
  <c r="C578" i="5"/>
  <c r="C573" i="5" s="1"/>
  <c r="C565" i="5"/>
  <c r="C564" i="5" s="1"/>
  <c r="C552" i="5"/>
  <c r="C553" i="5"/>
  <c r="C554" i="5"/>
  <c r="C545" i="5"/>
  <c r="C544" i="5" s="1"/>
  <c r="C539" i="5"/>
  <c r="C538" i="5" s="1"/>
  <c r="C532" i="5"/>
  <c r="C526" i="5"/>
  <c r="C410" i="5"/>
  <c r="C394" i="5"/>
  <c r="C384" i="5"/>
  <c r="C374" i="5"/>
  <c r="C378" i="5"/>
  <c r="C363" i="5"/>
  <c r="C295" i="5"/>
  <c r="C422" i="5"/>
  <c r="C426" i="5"/>
  <c r="C428" i="5"/>
  <c r="C446" i="5"/>
  <c r="C348" i="5"/>
  <c r="C18" i="5"/>
  <c r="C14" i="5" s="1"/>
  <c r="C7" i="5"/>
  <c r="F552" i="5"/>
  <c r="F553" i="5"/>
  <c r="F554" i="5"/>
  <c r="C220" i="5"/>
  <c r="C248" i="5"/>
  <c r="C305" i="5"/>
  <c r="C120" i="5"/>
  <c r="C117" i="5"/>
  <c r="C113" i="5"/>
  <c r="C110" i="5"/>
  <c r="C500" i="5"/>
  <c r="C501" i="5"/>
  <c r="C502" i="5"/>
  <c r="Q513" i="5"/>
  <c r="C513" i="5" s="1"/>
  <c r="Q514" i="5"/>
  <c r="C514" i="5" s="1"/>
  <c r="Q515" i="5"/>
  <c r="C515" i="5" s="1"/>
  <c r="Q516" i="5"/>
  <c r="C516" i="5" s="1"/>
  <c r="Q517" i="5"/>
  <c r="C517" i="5" s="1"/>
  <c r="Q518" i="5"/>
  <c r="C518" i="5" s="1"/>
  <c r="Q519" i="5"/>
  <c r="C519" i="5" s="1"/>
  <c r="Q520" i="5"/>
  <c r="C520" i="5" s="1"/>
  <c r="Q521" i="5"/>
  <c r="C521" i="5" s="1"/>
  <c r="Q522" i="5"/>
  <c r="C522" i="5" s="1"/>
  <c r="Q523" i="5"/>
  <c r="C523" i="5" s="1"/>
  <c r="C587" i="5"/>
  <c r="C583" i="5" s="1"/>
  <c r="C589" i="5"/>
  <c r="C602" i="5"/>
  <c r="C606" i="5"/>
  <c r="C611" i="5"/>
  <c r="C648" i="5"/>
  <c r="C639" i="5"/>
  <c r="J683" i="5"/>
  <c r="P683" i="5"/>
  <c r="F683" i="5" s="1"/>
  <c r="C678" i="5"/>
  <c r="C658" i="5"/>
  <c r="C663" i="5"/>
  <c r="C668" i="5"/>
  <c r="C673" i="5"/>
  <c r="C628" i="5"/>
  <c r="F611" i="5"/>
  <c r="C745" i="5"/>
  <c r="C744" i="5" s="1"/>
  <c r="D745" i="5"/>
  <c r="D744" i="5" s="1"/>
  <c r="E745" i="5"/>
  <c r="E744" i="5" s="1"/>
  <c r="F745" i="5"/>
  <c r="G745" i="5"/>
  <c r="G744" i="5" s="1"/>
  <c r="H745" i="5"/>
  <c r="H744" i="5" s="1"/>
  <c r="C742" i="5"/>
  <c r="C741" i="5" s="1"/>
  <c r="D742" i="5"/>
  <c r="D741" i="5" s="1"/>
  <c r="E742" i="5"/>
  <c r="E741" i="5" s="1"/>
  <c r="F742" i="5"/>
  <c r="F741" i="5" s="1"/>
  <c r="G742" i="5"/>
  <c r="G741" i="5" s="1"/>
  <c r="H742" i="5"/>
  <c r="C670" i="1"/>
  <c r="C673" i="1"/>
  <c r="C11" i="5"/>
  <c r="C45" i="5"/>
  <c r="C46" i="5"/>
  <c r="C49" i="5"/>
  <c r="C50" i="5"/>
  <c r="C51" i="5"/>
  <c r="C59" i="5"/>
  <c r="C71" i="5"/>
  <c r="C74" i="5"/>
  <c r="C80" i="5"/>
  <c r="C87" i="5"/>
  <c r="C93" i="5"/>
  <c r="C104" i="5"/>
  <c r="J105" i="5"/>
  <c r="C105" i="5" s="1"/>
  <c r="C106" i="5"/>
  <c r="C107" i="5"/>
  <c r="C129" i="5"/>
  <c r="C133" i="5"/>
  <c r="C137" i="5"/>
  <c r="C148" i="5"/>
  <c r="C152" i="5"/>
  <c r="C157" i="5"/>
  <c r="C161" i="5"/>
  <c r="C166" i="5"/>
  <c r="C171" i="5"/>
  <c r="C180" i="5"/>
  <c r="C181" i="5"/>
  <c r="C182" i="5"/>
  <c r="C187" i="5"/>
  <c r="C188" i="5"/>
  <c r="C196" i="5"/>
  <c r="C197" i="5"/>
  <c r="C198" i="5"/>
  <c r="C200" i="5"/>
  <c r="C207" i="5"/>
  <c r="C214" i="5"/>
  <c r="C229" i="5"/>
  <c r="C239" i="5"/>
  <c r="C268" i="5"/>
  <c r="C275" i="5"/>
  <c r="C279" i="5"/>
  <c r="C282" i="5"/>
  <c r="C291" i="5"/>
  <c r="C308" i="5"/>
  <c r="C309" i="5"/>
  <c r="C321" i="5"/>
  <c r="C323" i="5"/>
  <c r="C327" i="5"/>
  <c r="C330" i="5"/>
  <c r="C333" i="5"/>
  <c r="C336" i="5"/>
  <c r="C339" i="5"/>
  <c r="C343" i="5"/>
  <c r="C346" i="5"/>
  <c r="C347" i="5"/>
  <c r="C766" i="5"/>
  <c r="C771" i="5"/>
  <c r="C615" i="5"/>
  <c r="C616" i="5"/>
  <c r="C651" i="5"/>
  <c r="C458" i="5"/>
  <c r="C459" i="5"/>
  <c r="C460" i="5"/>
  <c r="C461" i="5"/>
  <c r="C464" i="5"/>
  <c r="C465" i="5"/>
  <c r="C466" i="5"/>
  <c r="C469" i="5"/>
  <c r="C470" i="5"/>
  <c r="C471" i="5"/>
  <c r="C474" i="5"/>
  <c r="C475" i="5"/>
  <c r="C476" i="5"/>
  <c r="C477" i="5"/>
  <c r="C480" i="5"/>
  <c r="C487" i="5"/>
  <c r="C488" i="5"/>
  <c r="C491" i="5"/>
  <c r="H771" i="5"/>
  <c r="G771" i="5"/>
  <c r="F771" i="5"/>
  <c r="E771" i="5"/>
  <c r="D771" i="5"/>
  <c r="H766" i="5"/>
  <c r="G766" i="5"/>
  <c r="F766" i="5"/>
  <c r="E766" i="5"/>
  <c r="D766" i="5"/>
  <c r="H757" i="5"/>
  <c r="G757" i="5"/>
  <c r="F757" i="5"/>
  <c r="E757" i="5"/>
  <c r="D757" i="5"/>
  <c r="H754" i="5"/>
  <c r="G754" i="5"/>
  <c r="F754" i="5"/>
  <c r="E754" i="5"/>
  <c r="D754" i="5"/>
  <c r="H751" i="5"/>
  <c r="G751" i="5"/>
  <c r="F751" i="5"/>
  <c r="E751" i="5"/>
  <c r="D751" i="5"/>
  <c r="K746" i="5"/>
  <c r="F744" i="5"/>
  <c r="K743" i="5"/>
  <c r="H726" i="5"/>
  <c r="G726" i="5"/>
  <c r="F726" i="5"/>
  <c r="E726" i="5"/>
  <c r="D726" i="5"/>
  <c r="E723" i="5"/>
  <c r="H699" i="5"/>
  <c r="G699" i="5"/>
  <c r="F699" i="5"/>
  <c r="E699" i="5"/>
  <c r="D699" i="5"/>
  <c r="E687" i="5"/>
  <c r="H687" i="5"/>
  <c r="G687" i="5"/>
  <c r="F687" i="5"/>
  <c r="D687" i="5"/>
  <c r="C687" i="5"/>
  <c r="H628" i="5"/>
  <c r="H639" i="5"/>
  <c r="H648" i="5"/>
  <c r="H651" i="5"/>
  <c r="H321" i="5"/>
  <c r="G321" i="5"/>
  <c r="F321" i="5"/>
  <c r="E321" i="5"/>
  <c r="D321" i="5"/>
  <c r="D323" i="5"/>
  <c r="D327" i="5"/>
  <c r="D330" i="5"/>
  <c r="D333" i="5"/>
  <c r="D336" i="5"/>
  <c r="D339" i="5"/>
  <c r="D343" i="5"/>
  <c r="D346" i="5"/>
  <c r="D347" i="5"/>
  <c r="D348" i="5"/>
  <c r="D363" i="5"/>
  <c r="F323" i="5"/>
  <c r="F327" i="5"/>
  <c r="F330" i="5"/>
  <c r="F333" i="5"/>
  <c r="F336" i="5"/>
  <c r="F339" i="5"/>
  <c r="F343" i="5"/>
  <c r="F346" i="5"/>
  <c r="F347" i="5"/>
  <c r="F348" i="5"/>
  <c r="F363" i="5"/>
  <c r="K487" i="5"/>
  <c r="D487" i="5" s="1"/>
  <c r="K488" i="5"/>
  <c r="D488" i="5" s="1"/>
  <c r="D181" i="5"/>
  <c r="L45" i="5"/>
  <c r="G628" i="5"/>
  <c r="G639" i="5"/>
  <c r="G648" i="5"/>
  <c r="F628" i="5"/>
  <c r="F639" i="5"/>
  <c r="F648" i="5"/>
  <c r="E628" i="5"/>
  <c r="E639" i="5"/>
  <c r="E648" i="5"/>
  <c r="D628" i="5"/>
  <c r="D639" i="5"/>
  <c r="D648" i="5"/>
  <c r="H487" i="5"/>
  <c r="H488" i="5"/>
  <c r="H491" i="5"/>
  <c r="H480" i="5"/>
  <c r="H515" i="5"/>
  <c r="H516" i="5"/>
  <c r="H520" i="5"/>
  <c r="H539" i="5"/>
  <c r="H538" i="5" s="1"/>
  <c r="H545" i="5"/>
  <c r="H544" i="5" s="1"/>
  <c r="H552" i="5"/>
  <c r="H553" i="5"/>
  <c r="H554" i="5"/>
  <c r="H500" i="5"/>
  <c r="H495" i="5" s="1"/>
  <c r="H526" i="5"/>
  <c r="H532" i="5"/>
  <c r="H458" i="5"/>
  <c r="H459" i="5"/>
  <c r="H460" i="5"/>
  <c r="H461" i="5"/>
  <c r="H464" i="5"/>
  <c r="H465" i="5"/>
  <c r="H466" i="5"/>
  <c r="H469" i="5"/>
  <c r="H470" i="5"/>
  <c r="H471" i="5"/>
  <c r="H474" i="5"/>
  <c r="H475" i="5"/>
  <c r="H476" i="5"/>
  <c r="H477" i="5"/>
  <c r="G539" i="5"/>
  <c r="G538" i="5" s="1"/>
  <c r="G545" i="5"/>
  <c r="G544" i="5" s="1"/>
  <c r="G552" i="5"/>
  <c r="G553" i="5"/>
  <c r="G554" i="5"/>
  <c r="G480" i="5"/>
  <c r="G487" i="5"/>
  <c r="G488" i="5"/>
  <c r="G491" i="5"/>
  <c r="G500" i="5"/>
  <c r="G501" i="5"/>
  <c r="G502" i="5"/>
  <c r="G516" i="5"/>
  <c r="G517" i="5"/>
  <c r="G526" i="5"/>
  <c r="G532" i="5"/>
  <c r="G458" i="5"/>
  <c r="G459" i="5"/>
  <c r="G460" i="5"/>
  <c r="G461" i="5"/>
  <c r="G464" i="5"/>
  <c r="G465" i="5"/>
  <c r="G462" i="5" s="1"/>
  <c r="G466" i="5"/>
  <c r="G469" i="5"/>
  <c r="G470" i="5"/>
  <c r="G471" i="5"/>
  <c r="G474" i="5"/>
  <c r="G475" i="5"/>
  <c r="G476" i="5"/>
  <c r="G477" i="5"/>
  <c r="F488" i="5"/>
  <c r="F487" i="5"/>
  <c r="F491" i="5"/>
  <c r="F480" i="5"/>
  <c r="F545" i="5"/>
  <c r="F544" i="5" s="1"/>
  <c r="F500" i="5"/>
  <c r="F501" i="5"/>
  <c r="F502" i="5"/>
  <c r="F516" i="5"/>
  <c r="F518" i="5"/>
  <c r="F519" i="5"/>
  <c r="F526" i="5"/>
  <c r="F532" i="5"/>
  <c r="F539" i="5"/>
  <c r="F538" i="5" s="1"/>
  <c r="F458" i="5"/>
  <c r="F459" i="5"/>
  <c r="F460" i="5"/>
  <c r="F461" i="5"/>
  <c r="F464" i="5"/>
  <c r="F465" i="5"/>
  <c r="F466" i="5"/>
  <c r="F469" i="5"/>
  <c r="F470" i="5"/>
  <c r="F471" i="5"/>
  <c r="F474" i="5"/>
  <c r="F475" i="5"/>
  <c r="F476" i="5"/>
  <c r="F477" i="5"/>
  <c r="E487" i="5"/>
  <c r="E488" i="5"/>
  <c r="E491" i="5"/>
  <c r="E480" i="5"/>
  <c r="E526" i="5"/>
  <c r="E532" i="5"/>
  <c r="E544" i="5"/>
  <c r="E551" i="5"/>
  <c r="E500" i="5"/>
  <c r="E501" i="5"/>
  <c r="E502" i="5"/>
  <c r="E516" i="5"/>
  <c r="E517" i="5"/>
  <c r="E539" i="5"/>
  <c r="E538" i="5" s="1"/>
  <c r="E458" i="5"/>
  <c r="E459" i="5"/>
  <c r="E460" i="5"/>
  <c r="E461" i="5"/>
  <c r="E464" i="5"/>
  <c r="E465" i="5"/>
  <c r="E466" i="5"/>
  <c r="E469" i="5"/>
  <c r="E470" i="5"/>
  <c r="E471" i="5"/>
  <c r="E474" i="5"/>
  <c r="E475" i="5"/>
  <c r="E476" i="5"/>
  <c r="E477" i="5"/>
  <c r="D491" i="5"/>
  <c r="D480" i="5"/>
  <c r="D539" i="5"/>
  <c r="D538" i="5" s="1"/>
  <c r="D545" i="5"/>
  <c r="D544" i="5" s="1"/>
  <c r="D552" i="5"/>
  <c r="D553" i="5"/>
  <c r="D554" i="5"/>
  <c r="D500" i="5"/>
  <c r="D501" i="5"/>
  <c r="D502" i="5"/>
  <c r="D515" i="5"/>
  <c r="D516" i="5"/>
  <c r="D521" i="5"/>
  <c r="D523" i="5"/>
  <c r="D526" i="5"/>
  <c r="D532" i="5"/>
  <c r="D458" i="5"/>
  <c r="D459" i="5"/>
  <c r="D460" i="5"/>
  <c r="D461" i="5"/>
  <c r="D464" i="5"/>
  <c r="D465" i="5"/>
  <c r="D466" i="5"/>
  <c r="D469" i="5"/>
  <c r="D470" i="5"/>
  <c r="D471" i="5"/>
  <c r="D474" i="5"/>
  <c r="D475" i="5"/>
  <c r="D476" i="5"/>
  <c r="D477" i="5"/>
  <c r="H181" i="5"/>
  <c r="G181" i="5"/>
  <c r="F181" i="5"/>
  <c r="E181" i="5"/>
  <c r="G107" i="5"/>
  <c r="F107" i="5"/>
  <c r="K107" i="5"/>
  <c r="D107" i="5" s="1"/>
  <c r="C86" i="1"/>
  <c r="C458" i="2"/>
  <c r="E346" i="5"/>
  <c r="K671" i="1"/>
  <c r="J671" i="1"/>
  <c r="E374" i="5"/>
  <c r="G330" i="5"/>
  <c r="H323" i="5"/>
  <c r="H305" i="5"/>
  <c r="H291" i="5"/>
  <c r="H279" i="5"/>
  <c r="H161" i="5"/>
  <c r="H157" i="5"/>
  <c r="H148" i="5"/>
  <c r="H152" i="5"/>
  <c r="H133" i="5"/>
  <c r="F129" i="5"/>
  <c r="F133" i="5"/>
  <c r="H129" i="5"/>
  <c r="H120" i="5"/>
  <c r="H113" i="5"/>
  <c r="G110" i="5"/>
  <c r="G71" i="5"/>
  <c r="H33" i="5"/>
  <c r="F11" i="5"/>
  <c r="G11" i="5"/>
  <c r="E104" i="5"/>
  <c r="E105" i="5"/>
  <c r="E106" i="5"/>
  <c r="N105" i="5"/>
  <c r="G105" i="5" s="1"/>
  <c r="M105" i="5"/>
  <c r="F105" i="5" s="1"/>
  <c r="K105" i="5"/>
  <c r="D105" i="5" s="1"/>
  <c r="H104" i="5"/>
  <c r="G339" i="5"/>
  <c r="D587" i="5"/>
  <c r="E587" i="5"/>
  <c r="E583" i="5" s="1"/>
  <c r="F587" i="5"/>
  <c r="F583" i="5" s="1"/>
  <c r="D117" i="5"/>
  <c r="E117" i="5"/>
  <c r="F117" i="5"/>
  <c r="F120" i="5"/>
  <c r="G117" i="5"/>
  <c r="H117" i="5"/>
  <c r="H116" i="5" s="1"/>
  <c r="D85" i="1"/>
  <c r="F106" i="5"/>
  <c r="G106" i="5"/>
  <c r="H106" i="5"/>
  <c r="H105" i="5"/>
  <c r="H71" i="5"/>
  <c r="H74" i="5"/>
  <c r="H80" i="5"/>
  <c r="H87" i="5"/>
  <c r="H93" i="5"/>
  <c r="E46" i="5"/>
  <c r="E45" i="5"/>
  <c r="E7" i="5"/>
  <c r="E11" i="5"/>
  <c r="E18" i="5"/>
  <c r="E14" i="5" s="1"/>
  <c r="E33" i="5"/>
  <c r="E36" i="5"/>
  <c r="E120" i="5"/>
  <c r="D120" i="5"/>
  <c r="H587" i="5"/>
  <c r="H583" i="5" s="1"/>
  <c r="H327" i="5"/>
  <c r="H330" i="5"/>
  <c r="H333" i="5"/>
  <c r="H336" i="5"/>
  <c r="H339" i="5"/>
  <c r="H343" i="5"/>
  <c r="H346" i="5"/>
  <c r="H347" i="5"/>
  <c r="H46" i="5"/>
  <c r="H44" i="5" s="1"/>
  <c r="H45" i="5"/>
  <c r="G378" i="5"/>
  <c r="G384" i="5"/>
  <c r="G374" i="5"/>
  <c r="D104" i="5"/>
  <c r="F104" i="5"/>
  <c r="G104" i="5"/>
  <c r="D309" i="5"/>
  <c r="F309" i="5"/>
  <c r="G309" i="5"/>
  <c r="H309" i="5"/>
  <c r="E309" i="5"/>
  <c r="D308" i="5"/>
  <c r="E308" i="5"/>
  <c r="F308" i="5"/>
  <c r="G308" i="5"/>
  <c r="H308" i="5"/>
  <c r="F239" i="5"/>
  <c r="D239" i="5"/>
  <c r="E214" i="5"/>
  <c r="F214" i="5"/>
  <c r="G214" i="5"/>
  <c r="D214" i="5"/>
  <c r="H214" i="5"/>
  <c r="C176" i="1"/>
  <c r="D110" i="5"/>
  <c r="D108" i="5" s="1"/>
  <c r="D71" i="5"/>
  <c r="G33" i="5"/>
  <c r="F36" i="5"/>
  <c r="D11" i="5"/>
  <c r="D7" i="5"/>
  <c r="H7" i="5"/>
  <c r="C270" i="1"/>
  <c r="D137" i="5"/>
  <c r="E137" i="5"/>
  <c r="F137" i="5"/>
  <c r="G137" i="5"/>
  <c r="D46" i="5"/>
  <c r="D45" i="5"/>
  <c r="F46" i="5"/>
  <c r="G46" i="5"/>
  <c r="F45" i="5"/>
  <c r="G45" i="5"/>
  <c r="D33" i="5"/>
  <c r="H473" i="5"/>
  <c r="G473" i="5"/>
  <c r="F473" i="5"/>
  <c r="E473" i="5"/>
  <c r="D473" i="5"/>
  <c r="C473" i="5"/>
  <c r="H468" i="5"/>
  <c r="G468" i="5"/>
  <c r="F468" i="5"/>
  <c r="E468" i="5"/>
  <c r="D468" i="5"/>
  <c r="C468" i="5"/>
  <c r="H463" i="5"/>
  <c r="G463" i="5"/>
  <c r="F463" i="5"/>
  <c r="E463" i="5"/>
  <c r="D463" i="5"/>
  <c r="C463" i="5"/>
  <c r="H457" i="5"/>
  <c r="G457" i="5"/>
  <c r="F457" i="5"/>
  <c r="E457" i="5"/>
  <c r="D457" i="5"/>
  <c r="C457" i="5"/>
  <c r="M544" i="5"/>
  <c r="M532" i="5"/>
  <c r="D74" i="5"/>
  <c r="D80" i="5"/>
  <c r="D87" i="5"/>
  <c r="D93" i="5"/>
  <c r="P780" i="5"/>
  <c r="P781" i="5" s="1"/>
  <c r="O780" i="5"/>
  <c r="O781" i="5" s="1"/>
  <c r="N780" i="5"/>
  <c r="N781" i="5" s="1"/>
  <c r="M780" i="5"/>
  <c r="M781" i="5" s="1"/>
  <c r="L780" i="5"/>
  <c r="L781" i="5" s="1"/>
  <c r="K780" i="5"/>
  <c r="K781" i="5" s="1"/>
  <c r="J780" i="5"/>
  <c r="J781" i="5" s="1"/>
  <c r="H374" i="5"/>
  <c r="H378" i="5"/>
  <c r="H384" i="5"/>
  <c r="G394" i="5"/>
  <c r="G428" i="5"/>
  <c r="G410" i="5"/>
  <c r="G422" i="5"/>
  <c r="G426" i="5"/>
  <c r="G446" i="5"/>
  <c r="F374" i="5"/>
  <c r="E378" i="5"/>
  <c r="E384" i="5"/>
  <c r="E394" i="5"/>
  <c r="E410" i="5"/>
  <c r="E422" i="5"/>
  <c r="E426" i="5"/>
  <c r="E428" i="5"/>
  <c r="E446" i="5"/>
  <c r="D374" i="5"/>
  <c r="F378" i="5"/>
  <c r="D378" i="5"/>
  <c r="D384" i="5"/>
  <c r="G120" i="5"/>
  <c r="H658" i="5"/>
  <c r="H663" i="5"/>
  <c r="H668" i="5"/>
  <c r="H673" i="5"/>
  <c r="H678" i="5"/>
  <c r="E658" i="5"/>
  <c r="E663" i="5"/>
  <c r="E668" i="5"/>
  <c r="E673" i="5"/>
  <c r="E678" i="5"/>
  <c r="E651" i="5"/>
  <c r="E589" i="5"/>
  <c r="E565" i="5"/>
  <c r="E564" i="5" s="1"/>
  <c r="E578" i="5"/>
  <c r="E573" i="5" s="1"/>
  <c r="E602" i="5"/>
  <c r="E606" i="5"/>
  <c r="E611" i="5"/>
  <c r="E615" i="5"/>
  <c r="E616" i="5"/>
  <c r="F384" i="5"/>
  <c r="H110" i="5"/>
  <c r="F110" i="5"/>
  <c r="F113" i="5"/>
  <c r="E110" i="5"/>
  <c r="H36" i="5"/>
  <c r="F33" i="5"/>
  <c r="H18" i="5"/>
  <c r="H14" i="5" s="1"/>
  <c r="G18" i="5"/>
  <c r="G14" i="5" s="1"/>
  <c r="F18" i="5"/>
  <c r="F14" i="5" s="1"/>
  <c r="D18" i="5"/>
  <c r="D14" i="5" s="1"/>
  <c r="F658" i="5"/>
  <c r="F663" i="5"/>
  <c r="F668" i="5"/>
  <c r="F673" i="5"/>
  <c r="F678" i="5"/>
  <c r="F651" i="5"/>
  <c r="F589" i="5"/>
  <c r="F565" i="5"/>
  <c r="F564" i="5" s="1"/>
  <c r="F578" i="5"/>
  <c r="F573" i="5" s="1"/>
  <c r="F602" i="5"/>
  <c r="F606" i="5"/>
  <c r="F615" i="5"/>
  <c r="F616" i="5"/>
  <c r="H394" i="5"/>
  <c r="H410" i="5"/>
  <c r="H422" i="5"/>
  <c r="H426" i="5"/>
  <c r="H428" i="5"/>
  <c r="H446" i="5"/>
  <c r="F394" i="5"/>
  <c r="D394" i="5"/>
  <c r="G343" i="5"/>
  <c r="E343" i="5"/>
  <c r="E339" i="5"/>
  <c r="G336" i="5"/>
  <c r="E336" i="5"/>
  <c r="G333" i="5"/>
  <c r="E333" i="5"/>
  <c r="E330" i="5"/>
  <c r="G327" i="5"/>
  <c r="E327" i="5"/>
  <c r="G323" i="5"/>
  <c r="E323" i="5"/>
  <c r="H180" i="5"/>
  <c r="H182" i="5"/>
  <c r="H187" i="5"/>
  <c r="H188" i="5"/>
  <c r="G180" i="5"/>
  <c r="G182" i="5"/>
  <c r="F180" i="5"/>
  <c r="F182" i="5"/>
  <c r="E180" i="5"/>
  <c r="E182" i="5"/>
  <c r="E187" i="5"/>
  <c r="E188" i="5"/>
  <c r="D180" i="5"/>
  <c r="D182" i="5"/>
  <c r="D187" i="5"/>
  <c r="D188" i="5"/>
  <c r="F71" i="5"/>
  <c r="E71" i="5"/>
  <c r="G113" i="5"/>
  <c r="E113" i="5"/>
  <c r="D113" i="5"/>
  <c r="G74" i="5"/>
  <c r="G69" i="5" s="1"/>
  <c r="F74" i="5"/>
  <c r="E74" i="5"/>
  <c r="G36" i="5"/>
  <c r="D36" i="5"/>
  <c r="G7" i="5"/>
  <c r="F7" i="5"/>
  <c r="C90" i="1"/>
  <c r="H49" i="5"/>
  <c r="H50" i="5"/>
  <c r="H51" i="5"/>
  <c r="H59" i="5"/>
  <c r="G49" i="5"/>
  <c r="G50" i="5"/>
  <c r="G51" i="5"/>
  <c r="F49" i="5"/>
  <c r="F50" i="5"/>
  <c r="F51" i="5"/>
  <c r="F59" i="5"/>
  <c r="E49" i="5"/>
  <c r="E50" i="5"/>
  <c r="E51" i="5"/>
  <c r="E59" i="5"/>
  <c r="D49" i="5"/>
  <c r="D50" i="5"/>
  <c r="D51" i="5"/>
  <c r="G59" i="5"/>
  <c r="D59" i="5"/>
  <c r="D129" i="5"/>
  <c r="E129" i="5"/>
  <c r="G129" i="5"/>
  <c r="D133" i="5"/>
  <c r="E133" i="5"/>
  <c r="G133" i="5"/>
  <c r="D148" i="5"/>
  <c r="E148" i="5"/>
  <c r="E152" i="5"/>
  <c r="E157" i="5"/>
  <c r="E161" i="5"/>
  <c r="F148" i="5"/>
  <c r="G148" i="5"/>
  <c r="D152" i="5"/>
  <c r="F152" i="5"/>
  <c r="G152" i="5"/>
  <c r="D157" i="5"/>
  <c r="F157" i="5"/>
  <c r="G157" i="5"/>
  <c r="D161" i="5"/>
  <c r="F161" i="5"/>
  <c r="G161" i="5"/>
  <c r="D166" i="5"/>
  <c r="D171" i="5"/>
  <c r="E166" i="5"/>
  <c r="F166" i="5"/>
  <c r="G166" i="5"/>
  <c r="G171" i="5"/>
  <c r="H166" i="5"/>
  <c r="H171" i="5"/>
  <c r="E171" i="5"/>
  <c r="F171" i="5"/>
  <c r="F187" i="5"/>
  <c r="F188" i="5"/>
  <c r="G187" i="5"/>
  <c r="G188" i="5"/>
  <c r="D196" i="5"/>
  <c r="E196" i="5"/>
  <c r="F196" i="5"/>
  <c r="G196" i="5"/>
  <c r="G197" i="5"/>
  <c r="G198" i="5"/>
  <c r="H196" i="5"/>
  <c r="D197" i="5"/>
  <c r="E197" i="5"/>
  <c r="F197" i="5"/>
  <c r="F198" i="5"/>
  <c r="H197" i="5"/>
  <c r="D198" i="5"/>
  <c r="E198" i="5"/>
  <c r="H198" i="5"/>
  <c r="E239" i="5"/>
  <c r="G239" i="5"/>
  <c r="H239" i="5"/>
  <c r="D248" i="5"/>
  <c r="E248" i="5"/>
  <c r="F248" i="5"/>
  <c r="G248" i="5"/>
  <c r="H248" i="5"/>
  <c r="D268" i="5"/>
  <c r="E268" i="5"/>
  <c r="F268" i="5"/>
  <c r="G268" i="5"/>
  <c r="H268" i="5"/>
  <c r="D275" i="5"/>
  <c r="E275" i="5"/>
  <c r="F275" i="5"/>
  <c r="G275" i="5"/>
  <c r="H275" i="5"/>
  <c r="D279" i="5"/>
  <c r="E279" i="5"/>
  <c r="F279" i="5"/>
  <c r="G279" i="5"/>
  <c r="D282" i="5"/>
  <c r="E282" i="5"/>
  <c r="F282" i="5"/>
  <c r="G282" i="5"/>
  <c r="H282" i="5"/>
  <c r="D291" i="5"/>
  <c r="D295" i="5"/>
  <c r="D305" i="5"/>
  <c r="E291" i="5"/>
  <c r="E295" i="5"/>
  <c r="E305" i="5"/>
  <c r="F291" i="5"/>
  <c r="G291" i="5"/>
  <c r="F295" i="5"/>
  <c r="G295" i="5"/>
  <c r="G305" i="5"/>
  <c r="H295" i="5"/>
  <c r="F305" i="5"/>
  <c r="H200" i="5"/>
  <c r="G200" i="5"/>
  <c r="F200" i="5"/>
  <c r="E200" i="5"/>
  <c r="E207" i="5"/>
  <c r="E220" i="5"/>
  <c r="D200" i="5"/>
  <c r="G93" i="5"/>
  <c r="F93" i="5"/>
  <c r="E93" i="5"/>
  <c r="G678" i="5"/>
  <c r="D678" i="5"/>
  <c r="G673" i="5"/>
  <c r="D673" i="5"/>
  <c r="G668" i="5"/>
  <c r="D668" i="5"/>
  <c r="G663" i="5"/>
  <c r="D663" i="5"/>
  <c r="G658" i="5"/>
  <c r="D658" i="5"/>
  <c r="G651" i="5"/>
  <c r="D651" i="5"/>
  <c r="H616" i="5"/>
  <c r="G616" i="5"/>
  <c r="D616" i="5"/>
  <c r="H615" i="5"/>
  <c r="G615" i="5"/>
  <c r="D615" i="5"/>
  <c r="H611" i="5"/>
  <c r="H602" i="5"/>
  <c r="H606" i="5"/>
  <c r="G611" i="5"/>
  <c r="G602" i="5"/>
  <c r="G606" i="5"/>
  <c r="D611" i="5"/>
  <c r="D606" i="5"/>
  <c r="D602" i="5"/>
  <c r="H589" i="5"/>
  <c r="G589" i="5"/>
  <c r="D589" i="5"/>
  <c r="G583" i="5"/>
  <c r="D583" i="5"/>
  <c r="H578" i="5"/>
  <c r="H573" i="5" s="1"/>
  <c r="G578" i="5"/>
  <c r="G573" i="5" s="1"/>
  <c r="D578" i="5"/>
  <c r="D573" i="5" s="1"/>
  <c r="H565" i="5"/>
  <c r="H564" i="5" s="1"/>
  <c r="G565" i="5"/>
  <c r="G564" i="5" s="1"/>
  <c r="D565" i="5"/>
  <c r="D564" i="5" s="1"/>
  <c r="F446" i="5"/>
  <c r="D446" i="5"/>
  <c r="F428" i="5"/>
  <c r="D428" i="5"/>
  <c r="F426" i="5"/>
  <c r="D426" i="5"/>
  <c r="F422" i="5"/>
  <c r="D422" i="5"/>
  <c r="D410" i="5"/>
  <c r="F410" i="5"/>
  <c r="H363" i="5"/>
  <c r="G363" i="5"/>
  <c r="E363" i="5"/>
  <c r="H348" i="5"/>
  <c r="G348" i="5"/>
  <c r="E348" i="5"/>
  <c r="H229" i="5"/>
  <c r="G229" i="5"/>
  <c r="F229" i="5"/>
  <c r="E229" i="5"/>
  <c r="D229" i="5"/>
  <c r="H220" i="5"/>
  <c r="G220" i="5"/>
  <c r="F220" i="5"/>
  <c r="D220" i="5"/>
  <c r="H207" i="5"/>
  <c r="G207" i="5"/>
  <c r="F207" i="5"/>
  <c r="D207" i="5"/>
  <c r="H137" i="5"/>
  <c r="F87" i="5"/>
  <c r="F80" i="5"/>
  <c r="G87" i="5"/>
  <c r="E87" i="5"/>
  <c r="G80" i="5"/>
  <c r="E80" i="5"/>
  <c r="H579" i="1"/>
  <c r="G579" i="1"/>
  <c r="F579" i="1"/>
  <c r="E579" i="1"/>
  <c r="D579" i="1"/>
  <c r="C579" i="1"/>
  <c r="H531" i="1"/>
  <c r="G531" i="1"/>
  <c r="F531" i="1"/>
  <c r="E531" i="1"/>
  <c r="D531" i="1"/>
  <c r="C531" i="1"/>
  <c r="H360" i="1"/>
  <c r="H361" i="1"/>
  <c r="H362" i="1"/>
  <c r="H363" i="1"/>
  <c r="H364" i="1"/>
  <c r="H359" i="1"/>
  <c r="H366" i="1"/>
  <c r="H367" i="1"/>
  <c r="H368" i="1"/>
  <c r="H369" i="1"/>
  <c r="H365" i="1"/>
  <c r="H371" i="1"/>
  <c r="H372" i="1"/>
  <c r="H373" i="1"/>
  <c r="H374" i="1"/>
  <c r="H370" i="1"/>
  <c r="H376" i="1"/>
  <c r="H377" i="1"/>
  <c r="H378" i="1"/>
  <c r="H375" i="1"/>
  <c r="H379" i="1"/>
  <c r="H380" i="1"/>
  <c r="H358" i="1"/>
  <c r="G360" i="1"/>
  <c r="G361" i="1"/>
  <c r="G362" i="1"/>
  <c r="G363" i="1"/>
  <c r="G364" i="1"/>
  <c r="G359" i="1"/>
  <c r="G366" i="1"/>
  <c r="G367" i="1"/>
  <c r="G368" i="1"/>
  <c r="G369" i="1"/>
  <c r="G365" i="1"/>
  <c r="G371" i="1"/>
  <c r="G372" i="1"/>
  <c r="G373" i="1"/>
  <c r="G374" i="1"/>
  <c r="G370" i="1"/>
  <c r="G376" i="1"/>
  <c r="G377" i="1"/>
  <c r="G378" i="1"/>
  <c r="G375" i="1"/>
  <c r="G379" i="1"/>
  <c r="G380" i="1"/>
  <c r="G358" i="1"/>
  <c r="F360" i="1"/>
  <c r="F361" i="1"/>
  <c r="F362" i="1"/>
  <c r="F363" i="1"/>
  <c r="F364" i="1"/>
  <c r="F359" i="1"/>
  <c r="F366" i="1"/>
  <c r="F367" i="1"/>
  <c r="F368" i="1"/>
  <c r="F369" i="1"/>
  <c r="F365" i="1"/>
  <c r="F371" i="1"/>
  <c r="F372" i="1"/>
  <c r="F373" i="1"/>
  <c r="F374" i="1"/>
  <c r="F370" i="1"/>
  <c r="F376" i="1"/>
  <c r="F377" i="1"/>
  <c r="F378" i="1"/>
  <c r="F375" i="1"/>
  <c r="F379" i="1"/>
  <c r="F380" i="1"/>
  <c r="F358" i="1"/>
  <c r="E360" i="1"/>
  <c r="E361" i="1"/>
  <c r="E362" i="1"/>
  <c r="E363" i="1"/>
  <c r="E364" i="1"/>
  <c r="E359" i="1"/>
  <c r="E366" i="1"/>
  <c r="E367" i="1"/>
  <c r="E368" i="1"/>
  <c r="E369" i="1"/>
  <c r="E365" i="1"/>
  <c r="E371" i="1"/>
  <c r="E372" i="1"/>
  <c r="E373" i="1"/>
  <c r="E374" i="1"/>
  <c r="E370" i="1"/>
  <c r="E376" i="1"/>
  <c r="E377" i="1"/>
  <c r="E378" i="1"/>
  <c r="E375" i="1"/>
  <c r="E379" i="1"/>
  <c r="E380" i="1"/>
  <c r="E358" i="1"/>
  <c r="D360" i="1"/>
  <c r="D361" i="1"/>
  <c r="D362" i="1"/>
  <c r="D363" i="1"/>
  <c r="D364" i="1"/>
  <c r="D359" i="1"/>
  <c r="D366" i="1"/>
  <c r="D367" i="1"/>
  <c r="D368" i="1"/>
  <c r="D369" i="1"/>
  <c r="D365" i="1"/>
  <c r="D371" i="1"/>
  <c r="D372" i="1"/>
  <c r="D373" i="1"/>
  <c r="D374" i="1"/>
  <c r="D370" i="1"/>
  <c r="D376" i="1"/>
  <c r="D377" i="1"/>
  <c r="D378" i="1"/>
  <c r="D375" i="1"/>
  <c r="D379" i="1"/>
  <c r="D380" i="1"/>
  <c r="D358" i="1"/>
  <c r="C360" i="1"/>
  <c r="C361" i="1"/>
  <c r="C362" i="1"/>
  <c r="C363" i="1"/>
  <c r="C364" i="1"/>
  <c r="C359" i="1"/>
  <c r="C366" i="1"/>
  <c r="C367" i="1"/>
  <c r="C368" i="1"/>
  <c r="C369" i="1"/>
  <c r="C365" i="1"/>
  <c r="C371" i="1"/>
  <c r="C372" i="1"/>
  <c r="C373" i="1"/>
  <c r="C374" i="1"/>
  <c r="C370" i="1"/>
  <c r="C376" i="1"/>
  <c r="C377" i="1"/>
  <c r="C378" i="1"/>
  <c r="C375" i="1"/>
  <c r="C379" i="1"/>
  <c r="C380" i="1"/>
  <c r="C358" i="1"/>
  <c r="H35" i="1"/>
  <c r="H36" i="1"/>
  <c r="H37" i="1"/>
  <c r="H34" i="1"/>
  <c r="G35" i="1"/>
  <c r="G36" i="1"/>
  <c r="G37" i="1"/>
  <c r="G34" i="1"/>
  <c r="F35" i="1"/>
  <c r="F36" i="1"/>
  <c r="F37" i="1"/>
  <c r="F34" i="1"/>
  <c r="E35" i="1"/>
  <c r="E36" i="1"/>
  <c r="E37" i="1"/>
  <c r="E34" i="1"/>
  <c r="D35" i="1"/>
  <c r="D36" i="1"/>
  <c r="D37" i="1"/>
  <c r="D34" i="1"/>
  <c r="C35" i="1"/>
  <c r="C36" i="1"/>
  <c r="C37" i="1"/>
  <c r="C34" i="1"/>
  <c r="H182" i="1"/>
  <c r="G182" i="1"/>
  <c r="F182" i="1"/>
  <c r="E182" i="1"/>
  <c r="D182" i="1"/>
  <c r="C182" i="1"/>
  <c r="D611" i="1"/>
  <c r="F455" i="1"/>
  <c r="D413" i="1"/>
  <c r="D414" i="1"/>
  <c r="D415" i="1"/>
  <c r="D405" i="1"/>
  <c r="E413" i="1"/>
  <c r="E414" i="1"/>
  <c r="E415" i="1"/>
  <c r="E405" i="1"/>
  <c r="F413" i="1"/>
  <c r="F414" i="1"/>
  <c r="F415" i="1"/>
  <c r="F420" i="1"/>
  <c r="F405" i="1"/>
  <c r="G413" i="1"/>
  <c r="G414" i="1"/>
  <c r="G415" i="1"/>
  <c r="G420" i="1"/>
  <c r="G405" i="1"/>
  <c r="H413" i="1"/>
  <c r="H414" i="1"/>
  <c r="H405" i="1"/>
  <c r="C413" i="1"/>
  <c r="C414" i="1"/>
  <c r="C415" i="1"/>
  <c r="C420" i="1"/>
  <c r="C405" i="1"/>
  <c r="F88" i="1"/>
  <c r="H88" i="1"/>
  <c r="G88" i="1"/>
  <c r="E88" i="1"/>
  <c r="D88" i="1"/>
  <c r="C88" i="1"/>
  <c r="D90" i="1"/>
  <c r="E90" i="1"/>
  <c r="F90" i="1"/>
  <c r="G90" i="1"/>
  <c r="H90" i="1"/>
  <c r="E649" i="1"/>
  <c r="O674" i="1"/>
  <c r="N674" i="1"/>
  <c r="M674" i="1"/>
  <c r="L674" i="1"/>
  <c r="K674" i="1"/>
  <c r="J674" i="1"/>
  <c r="H673" i="1"/>
  <c r="H672" i="1"/>
  <c r="G673" i="1"/>
  <c r="G672" i="1"/>
  <c r="F673" i="1"/>
  <c r="F672" i="1"/>
  <c r="E673" i="1"/>
  <c r="E672" i="1"/>
  <c r="D673" i="1"/>
  <c r="D672" i="1"/>
  <c r="C672" i="1"/>
  <c r="O671" i="1"/>
  <c r="N671" i="1"/>
  <c r="M671" i="1"/>
  <c r="L671" i="1"/>
  <c r="H670" i="1"/>
  <c r="H669" i="1"/>
  <c r="G670" i="1"/>
  <c r="G669" i="1"/>
  <c r="F670" i="1"/>
  <c r="F669" i="1"/>
  <c r="E670" i="1"/>
  <c r="E669" i="1"/>
  <c r="D670" i="1"/>
  <c r="D669" i="1"/>
  <c r="C669" i="1"/>
  <c r="C668" i="1"/>
  <c r="H645" i="1"/>
  <c r="G645" i="1"/>
  <c r="F645" i="1"/>
  <c r="E645" i="1"/>
  <c r="D645" i="1"/>
  <c r="H644" i="1"/>
  <c r="G644" i="1"/>
  <c r="F644" i="1"/>
  <c r="E644" i="1"/>
  <c r="D644" i="1"/>
  <c r="H652" i="1"/>
  <c r="G652" i="1"/>
  <c r="F652" i="1"/>
  <c r="E652" i="1"/>
  <c r="D652" i="1"/>
  <c r="D409" i="1"/>
  <c r="D406" i="1"/>
  <c r="D429" i="1"/>
  <c r="D430" i="1"/>
  <c r="D431" i="1"/>
  <c r="D424" i="1"/>
  <c r="Q442" i="1"/>
  <c r="D442" i="1"/>
  <c r="Q443" i="1"/>
  <c r="D443" i="1"/>
  <c r="Q444" i="1"/>
  <c r="D444" i="1"/>
  <c r="Q445" i="1"/>
  <c r="D445" i="1"/>
  <c r="Q446" i="1"/>
  <c r="D446" i="1"/>
  <c r="Q447" i="1"/>
  <c r="D447" i="1"/>
  <c r="Q448" i="1"/>
  <c r="D448" i="1"/>
  <c r="Q449" i="1"/>
  <c r="D449" i="1"/>
  <c r="Q450" i="1"/>
  <c r="D450" i="1"/>
  <c r="Q451" i="1"/>
  <c r="D451" i="1"/>
  <c r="Q452" i="1"/>
  <c r="D452" i="1"/>
  <c r="D435" i="1"/>
  <c r="D455" i="1"/>
  <c r="D461" i="1"/>
  <c r="D454" i="1"/>
  <c r="D468" i="1"/>
  <c r="D467" i="1"/>
  <c r="D474" i="1"/>
  <c r="D473" i="1"/>
  <c r="D481" i="1"/>
  <c r="D482" i="1"/>
  <c r="D483" i="1"/>
  <c r="D480" i="1"/>
  <c r="D404" i="1"/>
  <c r="D386" i="1"/>
  <c r="D387" i="1"/>
  <c r="D388" i="1"/>
  <c r="D389" i="1"/>
  <c r="D385" i="1"/>
  <c r="D391" i="1"/>
  <c r="D392" i="1"/>
  <c r="D393" i="1"/>
  <c r="D390" i="1"/>
  <c r="D395" i="1"/>
  <c r="D396" i="1"/>
  <c r="D397" i="1"/>
  <c r="D398" i="1"/>
  <c r="D394" i="1"/>
  <c r="D400" i="1"/>
  <c r="D401" i="1"/>
  <c r="D402" i="1"/>
  <c r="D403" i="1"/>
  <c r="D399" i="1"/>
  <c r="D384" i="1"/>
  <c r="D357" i="1"/>
  <c r="E409" i="1"/>
  <c r="E406" i="1"/>
  <c r="E474" i="1"/>
  <c r="E473" i="1"/>
  <c r="E429" i="1"/>
  <c r="E430" i="1"/>
  <c r="E431" i="1"/>
  <c r="E424" i="1"/>
  <c r="E442" i="1"/>
  <c r="E443" i="1"/>
  <c r="E444" i="1"/>
  <c r="E445" i="1"/>
  <c r="E446" i="1"/>
  <c r="E447" i="1"/>
  <c r="E448" i="1"/>
  <c r="E449" i="1"/>
  <c r="E450" i="1"/>
  <c r="E451" i="1"/>
  <c r="E452" i="1"/>
  <c r="E435" i="1"/>
  <c r="E455" i="1"/>
  <c r="E461" i="1"/>
  <c r="E454" i="1"/>
  <c r="E468" i="1"/>
  <c r="E467" i="1"/>
  <c r="E480" i="1"/>
  <c r="E404" i="1"/>
  <c r="E386" i="1"/>
  <c r="E387" i="1"/>
  <c r="E388" i="1"/>
  <c r="E389" i="1"/>
  <c r="E385" i="1"/>
  <c r="E391" i="1"/>
  <c r="E392" i="1"/>
  <c r="E393" i="1"/>
  <c r="E390" i="1"/>
  <c r="E395" i="1"/>
  <c r="E396" i="1"/>
  <c r="E397" i="1"/>
  <c r="E398" i="1"/>
  <c r="E394" i="1"/>
  <c r="E400" i="1"/>
  <c r="E401" i="1"/>
  <c r="E402" i="1"/>
  <c r="E403" i="1"/>
  <c r="E399" i="1"/>
  <c r="E384" i="1"/>
  <c r="E357" i="1"/>
  <c r="F409" i="1"/>
  <c r="F406" i="1"/>
  <c r="F474" i="1"/>
  <c r="F473" i="1"/>
  <c r="F429" i="1"/>
  <c r="F430" i="1"/>
  <c r="F431" i="1"/>
  <c r="F424" i="1"/>
  <c r="F442" i="1"/>
  <c r="F443" i="1"/>
  <c r="F444" i="1"/>
  <c r="F445" i="1"/>
  <c r="F446" i="1"/>
  <c r="F447" i="1"/>
  <c r="F448" i="1"/>
  <c r="F449" i="1"/>
  <c r="F450" i="1"/>
  <c r="F451" i="1"/>
  <c r="F452" i="1"/>
  <c r="F435" i="1"/>
  <c r="F468" i="1"/>
  <c r="F467" i="1"/>
  <c r="F481" i="1"/>
  <c r="F482" i="1"/>
  <c r="F483" i="1"/>
  <c r="F480" i="1"/>
  <c r="F461" i="1"/>
  <c r="F454" i="1"/>
  <c r="F404" i="1"/>
  <c r="F386" i="1"/>
  <c r="F387" i="1"/>
  <c r="F388" i="1"/>
  <c r="F389" i="1"/>
  <c r="F385" i="1"/>
  <c r="F391" i="1"/>
  <c r="F392" i="1"/>
  <c r="F393" i="1"/>
  <c r="F390" i="1"/>
  <c r="F395" i="1"/>
  <c r="F396" i="1"/>
  <c r="F397" i="1"/>
  <c r="F398" i="1"/>
  <c r="F394" i="1"/>
  <c r="F400" i="1"/>
  <c r="F401" i="1"/>
  <c r="F402" i="1"/>
  <c r="F403" i="1"/>
  <c r="F399" i="1"/>
  <c r="F384" i="1"/>
  <c r="F357" i="1"/>
  <c r="G409" i="1"/>
  <c r="G406" i="1"/>
  <c r="G429" i="1"/>
  <c r="G430" i="1"/>
  <c r="G431" i="1"/>
  <c r="G424" i="1"/>
  <c r="G481" i="1"/>
  <c r="G482" i="1"/>
  <c r="G483" i="1"/>
  <c r="G480" i="1"/>
  <c r="G442" i="1"/>
  <c r="G443" i="1"/>
  <c r="G444" i="1"/>
  <c r="G445" i="1"/>
  <c r="G446" i="1"/>
  <c r="G447" i="1"/>
  <c r="G448" i="1"/>
  <c r="G449" i="1"/>
  <c r="G450" i="1"/>
  <c r="G451" i="1"/>
  <c r="G452" i="1"/>
  <c r="G435" i="1"/>
  <c r="G455" i="1"/>
  <c r="G461" i="1"/>
  <c r="G454" i="1"/>
  <c r="G468" i="1"/>
  <c r="G467" i="1"/>
  <c r="G474" i="1"/>
  <c r="G473" i="1"/>
  <c r="G404" i="1"/>
  <c r="G386" i="1"/>
  <c r="G387" i="1"/>
  <c r="G388" i="1"/>
  <c r="G389" i="1"/>
  <c r="G385" i="1"/>
  <c r="G391" i="1"/>
  <c r="G392" i="1"/>
  <c r="G393" i="1"/>
  <c r="G390" i="1"/>
  <c r="G395" i="1"/>
  <c r="G396" i="1"/>
  <c r="G397" i="1"/>
  <c r="G398" i="1"/>
  <c r="G394" i="1"/>
  <c r="G400" i="1"/>
  <c r="G401" i="1"/>
  <c r="G402" i="1"/>
  <c r="G403" i="1"/>
  <c r="G399" i="1"/>
  <c r="G384" i="1"/>
  <c r="G357" i="1"/>
  <c r="H409" i="1"/>
  <c r="H406" i="1"/>
  <c r="H474" i="1"/>
  <c r="H473" i="1"/>
  <c r="H429" i="1"/>
  <c r="H424" i="1"/>
  <c r="H442" i="1"/>
  <c r="H443" i="1"/>
  <c r="H444" i="1"/>
  <c r="H445" i="1"/>
  <c r="H446" i="1"/>
  <c r="H447" i="1"/>
  <c r="H448" i="1"/>
  <c r="H449" i="1"/>
  <c r="H450" i="1"/>
  <c r="H451" i="1"/>
  <c r="H452" i="1"/>
  <c r="H435" i="1"/>
  <c r="H455" i="1"/>
  <c r="H461" i="1"/>
  <c r="H454" i="1"/>
  <c r="H468" i="1"/>
  <c r="H467" i="1"/>
  <c r="H481" i="1"/>
  <c r="H482" i="1"/>
  <c r="H483" i="1"/>
  <c r="H480" i="1"/>
  <c r="H404" i="1"/>
  <c r="H386" i="1"/>
  <c r="H387" i="1"/>
  <c r="H388" i="1"/>
  <c r="H389" i="1"/>
  <c r="H385" i="1"/>
  <c r="H391" i="1"/>
  <c r="H392" i="1"/>
  <c r="H393" i="1"/>
  <c r="H390" i="1"/>
  <c r="H395" i="1"/>
  <c r="H396" i="1"/>
  <c r="H397" i="1"/>
  <c r="H398" i="1"/>
  <c r="H394" i="1"/>
  <c r="H400" i="1"/>
  <c r="H401" i="1"/>
  <c r="H402" i="1"/>
  <c r="H403" i="1"/>
  <c r="H399" i="1"/>
  <c r="H384" i="1"/>
  <c r="H357" i="1"/>
  <c r="C409" i="1"/>
  <c r="C406" i="1"/>
  <c r="C429" i="1"/>
  <c r="C430" i="1"/>
  <c r="C431" i="1"/>
  <c r="C424" i="1"/>
  <c r="C442" i="1"/>
  <c r="C443" i="1"/>
  <c r="C444" i="1"/>
  <c r="C445" i="1"/>
  <c r="C446" i="1"/>
  <c r="C447" i="1"/>
  <c r="C448" i="1"/>
  <c r="C449" i="1"/>
  <c r="C450" i="1"/>
  <c r="C451" i="1"/>
  <c r="C452" i="1"/>
  <c r="C435" i="1"/>
  <c r="C455" i="1"/>
  <c r="C461" i="1"/>
  <c r="C454" i="1"/>
  <c r="C468" i="1"/>
  <c r="C467" i="1"/>
  <c r="C474" i="1"/>
  <c r="C473" i="1"/>
  <c r="C481" i="1"/>
  <c r="C482" i="1"/>
  <c r="C483" i="1"/>
  <c r="C480" i="1"/>
  <c r="C404" i="1"/>
  <c r="C386" i="1"/>
  <c r="C387" i="1"/>
  <c r="C388" i="1"/>
  <c r="C389" i="1"/>
  <c r="C385" i="1"/>
  <c r="C391" i="1"/>
  <c r="C392" i="1"/>
  <c r="C393" i="1"/>
  <c r="C390" i="1"/>
  <c r="C395" i="1"/>
  <c r="C396" i="1"/>
  <c r="C397" i="1"/>
  <c r="C398" i="1"/>
  <c r="C394" i="1"/>
  <c r="C400" i="1"/>
  <c r="C401" i="1"/>
  <c r="C402" i="1"/>
  <c r="C403" i="1"/>
  <c r="C399" i="1"/>
  <c r="C384" i="1"/>
  <c r="C357" i="1"/>
  <c r="H554" i="2"/>
  <c r="H555" i="2"/>
  <c r="H556" i="2"/>
  <c r="H557" i="2"/>
  <c r="H558" i="2"/>
  <c r="H553" i="2"/>
  <c r="H561" i="2"/>
  <c r="H562" i="2"/>
  <c r="H563" i="2"/>
  <c r="H564" i="2"/>
  <c r="H560" i="2"/>
  <c r="H567" i="2"/>
  <c r="H568" i="2"/>
  <c r="H569" i="2"/>
  <c r="H570" i="2"/>
  <c r="H566" i="2"/>
  <c r="H573" i="2"/>
  <c r="H574" i="2"/>
  <c r="H575" i="2"/>
  <c r="H576" i="2"/>
  <c r="H572" i="2"/>
  <c r="H579" i="2"/>
  <c r="H580" i="2"/>
  <c r="H581" i="2"/>
  <c r="H578" i="2"/>
  <c r="H584" i="2"/>
  <c r="H585" i="2"/>
  <c r="H583" i="2"/>
  <c r="H592" i="2"/>
  <c r="H594" i="2"/>
  <c r="H596" i="2"/>
  <c r="H552" i="2"/>
  <c r="G554" i="2"/>
  <c r="G555" i="2"/>
  <c r="G556" i="2"/>
  <c r="G557" i="2"/>
  <c r="G558" i="2"/>
  <c r="G553" i="2"/>
  <c r="G561" i="2"/>
  <c r="G562" i="2"/>
  <c r="G563" i="2"/>
  <c r="G564" i="2"/>
  <c r="G560" i="2"/>
  <c r="G567" i="2"/>
  <c r="G568" i="2"/>
  <c r="G569" i="2"/>
  <c r="G570" i="2"/>
  <c r="G566" i="2"/>
  <c r="G573" i="2"/>
  <c r="G574" i="2"/>
  <c r="G575" i="2"/>
  <c r="G576" i="2"/>
  <c r="G572" i="2"/>
  <c r="G579" i="2"/>
  <c r="G580" i="2"/>
  <c r="G581" i="2"/>
  <c r="G578" i="2"/>
  <c r="G584" i="2"/>
  <c r="G585" i="2"/>
  <c r="G583" i="2"/>
  <c r="G592" i="2"/>
  <c r="G594" i="2"/>
  <c r="G596" i="2"/>
  <c r="G552" i="2"/>
  <c r="F554" i="2"/>
  <c r="F555" i="2"/>
  <c r="F556" i="2"/>
  <c r="F557" i="2"/>
  <c r="F558" i="2"/>
  <c r="F553" i="2"/>
  <c r="F561" i="2"/>
  <c r="F562" i="2"/>
  <c r="F563" i="2"/>
  <c r="F564" i="2"/>
  <c r="F560" i="2"/>
  <c r="F567" i="2"/>
  <c r="F568" i="2"/>
  <c r="F569" i="2"/>
  <c r="F570" i="2"/>
  <c r="F566" i="2"/>
  <c r="F573" i="2"/>
  <c r="F574" i="2"/>
  <c r="F575" i="2"/>
  <c r="F576" i="2"/>
  <c r="F572" i="2"/>
  <c r="F579" i="2"/>
  <c r="F580" i="2"/>
  <c r="F581" i="2"/>
  <c r="F578" i="2"/>
  <c r="F584" i="2"/>
  <c r="F585" i="2"/>
  <c r="F583" i="2"/>
  <c r="F592" i="2"/>
  <c r="F594" i="2"/>
  <c r="F596" i="2"/>
  <c r="F552" i="2"/>
  <c r="E554" i="2"/>
  <c r="E555" i="2"/>
  <c r="E556" i="2"/>
  <c r="E557" i="2"/>
  <c r="E558" i="2"/>
  <c r="E553" i="2"/>
  <c r="E561" i="2"/>
  <c r="E562" i="2"/>
  <c r="E563" i="2"/>
  <c r="E564" i="2"/>
  <c r="E560" i="2"/>
  <c r="E567" i="2"/>
  <c r="E568" i="2"/>
  <c r="E569" i="2"/>
  <c r="E570" i="2"/>
  <c r="E566" i="2"/>
  <c r="E573" i="2"/>
  <c r="E574" i="2"/>
  <c r="E575" i="2"/>
  <c r="E576" i="2"/>
  <c r="E572" i="2"/>
  <c r="E579" i="2"/>
  <c r="E580" i="2"/>
  <c r="E581" i="2"/>
  <c r="E578" i="2"/>
  <c r="E584" i="2"/>
  <c r="E585" i="2"/>
  <c r="E583" i="2"/>
  <c r="E596" i="2"/>
  <c r="E552" i="2"/>
  <c r="D554" i="2"/>
  <c r="D555" i="2"/>
  <c r="D556" i="2"/>
  <c r="D557" i="2"/>
  <c r="D558" i="2"/>
  <c r="D553" i="2"/>
  <c r="D561" i="2"/>
  <c r="D562" i="2"/>
  <c r="D563" i="2"/>
  <c r="D564" i="2"/>
  <c r="D560" i="2"/>
  <c r="D567" i="2"/>
  <c r="D568" i="2"/>
  <c r="D569" i="2"/>
  <c r="D570" i="2"/>
  <c r="D566" i="2"/>
  <c r="D573" i="2"/>
  <c r="D574" i="2"/>
  <c r="D575" i="2"/>
  <c r="D576" i="2"/>
  <c r="D572" i="2"/>
  <c r="D579" i="2"/>
  <c r="D580" i="2"/>
  <c r="D581" i="2"/>
  <c r="D578" i="2"/>
  <c r="D584" i="2"/>
  <c r="D585" i="2"/>
  <c r="D583" i="2"/>
  <c r="D592" i="2"/>
  <c r="D594" i="2"/>
  <c r="D596" i="2"/>
  <c r="D552" i="2"/>
  <c r="C554" i="2"/>
  <c r="C555" i="2"/>
  <c r="C556" i="2"/>
  <c r="C557" i="2"/>
  <c r="C558" i="2"/>
  <c r="C553" i="2"/>
  <c r="C561" i="2"/>
  <c r="C562" i="2"/>
  <c r="C563" i="2"/>
  <c r="C564" i="2"/>
  <c r="C560" i="2"/>
  <c r="C567" i="2"/>
  <c r="C568" i="2"/>
  <c r="C569" i="2"/>
  <c r="C570" i="2"/>
  <c r="C566" i="2"/>
  <c r="C573" i="2"/>
  <c r="C574" i="2"/>
  <c r="C575" i="2"/>
  <c r="C576" i="2"/>
  <c r="C572" i="2"/>
  <c r="C579" i="2"/>
  <c r="C580" i="2"/>
  <c r="C581" i="2"/>
  <c r="C578" i="2"/>
  <c r="C584" i="2"/>
  <c r="C585" i="2"/>
  <c r="C583" i="2"/>
  <c r="C592" i="2"/>
  <c r="C594" i="2"/>
  <c r="C596" i="2"/>
  <c r="C552" i="2"/>
  <c r="H691" i="1"/>
  <c r="G691" i="1"/>
  <c r="F691" i="1"/>
  <c r="E691" i="1"/>
  <c r="D691" i="1"/>
  <c r="H666" i="1"/>
  <c r="D642" i="1"/>
  <c r="H642" i="1"/>
  <c r="G642" i="1"/>
  <c r="F642" i="1"/>
  <c r="E642" i="1"/>
  <c r="H627" i="1"/>
  <c r="G627" i="1"/>
  <c r="F627" i="1"/>
  <c r="E627" i="1"/>
  <c r="D627" i="1"/>
  <c r="C627" i="1"/>
  <c r="C161" i="1"/>
  <c r="C66" i="2"/>
  <c r="H85" i="1"/>
  <c r="G85" i="1"/>
  <c r="F85" i="1"/>
  <c r="E85" i="1"/>
  <c r="D620" i="1"/>
  <c r="D621" i="1"/>
  <c r="D622" i="1"/>
  <c r="D623" i="1"/>
  <c r="D624" i="1"/>
  <c r="D625" i="1"/>
  <c r="D626" i="1"/>
  <c r="D619" i="1"/>
  <c r="D633" i="1"/>
  <c r="D635" i="1"/>
  <c r="D636" i="1"/>
  <c r="D634" i="1"/>
  <c r="D638" i="1"/>
  <c r="D639" i="1"/>
  <c r="D640" i="1"/>
  <c r="D641" i="1"/>
  <c r="D637" i="1"/>
  <c r="D646" i="1"/>
  <c r="D647" i="1"/>
  <c r="D648" i="1"/>
  <c r="D649" i="1"/>
  <c r="D650" i="1"/>
  <c r="D643" i="1"/>
  <c r="D654" i="1"/>
  <c r="D651" i="1"/>
  <c r="D658" i="1"/>
  <c r="D659" i="1"/>
  <c r="D660" i="1"/>
  <c r="D657" i="1"/>
  <c r="D662" i="1"/>
  <c r="D663" i="1"/>
  <c r="D664" i="1"/>
  <c r="D665" i="1"/>
  <c r="D666" i="1"/>
  <c r="D667" i="1"/>
  <c r="D661" i="1"/>
  <c r="D668" i="1"/>
  <c r="D618" i="1"/>
  <c r="E620" i="1"/>
  <c r="E621" i="1"/>
  <c r="E622" i="1"/>
  <c r="E623" i="1"/>
  <c r="E624" i="1"/>
  <c r="E625" i="1"/>
  <c r="E626" i="1"/>
  <c r="E619" i="1"/>
  <c r="E633" i="1"/>
  <c r="E635" i="1"/>
  <c r="E636" i="1"/>
  <c r="E634" i="1"/>
  <c r="E638" i="1"/>
  <c r="E639" i="1"/>
  <c r="E640" i="1"/>
  <c r="E641" i="1"/>
  <c r="E637" i="1"/>
  <c r="E646" i="1"/>
  <c r="E647" i="1"/>
  <c r="E648" i="1"/>
  <c r="E650" i="1"/>
  <c r="E643" i="1"/>
  <c r="E654" i="1"/>
  <c r="E651" i="1"/>
  <c r="E658" i="1"/>
  <c r="E659" i="1"/>
  <c r="E660" i="1"/>
  <c r="E657" i="1"/>
  <c r="E662" i="1"/>
  <c r="E663" i="1"/>
  <c r="E664" i="1"/>
  <c r="E665" i="1"/>
  <c r="E666" i="1"/>
  <c r="E667" i="1"/>
  <c r="E661" i="1"/>
  <c r="E668" i="1"/>
  <c r="E618" i="1"/>
  <c r="F620" i="1"/>
  <c r="F621" i="1"/>
  <c r="F622" i="1"/>
  <c r="F623" i="1"/>
  <c r="F624" i="1"/>
  <c r="F625" i="1"/>
  <c r="F626" i="1"/>
  <c r="F619" i="1"/>
  <c r="F633" i="1"/>
  <c r="F635" i="1"/>
  <c r="F636" i="1"/>
  <c r="F634" i="1"/>
  <c r="F638" i="1"/>
  <c r="F639" i="1"/>
  <c r="F640" i="1"/>
  <c r="F641" i="1"/>
  <c r="F637" i="1"/>
  <c r="F646" i="1"/>
  <c r="F647" i="1"/>
  <c r="F648" i="1"/>
  <c r="F649" i="1"/>
  <c r="F650" i="1"/>
  <c r="F643" i="1"/>
  <c r="F654" i="1"/>
  <c r="F651" i="1"/>
  <c r="F658" i="1"/>
  <c r="F659" i="1"/>
  <c r="F660" i="1"/>
  <c r="F657" i="1"/>
  <c r="F662" i="1"/>
  <c r="F663" i="1"/>
  <c r="F664" i="1"/>
  <c r="F665" i="1"/>
  <c r="F666" i="1"/>
  <c r="F667" i="1"/>
  <c r="F661" i="1"/>
  <c r="F668" i="1"/>
  <c r="F618" i="1"/>
  <c r="G620" i="1"/>
  <c r="G621" i="1"/>
  <c r="G622" i="1"/>
  <c r="G623" i="1"/>
  <c r="G624" i="1"/>
  <c r="G625" i="1"/>
  <c r="G626" i="1"/>
  <c r="G619" i="1"/>
  <c r="G633" i="1"/>
  <c r="G635" i="1"/>
  <c r="G636" i="1"/>
  <c r="G634" i="1"/>
  <c r="G638" i="1"/>
  <c r="G639" i="1"/>
  <c r="G640" i="1"/>
  <c r="G641" i="1"/>
  <c r="G637" i="1"/>
  <c r="G646" i="1"/>
  <c r="G647" i="1"/>
  <c r="G648" i="1"/>
  <c r="G649" i="1"/>
  <c r="G650" i="1"/>
  <c r="G643" i="1"/>
  <c r="G654" i="1"/>
  <c r="G651" i="1"/>
  <c r="G658" i="1"/>
  <c r="G659" i="1"/>
  <c r="G660" i="1"/>
  <c r="G657" i="1"/>
  <c r="G662" i="1"/>
  <c r="G663" i="1"/>
  <c r="G664" i="1"/>
  <c r="G665" i="1"/>
  <c r="G666" i="1"/>
  <c r="G667" i="1"/>
  <c r="G661" i="1"/>
  <c r="G668" i="1"/>
  <c r="G618" i="1"/>
  <c r="H620" i="1"/>
  <c r="H621" i="1"/>
  <c r="H622" i="1"/>
  <c r="H623" i="1"/>
  <c r="H625" i="1"/>
  <c r="H626" i="1"/>
  <c r="H619" i="1"/>
  <c r="H633" i="1"/>
  <c r="H635" i="1"/>
  <c r="H636" i="1"/>
  <c r="H634" i="1"/>
  <c r="H638" i="1"/>
  <c r="H639" i="1"/>
  <c r="H640" i="1"/>
  <c r="H641" i="1"/>
  <c r="H637" i="1"/>
  <c r="H646" i="1"/>
  <c r="H647" i="1"/>
  <c r="H648" i="1"/>
  <c r="H649" i="1"/>
  <c r="H650" i="1"/>
  <c r="H643" i="1"/>
  <c r="H654" i="1"/>
  <c r="H651" i="1"/>
  <c r="H658" i="1"/>
  <c r="H659" i="1"/>
  <c r="H660" i="1"/>
  <c r="H657" i="1"/>
  <c r="H662" i="1"/>
  <c r="H663" i="1"/>
  <c r="H664" i="1"/>
  <c r="H665" i="1"/>
  <c r="H667" i="1"/>
  <c r="H661" i="1"/>
  <c r="H668" i="1"/>
  <c r="H618" i="1"/>
  <c r="D615" i="1"/>
  <c r="D679" i="1"/>
  <c r="D682" i="1"/>
  <c r="D685" i="1"/>
  <c r="D676" i="1"/>
  <c r="D694" i="1"/>
  <c r="D675" i="1"/>
  <c r="D614" i="1"/>
  <c r="E615" i="1"/>
  <c r="E679" i="1"/>
  <c r="E682" i="1"/>
  <c r="E685" i="1"/>
  <c r="E676" i="1"/>
  <c r="E694" i="1"/>
  <c r="E675" i="1"/>
  <c r="E614" i="1"/>
  <c r="F615" i="1"/>
  <c r="F679" i="1"/>
  <c r="F682" i="1"/>
  <c r="F685" i="1"/>
  <c r="F676" i="1"/>
  <c r="F694" i="1"/>
  <c r="F675" i="1"/>
  <c r="F614" i="1"/>
  <c r="G615" i="1"/>
  <c r="G679" i="1"/>
  <c r="G682" i="1"/>
  <c r="G685" i="1"/>
  <c r="G676" i="1"/>
  <c r="G694" i="1"/>
  <c r="G675" i="1"/>
  <c r="G614" i="1"/>
  <c r="H615" i="1"/>
  <c r="H679" i="1"/>
  <c r="H682" i="1"/>
  <c r="H685" i="1"/>
  <c r="H676" i="1"/>
  <c r="H694" i="1"/>
  <c r="H675" i="1"/>
  <c r="H614" i="1"/>
  <c r="C619" i="1"/>
  <c r="C635" i="1"/>
  <c r="C634" i="1"/>
  <c r="C648" i="1"/>
  <c r="C649" i="1"/>
  <c r="C650" i="1"/>
  <c r="C654" i="1"/>
  <c r="C651" i="1"/>
  <c r="C657" i="1"/>
  <c r="C661" i="1"/>
  <c r="H611" i="1"/>
  <c r="G611" i="1"/>
  <c r="F611" i="1"/>
  <c r="E611" i="1"/>
  <c r="C611" i="1"/>
  <c r="D586" i="1"/>
  <c r="D591" i="1"/>
  <c r="D596" i="1"/>
  <c r="D601" i="1"/>
  <c r="D606" i="1"/>
  <c r="D585" i="1"/>
  <c r="E586" i="1"/>
  <c r="E591" i="1"/>
  <c r="E596" i="1"/>
  <c r="E601" i="1"/>
  <c r="E606" i="1"/>
  <c r="E585" i="1"/>
  <c r="F586" i="1"/>
  <c r="F591" i="1"/>
  <c r="F596" i="1"/>
  <c r="F601" i="1"/>
  <c r="F606" i="1"/>
  <c r="F585" i="1"/>
  <c r="G586" i="1"/>
  <c r="G591" i="1"/>
  <c r="G596" i="1"/>
  <c r="G601" i="1"/>
  <c r="G606" i="1"/>
  <c r="G585" i="1"/>
  <c r="H586" i="1"/>
  <c r="H591" i="1"/>
  <c r="H596" i="1"/>
  <c r="H601" i="1"/>
  <c r="H606" i="1"/>
  <c r="H585" i="1"/>
  <c r="C586" i="1"/>
  <c r="C591" i="1"/>
  <c r="C596" i="1"/>
  <c r="C601" i="1"/>
  <c r="C606" i="1"/>
  <c r="C585" i="1"/>
  <c r="D567" i="1"/>
  <c r="E567" i="1"/>
  <c r="F567" i="1"/>
  <c r="G567" i="1"/>
  <c r="H567" i="1"/>
  <c r="C567" i="1"/>
  <c r="C550" i="1"/>
  <c r="D550" i="1"/>
  <c r="D549" i="1"/>
  <c r="E550" i="1"/>
  <c r="E549" i="1"/>
  <c r="E494" i="1"/>
  <c r="E493" i="1"/>
  <c r="E507" i="1"/>
  <c r="E502" i="1"/>
  <c r="E516" i="1"/>
  <c r="E512" i="1"/>
  <c r="E518" i="1"/>
  <c r="E492" i="1"/>
  <c r="E535" i="1"/>
  <c r="E540" i="1"/>
  <c r="E530" i="1"/>
  <c r="E544" i="1"/>
  <c r="E545" i="1"/>
  <c r="E543" i="1"/>
  <c r="E529" i="1"/>
  <c r="E356" i="1"/>
  <c r="E6" i="1"/>
  <c r="E10" i="1"/>
  <c r="E14" i="1"/>
  <c r="E31" i="1"/>
  <c r="E32" i="1"/>
  <c r="E30" i="1"/>
  <c r="E5" i="1"/>
  <c r="E46" i="1"/>
  <c r="E33" i="1"/>
  <c r="E56" i="1"/>
  <c r="E63" i="1"/>
  <c r="E70" i="1"/>
  <c r="E76" i="1"/>
  <c r="E84" i="1"/>
  <c r="E80" i="1"/>
  <c r="E55" i="1"/>
  <c r="E87" i="1"/>
  <c r="E99" i="1"/>
  <c r="E103" i="1"/>
  <c r="E96" i="1"/>
  <c r="E107" i="1"/>
  <c r="E118" i="1"/>
  <c r="E122" i="1"/>
  <c r="E127" i="1"/>
  <c r="E131" i="1"/>
  <c r="E117" i="1"/>
  <c r="E136" i="1"/>
  <c r="E141" i="1"/>
  <c r="E135" i="1"/>
  <c r="E95" i="1"/>
  <c r="E54" i="1"/>
  <c r="E150" i="1"/>
  <c r="E151" i="1"/>
  <c r="E149" i="1"/>
  <c r="E153" i="1"/>
  <c r="E154" i="1"/>
  <c r="E152" i="1"/>
  <c r="E148" i="1"/>
  <c r="E161" i="1"/>
  <c r="E162" i="1"/>
  <c r="E163" i="1"/>
  <c r="E160" i="1"/>
  <c r="E165" i="1"/>
  <c r="E169" i="1"/>
  <c r="E176" i="1"/>
  <c r="E164" i="1"/>
  <c r="E191" i="1"/>
  <c r="E201" i="1"/>
  <c r="E210" i="1"/>
  <c r="E230" i="1"/>
  <c r="E237" i="1"/>
  <c r="E241" i="1"/>
  <c r="E244" i="1"/>
  <c r="E199" i="1"/>
  <c r="E253" i="1"/>
  <c r="E257" i="1"/>
  <c r="E267" i="1"/>
  <c r="E270" i="1"/>
  <c r="E271" i="1"/>
  <c r="E251" i="1"/>
  <c r="E190" i="1"/>
  <c r="E274" i="1"/>
  <c r="E275" i="1"/>
  <c r="E273" i="1"/>
  <c r="E276" i="1"/>
  <c r="E291" i="1"/>
  <c r="E272" i="1"/>
  <c r="E299" i="1"/>
  <c r="E313" i="1"/>
  <c r="E325" i="1"/>
  <c r="E329" i="1"/>
  <c r="E331" i="1"/>
  <c r="E349" i="1"/>
  <c r="E312" i="1"/>
  <c r="E298" i="1"/>
  <c r="E4" i="1"/>
  <c r="E3" i="1"/>
  <c r="F550" i="1"/>
  <c r="F549" i="1"/>
  <c r="G550" i="1"/>
  <c r="G549" i="1"/>
  <c r="H550" i="1"/>
  <c r="H549" i="1"/>
  <c r="C549" i="1"/>
  <c r="D544" i="1"/>
  <c r="D545" i="1"/>
  <c r="D543" i="1"/>
  <c r="F544" i="1"/>
  <c r="F545" i="1"/>
  <c r="F543" i="1"/>
  <c r="G544" i="1"/>
  <c r="G545" i="1"/>
  <c r="G543" i="1"/>
  <c r="H544" i="1"/>
  <c r="H545" i="1"/>
  <c r="H543" i="1"/>
  <c r="C544" i="1"/>
  <c r="C545" i="1"/>
  <c r="C543" i="1"/>
  <c r="D540" i="1"/>
  <c r="F540" i="1"/>
  <c r="G540" i="1"/>
  <c r="H540" i="1"/>
  <c r="C540" i="1"/>
  <c r="D535" i="1"/>
  <c r="D530" i="1"/>
  <c r="F535" i="1"/>
  <c r="F530" i="1"/>
  <c r="G535" i="1"/>
  <c r="G530" i="1"/>
  <c r="H535" i="1"/>
  <c r="H530" i="1"/>
  <c r="C535" i="1"/>
  <c r="C530" i="1"/>
  <c r="F516" i="1"/>
  <c r="C516" i="1"/>
  <c r="D516" i="1"/>
  <c r="D512" i="1"/>
  <c r="F512" i="1"/>
  <c r="G512" i="1"/>
  <c r="H512" i="1"/>
  <c r="C512" i="1"/>
  <c r="D507" i="1"/>
  <c r="D502" i="1"/>
  <c r="F507" i="1"/>
  <c r="F502" i="1"/>
  <c r="G507" i="1"/>
  <c r="G502" i="1"/>
  <c r="H507" i="1"/>
  <c r="H502" i="1"/>
  <c r="C507" i="1"/>
  <c r="C502" i="1"/>
  <c r="D494" i="1"/>
  <c r="D493" i="1"/>
  <c r="F494" i="1"/>
  <c r="F493" i="1"/>
  <c r="G494" i="1"/>
  <c r="G493" i="1"/>
  <c r="H494" i="1"/>
  <c r="H493" i="1"/>
  <c r="C494" i="1"/>
  <c r="C493" i="1"/>
  <c r="C615" i="1"/>
  <c r="C679" i="1"/>
  <c r="C682" i="1"/>
  <c r="C685" i="1"/>
  <c r="C676" i="1"/>
  <c r="C694" i="1"/>
  <c r="C675" i="1"/>
  <c r="G86" i="1"/>
  <c r="F86" i="1"/>
  <c r="D86" i="1"/>
  <c r="D32" i="1"/>
  <c r="C32" i="1"/>
  <c r="H84" i="1"/>
  <c r="G84" i="1"/>
  <c r="F84" i="1"/>
  <c r="D84" i="1"/>
  <c r="C84" i="1"/>
  <c r="H270" i="1"/>
  <c r="G270" i="1"/>
  <c r="F270" i="1"/>
  <c r="D270" i="1"/>
  <c r="H271" i="1"/>
  <c r="G271" i="1"/>
  <c r="F271" i="1"/>
  <c r="D271" i="1"/>
  <c r="C271" i="1"/>
  <c r="H275" i="1"/>
  <c r="G275" i="1"/>
  <c r="F275" i="1"/>
  <c r="D275" i="1"/>
  <c r="C275" i="1"/>
  <c r="H32" i="1"/>
  <c r="G32" i="1"/>
  <c r="F32" i="1"/>
  <c r="H31" i="1"/>
  <c r="G31" i="1"/>
  <c r="F31" i="1"/>
  <c r="D31" i="1"/>
  <c r="C31" i="1"/>
  <c r="D103" i="1"/>
  <c r="H529" i="1"/>
  <c r="H518" i="1"/>
  <c r="G518" i="1"/>
  <c r="F518" i="1"/>
  <c r="D518" i="1"/>
  <c r="C518" i="1"/>
  <c r="H492" i="1"/>
  <c r="G492" i="1"/>
  <c r="F492" i="1"/>
  <c r="D492" i="1"/>
  <c r="C492" i="1"/>
  <c r="G529" i="1"/>
  <c r="F529" i="1"/>
  <c r="D529" i="1"/>
  <c r="C529" i="1"/>
  <c r="K413" i="1"/>
  <c r="D163" i="1"/>
  <c r="F163" i="1"/>
  <c r="G163" i="1"/>
  <c r="H163" i="1"/>
  <c r="C163" i="1"/>
  <c r="D162" i="1"/>
  <c r="D161" i="1"/>
  <c r="D160" i="1"/>
  <c r="F162" i="1"/>
  <c r="G162" i="1"/>
  <c r="H162" i="1"/>
  <c r="C162" i="1"/>
  <c r="F161" i="1"/>
  <c r="F160" i="1"/>
  <c r="G161" i="1"/>
  <c r="H161" i="1"/>
  <c r="D154" i="1"/>
  <c r="F154" i="1"/>
  <c r="G154" i="1"/>
  <c r="H154" i="1"/>
  <c r="C154" i="1"/>
  <c r="D153" i="1"/>
  <c r="F153" i="1"/>
  <c r="G153" i="1"/>
  <c r="H153" i="1"/>
  <c r="C153" i="1"/>
  <c r="C151" i="1"/>
  <c r="D151" i="1"/>
  <c r="F151" i="1"/>
  <c r="G151" i="1"/>
  <c r="H151" i="1"/>
  <c r="H150" i="1"/>
  <c r="D150" i="1"/>
  <c r="F150" i="1"/>
  <c r="G150" i="1"/>
  <c r="C150" i="1"/>
  <c r="F30" i="1"/>
  <c r="D274" i="1"/>
  <c r="D273" i="1"/>
  <c r="F274" i="1"/>
  <c r="F273" i="1"/>
  <c r="G274" i="1"/>
  <c r="H274" i="1"/>
  <c r="H273" i="1"/>
  <c r="C274" i="1"/>
  <c r="D76" i="1"/>
  <c r="F76" i="1"/>
  <c r="G76" i="1"/>
  <c r="H76" i="1"/>
  <c r="C76" i="1"/>
  <c r="H80" i="1"/>
  <c r="F80" i="1"/>
  <c r="D80" i="1"/>
  <c r="C80" i="1"/>
  <c r="D56" i="1"/>
  <c r="F56" i="1"/>
  <c r="G56" i="1"/>
  <c r="H56" i="1"/>
  <c r="C56" i="1"/>
  <c r="D349" i="1"/>
  <c r="F349" i="1"/>
  <c r="G349" i="1"/>
  <c r="H349" i="1"/>
  <c r="C349" i="1"/>
  <c r="D331" i="1"/>
  <c r="F331" i="1"/>
  <c r="G331" i="1"/>
  <c r="H331" i="1"/>
  <c r="C331" i="1"/>
  <c r="D313" i="1"/>
  <c r="F313" i="1"/>
  <c r="G313" i="1"/>
  <c r="H313" i="1"/>
  <c r="C313" i="1"/>
  <c r="D299" i="1"/>
  <c r="F299" i="1"/>
  <c r="G299" i="1"/>
  <c r="H299" i="1"/>
  <c r="C299" i="1"/>
  <c r="D291" i="1"/>
  <c r="F291" i="1"/>
  <c r="G291" i="1"/>
  <c r="H291" i="1"/>
  <c r="C291" i="1"/>
  <c r="D276" i="1"/>
  <c r="F276" i="1"/>
  <c r="G276" i="1"/>
  <c r="H276" i="1"/>
  <c r="C276" i="1"/>
  <c r="D191" i="1"/>
  <c r="F191" i="1"/>
  <c r="G191" i="1"/>
  <c r="H191" i="1"/>
  <c r="C191" i="1"/>
  <c r="D107" i="1"/>
  <c r="F107" i="1"/>
  <c r="G107" i="1"/>
  <c r="H107" i="1"/>
  <c r="C107" i="1"/>
  <c r="C99" i="1"/>
  <c r="F87" i="1"/>
  <c r="D70" i="1"/>
  <c r="F70" i="1"/>
  <c r="G70" i="1"/>
  <c r="H70" i="1"/>
  <c r="C70" i="1"/>
  <c r="D63" i="1"/>
  <c r="F63" i="1"/>
  <c r="G63" i="1"/>
  <c r="H63" i="1"/>
  <c r="C63" i="1"/>
  <c r="D14" i="1"/>
  <c r="F14" i="1"/>
  <c r="G14" i="1"/>
  <c r="H14" i="1"/>
  <c r="C14" i="1"/>
  <c r="D6" i="1"/>
  <c r="D10" i="1"/>
  <c r="D46" i="1"/>
  <c r="F6" i="1"/>
  <c r="F10" i="1"/>
  <c r="F46" i="1"/>
  <c r="G6" i="1"/>
  <c r="G10" i="1"/>
  <c r="G46" i="1"/>
  <c r="H6" i="1"/>
  <c r="H10" i="1"/>
  <c r="H46" i="1"/>
  <c r="C6" i="1"/>
  <c r="C10" i="1"/>
  <c r="C46" i="1"/>
  <c r="H136" i="1"/>
  <c r="G136" i="1"/>
  <c r="F136" i="1"/>
  <c r="F141" i="1"/>
  <c r="F135" i="1"/>
  <c r="D136" i="1"/>
  <c r="C136" i="1"/>
  <c r="H141" i="1"/>
  <c r="G141" i="1"/>
  <c r="D141" i="1"/>
  <c r="C141" i="1"/>
  <c r="H118" i="1"/>
  <c r="G118" i="1"/>
  <c r="F118" i="1"/>
  <c r="D118" i="1"/>
  <c r="C118" i="1"/>
  <c r="H131" i="1"/>
  <c r="G131" i="1"/>
  <c r="F131" i="1"/>
  <c r="D131" i="1"/>
  <c r="C131" i="1"/>
  <c r="C127" i="1"/>
  <c r="H127" i="1"/>
  <c r="G127" i="1"/>
  <c r="F127" i="1"/>
  <c r="D127" i="1"/>
  <c r="C122" i="1"/>
  <c r="H122" i="1"/>
  <c r="G122" i="1"/>
  <c r="F122" i="1"/>
  <c r="D122" i="1"/>
  <c r="H99" i="1"/>
  <c r="G99" i="1"/>
  <c r="F99" i="1"/>
  <c r="D99" i="1"/>
  <c r="D96" i="1"/>
  <c r="H103" i="1"/>
  <c r="G103" i="1"/>
  <c r="F103" i="1"/>
  <c r="C103" i="1"/>
  <c r="H253" i="1"/>
  <c r="G253" i="1"/>
  <c r="F253" i="1"/>
  <c r="D253" i="1"/>
  <c r="C253" i="1"/>
  <c r="H267" i="1"/>
  <c r="G267" i="1"/>
  <c r="F267" i="1"/>
  <c r="D267" i="1"/>
  <c r="C267" i="1"/>
  <c r="H257" i="1"/>
  <c r="G257" i="1"/>
  <c r="F257" i="1"/>
  <c r="D257" i="1"/>
  <c r="C257" i="1"/>
  <c r="H201" i="1"/>
  <c r="G201" i="1"/>
  <c r="F201" i="1"/>
  <c r="D201" i="1"/>
  <c r="C201" i="1"/>
  <c r="H244" i="1"/>
  <c r="G244" i="1"/>
  <c r="F244" i="1"/>
  <c r="D244" i="1"/>
  <c r="C244" i="1"/>
  <c r="C241" i="1"/>
  <c r="H241" i="1"/>
  <c r="G241" i="1"/>
  <c r="F241" i="1"/>
  <c r="D241" i="1"/>
  <c r="C152" i="2"/>
  <c r="H237" i="1"/>
  <c r="G237" i="1"/>
  <c r="F237" i="1"/>
  <c r="D237" i="1"/>
  <c r="C237" i="1"/>
  <c r="C147" i="2"/>
  <c r="H230" i="1"/>
  <c r="G230" i="1"/>
  <c r="F230" i="1"/>
  <c r="D230" i="1"/>
  <c r="C230" i="1"/>
  <c r="H210" i="1"/>
  <c r="G210" i="1"/>
  <c r="F210" i="1"/>
  <c r="D210" i="1"/>
  <c r="C210" i="1"/>
  <c r="C699" i="1"/>
  <c r="H699" i="1"/>
  <c r="G699" i="1"/>
  <c r="F699" i="1"/>
  <c r="E699" i="1"/>
  <c r="D699" i="1"/>
  <c r="C329" i="1"/>
  <c r="H329" i="1"/>
  <c r="G329" i="1"/>
  <c r="F329" i="1"/>
  <c r="D329" i="1"/>
  <c r="H325" i="1"/>
  <c r="G325" i="1"/>
  <c r="F325" i="1"/>
  <c r="D325" i="1"/>
  <c r="C325" i="1"/>
  <c r="H165" i="1"/>
  <c r="G165" i="1"/>
  <c r="F165" i="1"/>
  <c r="D165" i="1"/>
  <c r="C165" i="1"/>
  <c r="H176" i="1"/>
  <c r="G176" i="1"/>
  <c r="F176" i="1"/>
  <c r="D176" i="1"/>
  <c r="C169" i="1"/>
  <c r="H169" i="1"/>
  <c r="G169" i="1"/>
  <c r="F169" i="1"/>
  <c r="D169" i="1"/>
  <c r="C73" i="2"/>
  <c r="C7" i="2"/>
  <c r="C14" i="2"/>
  <c r="C21" i="2"/>
  <c r="C53" i="2"/>
  <c r="C55" i="2"/>
  <c r="C52" i="2"/>
  <c r="H1013" i="4"/>
  <c r="G1013" i="4"/>
  <c r="F1013" i="4"/>
  <c r="E1013" i="4"/>
  <c r="D1013" i="4"/>
  <c r="C1013" i="4"/>
  <c r="H1004" i="4"/>
  <c r="G1004" i="4"/>
  <c r="F1004" i="4"/>
  <c r="E1004" i="4"/>
  <c r="D1004" i="4"/>
  <c r="C1004" i="4"/>
  <c r="H995" i="4"/>
  <c r="G995" i="4"/>
  <c r="F995" i="4"/>
  <c r="E995" i="4"/>
  <c r="D995" i="4"/>
  <c r="C995" i="4"/>
  <c r="H981" i="4"/>
  <c r="G981" i="4"/>
  <c r="F981" i="4"/>
  <c r="E981" i="4"/>
  <c r="D981" i="4"/>
  <c r="C981" i="4"/>
  <c r="H977" i="4"/>
  <c r="G977" i="4"/>
  <c r="F977" i="4"/>
  <c r="E977" i="4"/>
  <c r="E973" i="4"/>
  <c r="E968" i="4"/>
  <c r="E967" i="4"/>
  <c r="D977" i="4"/>
  <c r="D973" i="4"/>
  <c r="D968" i="4"/>
  <c r="C977" i="4"/>
  <c r="H973" i="4"/>
  <c r="G973" i="4"/>
  <c r="F973" i="4"/>
  <c r="C973" i="4"/>
  <c r="C968" i="4"/>
  <c r="P965" i="4"/>
  <c r="P963" i="4"/>
  <c r="P961" i="4"/>
  <c r="H961" i="4"/>
  <c r="E961" i="4"/>
  <c r="D961" i="4"/>
  <c r="P959" i="4"/>
  <c r="C959" i="4"/>
  <c r="P957" i="4"/>
  <c r="E957" i="4"/>
  <c r="P955" i="4"/>
  <c r="E955" i="4"/>
  <c r="P953" i="4"/>
  <c r="P951" i="4"/>
  <c r="F951" i="4"/>
  <c r="P947" i="4"/>
  <c r="D947" i="4"/>
  <c r="P945" i="4"/>
  <c r="P943" i="4"/>
  <c r="C943" i="4"/>
  <c r="F943" i="4"/>
  <c r="P941" i="4"/>
  <c r="E941" i="4"/>
  <c r="H882" i="4"/>
  <c r="G882" i="4"/>
  <c r="F882" i="4"/>
  <c r="E882" i="4"/>
  <c r="D882" i="4"/>
  <c r="C882" i="4"/>
  <c r="H878" i="4"/>
  <c r="G878" i="4"/>
  <c r="F878" i="4"/>
  <c r="E878" i="4"/>
  <c r="D878" i="4"/>
  <c r="C878" i="4"/>
  <c r="H872" i="4"/>
  <c r="G872" i="4"/>
  <c r="F872" i="4"/>
  <c r="E872" i="4"/>
  <c r="D872" i="4"/>
  <c r="C872" i="4"/>
  <c r="H866" i="4"/>
  <c r="G866" i="4"/>
  <c r="F866" i="4"/>
  <c r="E866" i="4"/>
  <c r="D866" i="4"/>
  <c r="C866" i="4"/>
  <c r="H860" i="4"/>
  <c r="G860" i="4"/>
  <c r="F860" i="4"/>
  <c r="E860" i="4"/>
  <c r="D860" i="4"/>
  <c r="C860" i="4"/>
  <c r="H854" i="4"/>
  <c r="G854" i="4"/>
  <c r="F854" i="4"/>
  <c r="E854" i="4"/>
  <c r="E848" i="4"/>
  <c r="D854" i="4"/>
  <c r="C854" i="4"/>
  <c r="H848" i="4"/>
  <c r="G848" i="4"/>
  <c r="F848" i="4"/>
  <c r="D848" i="4"/>
  <c r="C848" i="4"/>
  <c r="H845" i="4"/>
  <c r="G845" i="4"/>
  <c r="F845" i="4"/>
  <c r="E845" i="4"/>
  <c r="D845" i="4"/>
  <c r="C845" i="4"/>
  <c r="C843" i="4"/>
  <c r="H843" i="4"/>
  <c r="G843" i="4"/>
  <c r="F843" i="4"/>
  <c r="F842" i="4"/>
  <c r="E843" i="4"/>
  <c r="E842" i="4"/>
  <c r="D843" i="4"/>
  <c r="D842" i="4"/>
  <c r="H837" i="4"/>
  <c r="G837" i="4"/>
  <c r="F837" i="4"/>
  <c r="F832" i="4"/>
  <c r="E837" i="4"/>
  <c r="E833" i="4"/>
  <c r="D837" i="4"/>
  <c r="C837" i="4"/>
  <c r="C833" i="4"/>
  <c r="C832" i="4"/>
  <c r="C806" i="4"/>
  <c r="C803" i="4"/>
  <c r="C800" i="4"/>
  <c r="C815" i="4"/>
  <c r="H833" i="4"/>
  <c r="G833" i="4"/>
  <c r="D833" i="4"/>
  <c r="D832" i="4"/>
  <c r="H815" i="4"/>
  <c r="G815" i="4"/>
  <c r="F815" i="4"/>
  <c r="E815" i="4"/>
  <c r="D815" i="4"/>
  <c r="H806" i="4"/>
  <c r="H803" i="4"/>
  <c r="H800" i="4"/>
  <c r="G806" i="4"/>
  <c r="G803" i="4"/>
  <c r="G800" i="4"/>
  <c r="F806" i="4"/>
  <c r="F803" i="4"/>
  <c r="F800" i="4"/>
  <c r="E806" i="4"/>
  <c r="E803" i="4"/>
  <c r="E800" i="4"/>
  <c r="D806" i="4"/>
  <c r="D803" i="4"/>
  <c r="D800" i="4"/>
  <c r="N801" i="4"/>
  <c r="H778" i="4"/>
  <c r="G778" i="4"/>
  <c r="F778" i="4"/>
  <c r="E778" i="4"/>
  <c r="D778" i="4"/>
  <c r="C778" i="4"/>
  <c r="H776" i="4"/>
  <c r="H769" i="4"/>
  <c r="F776" i="4"/>
  <c r="F769" i="4"/>
  <c r="F742" i="4"/>
  <c r="F741" i="4"/>
  <c r="F761" i="4"/>
  <c r="F754" i="4"/>
  <c r="D776" i="4"/>
  <c r="D769" i="4"/>
  <c r="C776" i="4"/>
  <c r="C769" i="4"/>
  <c r="G769" i="4"/>
  <c r="E769" i="4"/>
  <c r="H761" i="4"/>
  <c r="H754" i="4"/>
  <c r="G761" i="4"/>
  <c r="G754" i="4"/>
  <c r="E761" i="4"/>
  <c r="E754" i="4"/>
  <c r="E742" i="4"/>
  <c r="E741" i="4"/>
  <c r="E740" i="4"/>
  <c r="D761" i="4"/>
  <c r="D754" i="4"/>
  <c r="C761" i="4"/>
  <c r="C754" i="4"/>
  <c r="H742" i="4"/>
  <c r="H741" i="4"/>
  <c r="H740" i="4"/>
  <c r="G742" i="4"/>
  <c r="G741" i="4"/>
  <c r="D742" i="4"/>
  <c r="D741" i="4"/>
  <c r="C742" i="4"/>
  <c r="C741" i="4"/>
  <c r="H738" i="4"/>
  <c r="G738" i="4"/>
  <c r="F738" i="4"/>
  <c r="E738" i="4"/>
  <c r="D738" i="4"/>
  <c r="C738" i="4"/>
  <c r="H726" i="4"/>
  <c r="G726" i="4"/>
  <c r="F726" i="4"/>
  <c r="E726" i="4"/>
  <c r="D726" i="4"/>
  <c r="C726" i="4"/>
  <c r="D722" i="4"/>
  <c r="G720" i="4"/>
  <c r="G717" i="4"/>
  <c r="D720" i="4"/>
  <c r="C720" i="4"/>
  <c r="C717" i="4"/>
  <c r="H717" i="4"/>
  <c r="F717" i="4"/>
  <c r="E717" i="4"/>
  <c r="H710" i="4"/>
  <c r="G710" i="4"/>
  <c r="F710" i="4"/>
  <c r="E710" i="4"/>
  <c r="D710" i="4"/>
  <c r="C710" i="4"/>
  <c r="H702" i="4"/>
  <c r="H701" i="4"/>
  <c r="G702" i="4"/>
  <c r="G701" i="4"/>
  <c r="F702" i="4"/>
  <c r="F701" i="4"/>
  <c r="E702" i="4"/>
  <c r="E701" i="4"/>
  <c r="D702" i="4"/>
  <c r="D701" i="4"/>
  <c r="C702" i="4"/>
  <c r="C701" i="4"/>
  <c r="H681" i="4"/>
  <c r="H680" i="4"/>
  <c r="G681" i="4"/>
  <c r="G680" i="4"/>
  <c r="F681" i="4"/>
  <c r="F680" i="4"/>
  <c r="E681" i="4"/>
  <c r="E680" i="4"/>
  <c r="D681" i="4"/>
  <c r="D680" i="4"/>
  <c r="C681" i="4"/>
  <c r="C680" i="4"/>
  <c r="H661" i="4"/>
  <c r="G661" i="4"/>
  <c r="F661" i="4"/>
  <c r="E661" i="4"/>
  <c r="D661" i="4"/>
  <c r="C661" i="4"/>
  <c r="H651" i="4"/>
  <c r="H646" i="4"/>
  <c r="G651" i="4"/>
  <c r="G646" i="4"/>
  <c r="F651" i="4"/>
  <c r="F646" i="4"/>
  <c r="E651" i="4"/>
  <c r="E646" i="4"/>
  <c r="D651" i="4"/>
  <c r="D646" i="4"/>
  <c r="C651" i="4"/>
  <c r="C646" i="4"/>
  <c r="H640" i="4"/>
  <c r="H627" i="4"/>
  <c r="G640" i="4"/>
  <c r="G627" i="4"/>
  <c r="F640" i="4"/>
  <c r="F627" i="4"/>
  <c r="E640" i="4"/>
  <c r="E627" i="4"/>
  <c r="D640" i="4"/>
  <c r="D627" i="4"/>
  <c r="C640" i="4"/>
  <c r="C627" i="4"/>
  <c r="H624" i="4"/>
  <c r="G624" i="4"/>
  <c r="F624" i="4"/>
  <c r="E624" i="4"/>
  <c r="D624" i="4"/>
  <c r="C624" i="4"/>
  <c r="H623" i="4"/>
  <c r="G623" i="4"/>
  <c r="F623" i="4"/>
  <c r="E623" i="4"/>
  <c r="D623" i="4"/>
  <c r="C623" i="4"/>
  <c r="H622" i="4"/>
  <c r="G622" i="4"/>
  <c r="F622" i="4"/>
  <c r="E622" i="4"/>
  <c r="D622" i="4"/>
  <c r="C622" i="4"/>
  <c r="H621" i="4"/>
  <c r="G621" i="4"/>
  <c r="F621" i="4"/>
  <c r="E621" i="4"/>
  <c r="D621" i="4"/>
  <c r="C621" i="4"/>
  <c r="H620" i="4"/>
  <c r="G620" i="4"/>
  <c r="F620" i="4"/>
  <c r="E620" i="4"/>
  <c r="D620" i="4"/>
  <c r="C620" i="4"/>
  <c r="H617" i="4"/>
  <c r="G617" i="4"/>
  <c r="F617" i="4"/>
  <c r="E617" i="4"/>
  <c r="D617" i="4"/>
  <c r="C617" i="4"/>
  <c r="H616" i="4"/>
  <c r="G616" i="4"/>
  <c r="G614" i="4"/>
  <c r="G615" i="4"/>
  <c r="F616" i="4"/>
  <c r="E616" i="4"/>
  <c r="D616" i="4"/>
  <c r="C616" i="4"/>
  <c r="H615" i="4"/>
  <c r="F615" i="4"/>
  <c r="E615" i="4"/>
  <c r="E614" i="4"/>
  <c r="D615" i="4"/>
  <c r="C615" i="4"/>
  <c r="H614" i="4"/>
  <c r="F614" i="4"/>
  <c r="D614" i="4"/>
  <c r="C614" i="4"/>
  <c r="H611" i="4"/>
  <c r="G611" i="4"/>
  <c r="F611" i="4"/>
  <c r="E611" i="4"/>
  <c r="D611" i="4"/>
  <c r="C611" i="4"/>
  <c r="H610" i="4"/>
  <c r="G610" i="4"/>
  <c r="F610" i="4"/>
  <c r="E610" i="4"/>
  <c r="E609" i="4"/>
  <c r="E608" i="4"/>
  <c r="D610" i="4"/>
  <c r="C610" i="4"/>
  <c r="H609" i="4"/>
  <c r="G609" i="4"/>
  <c r="G608" i="4"/>
  <c r="F609" i="4"/>
  <c r="D609" i="4"/>
  <c r="C609" i="4"/>
  <c r="H606" i="4"/>
  <c r="G606" i="4"/>
  <c r="F606" i="4"/>
  <c r="E606" i="4"/>
  <c r="D606" i="4"/>
  <c r="C606" i="4"/>
  <c r="H605" i="4"/>
  <c r="G605" i="4"/>
  <c r="F605" i="4"/>
  <c r="F603" i="4"/>
  <c r="F604" i="4"/>
  <c r="F602" i="4"/>
  <c r="E605" i="4"/>
  <c r="D605" i="4"/>
  <c r="C605" i="4"/>
  <c r="H604" i="4"/>
  <c r="G604" i="4"/>
  <c r="E604" i="4"/>
  <c r="D604" i="4"/>
  <c r="C604" i="4"/>
  <c r="C603" i="4"/>
  <c r="H603" i="4"/>
  <c r="G603" i="4"/>
  <c r="E603" i="4"/>
  <c r="D603" i="4"/>
  <c r="H599" i="4"/>
  <c r="G599" i="4"/>
  <c r="F599" i="4"/>
  <c r="E599" i="4"/>
  <c r="D599" i="4"/>
  <c r="C599" i="4"/>
  <c r="H597" i="4"/>
  <c r="G597" i="4"/>
  <c r="F597" i="4"/>
  <c r="D597" i="4"/>
  <c r="D557" i="4"/>
  <c r="D558" i="4"/>
  <c r="D559" i="4"/>
  <c r="D560" i="4"/>
  <c r="D561" i="4"/>
  <c r="D556" i="4"/>
  <c r="D564" i="4"/>
  <c r="D565" i="4"/>
  <c r="D566" i="4"/>
  <c r="D567" i="4"/>
  <c r="D570" i="4"/>
  <c r="D571" i="4"/>
  <c r="D572" i="4"/>
  <c r="D573" i="4"/>
  <c r="D576" i="4"/>
  <c r="D577" i="4"/>
  <c r="D578" i="4"/>
  <c r="D579" i="4"/>
  <c r="D575" i="4"/>
  <c r="D582" i="4"/>
  <c r="D584" i="4"/>
  <c r="D587" i="4"/>
  <c r="D588" i="4"/>
  <c r="D589" i="4"/>
  <c r="D592" i="4"/>
  <c r="D593" i="4"/>
  <c r="D591" i="4"/>
  <c r="D595" i="4"/>
  <c r="C597" i="4"/>
  <c r="H595" i="4"/>
  <c r="G595" i="4"/>
  <c r="F595" i="4"/>
  <c r="F557" i="4"/>
  <c r="F558" i="4"/>
  <c r="F559" i="4"/>
  <c r="F560" i="4"/>
  <c r="F561" i="4"/>
  <c r="F556" i="4"/>
  <c r="F564" i="4"/>
  <c r="F565" i="4"/>
  <c r="F566" i="4"/>
  <c r="F567" i="4"/>
  <c r="F563" i="4"/>
  <c r="F570" i="4"/>
  <c r="F571" i="4"/>
  <c r="F572" i="4"/>
  <c r="F573" i="4"/>
  <c r="F576" i="4"/>
  <c r="F577" i="4"/>
  <c r="F578" i="4"/>
  <c r="F579" i="4"/>
  <c r="F575" i="4"/>
  <c r="F582" i="4"/>
  <c r="F584" i="4"/>
  <c r="F587" i="4"/>
  <c r="F588" i="4"/>
  <c r="F589" i="4"/>
  <c r="F586" i="4"/>
  <c r="F592" i="4"/>
  <c r="F593" i="4"/>
  <c r="C595" i="4"/>
  <c r="H593" i="4"/>
  <c r="G593" i="4"/>
  <c r="E593" i="4"/>
  <c r="C593" i="4"/>
  <c r="H592" i="4"/>
  <c r="H591" i="4"/>
  <c r="G592" i="4"/>
  <c r="E592" i="4"/>
  <c r="E591" i="4"/>
  <c r="C592" i="4"/>
  <c r="C591" i="4"/>
  <c r="H589" i="4"/>
  <c r="G589" i="4"/>
  <c r="E589" i="4"/>
  <c r="C589" i="4"/>
  <c r="H588" i="4"/>
  <c r="G588" i="4"/>
  <c r="E588" i="4"/>
  <c r="C588" i="4"/>
  <c r="C587" i="4"/>
  <c r="H587" i="4"/>
  <c r="G587" i="4"/>
  <c r="G586" i="4"/>
  <c r="E587" i="4"/>
  <c r="H584" i="4"/>
  <c r="G584" i="4"/>
  <c r="E584" i="4"/>
  <c r="C584" i="4"/>
  <c r="C582" i="4"/>
  <c r="C581" i="4"/>
  <c r="H582" i="4"/>
  <c r="H581" i="4"/>
  <c r="G582" i="4"/>
  <c r="G581" i="4"/>
  <c r="E582" i="4"/>
  <c r="E581" i="4"/>
  <c r="H579" i="4"/>
  <c r="G579" i="4"/>
  <c r="E579" i="4"/>
  <c r="C579" i="4"/>
  <c r="H578" i="4"/>
  <c r="G578" i="4"/>
  <c r="E578" i="4"/>
  <c r="C578" i="4"/>
  <c r="H577" i="4"/>
  <c r="G577" i="4"/>
  <c r="E577" i="4"/>
  <c r="C577" i="4"/>
  <c r="H576" i="4"/>
  <c r="H575" i="4"/>
  <c r="G576" i="4"/>
  <c r="E576" i="4"/>
  <c r="C576" i="4"/>
  <c r="C575" i="4"/>
  <c r="H573" i="4"/>
  <c r="G573" i="4"/>
  <c r="E573" i="4"/>
  <c r="C573" i="4"/>
  <c r="H572" i="4"/>
  <c r="G572" i="4"/>
  <c r="E572" i="4"/>
  <c r="C572" i="4"/>
  <c r="H571" i="4"/>
  <c r="G571" i="4"/>
  <c r="E571" i="4"/>
  <c r="E570" i="4"/>
  <c r="C571" i="4"/>
  <c r="H570" i="4"/>
  <c r="G570" i="4"/>
  <c r="C570" i="4"/>
  <c r="H567" i="4"/>
  <c r="G567" i="4"/>
  <c r="E567" i="4"/>
  <c r="C567" i="4"/>
  <c r="H566" i="4"/>
  <c r="G566" i="4"/>
  <c r="E566" i="4"/>
  <c r="C566" i="4"/>
  <c r="H565" i="4"/>
  <c r="G565" i="4"/>
  <c r="E565" i="4"/>
  <c r="C565" i="4"/>
  <c r="C564" i="4"/>
  <c r="C563" i="4"/>
  <c r="H564" i="4"/>
  <c r="G564" i="4"/>
  <c r="E564" i="4"/>
  <c r="E557" i="4"/>
  <c r="E558" i="4"/>
  <c r="E559" i="4"/>
  <c r="E560" i="4"/>
  <c r="E561" i="4"/>
  <c r="H561" i="4"/>
  <c r="G561" i="4"/>
  <c r="C561" i="4"/>
  <c r="H560" i="4"/>
  <c r="G560" i="4"/>
  <c r="C560" i="4"/>
  <c r="H559" i="4"/>
  <c r="G559" i="4"/>
  <c r="C559" i="4"/>
  <c r="H558" i="4"/>
  <c r="G558" i="4"/>
  <c r="C558" i="4"/>
  <c r="H557" i="4"/>
  <c r="G557" i="4"/>
  <c r="C557" i="4"/>
  <c r="H542" i="4"/>
  <c r="G542" i="4"/>
  <c r="G535" i="4"/>
  <c r="G534" i="4"/>
  <c r="F542" i="4"/>
  <c r="E542" i="4"/>
  <c r="D542" i="4"/>
  <c r="D535" i="4"/>
  <c r="C542" i="4"/>
  <c r="H535" i="4"/>
  <c r="F535" i="4"/>
  <c r="E535" i="4"/>
  <c r="E534" i="4"/>
  <c r="C535" i="4"/>
  <c r="H529" i="4"/>
  <c r="G529" i="4"/>
  <c r="F529" i="4"/>
  <c r="E529" i="4"/>
  <c r="D529" i="4"/>
  <c r="C529" i="4"/>
  <c r="H524" i="4"/>
  <c r="G524" i="4"/>
  <c r="F524" i="4"/>
  <c r="E524" i="4"/>
  <c r="D524" i="4"/>
  <c r="D512" i="4"/>
  <c r="D517" i="4"/>
  <c r="D511" i="4"/>
  <c r="C524" i="4"/>
  <c r="C512" i="4"/>
  <c r="C517" i="4"/>
  <c r="H517" i="4"/>
  <c r="G517" i="4"/>
  <c r="F517" i="4"/>
  <c r="F512" i="4"/>
  <c r="E517" i="4"/>
  <c r="H512" i="4"/>
  <c r="G512" i="4"/>
  <c r="E512" i="4"/>
  <c r="H490" i="4"/>
  <c r="G490" i="4"/>
  <c r="F490" i="4"/>
  <c r="E490" i="4"/>
  <c r="D490" i="4"/>
  <c r="C490" i="4"/>
  <c r="H485" i="4"/>
  <c r="G485" i="4"/>
  <c r="F485" i="4"/>
  <c r="F480" i="4"/>
  <c r="E485" i="4"/>
  <c r="D485" i="4"/>
  <c r="C485" i="4"/>
  <c r="C480" i="4"/>
  <c r="C475" i="4"/>
  <c r="H480" i="4"/>
  <c r="G480" i="4"/>
  <c r="E480" i="4"/>
  <c r="E475" i="4"/>
  <c r="D480" i="4"/>
  <c r="D475" i="4"/>
  <c r="H468" i="4"/>
  <c r="H463" i="4"/>
  <c r="G468" i="4"/>
  <c r="G463" i="4"/>
  <c r="F468" i="4"/>
  <c r="F463" i="4"/>
  <c r="E468" i="4"/>
  <c r="E463" i="4"/>
  <c r="D468" i="4"/>
  <c r="D463" i="4"/>
  <c r="C468" i="4"/>
  <c r="C463" i="4"/>
  <c r="H459" i="4"/>
  <c r="H450" i="4"/>
  <c r="G459" i="4"/>
  <c r="G457" i="4"/>
  <c r="F459" i="4"/>
  <c r="F450" i="4"/>
  <c r="E459" i="4"/>
  <c r="E450" i="4"/>
  <c r="D459" i="4"/>
  <c r="C459" i="4"/>
  <c r="C457" i="4"/>
  <c r="C450" i="4"/>
  <c r="D457" i="4"/>
  <c r="D450" i="4"/>
  <c r="H448" i="4"/>
  <c r="G448" i="4"/>
  <c r="F448" i="4"/>
  <c r="E448" i="4"/>
  <c r="H443" i="4"/>
  <c r="G443" i="4"/>
  <c r="F443" i="4"/>
  <c r="E443" i="4"/>
  <c r="E400" i="4"/>
  <c r="E415" i="4"/>
  <c r="E432" i="4"/>
  <c r="D443" i="4"/>
  <c r="C443" i="4"/>
  <c r="H432" i="4"/>
  <c r="G432" i="4"/>
  <c r="F432" i="4"/>
  <c r="D432" i="4"/>
  <c r="C432" i="4"/>
  <c r="H415" i="4"/>
  <c r="G415" i="4"/>
  <c r="F415" i="4"/>
  <c r="F400" i="4"/>
  <c r="D415" i="4"/>
  <c r="C415" i="4"/>
  <c r="H400" i="4"/>
  <c r="G400" i="4"/>
  <c r="D400" i="4"/>
  <c r="C400" i="4"/>
  <c r="H385" i="4"/>
  <c r="G385" i="4"/>
  <c r="F385" i="4"/>
  <c r="E385" i="4"/>
  <c r="D385" i="4"/>
  <c r="C385" i="4"/>
  <c r="H356" i="4"/>
  <c r="G356" i="4"/>
  <c r="F356" i="4"/>
  <c r="E356" i="4"/>
  <c r="D356" i="4"/>
  <c r="C356" i="4"/>
  <c r="H354" i="4"/>
  <c r="G354" i="4"/>
  <c r="F354" i="4"/>
  <c r="F352" i="4"/>
  <c r="E354" i="4"/>
  <c r="D354" i="4"/>
  <c r="D352" i="4"/>
  <c r="D351" i="4"/>
  <c r="D350" i="4"/>
  <c r="C354" i="4"/>
  <c r="H352" i="4"/>
  <c r="G352" i="4"/>
  <c r="G351" i="4"/>
  <c r="E352" i="4"/>
  <c r="E351" i="4"/>
  <c r="C352" i="4"/>
  <c r="H339" i="4"/>
  <c r="G339" i="4"/>
  <c r="F339" i="4"/>
  <c r="E339" i="4"/>
  <c r="D339" i="4"/>
  <c r="C339" i="4"/>
  <c r="H304" i="4"/>
  <c r="G304" i="4"/>
  <c r="F304" i="4"/>
  <c r="E304" i="4"/>
  <c r="D304" i="4"/>
  <c r="C304" i="4"/>
  <c r="H299" i="4"/>
  <c r="G299" i="4"/>
  <c r="F299" i="4"/>
  <c r="E299" i="4"/>
  <c r="D299" i="4"/>
  <c r="C299" i="4"/>
  <c r="C269" i="4"/>
  <c r="C292" i="4"/>
  <c r="C268" i="4"/>
  <c r="C243" i="4"/>
  <c r="C242" i="4"/>
  <c r="H292" i="4"/>
  <c r="G292" i="4"/>
  <c r="F292" i="4"/>
  <c r="F269" i="4"/>
  <c r="E292" i="4"/>
  <c r="D292" i="4"/>
  <c r="D269" i="4"/>
  <c r="D243" i="4"/>
  <c r="H269" i="4"/>
  <c r="G269" i="4"/>
  <c r="E269" i="4"/>
  <c r="H243" i="4"/>
  <c r="G243" i="4"/>
  <c r="F243" i="4"/>
  <c r="E243" i="4"/>
  <c r="H229" i="4"/>
  <c r="G229" i="4"/>
  <c r="F229" i="4"/>
  <c r="E229" i="4"/>
  <c r="D229" i="4"/>
  <c r="C229" i="4"/>
  <c r="H218" i="4"/>
  <c r="G218" i="4"/>
  <c r="F218" i="4"/>
  <c r="E218" i="4"/>
  <c r="E198" i="4"/>
  <c r="E205" i="4"/>
  <c r="E197" i="4"/>
  <c r="D218" i="4"/>
  <c r="C218" i="4"/>
  <c r="H205" i="4"/>
  <c r="H198" i="4"/>
  <c r="G205" i="4"/>
  <c r="F205" i="4"/>
  <c r="D205" i="4"/>
  <c r="D198" i="4"/>
  <c r="D197" i="4"/>
  <c r="C205" i="4"/>
  <c r="G198" i="4"/>
  <c r="F198" i="4"/>
  <c r="F197" i="4"/>
  <c r="C198" i="4"/>
  <c r="H193" i="4"/>
  <c r="G193" i="4"/>
  <c r="F193" i="4"/>
  <c r="E193" i="4"/>
  <c r="D193" i="4"/>
  <c r="C193" i="4"/>
  <c r="H191" i="4"/>
  <c r="G191" i="4"/>
  <c r="F191" i="4"/>
  <c r="E191" i="4"/>
  <c r="D191" i="4"/>
  <c r="C191" i="4"/>
  <c r="C169" i="4"/>
  <c r="C175" i="4"/>
  <c r="C187" i="4"/>
  <c r="H187" i="4"/>
  <c r="G187" i="4"/>
  <c r="F187" i="4"/>
  <c r="E187" i="4"/>
  <c r="D187" i="4"/>
  <c r="H175" i="4"/>
  <c r="G175" i="4"/>
  <c r="G169" i="4"/>
  <c r="F175" i="4"/>
  <c r="F169" i="4"/>
  <c r="E175" i="4"/>
  <c r="E169" i="4"/>
  <c r="D175" i="4"/>
  <c r="H169" i="4"/>
  <c r="D169" i="4"/>
  <c r="H157" i="4"/>
  <c r="G157" i="4"/>
  <c r="F157" i="4"/>
  <c r="E157" i="4"/>
  <c r="D157" i="4"/>
  <c r="C157" i="4"/>
  <c r="H153" i="4"/>
  <c r="G153" i="4"/>
  <c r="F153" i="4"/>
  <c r="E153" i="4"/>
  <c r="D153" i="4"/>
  <c r="C153" i="4"/>
  <c r="H148" i="4"/>
  <c r="G148" i="4"/>
  <c r="F148" i="4"/>
  <c r="E148" i="4"/>
  <c r="D148" i="4"/>
  <c r="C148" i="4"/>
  <c r="H140" i="4"/>
  <c r="G140" i="4"/>
  <c r="G107" i="4"/>
  <c r="G118" i="4"/>
  <c r="G104" i="4"/>
  <c r="F140" i="4"/>
  <c r="E140" i="4"/>
  <c r="E107" i="4"/>
  <c r="E118" i="4"/>
  <c r="D140" i="4"/>
  <c r="C140" i="4"/>
  <c r="H118" i="4"/>
  <c r="H107" i="4"/>
  <c r="F118" i="4"/>
  <c r="D118" i="4"/>
  <c r="C118" i="4"/>
  <c r="F107" i="4"/>
  <c r="F89" i="4"/>
  <c r="D107" i="4"/>
  <c r="D104" i="4"/>
  <c r="C107" i="4"/>
  <c r="C89" i="4"/>
  <c r="D89" i="4"/>
  <c r="H89" i="4"/>
  <c r="G89" i="4"/>
  <c r="E89" i="4"/>
  <c r="H79" i="4"/>
  <c r="G79" i="4"/>
  <c r="F79" i="4"/>
  <c r="E79" i="4"/>
  <c r="D79" i="4"/>
  <c r="C79" i="4"/>
  <c r="H77" i="4"/>
  <c r="H74" i="4"/>
  <c r="H75" i="4"/>
  <c r="H76" i="4"/>
  <c r="G77" i="4"/>
  <c r="F77" i="4"/>
  <c r="E77" i="4"/>
  <c r="D77" i="4"/>
  <c r="C77" i="4"/>
  <c r="G76" i="4"/>
  <c r="F76" i="4"/>
  <c r="F74" i="4"/>
  <c r="F75" i="4"/>
  <c r="F73" i="4"/>
  <c r="F72" i="4"/>
  <c r="E76" i="4"/>
  <c r="D76" i="4"/>
  <c r="C76" i="4"/>
  <c r="G75" i="4"/>
  <c r="E75" i="4"/>
  <c r="D75" i="4"/>
  <c r="C75" i="4"/>
  <c r="P74" i="4"/>
  <c r="Q74" i="4"/>
  <c r="G74" i="4"/>
  <c r="E74" i="4"/>
  <c r="D74" i="4"/>
  <c r="D73" i="4"/>
  <c r="D72" i="4"/>
  <c r="C74" i="4"/>
  <c r="H69" i="4"/>
  <c r="G69" i="4"/>
  <c r="F69" i="4"/>
  <c r="E69" i="4"/>
  <c r="D69" i="4"/>
  <c r="C69" i="4"/>
  <c r="H67" i="4"/>
  <c r="G67" i="4"/>
  <c r="F67" i="4"/>
  <c r="F65" i="4"/>
  <c r="F64" i="4"/>
  <c r="E67" i="4"/>
  <c r="E65" i="4"/>
  <c r="E64" i="4"/>
  <c r="D67" i="4"/>
  <c r="C67" i="4"/>
  <c r="H65" i="4"/>
  <c r="G65" i="4"/>
  <c r="G64" i="4"/>
  <c r="D65" i="4"/>
  <c r="C65" i="4"/>
  <c r="H62" i="4"/>
  <c r="H60" i="4"/>
  <c r="H59" i="4"/>
  <c r="G62" i="4"/>
  <c r="G60" i="4"/>
  <c r="F62" i="4"/>
  <c r="E62" i="4"/>
  <c r="D62" i="4"/>
  <c r="D60" i="4"/>
  <c r="C62" i="4"/>
  <c r="C60" i="4"/>
  <c r="F60" i="4"/>
  <c r="E60" i="4"/>
  <c r="H56" i="4"/>
  <c r="H53" i="4"/>
  <c r="G56" i="4"/>
  <c r="G53" i="4"/>
  <c r="E56" i="4"/>
  <c r="E53" i="4"/>
  <c r="D56" i="4"/>
  <c r="D53" i="4"/>
  <c r="C56" i="4"/>
  <c r="C53" i="4"/>
  <c r="F53" i="4"/>
  <c r="E8" i="4"/>
  <c r="E15" i="4"/>
  <c r="E22" i="4"/>
  <c r="H22" i="4"/>
  <c r="G22" i="4"/>
  <c r="F22" i="4"/>
  <c r="F8" i="4"/>
  <c r="F15" i="4"/>
  <c r="F7" i="4"/>
  <c r="D22" i="4"/>
  <c r="C22" i="4"/>
  <c r="H15" i="4"/>
  <c r="G15" i="4"/>
  <c r="D15" i="4"/>
  <c r="C15" i="4"/>
  <c r="H8" i="4"/>
  <c r="G8" i="4"/>
  <c r="D8" i="4"/>
  <c r="C8" i="4"/>
  <c r="H3" i="4"/>
  <c r="G3" i="4"/>
  <c r="F3" i="4"/>
  <c r="E3" i="4"/>
  <c r="D3" i="4"/>
  <c r="C3" i="4"/>
  <c r="H1000" i="3"/>
  <c r="G1000" i="3"/>
  <c r="F1000" i="3"/>
  <c r="E1000" i="3"/>
  <c r="D1000" i="3"/>
  <c r="C1000" i="3"/>
  <c r="H991" i="3"/>
  <c r="G991" i="3"/>
  <c r="F991" i="3"/>
  <c r="E991" i="3"/>
  <c r="D991" i="3"/>
  <c r="C991" i="3"/>
  <c r="H982" i="3"/>
  <c r="G982" i="3"/>
  <c r="F982" i="3"/>
  <c r="E982" i="3"/>
  <c r="D982" i="3"/>
  <c r="C982" i="3"/>
  <c r="H976" i="3"/>
  <c r="F976" i="3"/>
  <c r="E976" i="3"/>
  <c r="D976" i="3"/>
  <c r="C976" i="3"/>
  <c r="H968" i="3"/>
  <c r="G968" i="3"/>
  <c r="G960" i="3"/>
  <c r="G964" i="3"/>
  <c r="F968" i="3"/>
  <c r="E968" i="3"/>
  <c r="D968" i="3"/>
  <c r="D960" i="3"/>
  <c r="D964" i="3"/>
  <c r="D955" i="3"/>
  <c r="D954" i="3"/>
  <c r="C968" i="3"/>
  <c r="H964" i="3"/>
  <c r="F964" i="3"/>
  <c r="E964" i="3"/>
  <c r="E960" i="3"/>
  <c r="E955" i="3"/>
  <c r="E954" i="3"/>
  <c r="C964" i="3"/>
  <c r="H960" i="3"/>
  <c r="F960" i="3"/>
  <c r="F955" i="3"/>
  <c r="F954" i="3"/>
  <c r="C960" i="3"/>
  <c r="P952" i="3"/>
  <c r="G952" i="3"/>
  <c r="P950" i="3"/>
  <c r="E950" i="3"/>
  <c r="P948" i="3"/>
  <c r="P946" i="3"/>
  <c r="P944" i="3"/>
  <c r="D944" i="3"/>
  <c r="E944" i="3"/>
  <c r="P942" i="3"/>
  <c r="P940" i="3"/>
  <c r="P938" i="3"/>
  <c r="G938" i="3"/>
  <c r="E938" i="3"/>
  <c r="P935" i="3"/>
  <c r="D935" i="3"/>
  <c r="P933" i="3"/>
  <c r="P931" i="3"/>
  <c r="G931" i="3"/>
  <c r="P929" i="3"/>
  <c r="E929" i="3"/>
  <c r="H882" i="3"/>
  <c r="G882" i="3"/>
  <c r="F882" i="3"/>
  <c r="E882" i="3"/>
  <c r="D882" i="3"/>
  <c r="C882" i="3"/>
  <c r="H878" i="3"/>
  <c r="G878" i="3"/>
  <c r="F878" i="3"/>
  <c r="E878" i="3"/>
  <c r="D878" i="3"/>
  <c r="C878" i="3"/>
  <c r="H872" i="3"/>
  <c r="G872" i="3"/>
  <c r="F872" i="3"/>
  <c r="E872" i="3"/>
  <c r="D872" i="3"/>
  <c r="C872" i="3"/>
  <c r="H866" i="3"/>
  <c r="G866" i="3"/>
  <c r="F866" i="3"/>
  <c r="E866" i="3"/>
  <c r="D866" i="3"/>
  <c r="C866" i="3"/>
  <c r="H860" i="3"/>
  <c r="G860" i="3"/>
  <c r="F860" i="3"/>
  <c r="E860" i="3"/>
  <c r="D860" i="3"/>
  <c r="C860" i="3"/>
  <c r="H854" i="3"/>
  <c r="H848" i="3"/>
  <c r="H847" i="3"/>
  <c r="G854" i="3"/>
  <c r="F854" i="3"/>
  <c r="E854" i="3"/>
  <c r="E848" i="3"/>
  <c r="D854" i="3"/>
  <c r="C854" i="3"/>
  <c r="G848" i="3"/>
  <c r="F848" i="3"/>
  <c r="D848" i="3"/>
  <c r="C848" i="3"/>
  <c r="H843" i="3"/>
  <c r="H841" i="3"/>
  <c r="H840" i="3"/>
  <c r="G843" i="3"/>
  <c r="F843" i="3"/>
  <c r="E843" i="3"/>
  <c r="D843" i="3"/>
  <c r="C843" i="3"/>
  <c r="G841" i="3"/>
  <c r="F841" i="3"/>
  <c r="F840" i="3"/>
  <c r="F804" i="3"/>
  <c r="F801" i="3"/>
  <c r="F798" i="3"/>
  <c r="F813" i="3"/>
  <c r="F831" i="3"/>
  <c r="F835" i="3"/>
  <c r="F830" i="3"/>
  <c r="F797" i="3"/>
  <c r="E841" i="3"/>
  <c r="D841" i="3"/>
  <c r="C841" i="3"/>
  <c r="H835" i="3"/>
  <c r="G835" i="3"/>
  <c r="E835" i="3"/>
  <c r="D835" i="3"/>
  <c r="C835" i="3"/>
  <c r="H831" i="3"/>
  <c r="G831" i="3"/>
  <c r="E831" i="3"/>
  <c r="D831" i="3"/>
  <c r="C831" i="3"/>
  <c r="C830" i="3"/>
  <c r="H813" i="3"/>
  <c r="G813" i="3"/>
  <c r="E813" i="3"/>
  <c r="D813" i="3"/>
  <c r="C813" i="3"/>
  <c r="C804" i="3"/>
  <c r="C801" i="3"/>
  <c r="C798" i="3"/>
  <c r="H804" i="3"/>
  <c r="H801" i="3"/>
  <c r="H798" i="3"/>
  <c r="G804" i="3"/>
  <c r="G801" i="3"/>
  <c r="G798" i="3"/>
  <c r="E804" i="3"/>
  <c r="E801" i="3"/>
  <c r="E798" i="3"/>
  <c r="D804" i="3"/>
  <c r="D801" i="3"/>
  <c r="D798" i="3"/>
  <c r="H776" i="3"/>
  <c r="G776" i="3"/>
  <c r="F776" i="3"/>
  <c r="E776" i="3"/>
  <c r="D776" i="3"/>
  <c r="C776" i="3"/>
  <c r="H774" i="3"/>
  <c r="H767" i="3"/>
  <c r="H740" i="3"/>
  <c r="H739" i="3"/>
  <c r="H759" i="3"/>
  <c r="H752" i="3"/>
  <c r="F774" i="3"/>
  <c r="F767" i="3"/>
  <c r="F740" i="3"/>
  <c r="F739" i="3"/>
  <c r="F759" i="3"/>
  <c r="F752" i="3"/>
  <c r="D774" i="3"/>
  <c r="D767" i="3"/>
  <c r="C774" i="3"/>
  <c r="C767" i="3"/>
  <c r="G767" i="3"/>
  <c r="E767" i="3"/>
  <c r="G759" i="3"/>
  <c r="G752" i="3"/>
  <c r="E759" i="3"/>
  <c r="E752" i="3"/>
  <c r="D759" i="3"/>
  <c r="D752" i="3"/>
  <c r="C759" i="3"/>
  <c r="C752" i="3"/>
  <c r="G740" i="3"/>
  <c r="G739" i="3"/>
  <c r="E740" i="3"/>
  <c r="E739" i="3"/>
  <c r="D740" i="3"/>
  <c r="C740" i="3"/>
  <c r="C739" i="3"/>
  <c r="D739" i="3"/>
  <c r="H725" i="3"/>
  <c r="G725" i="3"/>
  <c r="F725" i="3"/>
  <c r="E725" i="3"/>
  <c r="E639" i="3"/>
  <c r="E626" i="3"/>
  <c r="E650" i="3"/>
  <c r="E645" i="3"/>
  <c r="E660" i="3"/>
  <c r="E680" i="3"/>
  <c r="E690" i="3"/>
  <c r="E701" i="3"/>
  <c r="E700" i="3"/>
  <c r="E709" i="3"/>
  <c r="E716" i="3"/>
  <c r="E556" i="3"/>
  <c r="E557" i="3"/>
  <c r="E558" i="3"/>
  <c r="E559" i="3"/>
  <c r="E560" i="3"/>
  <c r="E563" i="3"/>
  <c r="E564" i="3"/>
  <c r="E565" i="3"/>
  <c r="E566" i="3"/>
  <c r="E569" i="3"/>
  <c r="E570" i="3"/>
  <c r="E571" i="3"/>
  <c r="E572" i="3"/>
  <c r="E568" i="3"/>
  <c r="E575" i="3"/>
  <c r="E576" i="3"/>
  <c r="E577" i="3"/>
  <c r="E578" i="3"/>
  <c r="E574" i="3"/>
  <c r="E581" i="3"/>
  <c r="E582" i="3"/>
  <c r="E583" i="3"/>
  <c r="E580" i="3"/>
  <c r="E586" i="3"/>
  <c r="E587" i="3"/>
  <c r="E585" i="3"/>
  <c r="E591" i="3"/>
  <c r="E592" i="3"/>
  <c r="E590" i="3"/>
  <c r="E598" i="3"/>
  <c r="E602" i="3"/>
  <c r="E603" i="3"/>
  <c r="E604" i="3"/>
  <c r="E605" i="3"/>
  <c r="E601" i="3"/>
  <c r="E608" i="3"/>
  <c r="E609" i="3"/>
  <c r="E610" i="3"/>
  <c r="E613" i="3"/>
  <c r="E614" i="3"/>
  <c r="E615" i="3"/>
  <c r="E616" i="3"/>
  <c r="E612" i="3"/>
  <c r="E619" i="3"/>
  <c r="E620" i="3"/>
  <c r="E621" i="3"/>
  <c r="E622" i="3"/>
  <c r="E623" i="3"/>
  <c r="E618" i="3"/>
  <c r="D725" i="3"/>
  <c r="C725" i="3"/>
  <c r="G719" i="3"/>
  <c r="G716" i="3"/>
  <c r="D719" i="3"/>
  <c r="D716" i="3"/>
  <c r="C719" i="3"/>
  <c r="H716" i="3"/>
  <c r="F716" i="3"/>
  <c r="C716" i="3"/>
  <c r="H709" i="3"/>
  <c r="G709" i="3"/>
  <c r="F709" i="3"/>
  <c r="D709" i="3"/>
  <c r="C709" i="3"/>
  <c r="H701" i="3"/>
  <c r="H700" i="3"/>
  <c r="G701" i="3"/>
  <c r="G700" i="3"/>
  <c r="F701" i="3"/>
  <c r="F700" i="3"/>
  <c r="D701" i="3"/>
  <c r="D700" i="3"/>
  <c r="C701" i="3"/>
  <c r="C700" i="3"/>
  <c r="H690" i="3"/>
  <c r="H680" i="3"/>
  <c r="H679" i="3"/>
  <c r="G690" i="3"/>
  <c r="F690" i="3"/>
  <c r="D690" i="3"/>
  <c r="C690" i="3"/>
  <c r="C680" i="3"/>
  <c r="G680" i="3"/>
  <c r="F680" i="3"/>
  <c r="D680" i="3"/>
  <c r="H660" i="3"/>
  <c r="G660" i="3"/>
  <c r="F660" i="3"/>
  <c r="D660" i="3"/>
  <c r="C660" i="3"/>
  <c r="H650" i="3"/>
  <c r="H645" i="3"/>
  <c r="G650" i="3"/>
  <c r="G645" i="3"/>
  <c r="F650" i="3"/>
  <c r="F645" i="3"/>
  <c r="D650" i="3"/>
  <c r="C650" i="3"/>
  <c r="C645" i="3"/>
  <c r="D645" i="3"/>
  <c r="H639" i="3"/>
  <c r="H626" i="3"/>
  <c r="G639" i="3"/>
  <c r="G626" i="3"/>
  <c r="F639" i="3"/>
  <c r="F626" i="3"/>
  <c r="D639" i="3"/>
  <c r="D626" i="3"/>
  <c r="C639" i="3"/>
  <c r="C626" i="3"/>
  <c r="H623" i="3"/>
  <c r="G623" i="3"/>
  <c r="F623" i="3"/>
  <c r="D623" i="3"/>
  <c r="C623" i="3"/>
  <c r="H622" i="3"/>
  <c r="H619" i="3"/>
  <c r="H620" i="3"/>
  <c r="H621" i="3"/>
  <c r="H618" i="3"/>
  <c r="G622" i="3"/>
  <c r="F622" i="3"/>
  <c r="D622" i="3"/>
  <c r="C622" i="3"/>
  <c r="G621" i="3"/>
  <c r="F621" i="3"/>
  <c r="D621" i="3"/>
  <c r="C621" i="3"/>
  <c r="G620" i="3"/>
  <c r="F620" i="3"/>
  <c r="D620" i="3"/>
  <c r="C620" i="3"/>
  <c r="G619" i="3"/>
  <c r="F619" i="3"/>
  <c r="D619" i="3"/>
  <c r="C619" i="3"/>
  <c r="H616" i="3"/>
  <c r="G616" i="3"/>
  <c r="F616" i="3"/>
  <c r="D616" i="3"/>
  <c r="C616" i="3"/>
  <c r="H615" i="3"/>
  <c r="G615" i="3"/>
  <c r="F615" i="3"/>
  <c r="D615" i="3"/>
  <c r="D613" i="3"/>
  <c r="D614" i="3"/>
  <c r="D612" i="3"/>
  <c r="C615" i="3"/>
  <c r="H614" i="3"/>
  <c r="G614" i="3"/>
  <c r="F614" i="3"/>
  <c r="C614" i="3"/>
  <c r="H613" i="3"/>
  <c r="G613" i="3"/>
  <c r="F613" i="3"/>
  <c r="C613" i="3"/>
  <c r="C612" i="3"/>
  <c r="H610" i="3"/>
  <c r="G610" i="3"/>
  <c r="F610" i="3"/>
  <c r="D610" i="3"/>
  <c r="C610" i="3"/>
  <c r="H609" i="3"/>
  <c r="G609" i="3"/>
  <c r="F609" i="3"/>
  <c r="F608" i="3"/>
  <c r="F607" i="3"/>
  <c r="D609" i="3"/>
  <c r="C609" i="3"/>
  <c r="C608" i="3"/>
  <c r="H608" i="3"/>
  <c r="H607" i="3"/>
  <c r="G608" i="3"/>
  <c r="D608" i="3"/>
  <c r="H605" i="3"/>
  <c r="G605" i="3"/>
  <c r="F605" i="3"/>
  <c r="D605" i="3"/>
  <c r="C605" i="3"/>
  <c r="H604" i="3"/>
  <c r="G604" i="3"/>
  <c r="F604" i="3"/>
  <c r="D604" i="3"/>
  <c r="D602" i="3"/>
  <c r="D603" i="3"/>
  <c r="D601" i="3"/>
  <c r="C604" i="3"/>
  <c r="H603" i="3"/>
  <c r="G603" i="3"/>
  <c r="F603" i="3"/>
  <c r="F602" i="3"/>
  <c r="F601" i="3"/>
  <c r="C603" i="3"/>
  <c r="H602" i="3"/>
  <c r="G602" i="3"/>
  <c r="C602" i="3"/>
  <c r="H598" i="3"/>
  <c r="G598" i="3"/>
  <c r="F598" i="3"/>
  <c r="D598" i="3"/>
  <c r="C598" i="3"/>
  <c r="H596" i="3"/>
  <c r="G596" i="3"/>
  <c r="F596" i="3"/>
  <c r="D596" i="3"/>
  <c r="C596" i="3"/>
  <c r="C556" i="3"/>
  <c r="C557" i="3"/>
  <c r="C558" i="3"/>
  <c r="C559" i="3"/>
  <c r="C560" i="3"/>
  <c r="C555" i="3"/>
  <c r="C563" i="3"/>
  <c r="C564" i="3"/>
  <c r="C565" i="3"/>
  <c r="C566" i="3"/>
  <c r="C569" i="3"/>
  <c r="C570" i="3"/>
  <c r="C571" i="3"/>
  <c r="C572" i="3"/>
  <c r="C575" i="3"/>
  <c r="C576" i="3"/>
  <c r="C577" i="3"/>
  <c r="C578" i="3"/>
  <c r="C581" i="3"/>
  <c r="C582" i="3"/>
  <c r="C583" i="3"/>
  <c r="C586" i="3"/>
  <c r="C587" i="3"/>
  <c r="C591" i="3"/>
  <c r="C592" i="3"/>
  <c r="C594" i="3"/>
  <c r="H594" i="3"/>
  <c r="G594" i="3"/>
  <c r="F594" i="3"/>
  <c r="D594" i="3"/>
  <c r="H592" i="3"/>
  <c r="G592" i="3"/>
  <c r="G591" i="3"/>
  <c r="G590" i="3"/>
  <c r="F592" i="3"/>
  <c r="F591" i="3"/>
  <c r="F590" i="3"/>
  <c r="D592" i="3"/>
  <c r="H591" i="3"/>
  <c r="H590" i="3"/>
  <c r="D591" i="3"/>
  <c r="D590" i="3"/>
  <c r="H587" i="3"/>
  <c r="G587" i="3"/>
  <c r="F587" i="3"/>
  <c r="D587" i="3"/>
  <c r="H586" i="3"/>
  <c r="H585" i="3"/>
  <c r="G586" i="3"/>
  <c r="G585" i="3"/>
  <c r="F586" i="3"/>
  <c r="D586" i="3"/>
  <c r="H583" i="3"/>
  <c r="G583" i="3"/>
  <c r="F583" i="3"/>
  <c r="D583" i="3"/>
  <c r="H582" i="3"/>
  <c r="H581" i="3"/>
  <c r="H580" i="3"/>
  <c r="G582" i="3"/>
  <c r="G581" i="3"/>
  <c r="F582" i="3"/>
  <c r="D582" i="3"/>
  <c r="D581" i="3"/>
  <c r="F581" i="3"/>
  <c r="H578" i="3"/>
  <c r="G578" i="3"/>
  <c r="F578" i="3"/>
  <c r="D578" i="3"/>
  <c r="H577" i="3"/>
  <c r="G577" i="3"/>
  <c r="F577" i="3"/>
  <c r="D577" i="3"/>
  <c r="H576" i="3"/>
  <c r="G576" i="3"/>
  <c r="G575" i="3"/>
  <c r="F576" i="3"/>
  <c r="D576" i="3"/>
  <c r="H575" i="3"/>
  <c r="F575" i="3"/>
  <c r="D575" i="3"/>
  <c r="H572" i="3"/>
  <c r="G572" i="3"/>
  <c r="F572" i="3"/>
  <c r="D572" i="3"/>
  <c r="H571" i="3"/>
  <c r="G571" i="3"/>
  <c r="F571" i="3"/>
  <c r="D571" i="3"/>
  <c r="H570" i="3"/>
  <c r="G570" i="3"/>
  <c r="F570" i="3"/>
  <c r="D570" i="3"/>
  <c r="H569" i="3"/>
  <c r="H568" i="3"/>
  <c r="G569" i="3"/>
  <c r="G568" i="3"/>
  <c r="F569" i="3"/>
  <c r="D569" i="3"/>
  <c r="D568" i="3"/>
  <c r="H566" i="3"/>
  <c r="G566" i="3"/>
  <c r="F566" i="3"/>
  <c r="D566" i="3"/>
  <c r="H565" i="3"/>
  <c r="G565" i="3"/>
  <c r="F565" i="3"/>
  <c r="D565" i="3"/>
  <c r="H564" i="3"/>
  <c r="H563" i="3"/>
  <c r="H562" i="3"/>
  <c r="G564" i="3"/>
  <c r="F564" i="3"/>
  <c r="F563" i="3"/>
  <c r="D564" i="3"/>
  <c r="G563" i="3"/>
  <c r="G562" i="3"/>
  <c r="D563" i="3"/>
  <c r="H560" i="3"/>
  <c r="G560" i="3"/>
  <c r="F560" i="3"/>
  <c r="D560" i="3"/>
  <c r="H559" i="3"/>
  <c r="G559" i="3"/>
  <c r="F559" i="3"/>
  <c r="D559" i="3"/>
  <c r="H558" i="3"/>
  <c r="G558" i="3"/>
  <c r="F558" i="3"/>
  <c r="D558" i="3"/>
  <c r="H557" i="3"/>
  <c r="G557" i="3"/>
  <c r="F557" i="3"/>
  <c r="D557" i="3"/>
  <c r="H556" i="3"/>
  <c r="G556" i="3"/>
  <c r="F556" i="3"/>
  <c r="D556" i="3"/>
  <c r="H541" i="3"/>
  <c r="H534" i="3"/>
  <c r="G541" i="3"/>
  <c r="F541" i="3"/>
  <c r="E541" i="3"/>
  <c r="D541" i="3"/>
  <c r="C541" i="3"/>
  <c r="G534" i="3"/>
  <c r="F534" i="3"/>
  <c r="E534" i="3"/>
  <c r="D534" i="3"/>
  <c r="C534" i="3"/>
  <c r="C533" i="3"/>
  <c r="H528" i="3"/>
  <c r="G528" i="3"/>
  <c r="F528" i="3"/>
  <c r="E528" i="3"/>
  <c r="D528" i="3"/>
  <c r="C528" i="3"/>
  <c r="H523" i="3"/>
  <c r="G523" i="3"/>
  <c r="F523" i="3"/>
  <c r="E523" i="3"/>
  <c r="D523" i="3"/>
  <c r="C523" i="3"/>
  <c r="H516" i="3"/>
  <c r="G516" i="3"/>
  <c r="G511" i="3"/>
  <c r="F516" i="3"/>
  <c r="E516" i="3"/>
  <c r="D516" i="3"/>
  <c r="C516" i="3"/>
  <c r="H511" i="3"/>
  <c r="F511" i="3"/>
  <c r="E511" i="3"/>
  <c r="D511" i="3"/>
  <c r="C511" i="3"/>
  <c r="H489" i="3"/>
  <c r="G489" i="3"/>
  <c r="F489" i="3"/>
  <c r="E489" i="3"/>
  <c r="D489" i="3"/>
  <c r="C489" i="3"/>
  <c r="H484" i="3"/>
  <c r="G484" i="3"/>
  <c r="G479" i="3"/>
  <c r="G474" i="3"/>
  <c r="F484" i="3"/>
  <c r="F479" i="3"/>
  <c r="E484" i="3"/>
  <c r="D484" i="3"/>
  <c r="C484" i="3"/>
  <c r="H479" i="3"/>
  <c r="E479" i="3"/>
  <c r="E474" i="3"/>
  <c r="D479" i="3"/>
  <c r="C479" i="3"/>
  <c r="C474" i="3"/>
  <c r="H467" i="3"/>
  <c r="G467" i="3"/>
  <c r="F467" i="3"/>
  <c r="F463" i="3"/>
  <c r="E467" i="3"/>
  <c r="E462" i="3"/>
  <c r="D467" i="3"/>
  <c r="D462" i="3"/>
  <c r="C467" i="3"/>
  <c r="C462" i="3"/>
  <c r="H463" i="3"/>
  <c r="G463" i="3"/>
  <c r="G460" i="3"/>
  <c r="F460" i="3"/>
  <c r="D460" i="3"/>
  <c r="C460" i="3"/>
  <c r="G458" i="3"/>
  <c r="F458" i="3"/>
  <c r="D458" i="3"/>
  <c r="C458" i="3"/>
  <c r="C456" i="3"/>
  <c r="C449" i="3"/>
  <c r="G456" i="3"/>
  <c r="G449" i="3"/>
  <c r="F456" i="3"/>
  <c r="F449" i="3"/>
  <c r="D456" i="3"/>
  <c r="H449" i="3"/>
  <c r="E449" i="3"/>
  <c r="H447" i="3"/>
  <c r="H442" i="3"/>
  <c r="G447" i="3"/>
  <c r="G442" i="3"/>
  <c r="F447" i="3"/>
  <c r="F442" i="3"/>
  <c r="E447" i="3"/>
  <c r="D447" i="3"/>
  <c r="D442" i="3"/>
  <c r="C447" i="3"/>
  <c r="C442" i="3"/>
  <c r="E442" i="3"/>
  <c r="E399" i="3"/>
  <c r="E414" i="3"/>
  <c r="E431" i="3"/>
  <c r="H431" i="3"/>
  <c r="G431" i="3"/>
  <c r="F431" i="3"/>
  <c r="D431" i="3"/>
  <c r="D399" i="3"/>
  <c r="D414" i="3"/>
  <c r="D449" i="3"/>
  <c r="D398" i="3"/>
  <c r="C431" i="3"/>
  <c r="H414" i="3"/>
  <c r="G414" i="3"/>
  <c r="F414" i="3"/>
  <c r="C414" i="3"/>
  <c r="H399" i="3"/>
  <c r="G399" i="3"/>
  <c r="F399" i="3"/>
  <c r="C399" i="3"/>
  <c r="H384" i="3"/>
  <c r="G384" i="3"/>
  <c r="F384" i="3"/>
  <c r="E384" i="3"/>
  <c r="D384" i="3"/>
  <c r="C384" i="3"/>
  <c r="H355" i="3"/>
  <c r="G355" i="3"/>
  <c r="F355" i="3"/>
  <c r="E355" i="3"/>
  <c r="D355" i="3"/>
  <c r="C355" i="3"/>
  <c r="H353" i="3"/>
  <c r="G353" i="3"/>
  <c r="G351" i="3"/>
  <c r="F353" i="3"/>
  <c r="F351" i="3"/>
  <c r="F350" i="3"/>
  <c r="E353" i="3"/>
  <c r="D353" i="3"/>
  <c r="C353" i="3"/>
  <c r="H351" i="3"/>
  <c r="E351" i="3"/>
  <c r="D351" i="3"/>
  <c r="C351" i="3"/>
  <c r="H338" i="3"/>
  <c r="G338" i="3"/>
  <c r="F338" i="3"/>
  <c r="E338" i="3"/>
  <c r="D338" i="3"/>
  <c r="C338" i="3"/>
  <c r="H303" i="3"/>
  <c r="G303" i="3"/>
  <c r="F303" i="3"/>
  <c r="E303" i="3"/>
  <c r="D303" i="3"/>
  <c r="C303" i="3"/>
  <c r="H298" i="3"/>
  <c r="G298" i="3"/>
  <c r="F298" i="3"/>
  <c r="E298" i="3"/>
  <c r="D298" i="3"/>
  <c r="D268" i="3"/>
  <c r="D291" i="3"/>
  <c r="D267" i="3"/>
  <c r="D242" i="3"/>
  <c r="D241" i="3"/>
  <c r="C298" i="3"/>
  <c r="H291" i="3"/>
  <c r="G291" i="3"/>
  <c r="F291" i="3"/>
  <c r="E291" i="3"/>
  <c r="C291" i="3"/>
  <c r="H268" i="3"/>
  <c r="G268" i="3"/>
  <c r="F268" i="3"/>
  <c r="F242" i="3"/>
  <c r="E268" i="3"/>
  <c r="E267" i="3"/>
  <c r="C268" i="3"/>
  <c r="G267" i="3"/>
  <c r="C242" i="3"/>
  <c r="H242" i="3"/>
  <c r="G242" i="3"/>
  <c r="E242" i="3"/>
  <c r="H228" i="3"/>
  <c r="G228" i="3"/>
  <c r="F228" i="3"/>
  <c r="E228" i="3"/>
  <c r="D228" i="3"/>
  <c r="C228" i="3"/>
  <c r="H217" i="3"/>
  <c r="H197" i="3"/>
  <c r="H204" i="3"/>
  <c r="H196" i="3"/>
  <c r="G217" i="3"/>
  <c r="F217" i="3"/>
  <c r="E217" i="3"/>
  <c r="D217" i="3"/>
  <c r="C217" i="3"/>
  <c r="G204" i="3"/>
  <c r="F204" i="3"/>
  <c r="E204" i="3"/>
  <c r="D204" i="3"/>
  <c r="C204" i="3"/>
  <c r="G197" i="3"/>
  <c r="F197" i="3"/>
  <c r="E197" i="3"/>
  <c r="D197" i="3"/>
  <c r="D196" i="3"/>
  <c r="C197" i="3"/>
  <c r="H192" i="3"/>
  <c r="G192" i="3"/>
  <c r="F192" i="3"/>
  <c r="E192" i="3"/>
  <c r="D192" i="3"/>
  <c r="C192" i="3"/>
  <c r="H190" i="3"/>
  <c r="G190" i="3"/>
  <c r="F190" i="3"/>
  <c r="E190" i="3"/>
  <c r="D190" i="3"/>
  <c r="C190" i="3"/>
  <c r="H186" i="3"/>
  <c r="G186" i="3"/>
  <c r="F186" i="3"/>
  <c r="E186" i="3"/>
  <c r="D186" i="3"/>
  <c r="C186" i="3"/>
  <c r="H174" i="3"/>
  <c r="G174" i="3"/>
  <c r="F174" i="3"/>
  <c r="E174" i="3"/>
  <c r="D174" i="3"/>
  <c r="C174" i="3"/>
  <c r="H168" i="3"/>
  <c r="G168" i="3"/>
  <c r="G88" i="3"/>
  <c r="G106" i="3"/>
  <c r="G117" i="3"/>
  <c r="G139" i="3"/>
  <c r="G147" i="3"/>
  <c r="G152" i="3"/>
  <c r="G156" i="3"/>
  <c r="F168" i="3"/>
  <c r="E168" i="3"/>
  <c r="D168" i="3"/>
  <c r="C168" i="3"/>
  <c r="H156" i="3"/>
  <c r="F156" i="3"/>
  <c r="E156" i="3"/>
  <c r="D156" i="3"/>
  <c r="C156" i="3"/>
  <c r="H152" i="3"/>
  <c r="F152" i="3"/>
  <c r="E152" i="3"/>
  <c r="D152" i="3"/>
  <c r="C152" i="3"/>
  <c r="H147" i="3"/>
  <c r="F147" i="3"/>
  <c r="E147" i="3"/>
  <c r="D147" i="3"/>
  <c r="C147" i="3"/>
  <c r="H139" i="3"/>
  <c r="F139" i="3"/>
  <c r="E139" i="3"/>
  <c r="D139" i="3"/>
  <c r="C139" i="3"/>
  <c r="C106" i="3"/>
  <c r="C117" i="3"/>
  <c r="C88" i="3"/>
  <c r="H117" i="3"/>
  <c r="F117" i="3"/>
  <c r="E117" i="3"/>
  <c r="D117" i="3"/>
  <c r="H106" i="3"/>
  <c r="F106" i="3"/>
  <c r="E106" i="3"/>
  <c r="D106" i="3"/>
  <c r="H88" i="3"/>
  <c r="F88" i="3"/>
  <c r="E88" i="3"/>
  <c r="D88" i="3"/>
  <c r="H78" i="3"/>
  <c r="G78" i="3"/>
  <c r="F78" i="3"/>
  <c r="E78" i="3"/>
  <c r="D78" i="3"/>
  <c r="C78" i="3"/>
  <c r="H76" i="3"/>
  <c r="G76" i="3"/>
  <c r="F76" i="3"/>
  <c r="E76" i="3"/>
  <c r="D76" i="3"/>
  <c r="C76" i="3"/>
  <c r="H75" i="3"/>
  <c r="G75" i="3"/>
  <c r="F75" i="3"/>
  <c r="E75" i="3"/>
  <c r="D75" i="3"/>
  <c r="C75" i="3"/>
  <c r="H74" i="3"/>
  <c r="G74" i="3"/>
  <c r="F74" i="3"/>
  <c r="E74" i="3"/>
  <c r="E73" i="3"/>
  <c r="E72" i="3"/>
  <c r="E71" i="3"/>
  <c r="D74" i="3"/>
  <c r="C74" i="3"/>
  <c r="H73" i="3"/>
  <c r="G73" i="3"/>
  <c r="F73" i="3"/>
  <c r="D73" i="3"/>
  <c r="C73" i="3"/>
  <c r="H68" i="3"/>
  <c r="G68" i="3"/>
  <c r="F68" i="3"/>
  <c r="E68" i="3"/>
  <c r="D68" i="3"/>
  <c r="C68" i="3"/>
  <c r="H66" i="3"/>
  <c r="G66" i="3"/>
  <c r="F66" i="3"/>
  <c r="F64" i="3"/>
  <c r="F63" i="3"/>
  <c r="E66" i="3"/>
  <c r="D66" i="3"/>
  <c r="C66" i="3"/>
  <c r="H64" i="3"/>
  <c r="H63" i="3"/>
  <c r="H59" i="3"/>
  <c r="H61" i="3"/>
  <c r="H58" i="3"/>
  <c r="H57" i="3"/>
  <c r="G64" i="3"/>
  <c r="E64" i="3"/>
  <c r="D64" i="3"/>
  <c r="D63" i="3"/>
  <c r="C64" i="3"/>
  <c r="G61" i="3"/>
  <c r="F61" i="3"/>
  <c r="E61" i="3"/>
  <c r="E59" i="3"/>
  <c r="E58" i="3"/>
  <c r="D61" i="3"/>
  <c r="C61" i="3"/>
  <c r="G59" i="3"/>
  <c r="G58" i="3"/>
  <c r="F59" i="3"/>
  <c r="F58" i="3"/>
  <c r="D59" i="3"/>
  <c r="C59" i="3"/>
  <c r="C58" i="3"/>
  <c r="G55" i="3"/>
  <c r="F55" i="3"/>
  <c r="E55" i="3"/>
  <c r="E53" i="3"/>
  <c r="E52" i="3"/>
  <c r="D55" i="3"/>
  <c r="D52" i="3"/>
  <c r="C55" i="3"/>
  <c r="C52" i="3"/>
  <c r="C7" i="3"/>
  <c r="C14" i="3"/>
  <c r="C21" i="3"/>
  <c r="C6" i="3"/>
  <c r="H53" i="3"/>
  <c r="H52" i="3"/>
  <c r="G53" i="3"/>
  <c r="G52" i="3"/>
  <c r="F53" i="3"/>
  <c r="F52" i="3"/>
  <c r="H21" i="3"/>
  <c r="G21" i="3"/>
  <c r="F21" i="3"/>
  <c r="E21" i="3"/>
  <c r="D21" i="3"/>
  <c r="H14" i="3"/>
  <c r="H7" i="3"/>
  <c r="H6" i="3"/>
  <c r="G14" i="3"/>
  <c r="F14" i="3"/>
  <c r="F7" i="3"/>
  <c r="E14" i="3"/>
  <c r="D14" i="3"/>
  <c r="D7" i="3"/>
  <c r="D6" i="3"/>
  <c r="G7" i="3"/>
  <c r="G6" i="3"/>
  <c r="E7" i="3"/>
  <c r="E6" i="3"/>
  <c r="H995" i="2"/>
  <c r="G995" i="2"/>
  <c r="F995" i="2"/>
  <c r="E995" i="2"/>
  <c r="D995" i="2"/>
  <c r="C995" i="2"/>
  <c r="H986" i="2"/>
  <c r="G986" i="2"/>
  <c r="F986" i="2"/>
  <c r="E986" i="2"/>
  <c r="D986" i="2"/>
  <c r="C986" i="2"/>
  <c r="H977" i="2"/>
  <c r="G977" i="2"/>
  <c r="F977" i="2"/>
  <c r="E977" i="2"/>
  <c r="D977" i="2"/>
  <c r="C977" i="2"/>
  <c r="H971" i="2"/>
  <c r="G971" i="2"/>
  <c r="F971" i="2"/>
  <c r="E971" i="2"/>
  <c r="D971" i="2"/>
  <c r="C971" i="2"/>
  <c r="H963" i="2"/>
  <c r="G963" i="2"/>
  <c r="F963" i="2"/>
  <c r="E963" i="2"/>
  <c r="D963" i="2"/>
  <c r="C963" i="2"/>
  <c r="H959" i="2"/>
  <c r="G959" i="2"/>
  <c r="F959" i="2"/>
  <c r="E959" i="2"/>
  <c r="D959" i="2"/>
  <c r="C959" i="2"/>
  <c r="H955" i="2"/>
  <c r="H950" i="2"/>
  <c r="H949" i="2"/>
  <c r="G955" i="2"/>
  <c r="G950" i="2"/>
  <c r="G949" i="2"/>
  <c r="F955" i="2"/>
  <c r="E955" i="2"/>
  <c r="D955" i="2"/>
  <c r="D950" i="2"/>
  <c r="D949" i="2"/>
  <c r="C955" i="2"/>
  <c r="C950" i="2"/>
  <c r="C949" i="2"/>
  <c r="H933" i="2"/>
  <c r="H922" i="2"/>
  <c r="G933" i="2"/>
  <c r="G879" i="2"/>
  <c r="F933" i="2"/>
  <c r="E933" i="2"/>
  <c r="E922" i="2"/>
  <c r="D933" i="2"/>
  <c r="D879" i="2"/>
  <c r="C933" i="2"/>
  <c r="H880" i="2"/>
  <c r="G880" i="2"/>
  <c r="F880" i="2"/>
  <c r="E880" i="2"/>
  <c r="D880" i="2"/>
  <c r="C880" i="2"/>
  <c r="H877" i="2"/>
  <c r="G877" i="2"/>
  <c r="F877" i="2"/>
  <c r="E877" i="2"/>
  <c r="D877" i="2"/>
  <c r="C877" i="2"/>
  <c r="H871" i="2"/>
  <c r="G871" i="2"/>
  <c r="F871" i="2"/>
  <c r="E871" i="2"/>
  <c r="D871" i="2"/>
  <c r="C871" i="2"/>
  <c r="H865" i="2"/>
  <c r="G865" i="2"/>
  <c r="F865" i="2"/>
  <c r="E865" i="2"/>
  <c r="D865" i="2"/>
  <c r="D847" i="2"/>
  <c r="D853" i="2"/>
  <c r="D859" i="2"/>
  <c r="D846" i="2"/>
  <c r="C865" i="2"/>
  <c r="H859" i="2"/>
  <c r="G859" i="2"/>
  <c r="F859" i="2"/>
  <c r="E859" i="2"/>
  <c r="C859" i="2"/>
  <c r="H853" i="2"/>
  <c r="G853" i="2"/>
  <c r="G847" i="2"/>
  <c r="G846" i="2"/>
  <c r="F853" i="2"/>
  <c r="F847" i="2"/>
  <c r="F846" i="2"/>
  <c r="E853" i="2"/>
  <c r="C853" i="2"/>
  <c r="H847" i="2"/>
  <c r="H846" i="2"/>
  <c r="E847" i="2"/>
  <c r="C847" i="2"/>
  <c r="C846" i="2"/>
  <c r="H844" i="2"/>
  <c r="G844" i="2"/>
  <c r="F844" i="2"/>
  <c r="E844" i="2"/>
  <c r="D844" i="2"/>
  <c r="C844" i="2"/>
  <c r="H843" i="2"/>
  <c r="G843" i="2"/>
  <c r="F843" i="2"/>
  <c r="E843" i="2"/>
  <c r="D843" i="2"/>
  <c r="C843" i="2"/>
  <c r="H842" i="2"/>
  <c r="G842" i="2"/>
  <c r="F842" i="2"/>
  <c r="E842" i="2"/>
  <c r="D842" i="2"/>
  <c r="C842" i="2"/>
  <c r="H841" i="2"/>
  <c r="G841" i="2"/>
  <c r="F841" i="2"/>
  <c r="E841" i="2"/>
  <c r="D841" i="2"/>
  <c r="C841" i="2"/>
  <c r="H840" i="2"/>
  <c r="G840" i="2"/>
  <c r="F840" i="2"/>
  <c r="E840" i="2"/>
  <c r="D840" i="2"/>
  <c r="C840" i="2"/>
  <c r="H838" i="2"/>
  <c r="G838" i="2"/>
  <c r="F838" i="2"/>
  <c r="E838" i="2"/>
  <c r="D838" i="2"/>
  <c r="C838" i="2"/>
  <c r="H833" i="2"/>
  <c r="G833" i="2"/>
  <c r="F833" i="2"/>
  <c r="F829" i="2"/>
  <c r="F828" i="2"/>
  <c r="E833" i="2"/>
  <c r="D833" i="2"/>
  <c r="C833" i="2"/>
  <c r="H829" i="2"/>
  <c r="H828" i="2"/>
  <c r="H802" i="2"/>
  <c r="H799" i="2"/>
  <c r="H796" i="2"/>
  <c r="H811" i="2"/>
  <c r="H795" i="2"/>
  <c r="G829" i="2"/>
  <c r="E829" i="2"/>
  <c r="E802" i="2"/>
  <c r="E799" i="2"/>
  <c r="E796" i="2"/>
  <c r="E811" i="2"/>
  <c r="D829" i="2"/>
  <c r="C829" i="2"/>
  <c r="G811" i="2"/>
  <c r="F811" i="2"/>
  <c r="D811" i="2"/>
  <c r="C811" i="2"/>
  <c r="G802" i="2"/>
  <c r="G799" i="2"/>
  <c r="G796" i="2"/>
  <c r="F802" i="2"/>
  <c r="F799" i="2"/>
  <c r="F796" i="2"/>
  <c r="D802" i="2"/>
  <c r="D799" i="2"/>
  <c r="D796" i="2"/>
  <c r="C802" i="2"/>
  <c r="C799" i="2"/>
  <c r="C796" i="2"/>
  <c r="H774" i="2"/>
  <c r="G774" i="2"/>
  <c r="F774" i="2"/>
  <c r="E774" i="2"/>
  <c r="D774" i="2"/>
  <c r="C774" i="2"/>
  <c r="H772" i="2"/>
  <c r="H765" i="2"/>
  <c r="G772" i="2"/>
  <c r="F772" i="2"/>
  <c r="F765" i="2"/>
  <c r="E772" i="2"/>
  <c r="E765" i="2"/>
  <c r="D772" i="2"/>
  <c r="D765" i="2"/>
  <c r="C772" i="2"/>
  <c r="C765" i="2"/>
  <c r="G765" i="2"/>
  <c r="H757" i="2"/>
  <c r="H750" i="2"/>
  <c r="G757" i="2"/>
  <c r="G750" i="2"/>
  <c r="F757" i="2"/>
  <c r="F750" i="2"/>
  <c r="E757" i="2"/>
  <c r="E750" i="2"/>
  <c r="D757" i="2"/>
  <c r="D750" i="2"/>
  <c r="C757" i="2"/>
  <c r="C750" i="2"/>
  <c r="H738" i="2"/>
  <c r="H737" i="2"/>
  <c r="G738" i="2"/>
  <c r="G737" i="2"/>
  <c r="F738" i="2"/>
  <c r="F737" i="2"/>
  <c r="E738" i="2"/>
  <c r="E737" i="2"/>
  <c r="D738" i="2"/>
  <c r="D737" i="2"/>
  <c r="C738" i="2"/>
  <c r="C737" i="2"/>
  <c r="H723" i="2"/>
  <c r="G723" i="2"/>
  <c r="F723" i="2"/>
  <c r="E723" i="2"/>
  <c r="D723" i="2"/>
  <c r="C723" i="2"/>
  <c r="H719" i="2"/>
  <c r="H717" i="2"/>
  <c r="H714" i="2"/>
  <c r="G719" i="2"/>
  <c r="F719" i="2"/>
  <c r="E719" i="2"/>
  <c r="D719" i="2"/>
  <c r="C719" i="2"/>
  <c r="G717" i="2"/>
  <c r="F717" i="2"/>
  <c r="F714" i="2"/>
  <c r="E717" i="2"/>
  <c r="D717" i="2"/>
  <c r="C717" i="2"/>
  <c r="H707" i="2"/>
  <c r="G707" i="2"/>
  <c r="F707" i="2"/>
  <c r="E707" i="2"/>
  <c r="D707" i="2"/>
  <c r="C707" i="2"/>
  <c r="H699" i="2"/>
  <c r="H698" i="2"/>
  <c r="G699" i="2"/>
  <c r="G698" i="2"/>
  <c r="F699" i="2"/>
  <c r="F698" i="2"/>
  <c r="E699" i="2"/>
  <c r="E698" i="2"/>
  <c r="D699" i="2"/>
  <c r="D698" i="2"/>
  <c r="C699" i="2"/>
  <c r="C698" i="2"/>
  <c r="H688" i="2"/>
  <c r="G688" i="2"/>
  <c r="F688" i="2"/>
  <c r="E688" i="2"/>
  <c r="E678" i="2"/>
  <c r="D688" i="2"/>
  <c r="C688" i="2"/>
  <c r="C678" i="2"/>
  <c r="C677" i="2"/>
  <c r="H678" i="2"/>
  <c r="H677" i="2"/>
  <c r="G678" i="2"/>
  <c r="F678" i="2"/>
  <c r="D678" i="2"/>
  <c r="D677" i="2"/>
  <c r="H658" i="2"/>
  <c r="G658" i="2"/>
  <c r="F658" i="2"/>
  <c r="E658" i="2"/>
  <c r="D658" i="2"/>
  <c r="C658" i="2"/>
  <c r="H648" i="2"/>
  <c r="H643" i="2"/>
  <c r="G648" i="2"/>
  <c r="G643" i="2"/>
  <c r="F648" i="2"/>
  <c r="F643" i="2"/>
  <c r="E648" i="2"/>
  <c r="E643" i="2"/>
  <c r="D648" i="2"/>
  <c r="D643" i="2"/>
  <c r="C648" i="2"/>
  <c r="C643" i="2"/>
  <c r="H637" i="2"/>
  <c r="H624" i="2"/>
  <c r="G637" i="2"/>
  <c r="G624" i="2"/>
  <c r="F637" i="2"/>
  <c r="F624" i="2"/>
  <c r="E637" i="2"/>
  <c r="E624" i="2"/>
  <c r="D637" i="2"/>
  <c r="D624" i="2"/>
  <c r="C637" i="2"/>
  <c r="C624" i="2"/>
  <c r="H621" i="2"/>
  <c r="G621" i="2"/>
  <c r="F621" i="2"/>
  <c r="E621" i="2"/>
  <c r="D621" i="2"/>
  <c r="C621" i="2"/>
  <c r="H620" i="2"/>
  <c r="G620" i="2"/>
  <c r="F620" i="2"/>
  <c r="E620" i="2"/>
  <c r="D620" i="2"/>
  <c r="C620" i="2"/>
  <c r="H619" i="2"/>
  <c r="G619" i="2"/>
  <c r="F619" i="2"/>
  <c r="E619" i="2"/>
  <c r="D619" i="2"/>
  <c r="C619" i="2"/>
  <c r="H618" i="2"/>
  <c r="H617" i="2"/>
  <c r="H616" i="2"/>
  <c r="G618" i="2"/>
  <c r="F618" i="2"/>
  <c r="E618" i="2"/>
  <c r="D618" i="2"/>
  <c r="C618" i="2"/>
  <c r="C617" i="2"/>
  <c r="C616" i="2"/>
  <c r="G617" i="2"/>
  <c r="F617" i="2"/>
  <c r="F616" i="2"/>
  <c r="E617" i="2"/>
  <c r="E616" i="2"/>
  <c r="D617" i="2"/>
  <c r="H614" i="2"/>
  <c r="G614" i="2"/>
  <c r="F614" i="2"/>
  <c r="E614" i="2"/>
  <c r="D614" i="2"/>
  <c r="C614" i="2"/>
  <c r="C611" i="2"/>
  <c r="C612" i="2"/>
  <c r="C613" i="2"/>
  <c r="C610" i="2"/>
  <c r="H613" i="2"/>
  <c r="G613" i="2"/>
  <c r="F613" i="2"/>
  <c r="E613" i="2"/>
  <c r="D613" i="2"/>
  <c r="H612" i="2"/>
  <c r="G612" i="2"/>
  <c r="F612" i="2"/>
  <c r="E612" i="2"/>
  <c r="E611" i="2"/>
  <c r="D612" i="2"/>
  <c r="H611" i="2"/>
  <c r="G611" i="2"/>
  <c r="F611" i="2"/>
  <c r="D611" i="2"/>
  <c r="H608" i="2"/>
  <c r="G608" i="2"/>
  <c r="F608" i="2"/>
  <c r="E608" i="2"/>
  <c r="D608" i="2"/>
  <c r="C608" i="2"/>
  <c r="H607" i="2"/>
  <c r="G607" i="2"/>
  <c r="G606" i="2"/>
  <c r="G605" i="2"/>
  <c r="F607" i="2"/>
  <c r="E607" i="2"/>
  <c r="D607" i="2"/>
  <c r="C607" i="2"/>
  <c r="C606" i="2"/>
  <c r="H606" i="2"/>
  <c r="F606" i="2"/>
  <c r="E606" i="2"/>
  <c r="E605" i="2"/>
  <c r="D606" i="2"/>
  <c r="H603" i="2"/>
  <c r="G603" i="2"/>
  <c r="F603" i="2"/>
  <c r="E603" i="2"/>
  <c r="D603" i="2"/>
  <c r="C603" i="2"/>
  <c r="H602" i="2"/>
  <c r="G602" i="2"/>
  <c r="F602" i="2"/>
  <c r="E602" i="2"/>
  <c r="D602" i="2"/>
  <c r="C602" i="2"/>
  <c r="H601" i="2"/>
  <c r="G601" i="2"/>
  <c r="G600" i="2"/>
  <c r="G599" i="2"/>
  <c r="F601" i="2"/>
  <c r="E601" i="2"/>
  <c r="D601" i="2"/>
  <c r="C601" i="2"/>
  <c r="C600" i="2"/>
  <c r="H600" i="2"/>
  <c r="H599" i="2"/>
  <c r="F600" i="2"/>
  <c r="E600" i="2"/>
  <c r="D600" i="2"/>
  <c r="H586" i="2"/>
  <c r="G586" i="2"/>
  <c r="F586" i="2"/>
  <c r="E586" i="2"/>
  <c r="D586" i="2"/>
  <c r="C586" i="2"/>
  <c r="H539" i="2"/>
  <c r="G539" i="2"/>
  <c r="F539" i="2"/>
  <c r="E539" i="2"/>
  <c r="E532" i="2"/>
  <c r="E531" i="2"/>
  <c r="D539" i="2"/>
  <c r="C539" i="2"/>
  <c r="H532" i="2"/>
  <c r="G532" i="2"/>
  <c r="F532" i="2"/>
  <c r="F531" i="2"/>
  <c r="D532" i="2"/>
  <c r="C532" i="2"/>
  <c r="C531" i="2"/>
  <c r="H526" i="2"/>
  <c r="G526" i="2"/>
  <c r="F526" i="2"/>
  <c r="E526" i="2"/>
  <c r="D526" i="2"/>
  <c r="C526" i="2"/>
  <c r="H521" i="2"/>
  <c r="G521" i="2"/>
  <c r="G509" i="2"/>
  <c r="G514" i="2"/>
  <c r="G508" i="2"/>
  <c r="F521" i="2"/>
  <c r="E521" i="2"/>
  <c r="D521" i="2"/>
  <c r="C521" i="2"/>
  <c r="H514" i="2"/>
  <c r="F514" i="2"/>
  <c r="F509" i="2"/>
  <c r="F508" i="2"/>
  <c r="E514" i="2"/>
  <c r="D514" i="2"/>
  <c r="C514" i="2"/>
  <c r="H509" i="2"/>
  <c r="H508" i="2"/>
  <c r="E509" i="2"/>
  <c r="D509" i="2"/>
  <c r="C509" i="2"/>
  <c r="H487" i="2"/>
  <c r="G487" i="2"/>
  <c r="F487" i="2"/>
  <c r="E487" i="2"/>
  <c r="D487" i="2"/>
  <c r="C487" i="2"/>
  <c r="H482" i="2"/>
  <c r="G482" i="2"/>
  <c r="F482" i="2"/>
  <c r="E482" i="2"/>
  <c r="E477" i="2"/>
  <c r="D482" i="2"/>
  <c r="C482" i="2"/>
  <c r="H477" i="2"/>
  <c r="G477" i="2"/>
  <c r="F477" i="2"/>
  <c r="D477" i="2"/>
  <c r="C477" i="2"/>
  <c r="H461" i="2"/>
  <c r="H460" i="2"/>
  <c r="G461" i="2"/>
  <c r="G460" i="2"/>
  <c r="F461" i="2"/>
  <c r="F460" i="2"/>
  <c r="E461" i="2"/>
  <c r="E460" i="2"/>
  <c r="D461" i="2"/>
  <c r="D460" i="2"/>
  <c r="C461" i="2"/>
  <c r="C460" i="2"/>
  <c r="G458" i="2"/>
  <c r="F458" i="2"/>
  <c r="D458" i="2"/>
  <c r="G456" i="2"/>
  <c r="F456" i="2"/>
  <c r="D456" i="2"/>
  <c r="C456" i="2"/>
  <c r="G454" i="2"/>
  <c r="G447" i="2"/>
  <c r="F454" i="2"/>
  <c r="F447" i="2"/>
  <c r="E454" i="2"/>
  <c r="E447" i="2"/>
  <c r="D454" i="2"/>
  <c r="C454" i="2"/>
  <c r="H447" i="2"/>
  <c r="H445" i="2"/>
  <c r="H440" i="2"/>
  <c r="G445" i="2"/>
  <c r="G440" i="2"/>
  <c r="F445" i="2"/>
  <c r="F440" i="2"/>
  <c r="E445" i="2"/>
  <c r="E440" i="2"/>
  <c r="D445" i="2"/>
  <c r="D440" i="2"/>
  <c r="C445" i="2"/>
  <c r="C440" i="2"/>
  <c r="H429" i="2"/>
  <c r="G429" i="2"/>
  <c r="F429" i="2"/>
  <c r="E429" i="2"/>
  <c r="D429" i="2"/>
  <c r="C429" i="2"/>
  <c r="H412" i="2"/>
  <c r="G412" i="2"/>
  <c r="F412" i="2"/>
  <c r="E412" i="2"/>
  <c r="D412" i="2"/>
  <c r="C412" i="2"/>
  <c r="H397" i="2"/>
  <c r="G397" i="2"/>
  <c r="F397" i="2"/>
  <c r="E397" i="2"/>
  <c r="D397" i="2"/>
  <c r="C397" i="2"/>
  <c r="H382" i="2"/>
  <c r="G382" i="2"/>
  <c r="F382" i="2"/>
  <c r="E382" i="2"/>
  <c r="D382" i="2"/>
  <c r="C382" i="2"/>
  <c r="H353" i="2"/>
  <c r="G353" i="2"/>
  <c r="F353" i="2"/>
  <c r="E353" i="2"/>
  <c r="D353" i="2"/>
  <c r="C353" i="2"/>
  <c r="H351" i="2"/>
  <c r="G351" i="2"/>
  <c r="F351" i="2"/>
  <c r="E351" i="2"/>
  <c r="D351" i="2"/>
  <c r="C351" i="2"/>
  <c r="H349" i="2"/>
  <c r="G349" i="2"/>
  <c r="G348" i="2"/>
  <c r="F349" i="2"/>
  <c r="E349" i="2"/>
  <c r="D349" i="2"/>
  <c r="D348" i="2"/>
  <c r="C349" i="2"/>
  <c r="H336" i="2"/>
  <c r="G336" i="2"/>
  <c r="F336" i="2"/>
  <c r="E336" i="2"/>
  <c r="D336" i="2"/>
  <c r="C336" i="2"/>
  <c r="H301" i="2"/>
  <c r="G301" i="2"/>
  <c r="F301" i="2"/>
  <c r="E301" i="2"/>
  <c r="D301" i="2"/>
  <c r="C301" i="2"/>
  <c r="H297" i="2"/>
  <c r="G297" i="2"/>
  <c r="F297" i="2"/>
  <c r="E297" i="2"/>
  <c r="D297" i="2"/>
  <c r="C297" i="2"/>
  <c r="H290" i="2"/>
  <c r="G290" i="2"/>
  <c r="F290" i="2"/>
  <c r="F267" i="2"/>
  <c r="F266" i="2"/>
  <c r="E290" i="2"/>
  <c r="D290" i="2"/>
  <c r="C290" i="2"/>
  <c r="H267" i="2"/>
  <c r="G267" i="2"/>
  <c r="E267" i="2"/>
  <c r="E266" i="2"/>
  <c r="E241" i="2"/>
  <c r="E240" i="2"/>
  <c r="D267" i="2"/>
  <c r="C267" i="2"/>
  <c r="H241" i="2"/>
  <c r="G241" i="2"/>
  <c r="F241" i="2"/>
  <c r="D241" i="2"/>
  <c r="C241" i="2"/>
  <c r="H227" i="2"/>
  <c r="G227" i="2"/>
  <c r="F227" i="2"/>
  <c r="E227" i="2"/>
  <c r="D227" i="2"/>
  <c r="C227" i="2"/>
  <c r="H216" i="2"/>
  <c r="G216" i="2"/>
  <c r="F216" i="2"/>
  <c r="E216" i="2"/>
  <c r="D216" i="2"/>
  <c r="C216" i="2"/>
  <c r="H203" i="2"/>
  <c r="G203" i="2"/>
  <c r="G196" i="2"/>
  <c r="G195" i="2"/>
  <c r="F203" i="2"/>
  <c r="E203" i="2"/>
  <c r="D203" i="2"/>
  <c r="C203" i="2"/>
  <c r="C196" i="2"/>
  <c r="H196" i="2"/>
  <c r="F196" i="2"/>
  <c r="E196" i="2"/>
  <c r="E195" i="2"/>
  <c r="D196" i="2"/>
  <c r="H192" i="2"/>
  <c r="G192" i="2"/>
  <c r="F192" i="2"/>
  <c r="E192" i="2"/>
  <c r="D192" i="2"/>
  <c r="C192" i="2"/>
  <c r="H190" i="2"/>
  <c r="G190" i="2"/>
  <c r="F190" i="2"/>
  <c r="E190" i="2"/>
  <c r="D190" i="2"/>
  <c r="C190" i="2"/>
  <c r="H186" i="2"/>
  <c r="G186" i="2"/>
  <c r="F186" i="2"/>
  <c r="E186" i="2"/>
  <c r="D186" i="2"/>
  <c r="C186" i="2"/>
  <c r="H174" i="2"/>
  <c r="G174" i="2"/>
  <c r="G168" i="2"/>
  <c r="G165" i="2"/>
  <c r="F174" i="2"/>
  <c r="E174" i="2"/>
  <c r="E168" i="2"/>
  <c r="D174" i="2"/>
  <c r="C174" i="2"/>
  <c r="H168" i="2"/>
  <c r="F168" i="2"/>
  <c r="D168" i="2"/>
  <c r="C168" i="2"/>
  <c r="H156" i="2"/>
  <c r="G156" i="2"/>
  <c r="F156" i="2"/>
  <c r="E156" i="2"/>
  <c r="D156" i="2"/>
  <c r="C156" i="2"/>
  <c r="H152" i="2"/>
  <c r="G152" i="2"/>
  <c r="F152" i="2"/>
  <c r="E152" i="2"/>
  <c r="D152" i="2"/>
  <c r="H147" i="2"/>
  <c r="H106" i="2"/>
  <c r="H117" i="2"/>
  <c r="H139" i="2"/>
  <c r="G147" i="2"/>
  <c r="F147" i="2"/>
  <c r="E147" i="2"/>
  <c r="D147" i="2"/>
  <c r="D106" i="2"/>
  <c r="D117" i="2"/>
  <c r="D139" i="2"/>
  <c r="G139" i="2"/>
  <c r="F139" i="2"/>
  <c r="E139" i="2"/>
  <c r="C139" i="2"/>
  <c r="G117" i="2"/>
  <c r="G106" i="2"/>
  <c r="G88" i="2"/>
  <c r="F117" i="2"/>
  <c r="E117" i="2"/>
  <c r="C117" i="2"/>
  <c r="C106" i="2"/>
  <c r="C103" i="2"/>
  <c r="C88" i="2"/>
  <c r="M112" i="2"/>
  <c r="F106" i="2"/>
  <c r="E106" i="2"/>
  <c r="H88" i="2"/>
  <c r="F88" i="2"/>
  <c r="E88" i="2"/>
  <c r="D88" i="2"/>
  <c r="H78" i="2"/>
  <c r="G78" i="2"/>
  <c r="F78" i="2"/>
  <c r="E78" i="2"/>
  <c r="D78" i="2"/>
  <c r="C78" i="2"/>
  <c r="H76" i="2"/>
  <c r="G76" i="2"/>
  <c r="F76" i="2"/>
  <c r="E76" i="2"/>
  <c r="D76" i="2"/>
  <c r="C76" i="2"/>
  <c r="H75" i="2"/>
  <c r="G75" i="2"/>
  <c r="F75" i="2"/>
  <c r="E75" i="2"/>
  <c r="D75" i="2"/>
  <c r="C75" i="2"/>
  <c r="H74" i="2"/>
  <c r="G74" i="2"/>
  <c r="F74" i="2"/>
  <c r="E74" i="2"/>
  <c r="E73" i="2"/>
  <c r="D74" i="2"/>
  <c r="D73" i="2"/>
  <c r="D72" i="2"/>
  <c r="D71" i="2"/>
  <c r="C74" i="2"/>
  <c r="H73" i="2"/>
  <c r="G73" i="2"/>
  <c r="F73" i="2"/>
  <c r="H68" i="2"/>
  <c r="G68" i="2"/>
  <c r="F68" i="2"/>
  <c r="E68" i="2"/>
  <c r="D68" i="2"/>
  <c r="C68" i="2"/>
  <c r="C64" i="2"/>
  <c r="C63" i="2"/>
  <c r="H66" i="2"/>
  <c r="G66" i="2"/>
  <c r="F66" i="2"/>
  <c r="E66" i="2"/>
  <c r="D66" i="2"/>
  <c r="H64" i="2"/>
  <c r="G64" i="2"/>
  <c r="G63" i="2"/>
  <c r="G59" i="2"/>
  <c r="G61" i="2"/>
  <c r="F64" i="2"/>
  <c r="F59" i="2"/>
  <c r="F61" i="2"/>
  <c r="E64" i="2"/>
  <c r="D64" i="2"/>
  <c r="H61" i="2"/>
  <c r="E61" i="2"/>
  <c r="D61" i="2"/>
  <c r="C61" i="2"/>
  <c r="H59" i="2"/>
  <c r="H58" i="2"/>
  <c r="E59" i="2"/>
  <c r="E58" i="2"/>
  <c r="D59" i="2"/>
  <c r="D58" i="2"/>
  <c r="C59" i="2"/>
  <c r="C58" i="2"/>
  <c r="H55" i="2"/>
  <c r="G55" i="2"/>
  <c r="F55" i="2"/>
  <c r="F53" i="2"/>
  <c r="F52" i="2"/>
  <c r="E55" i="2"/>
  <c r="D55" i="2"/>
  <c r="D52" i="2"/>
  <c r="H53" i="2"/>
  <c r="G53" i="2"/>
  <c r="G52" i="2"/>
  <c r="E53" i="2"/>
  <c r="H21" i="2"/>
  <c r="G21" i="2"/>
  <c r="F21" i="2"/>
  <c r="E21" i="2"/>
  <c r="D21" i="2"/>
  <c r="H14" i="2"/>
  <c r="G14" i="2"/>
  <c r="G7" i="2"/>
  <c r="F14" i="2"/>
  <c r="E14" i="2"/>
  <c r="D14" i="2"/>
  <c r="H7" i="2"/>
  <c r="F7" i="2"/>
  <c r="E7" i="2"/>
  <c r="D7" i="2"/>
  <c r="F348" i="2"/>
  <c r="D828" i="2"/>
  <c r="H879" i="2"/>
  <c r="G531" i="2"/>
  <c r="C599" i="2"/>
  <c r="C605" i="2"/>
  <c r="C598" i="2"/>
  <c r="C714" i="2"/>
  <c r="C623" i="2"/>
  <c r="C551" i="2"/>
  <c r="G714" i="2"/>
  <c r="E714" i="2"/>
  <c r="D599" i="2"/>
  <c r="D605" i="2"/>
  <c r="D610" i="2"/>
  <c r="D616" i="2"/>
  <c r="D598" i="2"/>
  <c r="D714" i="2"/>
  <c r="D623" i="2"/>
  <c r="D551" i="2"/>
  <c r="H605" i="2"/>
  <c r="H610" i="2"/>
  <c r="H598" i="2"/>
  <c r="H623" i="2"/>
  <c r="H551" i="2"/>
  <c r="G610" i="2"/>
  <c r="G616" i="2"/>
  <c r="G598" i="2"/>
  <c r="G677" i="2"/>
  <c r="G623" i="2"/>
  <c r="G551" i="2"/>
  <c r="H165" i="2"/>
  <c r="H348" i="2"/>
  <c r="D508" i="2"/>
  <c r="E599" i="2"/>
  <c r="E610" i="2"/>
  <c r="E598" i="2"/>
  <c r="E677" i="2"/>
  <c r="E623" i="2"/>
  <c r="E551" i="2"/>
  <c r="G922" i="2"/>
  <c r="C348" i="2"/>
  <c r="C347" i="2"/>
  <c r="F599" i="2"/>
  <c r="F605" i="2"/>
  <c r="F610" i="2"/>
  <c r="F598" i="2"/>
  <c r="F677" i="2"/>
  <c r="F623" i="2"/>
  <c r="F551" i="2"/>
  <c r="H942" i="3"/>
  <c r="C942" i="3"/>
  <c r="G942" i="3"/>
  <c r="F942" i="3"/>
  <c r="E935" i="3"/>
  <c r="E942" i="3"/>
  <c r="H935" i="3"/>
  <c r="C935" i="3"/>
  <c r="G935" i="3"/>
  <c r="F922" i="2"/>
  <c r="F879" i="2"/>
  <c r="H950" i="3"/>
  <c r="D950" i="3"/>
  <c r="G950" i="3"/>
  <c r="C950" i="3"/>
  <c r="F950" i="3"/>
  <c r="H963" i="4"/>
  <c r="D963" i="4"/>
  <c r="F963" i="4"/>
  <c r="E963" i="4"/>
  <c r="E947" i="4"/>
  <c r="G740" i="4"/>
  <c r="F948" i="3"/>
  <c r="C740" i="4"/>
  <c r="H955" i="4"/>
  <c r="F955" i="4"/>
  <c r="C948" i="3"/>
  <c r="H941" i="4"/>
  <c r="D941" i="4"/>
  <c r="G941" i="4"/>
  <c r="C941" i="4"/>
  <c r="F941" i="4"/>
  <c r="H947" i="4"/>
  <c r="C947" i="4"/>
  <c r="G947" i="4"/>
  <c r="D945" i="4"/>
  <c r="H945" i="4"/>
  <c r="C951" i="4"/>
  <c r="D953" i="4"/>
  <c r="H953" i="4"/>
  <c r="D959" i="4"/>
  <c r="H959" i="4"/>
  <c r="C7" i="4"/>
  <c r="F931" i="3"/>
  <c r="D931" i="3"/>
  <c r="D447" i="2"/>
  <c r="F472" i="2"/>
  <c r="D585" i="3"/>
  <c r="E569" i="4"/>
  <c r="E847" i="4"/>
  <c r="E472" i="2"/>
  <c r="D350" i="3"/>
  <c r="C585" i="3"/>
  <c r="E830" i="3"/>
  <c r="E73" i="4"/>
  <c r="E72" i="4"/>
  <c r="G73" i="4"/>
  <c r="G72" i="4"/>
  <c r="E586" i="4"/>
  <c r="F591" i="4"/>
  <c r="C613" i="4"/>
  <c r="F613" i="4"/>
  <c r="C619" i="4"/>
  <c r="D847" i="4"/>
  <c r="C828" i="2"/>
  <c r="C795" i="2"/>
  <c r="G828" i="2"/>
  <c r="E879" i="2"/>
  <c r="D58" i="3"/>
  <c r="F57" i="3"/>
  <c r="D738" i="3"/>
  <c r="F952" i="3"/>
  <c r="E952" i="3"/>
  <c r="C351" i="4"/>
  <c r="C350" i="4"/>
  <c r="H351" i="4"/>
  <c r="H350" i="4"/>
  <c r="E563" i="4"/>
  <c r="C618" i="3"/>
  <c r="C840" i="3"/>
  <c r="C955" i="3"/>
  <c r="C954" i="3"/>
  <c r="G7" i="4"/>
  <c r="G197" i="4"/>
  <c r="H268" i="4"/>
  <c r="H242" i="4"/>
  <c r="E350" i="4"/>
  <c r="D399" i="4"/>
  <c r="G475" i="4"/>
  <c r="C534" i="4"/>
  <c r="H534" i="4"/>
  <c r="F581" i="4"/>
  <c r="E602" i="4"/>
  <c r="D602" i="4"/>
  <c r="G619" i="4"/>
  <c r="D613" i="4"/>
  <c r="H626" i="4"/>
  <c r="E943" i="4"/>
  <c r="E945" i="4"/>
  <c r="C957" i="4"/>
  <c r="H957" i="4"/>
  <c r="D967" i="4"/>
  <c r="E510" i="3"/>
  <c r="D510" i="3"/>
  <c r="G612" i="3"/>
  <c r="E555" i="3"/>
  <c r="H955" i="3"/>
  <c r="H954" i="3"/>
  <c r="C64" i="4"/>
  <c r="E268" i="4"/>
  <c r="E242" i="4"/>
  <c r="G350" i="4"/>
  <c r="G450" i="4"/>
  <c r="G399" i="4"/>
  <c r="D581" i="4"/>
  <c r="C608" i="4"/>
  <c r="H608" i="4"/>
  <c r="E613" i="4"/>
  <c r="H619" i="4"/>
  <c r="D619" i="4"/>
  <c r="F847" i="4"/>
  <c r="H943" i="4"/>
  <c r="F945" i="4"/>
  <c r="D957" i="4"/>
  <c r="F968" i="4"/>
  <c r="F967" i="4"/>
  <c r="G968" i="4"/>
  <c r="G967" i="4"/>
  <c r="G30" i="1"/>
  <c r="C160" i="1"/>
  <c r="G160" i="1"/>
  <c r="G87" i="1"/>
  <c r="G152" i="1"/>
  <c r="C30" i="1"/>
  <c r="C152" i="1"/>
  <c r="H33" i="1"/>
  <c r="F33" i="1"/>
  <c r="F149" i="1"/>
  <c r="G533" i="3"/>
  <c r="D165" i="3"/>
  <c r="C472" i="2"/>
  <c r="D922" i="2"/>
  <c r="C879" i="2"/>
  <c r="C922" i="2"/>
  <c r="F933" i="3"/>
  <c r="D933" i="3"/>
  <c r="H933" i="3"/>
  <c r="C933" i="3"/>
  <c r="G933" i="3"/>
  <c r="F940" i="3"/>
  <c r="D940" i="3"/>
  <c r="H940" i="3"/>
  <c r="C940" i="3"/>
  <c r="G940" i="3"/>
  <c r="G948" i="3"/>
  <c r="H948" i="3"/>
  <c r="E948" i="3"/>
  <c r="G626" i="4"/>
  <c r="G842" i="4"/>
  <c r="E933" i="3"/>
  <c r="E940" i="3"/>
  <c r="H944" i="3"/>
  <c r="C944" i="3"/>
  <c r="F944" i="3"/>
  <c r="D948" i="3"/>
  <c r="F953" i="4"/>
  <c r="G953" i="4"/>
  <c r="E953" i="4"/>
  <c r="H613" i="4"/>
  <c r="C6" i="2"/>
  <c r="C952" i="3"/>
  <c r="F740" i="4"/>
  <c r="G847" i="4"/>
  <c r="C953" i="4"/>
  <c r="D943" i="4"/>
  <c r="G943" i="4"/>
  <c r="F959" i="4"/>
  <c r="H736" i="2"/>
  <c r="C165" i="3"/>
  <c r="D740" i="4"/>
  <c r="H531" i="2"/>
  <c r="D472" i="2"/>
  <c r="G574" i="3"/>
  <c r="F534" i="4"/>
  <c r="D563" i="4"/>
  <c r="G72" i="3"/>
  <c r="G71" i="3"/>
  <c r="G196" i="3"/>
  <c r="H462" i="3"/>
  <c r="F562" i="3"/>
  <c r="C197" i="4"/>
  <c r="H399" i="4"/>
  <c r="E399" i="4"/>
  <c r="C607" i="3"/>
  <c r="H738" i="3"/>
  <c r="H938" i="3"/>
  <c r="F938" i="3"/>
  <c r="E166" i="4"/>
  <c r="G166" i="4"/>
  <c r="F351" i="4"/>
  <c r="F350" i="4"/>
  <c r="F511" i="4"/>
  <c r="F569" i="4"/>
  <c r="F626" i="4"/>
  <c r="C946" i="3"/>
  <c r="F946" i="3"/>
  <c r="F957" i="4"/>
  <c r="G959" i="4"/>
  <c r="D946" i="3"/>
  <c r="G957" i="4"/>
  <c r="E959" i="4"/>
  <c r="H312" i="1"/>
  <c r="H298" i="1"/>
  <c r="D312" i="1"/>
  <c r="D298" i="1"/>
  <c r="G312" i="1"/>
  <c r="G298" i="1"/>
  <c r="F312" i="1"/>
  <c r="F298" i="1"/>
  <c r="C312" i="1"/>
  <c r="C298" i="1"/>
  <c r="H272" i="1"/>
  <c r="H251" i="1"/>
  <c r="C251" i="1"/>
  <c r="D251" i="1"/>
  <c r="F251" i="1"/>
  <c r="G251" i="1"/>
  <c r="H199" i="1"/>
  <c r="H190" i="1"/>
  <c r="G199" i="1"/>
  <c r="F199" i="1"/>
  <c r="D199" i="1"/>
  <c r="C199" i="1"/>
  <c r="F164" i="1"/>
  <c r="H55" i="1"/>
  <c r="H87" i="1"/>
  <c r="H96" i="1"/>
  <c r="H117" i="1"/>
  <c r="H135" i="1"/>
  <c r="H95" i="1"/>
  <c r="H54" i="1"/>
  <c r="H164" i="1"/>
  <c r="G164" i="1"/>
  <c r="D164" i="1"/>
  <c r="C164" i="1"/>
  <c r="C5" i="1"/>
  <c r="C33" i="1"/>
  <c r="C55" i="1"/>
  <c r="C87" i="1"/>
  <c r="C96" i="1"/>
  <c r="C117" i="1"/>
  <c r="C135" i="1"/>
  <c r="C95" i="1"/>
  <c r="C54" i="1"/>
  <c r="C149" i="1"/>
  <c r="C148" i="1"/>
  <c r="C190" i="1"/>
  <c r="C273" i="1"/>
  <c r="C272" i="1"/>
  <c r="C4" i="1"/>
  <c r="C356" i="1"/>
  <c r="G135" i="1"/>
  <c r="D135" i="1"/>
  <c r="G117" i="1"/>
  <c r="F117" i="1"/>
  <c r="D117" i="1"/>
  <c r="F55" i="1"/>
  <c r="F96" i="1"/>
  <c r="F95" i="1"/>
  <c r="F54" i="1"/>
  <c r="G96" i="1"/>
  <c r="G80" i="1"/>
  <c r="G55" i="1"/>
  <c r="G95" i="1"/>
  <c r="G54" i="1"/>
  <c r="D55" i="1"/>
  <c r="D87" i="1"/>
  <c r="D95" i="1"/>
  <c r="D54" i="1"/>
  <c r="G33" i="1"/>
  <c r="D33" i="1"/>
  <c r="F5" i="1"/>
  <c r="F152" i="1"/>
  <c r="F148" i="1"/>
  <c r="F190" i="1"/>
  <c r="F272" i="1"/>
  <c r="F4" i="1"/>
  <c r="F356" i="1"/>
  <c r="F3" i="1"/>
  <c r="G5" i="1"/>
  <c r="G149" i="1"/>
  <c r="G148" i="1"/>
  <c r="G190" i="1"/>
  <c r="G273" i="1"/>
  <c r="G272" i="1"/>
  <c r="G4" i="1"/>
  <c r="G356" i="1"/>
  <c r="G3" i="1"/>
  <c r="D30" i="1"/>
  <c r="D5" i="1"/>
  <c r="D149" i="1"/>
  <c r="D152" i="1"/>
  <c r="D148" i="1"/>
  <c r="D190" i="1"/>
  <c r="D272" i="1"/>
  <c r="D4" i="1"/>
  <c r="D356" i="1"/>
  <c r="D3" i="1"/>
  <c r="H30" i="1"/>
  <c r="H5" i="1"/>
  <c r="H149" i="1"/>
  <c r="H152" i="1"/>
  <c r="H148" i="1"/>
  <c r="H160" i="1"/>
  <c r="H4" i="1"/>
  <c r="H356" i="1"/>
  <c r="H3" i="1"/>
  <c r="H965" i="4"/>
  <c r="G965" i="4"/>
  <c r="E965" i="4"/>
  <c r="H350" i="3"/>
  <c r="H511" i="4"/>
  <c r="H602" i="4"/>
  <c r="C965" i="4"/>
  <c r="H398" i="3"/>
  <c r="C679" i="3"/>
  <c r="C625" i="3"/>
  <c r="G830" i="3"/>
  <c r="G847" i="3"/>
  <c r="D938" i="3"/>
  <c r="H931" i="3"/>
  <c r="G955" i="4"/>
  <c r="D6" i="2"/>
  <c r="D63" i="2"/>
  <c r="E165" i="2"/>
  <c r="H195" i="2"/>
  <c r="D347" i="2"/>
  <c r="E396" i="2"/>
  <c r="H165" i="3"/>
  <c r="H474" i="3"/>
  <c r="H601" i="3"/>
  <c r="G601" i="3"/>
  <c r="G618" i="3"/>
  <c r="D618" i="3"/>
  <c r="E946" i="3"/>
  <c r="G946" i="3"/>
  <c r="H946" i="3"/>
  <c r="H7" i="4"/>
  <c r="D965" i="4"/>
  <c r="C57" i="2"/>
  <c r="H266" i="2"/>
  <c r="H555" i="3"/>
  <c r="H601" i="4"/>
  <c r="D562" i="3"/>
  <c r="E847" i="3"/>
  <c r="C938" i="3"/>
  <c r="G944" i="3"/>
  <c r="C931" i="3"/>
  <c r="E931" i="3"/>
  <c r="E880" i="3"/>
  <c r="C955" i="4"/>
  <c r="D929" i="3"/>
  <c r="G58" i="2"/>
  <c r="G57" i="2"/>
  <c r="F72" i="2"/>
  <c r="F71" i="2"/>
  <c r="G103" i="2"/>
  <c r="D165" i="2"/>
  <c r="E348" i="2"/>
  <c r="E347" i="2"/>
  <c r="E508" i="2"/>
  <c r="E350" i="3"/>
  <c r="E349" i="3"/>
  <c r="E738" i="3"/>
  <c r="D830" i="3"/>
  <c r="D840" i="3"/>
  <c r="D797" i="3"/>
  <c r="C511" i="4"/>
  <c r="C474" i="4"/>
  <c r="F608" i="4"/>
  <c r="G613" i="4"/>
  <c r="E832" i="4"/>
  <c r="H832" i="4"/>
  <c r="H842" i="4"/>
  <c r="H799" i="4"/>
  <c r="F965" i="4"/>
  <c r="D72" i="3"/>
  <c r="D71" i="3"/>
  <c r="C103" i="3"/>
  <c r="C87" i="3"/>
  <c r="C196" i="3"/>
  <c r="G241" i="3"/>
  <c r="C267" i="3"/>
  <c r="G350" i="3"/>
  <c r="G349" i="3"/>
  <c r="C398" i="3"/>
  <c r="F398" i="3"/>
  <c r="E398" i="3"/>
  <c r="F462" i="3"/>
  <c r="C510" i="3"/>
  <c r="E533" i="3"/>
  <c r="E473" i="3"/>
  <c r="E397" i="3"/>
  <c r="H533" i="3"/>
  <c r="G555" i="3"/>
  <c r="F580" i="3"/>
  <c r="C574" i="3"/>
  <c r="C738" i="3"/>
  <c r="G840" i="3"/>
  <c r="E840" i="3"/>
  <c r="G59" i="4"/>
  <c r="H166" i="4"/>
  <c r="F166" i="4"/>
  <c r="F268" i="4"/>
  <c r="F242" i="4"/>
  <c r="E511" i="4"/>
  <c r="H563" i="4"/>
  <c r="G591" i="4"/>
  <c r="D586" i="4"/>
  <c r="D608" i="4"/>
  <c r="D601" i="4"/>
  <c r="D717" i="4"/>
  <c r="D626" i="4"/>
  <c r="G63" i="3"/>
  <c r="E63" i="3"/>
  <c r="E57" i="3"/>
  <c r="C72" i="3"/>
  <c r="C71" i="3"/>
  <c r="H267" i="3"/>
  <c r="H241" i="3"/>
  <c r="C350" i="3"/>
  <c r="C349" i="3"/>
  <c r="F533" i="3"/>
  <c r="H574" i="3"/>
  <c r="C590" i="3"/>
  <c r="C580" i="3"/>
  <c r="F618" i="3"/>
  <c r="G679" i="3"/>
  <c r="C59" i="4"/>
  <c r="C58" i="4"/>
  <c r="F104" i="4"/>
  <c r="F88" i="4"/>
  <c r="F71" i="4"/>
  <c r="D268" i="4"/>
  <c r="D242" i="4"/>
  <c r="G511" i="4"/>
  <c r="G474" i="4"/>
  <c r="G398" i="4"/>
  <c r="C556" i="4"/>
  <c r="G556" i="4"/>
  <c r="H556" i="4"/>
  <c r="G563" i="4"/>
  <c r="H569" i="4"/>
  <c r="E575" i="4"/>
  <c r="D569" i="4"/>
  <c r="G602" i="4"/>
  <c r="C602" i="4"/>
  <c r="C601" i="4"/>
  <c r="C626" i="4"/>
  <c r="E799" i="4"/>
  <c r="F799" i="4"/>
  <c r="C842" i="4"/>
  <c r="C799" i="4"/>
  <c r="G103" i="3"/>
  <c r="D474" i="3"/>
  <c r="C473" i="3"/>
  <c r="C397" i="3"/>
  <c r="G510" i="3"/>
  <c r="G473" i="3"/>
  <c r="F555" i="4"/>
  <c r="G88" i="4"/>
  <c r="G87" i="2"/>
  <c r="F267" i="3"/>
  <c r="F241" i="3"/>
  <c r="H349" i="3"/>
  <c r="G963" i="4"/>
  <c r="C963" i="4"/>
  <c r="G601" i="4"/>
  <c r="F347" i="2"/>
  <c r="D266" i="2"/>
  <c r="D240" i="2"/>
  <c r="C736" i="2"/>
  <c r="G57" i="3"/>
  <c r="D57" i="3"/>
  <c r="C241" i="3"/>
  <c r="D555" i="4"/>
  <c r="H735" i="2"/>
  <c r="E926" i="3"/>
  <c r="E797" i="3"/>
  <c r="H347" i="2"/>
  <c r="H52" i="2"/>
  <c r="H6" i="2"/>
  <c r="H63" i="2"/>
  <c r="H57" i="2"/>
  <c r="C508" i="2"/>
  <c r="F574" i="3"/>
  <c r="D607" i="3"/>
  <c r="D600" i="3"/>
  <c r="F58" i="2"/>
  <c r="C72" i="2"/>
  <c r="C71" i="2"/>
  <c r="H240" i="2"/>
  <c r="G266" i="2"/>
  <c r="G240" i="2"/>
  <c r="G472" i="2"/>
  <c r="G471" i="2"/>
  <c r="D736" i="2"/>
  <c r="F736" i="2"/>
  <c r="D795" i="2"/>
  <c r="G795" i="2"/>
  <c r="D103" i="3"/>
  <c r="H103" i="3"/>
  <c r="F196" i="3"/>
  <c r="E241" i="3"/>
  <c r="G462" i="3"/>
  <c r="F555" i="3"/>
  <c r="D574" i="3"/>
  <c r="E679" i="3"/>
  <c r="E59" i="4"/>
  <c r="E58" i="4"/>
  <c r="E471" i="2"/>
  <c r="E52" i="2"/>
  <c r="F63" i="2"/>
  <c r="C266" i="2"/>
  <c r="C240" i="2"/>
  <c r="D396" i="2"/>
  <c r="H396" i="2"/>
  <c r="F396" i="2"/>
  <c r="H472" i="2"/>
  <c r="E736" i="2"/>
  <c r="E950" i="2"/>
  <c r="E949" i="2"/>
  <c r="H72" i="3"/>
  <c r="H71" i="3"/>
  <c r="E103" i="3"/>
  <c r="E165" i="3"/>
  <c r="F474" i="3"/>
  <c r="D555" i="3"/>
  <c r="H625" i="3"/>
  <c r="E607" i="3"/>
  <c r="E600" i="3"/>
  <c r="G738" i="3"/>
  <c r="F738" i="3"/>
  <c r="F59" i="4"/>
  <c r="F58" i="4"/>
  <c r="D349" i="3"/>
  <c r="E6" i="2"/>
  <c r="G6" i="2"/>
  <c r="F6" i="2"/>
  <c r="D57" i="2"/>
  <c r="E63" i="2"/>
  <c r="E72" i="2"/>
  <c r="E71" i="2"/>
  <c r="H72" i="2"/>
  <c r="H71" i="2"/>
  <c r="G72" i="2"/>
  <c r="G71" i="2"/>
  <c r="G70" i="2"/>
  <c r="E103" i="2"/>
  <c r="E87" i="2"/>
  <c r="F103" i="2"/>
  <c r="D103" i="2"/>
  <c r="D87" i="2"/>
  <c r="D70" i="2"/>
  <c r="H103" i="2"/>
  <c r="H87" i="2"/>
  <c r="C165" i="2"/>
  <c r="C87" i="2"/>
  <c r="C70" i="2"/>
  <c r="F165" i="2"/>
  <c r="C195" i="2"/>
  <c r="F195" i="2"/>
  <c r="D195" i="2"/>
  <c r="F240" i="2"/>
  <c r="G347" i="2"/>
  <c r="C447" i="2"/>
  <c r="C396" i="2"/>
  <c r="G396" i="2"/>
  <c r="G395" i="2"/>
  <c r="D531" i="2"/>
  <c r="D471" i="2"/>
  <c r="D395" i="2"/>
  <c r="G736" i="2"/>
  <c r="G735" i="2"/>
  <c r="E828" i="2"/>
  <c r="E795" i="2"/>
  <c r="C63" i="3"/>
  <c r="C57" i="3"/>
  <c r="F165" i="3"/>
  <c r="E196" i="3"/>
  <c r="D533" i="3"/>
  <c r="D473" i="3"/>
  <c r="D397" i="3"/>
  <c r="F568" i="3"/>
  <c r="D580" i="3"/>
  <c r="D554" i="3"/>
  <c r="G955" i="3"/>
  <c r="G954" i="3"/>
  <c r="D64" i="4"/>
  <c r="C399" i="4"/>
  <c r="C398" i="4"/>
  <c r="E474" i="4"/>
  <c r="E398" i="4"/>
  <c r="E626" i="4"/>
  <c r="C967" i="4"/>
  <c r="F585" i="3"/>
  <c r="C562" i="3"/>
  <c r="H612" i="3"/>
  <c r="H600" i="3"/>
  <c r="G625" i="3"/>
  <c r="F679" i="3"/>
  <c r="F625" i="3"/>
  <c r="H830" i="3"/>
  <c r="D847" i="3"/>
  <c r="D7" i="4"/>
  <c r="C73" i="4"/>
  <c r="C72" i="4"/>
  <c r="D166" i="4"/>
  <c r="D88" i="4"/>
  <c r="D71" i="4"/>
  <c r="H197" i="4"/>
  <c r="G268" i="4"/>
  <c r="G242" i="4"/>
  <c r="D534" i="4"/>
  <c r="D474" i="4"/>
  <c r="D398" i="4"/>
  <c r="G575" i="4"/>
  <c r="C586" i="4"/>
  <c r="E619" i="4"/>
  <c r="E601" i="4"/>
  <c r="C847" i="4"/>
  <c r="H847" i="4"/>
  <c r="E951" i="4"/>
  <c r="E937" i="4"/>
  <c r="G961" i="4"/>
  <c r="H968" i="4"/>
  <c r="H967" i="4"/>
  <c r="G607" i="3"/>
  <c r="G600" i="3"/>
  <c r="D679" i="3"/>
  <c r="E625" i="3"/>
  <c r="C847" i="3"/>
  <c r="H64" i="4"/>
  <c r="H58" i="4"/>
  <c r="F399" i="4"/>
  <c r="F475" i="4"/>
  <c r="F474" i="4"/>
  <c r="F398" i="4"/>
  <c r="G569" i="4"/>
  <c r="G555" i="4"/>
  <c r="G554" i="4"/>
  <c r="H586" i="4"/>
  <c r="H555" i="4"/>
  <c r="H554" i="4"/>
  <c r="F619" i="4"/>
  <c r="F601" i="4"/>
  <c r="F554" i="4"/>
  <c r="G832" i="4"/>
  <c r="C961" i="4"/>
  <c r="F961" i="4"/>
  <c r="F880" i="4"/>
  <c r="F739" i="4"/>
  <c r="E104" i="4"/>
  <c r="E88" i="4"/>
  <c r="E71" i="4"/>
  <c r="H104" i="4"/>
  <c r="H88" i="4"/>
  <c r="H475" i="4"/>
  <c r="H474" i="4"/>
  <c r="H398" i="4"/>
  <c r="C569" i="4"/>
  <c r="C555" i="4"/>
  <c r="C554" i="4"/>
  <c r="E57" i="2"/>
  <c r="E395" i="2"/>
  <c r="G71" i="4"/>
  <c r="F471" i="2"/>
  <c r="F395" i="2"/>
  <c r="D735" i="2"/>
  <c r="C735" i="2"/>
  <c r="H471" i="2"/>
  <c r="H395" i="2"/>
  <c r="C471" i="2"/>
  <c r="C395" i="2"/>
  <c r="F929" i="3"/>
  <c r="H929" i="3"/>
  <c r="H797" i="3"/>
  <c r="H952" i="3"/>
  <c r="D952" i="3"/>
  <c r="D880" i="3"/>
  <c r="E7" i="4"/>
  <c r="D59" i="4"/>
  <c r="D58" i="4"/>
  <c r="G58" i="4"/>
  <c r="C104" i="4"/>
  <c r="C166" i="4"/>
  <c r="D926" i="3"/>
  <c r="C929" i="3"/>
  <c r="F795" i="2"/>
  <c r="F950" i="2"/>
  <c r="F949" i="2"/>
  <c r="F735" i="2"/>
  <c r="E846" i="2"/>
  <c r="F72" i="3"/>
  <c r="F71" i="3"/>
  <c r="F103" i="3"/>
  <c r="F87" i="3"/>
  <c r="G398" i="3"/>
  <c r="G397" i="3"/>
  <c r="H510" i="3"/>
  <c r="H473" i="3"/>
  <c r="H397" i="3"/>
  <c r="F510" i="3"/>
  <c r="F473" i="3"/>
  <c r="F397" i="3"/>
  <c r="H554" i="3"/>
  <c r="F612" i="3"/>
  <c r="F600" i="3"/>
  <c r="E562" i="3"/>
  <c r="E554" i="3"/>
  <c r="F847" i="3"/>
  <c r="D799" i="4"/>
  <c r="G799" i="4"/>
  <c r="F937" i="4"/>
  <c r="G929" i="3"/>
  <c r="F6" i="3"/>
  <c r="D87" i="3"/>
  <c r="D70" i="3"/>
  <c r="H87" i="3"/>
  <c r="H70" i="3"/>
  <c r="G165" i="3"/>
  <c r="G87" i="3"/>
  <c r="G70" i="3"/>
  <c r="F349" i="3"/>
  <c r="G580" i="3"/>
  <c r="G554" i="3"/>
  <c r="G553" i="3"/>
  <c r="C568" i="3"/>
  <c r="C554" i="3"/>
  <c r="C601" i="3"/>
  <c r="C600" i="3"/>
  <c r="D625" i="3"/>
  <c r="G797" i="3"/>
  <c r="C797" i="3"/>
  <c r="H73" i="4"/>
  <c r="H72" i="4"/>
  <c r="H71" i="4"/>
  <c r="E556" i="4"/>
  <c r="E555" i="4"/>
  <c r="G945" i="4"/>
  <c r="C945" i="4"/>
  <c r="H951" i="4"/>
  <c r="H937" i="4"/>
  <c r="D951" i="4"/>
  <c r="D937" i="4"/>
  <c r="G951" i="4"/>
  <c r="F6" i="4"/>
  <c r="E87" i="3"/>
  <c r="E70" i="3"/>
  <c r="E5" i="3"/>
  <c r="E737" i="3"/>
  <c r="D737" i="3"/>
  <c r="E70" i="2"/>
  <c r="C70" i="3"/>
  <c r="G6" i="4"/>
  <c r="E5" i="2"/>
  <c r="E735" i="2"/>
  <c r="E3" i="2"/>
  <c r="C739" i="4"/>
  <c r="C5" i="3"/>
  <c r="G5" i="3"/>
  <c r="D6" i="4"/>
  <c r="D554" i="4"/>
  <c r="D5" i="2"/>
  <c r="D3" i="2"/>
  <c r="C553" i="3"/>
  <c r="F70" i="3"/>
  <c r="H70" i="2"/>
  <c r="H5" i="2"/>
  <c r="H3" i="2"/>
  <c r="F554" i="3"/>
  <c r="F553" i="3"/>
  <c r="E553" i="3"/>
  <c r="E3" i="3"/>
  <c r="E6" i="4"/>
  <c r="C5" i="2"/>
  <c r="C3" i="2"/>
  <c r="G5" i="2"/>
  <c r="G3" i="2"/>
  <c r="E880" i="4"/>
  <c r="E739" i="4"/>
  <c r="E554" i="4"/>
  <c r="E4" i="4"/>
  <c r="D5" i="3"/>
  <c r="G880" i="4"/>
  <c r="D553" i="3"/>
  <c r="D3" i="3"/>
  <c r="F57" i="2"/>
  <c r="F87" i="2"/>
  <c r="F70" i="2"/>
  <c r="F5" i="2"/>
  <c r="F3" i="2"/>
  <c r="H6" i="4"/>
  <c r="H553" i="3"/>
  <c r="H5" i="3"/>
  <c r="C880" i="4"/>
  <c r="C937" i="4"/>
  <c r="C926" i="3"/>
  <c r="C880" i="3"/>
  <c r="C737" i="3"/>
  <c r="C3" i="3"/>
  <c r="F880" i="3"/>
  <c r="F737" i="3"/>
  <c r="F926" i="3"/>
  <c r="F5" i="3"/>
  <c r="G739" i="4"/>
  <c r="G4" i="4"/>
  <c r="H880" i="4"/>
  <c r="H739" i="4"/>
  <c r="G937" i="4"/>
  <c r="D880" i="4"/>
  <c r="D739" i="4"/>
  <c r="D4" i="4"/>
  <c r="F4" i="4"/>
  <c r="G880" i="3"/>
  <c r="G737" i="3"/>
  <c r="G3" i="3"/>
  <c r="G926" i="3"/>
  <c r="C88" i="4"/>
  <c r="C71" i="4"/>
  <c r="C6" i="4"/>
  <c r="C4" i="4"/>
  <c r="H880" i="3"/>
  <c r="H737" i="3"/>
  <c r="H926" i="3"/>
  <c r="H4" i="4"/>
  <c r="F3" i="3"/>
  <c r="H3" i="3"/>
  <c r="E347" i="5"/>
  <c r="G346" i="5"/>
  <c r="G347" i="5"/>
  <c r="D472" i="5"/>
  <c r="C618" i="1" l="1"/>
  <c r="C614" i="1" s="1"/>
  <c r="C3" i="1" s="1"/>
  <c r="H472" i="5"/>
  <c r="C723" i="5"/>
  <c r="C748" i="5"/>
  <c r="C747" i="5" s="1"/>
  <c r="G6" i="5"/>
  <c r="G108" i="5"/>
  <c r="F22" i="5"/>
  <c r="H126" i="5"/>
  <c r="H715" i="5"/>
  <c r="H729" i="5"/>
  <c r="C108" i="5"/>
  <c r="C525" i="5"/>
  <c r="C22" i="5"/>
  <c r="H6" i="5"/>
  <c r="E69" i="5"/>
  <c r="D69" i="5"/>
  <c r="G373" i="5"/>
  <c r="E22" i="5"/>
  <c r="E515" i="5"/>
  <c r="F515" i="5"/>
  <c r="F483" i="5"/>
  <c r="F479" i="5" s="1"/>
  <c r="G22" i="5"/>
  <c r="D518" i="5"/>
  <c r="E472" i="5"/>
  <c r="E518" i="5"/>
  <c r="G522" i="5"/>
  <c r="G515" i="5"/>
  <c r="H551" i="5"/>
  <c r="H518" i="5"/>
  <c r="G518" i="5"/>
  <c r="G199" i="5"/>
  <c r="D126" i="5"/>
  <c r="F373" i="5"/>
  <c r="G44" i="5"/>
  <c r="H517" i="5"/>
  <c r="C706" i="5"/>
  <c r="D729" i="5"/>
  <c r="C44" i="5"/>
  <c r="E165" i="5"/>
  <c r="D517" i="5"/>
  <c r="D495" i="5"/>
  <c r="E521" i="5"/>
  <c r="F517" i="5"/>
  <c r="G521" i="5"/>
  <c r="H521" i="5"/>
  <c r="D706" i="5"/>
  <c r="C186" i="5"/>
  <c r="H614" i="5"/>
  <c r="F199" i="5"/>
  <c r="E195" i="5"/>
  <c r="H165" i="5"/>
  <c r="E100" i="5"/>
  <c r="F6" i="5"/>
  <c r="D467" i="5"/>
  <c r="F521" i="5"/>
  <c r="G514" i="5"/>
  <c r="E621" i="5"/>
  <c r="E620" i="5" s="1"/>
  <c r="D723" i="5"/>
  <c r="H723" i="5"/>
  <c r="E729" i="5"/>
  <c r="C116" i="5"/>
  <c r="H311" i="5"/>
  <c r="H310" i="5" s="1"/>
  <c r="C563" i="5"/>
  <c r="G683" i="5"/>
  <c r="G657" i="5" s="1"/>
  <c r="E126" i="5"/>
  <c r="G179" i="5"/>
  <c r="H179" i="5"/>
  <c r="F601" i="5"/>
  <c r="F100" i="5"/>
  <c r="H69" i="5"/>
  <c r="F179" i="5"/>
  <c r="E520" i="5"/>
  <c r="G483" i="5"/>
  <c r="G479" i="5" s="1"/>
  <c r="G740" i="5"/>
  <c r="C472" i="5"/>
  <c r="C69" i="5"/>
  <c r="D683" i="5"/>
  <c r="D657" i="5" s="1"/>
  <c r="D48" i="5"/>
  <c r="D47" i="5" s="1"/>
  <c r="E48" i="5"/>
  <c r="E47" i="5" s="1"/>
  <c r="D520" i="5"/>
  <c r="D691" i="5"/>
  <c r="H691" i="5"/>
  <c r="E706" i="5"/>
  <c r="G723" i="5"/>
  <c r="H748" i="5"/>
  <c r="H747" i="5" s="1"/>
  <c r="E683" i="5"/>
  <c r="H683" i="5"/>
  <c r="D614" i="5"/>
  <c r="G614" i="5"/>
  <c r="D147" i="5"/>
  <c r="G126" i="5"/>
  <c r="E6" i="5"/>
  <c r="F116" i="5"/>
  <c r="E495" i="5"/>
  <c r="F467" i="5"/>
  <c r="F520" i="5"/>
  <c r="G472" i="5"/>
  <c r="G456" i="5"/>
  <c r="G520" i="5"/>
  <c r="D621" i="5"/>
  <c r="D620" i="5" s="1"/>
  <c r="H709" i="5"/>
  <c r="F723" i="5"/>
  <c r="E68" i="5"/>
  <c r="D563" i="5"/>
  <c r="D601" i="5"/>
  <c r="G165" i="5"/>
  <c r="D165" i="5"/>
  <c r="D125" i="5" s="1"/>
  <c r="E614" i="5"/>
  <c r="E467" i="5"/>
  <c r="E462" i="5"/>
  <c r="E456" i="5"/>
  <c r="E525" i="5"/>
  <c r="E483" i="5"/>
  <c r="E479" i="5" s="1"/>
  <c r="F472" i="5"/>
  <c r="G525" i="5"/>
  <c r="H513" i="5"/>
  <c r="E715" i="5"/>
  <c r="C740" i="5"/>
  <c r="F709" i="5"/>
  <c r="G195" i="5"/>
  <c r="D195" i="5"/>
  <c r="F186" i="5"/>
  <c r="D186" i="5"/>
  <c r="E186" i="5"/>
  <c r="F614" i="5"/>
  <c r="F600" i="5" s="1"/>
  <c r="F657" i="5"/>
  <c r="H22" i="5"/>
  <c r="H5" i="5" s="1"/>
  <c r="H108" i="5"/>
  <c r="D373" i="5"/>
  <c r="E409" i="5"/>
  <c r="E116" i="5"/>
  <c r="H147" i="5"/>
  <c r="H125" i="5" s="1"/>
  <c r="D456" i="5"/>
  <c r="E513" i="5"/>
  <c r="G523" i="5"/>
  <c r="H525" i="5"/>
  <c r="H523" i="5"/>
  <c r="H706" i="5"/>
  <c r="F706" i="5"/>
  <c r="F715" i="5"/>
  <c r="C179" i="5"/>
  <c r="C126" i="5"/>
  <c r="D740" i="5"/>
  <c r="C6" i="5"/>
  <c r="G289" i="5"/>
  <c r="D289" i="5"/>
  <c r="F237" i="5"/>
  <c r="G237" i="5"/>
  <c r="H237" i="5"/>
  <c r="E237" i="5"/>
  <c r="H48" i="5"/>
  <c r="H47" i="5" s="1"/>
  <c r="F69" i="5"/>
  <c r="H657" i="5"/>
  <c r="E373" i="5"/>
  <c r="D6" i="5"/>
  <c r="H289" i="5"/>
  <c r="G100" i="5"/>
  <c r="G68" i="5" s="1"/>
  <c r="F126" i="5"/>
  <c r="D462" i="5"/>
  <c r="D513" i="5"/>
  <c r="E523" i="5"/>
  <c r="F523" i="5"/>
  <c r="F513" i="5"/>
  <c r="G467" i="5"/>
  <c r="G513" i="5"/>
  <c r="H462" i="5"/>
  <c r="D733" i="5"/>
  <c r="H733" i="5"/>
  <c r="C165" i="5"/>
  <c r="C48" i="5"/>
  <c r="C47" i="5" s="1"/>
  <c r="C495" i="5"/>
  <c r="D100" i="5"/>
  <c r="D68" i="5" s="1"/>
  <c r="F289" i="5"/>
  <c r="G116" i="5"/>
  <c r="D483" i="5"/>
  <c r="D479" i="5" s="1"/>
  <c r="G748" i="5"/>
  <c r="G747" i="5" s="1"/>
  <c r="D199" i="5"/>
  <c r="G563" i="5"/>
  <c r="H601" i="5"/>
  <c r="H600" i="5" s="1"/>
  <c r="E289" i="5"/>
  <c r="H195" i="5"/>
  <c r="G186" i="5"/>
  <c r="G178" i="5" s="1"/>
  <c r="F165" i="5"/>
  <c r="G48" i="5"/>
  <c r="G47" i="5" s="1"/>
  <c r="H186" i="5"/>
  <c r="H178" i="5" s="1"/>
  <c r="G311" i="5"/>
  <c r="G310" i="5" s="1"/>
  <c r="E311" i="5"/>
  <c r="E310" i="5" s="1"/>
  <c r="H409" i="5"/>
  <c r="F563" i="5"/>
  <c r="F108" i="5"/>
  <c r="E601" i="5"/>
  <c r="D525" i="5"/>
  <c r="F525" i="5"/>
  <c r="F495" i="5"/>
  <c r="H467" i="5"/>
  <c r="H519" i="5"/>
  <c r="H621" i="5"/>
  <c r="H620" i="5" s="1"/>
  <c r="E691" i="5"/>
  <c r="G706" i="5"/>
  <c r="D709" i="5"/>
  <c r="E709" i="5"/>
  <c r="C709" i="5"/>
  <c r="D715" i="5"/>
  <c r="F729" i="5"/>
  <c r="E740" i="5"/>
  <c r="E748" i="5"/>
  <c r="E747" i="5" s="1"/>
  <c r="D748" i="5"/>
  <c r="D747" i="5" s="1"/>
  <c r="C456" i="5"/>
  <c r="C289" i="5"/>
  <c r="F551" i="5"/>
  <c r="C551" i="5"/>
  <c r="D409" i="5"/>
  <c r="F409" i="5"/>
  <c r="G601" i="5"/>
  <c r="G147" i="5"/>
  <c r="E147" i="5"/>
  <c r="F48" i="5"/>
  <c r="F47" i="5" s="1"/>
  <c r="F44" i="5"/>
  <c r="D116" i="5"/>
  <c r="D519" i="5"/>
  <c r="D551" i="5"/>
  <c r="E519" i="5"/>
  <c r="F462" i="5"/>
  <c r="F456" i="5"/>
  <c r="H522" i="5"/>
  <c r="H514" i="5"/>
  <c r="G621" i="5"/>
  <c r="G620" i="5" s="1"/>
  <c r="G691" i="5"/>
  <c r="G715" i="5"/>
  <c r="E733" i="5"/>
  <c r="F733" i="5"/>
  <c r="C483" i="5"/>
  <c r="C479" i="5" s="1"/>
  <c r="C462" i="5"/>
  <c r="C614" i="5"/>
  <c r="C195" i="5"/>
  <c r="C683" i="5"/>
  <c r="C657" i="5" s="1"/>
  <c r="C373" i="5"/>
  <c r="H563" i="5"/>
  <c r="E199" i="5"/>
  <c r="H199" i="5"/>
  <c r="F147" i="5"/>
  <c r="E563" i="5"/>
  <c r="H373" i="5"/>
  <c r="D44" i="5"/>
  <c r="E44" i="5"/>
  <c r="E5" i="5" s="1"/>
  <c r="H100" i="5"/>
  <c r="H68" i="5" s="1"/>
  <c r="D522" i="5"/>
  <c r="D514" i="5"/>
  <c r="E522" i="5"/>
  <c r="E514" i="5"/>
  <c r="F522" i="5"/>
  <c r="F514" i="5"/>
  <c r="G519" i="5"/>
  <c r="G495" i="5"/>
  <c r="G551" i="5"/>
  <c r="H456" i="5"/>
  <c r="H483" i="5"/>
  <c r="H479" i="5" s="1"/>
  <c r="F621" i="5"/>
  <c r="F620" i="5" s="1"/>
  <c r="F691" i="5"/>
  <c r="G733" i="5"/>
  <c r="C237" i="5"/>
  <c r="C228" i="5" s="1"/>
  <c r="C199" i="5"/>
  <c r="C147" i="5"/>
  <c r="C125" i="5" s="1"/>
  <c r="C621" i="5"/>
  <c r="C620" i="5" s="1"/>
  <c r="C601" i="5"/>
  <c r="C409" i="5"/>
  <c r="C733" i="5"/>
  <c r="D237" i="5"/>
  <c r="G729" i="5"/>
  <c r="C467" i="5"/>
  <c r="C100" i="5"/>
  <c r="C68" i="5" s="1"/>
  <c r="F195" i="5"/>
  <c r="F748" i="5"/>
  <c r="F747" i="5" s="1"/>
  <c r="F740" i="5"/>
  <c r="H228" i="5"/>
  <c r="E108" i="5"/>
  <c r="E657" i="5"/>
  <c r="D22" i="5"/>
  <c r="D179" i="5"/>
  <c r="D178" i="5" s="1"/>
  <c r="G709" i="5"/>
  <c r="C506" i="5"/>
  <c r="C311" i="5"/>
  <c r="C310" i="5" s="1"/>
  <c r="G409" i="5"/>
  <c r="G372" i="5" s="1"/>
  <c r="E179" i="5"/>
  <c r="F311" i="5"/>
  <c r="F310" i="5" s="1"/>
  <c r="C178" i="5"/>
  <c r="D311" i="5"/>
  <c r="D310" i="5" s="1"/>
  <c r="C690" i="5" l="1"/>
  <c r="C686" i="5" s="1"/>
  <c r="F178" i="5"/>
  <c r="F228" i="5"/>
  <c r="F5" i="5"/>
  <c r="G600" i="5"/>
  <c r="F372" i="5"/>
  <c r="E178" i="5"/>
  <c r="E600" i="5"/>
  <c r="H690" i="5"/>
  <c r="H686" i="5" s="1"/>
  <c r="G455" i="5"/>
  <c r="C5" i="5"/>
  <c r="G5" i="5"/>
  <c r="E506" i="5"/>
  <c r="E478" i="5" s="1"/>
  <c r="F68" i="5"/>
  <c r="F67" i="5" s="1"/>
  <c r="F4" i="5" s="1"/>
  <c r="F506" i="5"/>
  <c r="F478" i="5" s="1"/>
  <c r="D690" i="5"/>
  <c r="D686" i="5" s="1"/>
  <c r="E372" i="5"/>
  <c r="D600" i="5"/>
  <c r="C372" i="5"/>
  <c r="E125" i="5"/>
  <c r="G125" i="5"/>
  <c r="G67" i="5" s="1"/>
  <c r="G4" i="5" s="1"/>
  <c r="E690" i="5"/>
  <c r="E686" i="5" s="1"/>
  <c r="D455" i="5"/>
  <c r="D372" i="5"/>
  <c r="E455" i="5"/>
  <c r="E454" i="5" s="1"/>
  <c r="E453" i="5" s="1"/>
  <c r="D67" i="5"/>
  <c r="E228" i="5"/>
  <c r="G228" i="5"/>
  <c r="D228" i="5"/>
  <c r="C600" i="5"/>
  <c r="G506" i="5"/>
  <c r="G478" i="5" s="1"/>
  <c r="F125" i="5"/>
  <c r="F690" i="5"/>
  <c r="F686" i="5" s="1"/>
  <c r="H67" i="5"/>
  <c r="F455" i="5"/>
  <c r="G690" i="5"/>
  <c r="G686" i="5" s="1"/>
  <c r="C455" i="5"/>
  <c r="H455" i="5"/>
  <c r="D506" i="5"/>
  <c r="D478" i="5" s="1"/>
  <c r="H506" i="5"/>
  <c r="H478" i="5" s="1"/>
  <c r="D5" i="5"/>
  <c r="H372" i="5"/>
  <c r="C67" i="5"/>
  <c r="E67" i="5"/>
  <c r="E4" i="5" s="1"/>
  <c r="C478" i="5"/>
  <c r="G454" i="5" l="1"/>
  <c r="G453" i="5" s="1"/>
  <c r="F454" i="5"/>
  <c r="F453" i="5" s="1"/>
  <c r="H4" i="5"/>
  <c r="D454" i="5"/>
  <c r="D453" i="5" s="1"/>
  <c r="C4" i="5"/>
  <c r="D4" i="5"/>
  <c r="F3" i="5"/>
  <c r="G3" i="5"/>
  <c r="H454" i="5"/>
  <c r="E3" i="5"/>
  <c r="C454" i="5"/>
  <c r="C453" i="5" s="1"/>
  <c r="C3" i="5" s="1"/>
  <c r="D3" i="5" l="1"/>
  <c r="H3" i="5"/>
</calcChain>
</file>

<file path=xl/sharedStrings.xml><?xml version="1.0" encoding="utf-8"?>
<sst xmlns="http://schemas.openxmlformats.org/spreadsheetml/2006/main" count="22592" uniqueCount="9332">
  <si>
    <t>№</t>
  </si>
  <si>
    <t>SCORES</t>
  </si>
  <si>
    <t>UKRAINE</t>
  </si>
  <si>
    <t>MOLDOVA</t>
  </si>
  <si>
    <t>BELARUS</t>
  </si>
  <si>
    <t>GEORGIA</t>
  </si>
  <si>
    <t>ARMENIA</t>
  </si>
  <si>
    <t>AZERBAIJAN</t>
  </si>
  <si>
    <t>STANDARDISATION</t>
  </si>
  <si>
    <t>Best (Lithuania)</t>
  </si>
  <si>
    <t>QUESTION</t>
  </si>
  <si>
    <t>Raw data (end of 2015 -2016)</t>
  </si>
  <si>
    <t>TOTAL APPROXIMATION</t>
  </si>
  <si>
    <t>DEEP AND SUSTAINABLE DEMOCRACY (DEMOCRACY &amp; HUMAN RIGHTS)</t>
  </si>
  <si>
    <t>Democratic Rights and Elections, including political pluralism</t>
  </si>
  <si>
    <t>1.1.1</t>
  </si>
  <si>
    <t>Fair electoral campaign</t>
  </si>
  <si>
    <t>Are candidates / parties provided equitable access to state-owned media? Yes/No</t>
  </si>
  <si>
    <t>1-0, 0.5, 0.00 - difference between free airtime and news coverage</t>
  </si>
  <si>
    <t>Are political parties provided with public funds to finance their campaign? Yes/No</t>
  </si>
  <si>
    <t>1-0, 0.5, 0.00 - Calibration</t>
  </si>
  <si>
    <t>Is there an independent (state) mechanism for identifying bias in the state media, and is identified bias subject to swift correction? Yes/No</t>
  </si>
  <si>
    <t>1-0, 0.5, 0.00, Calibration. An 0.5 indicates that an independent mechanism exists, but that its evaluations usually do not lead to corrections</t>
  </si>
  <si>
    <t>1.1.2</t>
  </si>
  <si>
    <t>Legal framework and its implementation</t>
  </si>
  <si>
    <t xml:space="preserve">Is the electoral legislation implemented? Yes/No </t>
  </si>
  <si>
    <t>1-0, 0.5, 0.00, Calibration. 0.5 indicates that legislation is implemented but significant irregularities are reported.</t>
  </si>
  <si>
    <t>Is the electoral legislation broadly perceived to be legitimate? Yes/No</t>
  </si>
  <si>
    <t>1-0, 0.5, 0.00, Calibration, 0.5 - legislation is good but badly implemented</t>
  </si>
  <si>
    <t>Are fair and effective systems for constituency demarcation and seat allocation in place and used according to the rules? Yes/No</t>
  </si>
  <si>
    <t>1-0, 0.5, 0.00, Calibration, 0.5 - there are shortcomings</t>
  </si>
  <si>
    <t>1.1.3</t>
  </si>
  <si>
    <t>Organisation of elections</t>
  </si>
  <si>
    <t>Are there appropriate mechanisms for ensuring that the information in the voter register is accurate? Yes/No</t>
  </si>
  <si>
    <t>1-0, 0.5, 0.00, Calibration. 0.5 indicates that appropriate mechanisms exist, but that their functioning is constrained</t>
  </si>
  <si>
    <t>Are the criteria for registration of parties and candidates fair and reasonable and compliant with international standards? Yes/No</t>
  </si>
  <si>
    <t>1-0, 0.5, 0.00, Calibration. 0.5 indicates several shortcomings or unclear criteria</t>
  </si>
  <si>
    <t>Are parties allowed, and can parties and candidates who fulfil the requirements of registration be registered without bias? Yes/No</t>
  </si>
  <si>
    <t>1-0</t>
  </si>
  <si>
    <t>Are independent candidates allowed and registered if they fulfil legal requirements? Yes/No</t>
  </si>
  <si>
    <t>1.0, 0.5, or 0.0. N/A if a country's electoral system precludes independent candidatures.</t>
  </si>
  <si>
    <t>Is the electoral management commission perceived as impartial, transparent and legitimate by parties and voters? Yes/No</t>
  </si>
  <si>
    <t>1.0, 0.5, or 0.0.</t>
  </si>
  <si>
    <t>Is the method of voting or the design of the ballot paper non-discriminatory? Yes/No</t>
  </si>
  <si>
    <t>Is polling accessible, secure and secret? Yes/No</t>
  </si>
  <si>
    <t>Calibration, 1.0, 0.5, or 0.0. 0.5 indicates limitations to accessibility, security and secrecy</t>
  </si>
  <si>
    <t>Are there systems in place to preclude and/ or rectify fraudulent voting? Yes/No</t>
  </si>
  <si>
    <t>Calibration, 1.0, 0.5, or 0.0. 0.5 indicates partially ineffective systems</t>
  </si>
  <si>
    <t>Are there systems in place to preclude vote buying? Yes/No</t>
  </si>
  <si>
    <t>Calibration, 1.0, 0.5, or 0.0. 0.5 indicates ineffective prevention systems or observed practices of vote buying</t>
  </si>
  <si>
    <t xml:space="preserve">Can the voters express their free will without intimidation  Yes/No  </t>
  </si>
  <si>
    <t xml:space="preserve">Calibration, 1.0, 0.5, or 0.0. 0.5 indicates intermediate levels of intimidation. </t>
  </si>
  <si>
    <t>If there is substantial desire for election observation, is the desire satisfied? Yes/No</t>
  </si>
  <si>
    <t xml:space="preserve">Calibration. 0.5 indicates intermediate levels </t>
  </si>
  <si>
    <t>Is the count conducted with integrity and accuracy? Yes/No</t>
  </si>
  <si>
    <t>Calibration, 1.0, 0.5, or 0.0. 0.5 indicates significant extent of counting problems</t>
  </si>
  <si>
    <t>Are parties and candidates allowed to observe the count? Yes/No</t>
  </si>
  <si>
    <t>1.0, 0.5, or 0.0. 0.5 indicates that observers are limited</t>
  </si>
  <si>
    <t>Is there an appropriate system of appeal which operates in an impartial and non-partisan manner? Yes/No</t>
  </si>
  <si>
    <t>Calibration, 1.0, 0.5, or 0.0. 0.5 indicates operation problems of the appeal system</t>
  </si>
  <si>
    <t>Do election observation organisations confirm that the elections were without serious problems? Yes/No</t>
  </si>
  <si>
    <t>1.1.4</t>
  </si>
  <si>
    <t>Electoral Competitiveness</t>
  </si>
  <si>
    <t xml:space="preserve">Vote differential between strongest party / electoral alliance and main opposition party/ alliance, most recent legislative elections: Difference between vote shares in percentage points </t>
  </si>
  <si>
    <t>Linear transformation, best = 0, worst = 100</t>
  </si>
  <si>
    <t>1.2.1</t>
  </si>
  <si>
    <t xml:space="preserve">Violations of civil liberties and human rights </t>
  </si>
  <si>
    <t>Personal autonomy and individual rights (Freedom House, Freedom in the World 2016, subscore https://freedomhouse.org/sites/default/files/Sub%20Category%20Scores%20FIW%202016.xlsx</t>
  </si>
  <si>
    <t>Freedom of expression and belief (Freedom House, Freedom in the World 2016, subscore https://freedomhouse.org/sites/default/files/Sub%20Category%20Scores%20FIW%202016.xlsx</t>
  </si>
  <si>
    <t xml:space="preserve">To what extent are civil rights guaranteed and protected, and to what extent can citizens seek redress for violations of these rights? Bertelsmann Transformation Index 2016 https://www.bti-project.org/en/reports/country-reports/ </t>
  </si>
  <si>
    <t xml:space="preserve">Are there any political prisoners in the country according to the definition elaborated by PACE?   </t>
  </si>
  <si>
    <t>Does the government accept the verdicts of the European Court of Human Rights?</t>
  </si>
  <si>
    <t xml:space="preserve">Are conditions at prisons and other penitentiary institutions in compliance with the European Court of Human Rights and CPT standards? (sources: ECfHR judgments, CPT reports) </t>
  </si>
  <si>
    <t xml:space="preserve">Is there an independent mechanism outside of the law-enforcement system to investigate reports of torture or other cruel, inhumane or degrading treatment committed by law enforcers?  </t>
  </si>
  <si>
    <t xml:space="preserve">Does the legislative framework and existing practices ensure effective protection of the right to privacy? </t>
  </si>
  <si>
    <t>1.2.2</t>
  </si>
  <si>
    <t xml:space="preserve">Legal framework </t>
  </si>
  <si>
    <t>Did your country ratify the European Convention of Human Rights? Yes/No</t>
  </si>
  <si>
    <t>Is there an effective system of legal aid, especially free of charge legal aid for people with limited financial means? Yes/No</t>
  </si>
  <si>
    <t xml:space="preserve"> Is the death penalty abolished by law?Yes/No</t>
  </si>
  <si>
    <t>Did your country ratify the European Convention for the Prevention of Torture and Inhuman or Degrading Treatment or Punishment?  - Yes/No</t>
  </si>
  <si>
    <t>Did your country request the publication of the latest European Committee for Prevention of Torture (CPT) reports (2015-2016)? - Yes/No        http://www.cpt.coe.int/en/states.htm</t>
  </si>
  <si>
    <t>Did you country ratify the Optional Protocol to the UN Convention against Torture (OPCAT) and other Cruel, Inhuman or Degrading treatment or +punishment? Yes/No</t>
  </si>
  <si>
    <t>Is there a National Preventive Mechanism according to the OPCAT criteria in your country?  Yes/No</t>
  </si>
  <si>
    <t>Accountability</t>
  </si>
  <si>
    <t>1.3.1</t>
  </si>
  <si>
    <t>Executive accountability to legislature</t>
  </si>
  <si>
    <t>1.3.1.1</t>
  </si>
  <si>
    <t>Legislature’s influence over executive</t>
  </si>
  <si>
    <t xml:space="preserve">Does the legislature have powers of summons over executive branch officials? Does the legislature or its committees hold regular hearings with executive branch officials? Yes/No </t>
  </si>
  <si>
    <t>Can the legislature conduct independent investigations of the chief executive and the agencies of the executive? Yes/No</t>
  </si>
  <si>
    <t>Calibration, 0.5 - partially</t>
  </si>
  <si>
    <t>Does the legislature have effective powers of oversight over the agencies of coercion (the military, police, intelligence services)? Yes/No</t>
  </si>
  <si>
    <t xml:space="preserve">1-0, 0.5 - difference between law and practice. </t>
  </si>
  <si>
    <t>Does the legislature appoint the prime minister? Is the legislature able to appoint the PM against the will of the president?</t>
  </si>
  <si>
    <t>Calibration. Coded 1 if the parliament appoints the PM or if the president appoints the PM but is obliged to select the candidate who enjoys the support of parliament</t>
  </si>
  <si>
    <t>Does the legislature approve the appointment of ministers or appoint ministers? Yes/No</t>
  </si>
  <si>
    <t xml:space="preserve">Can the legislature vote no confidence in the government? Yes/No </t>
  </si>
  <si>
    <t>1.3.1.2</t>
  </si>
  <si>
    <t>Legislature’s institutional autonomy</t>
  </si>
  <si>
    <t xml:space="preserve">Are laws passed by the legislature veto-proof? That is, does the executive lack veto power or can an executive veto be overridden by a majority in the legislature? Yes/No </t>
  </si>
  <si>
    <t>Calibration. Cases where an executive veto can only be overridden by a qualified majority are scored 0.</t>
  </si>
  <si>
    <t xml:space="preserve"> Is the legislature entitled to initiate bills in all policy areas? Does the executive lack gatekeeping authority? Yes/No</t>
  </si>
  <si>
    <t>1-0. Cases where only the right to introduce the state budget bill is reserved for the executive are coded 1; however, if the legislature's right of amending the state budget is constrained by prior executive approval, the coding is 0.</t>
  </si>
  <si>
    <t>Does the executive lack the power to impound funds appropriated by the legislature? Yes/No</t>
  </si>
  <si>
    <t>Does the legislature control the resources that finance its own internal operation and provide for the prerequisites of its members? Yes/No</t>
  </si>
  <si>
    <t>Are all members of the legislature elected? Does the executive lack the power to appoint any members of the legislature? Yes/No</t>
  </si>
  <si>
    <t>1.3.1.3</t>
  </si>
  <si>
    <t>Legislature’s specific powers</t>
  </si>
  <si>
    <t>Can the legislature alone, without the involvement of any other agencies, change the Constitution? Yes/No</t>
  </si>
  <si>
    <t>Does the legislature have to approve treaties with foreign countries? Yes/No</t>
  </si>
  <si>
    <t xml:space="preserve">Does the legislature have the power to grant amnesty? Yes/No </t>
  </si>
  <si>
    <t>Does the legislature appoint the governor of the central bank? Yes/No</t>
  </si>
  <si>
    <t xml:space="preserve">Can the legislature influence the operation of the state-owned media? Yes/No </t>
  </si>
  <si>
    <t>1.3.1.4</t>
  </si>
  <si>
    <t>Legislature’s institutional capacity</t>
  </si>
  <si>
    <t>Does each legislator have a personal secretary? Yes/No</t>
  </si>
  <si>
    <t>Does each legislator have at least one non-secretarial staff with policy expertise?  Yes/No</t>
  </si>
  <si>
    <t xml:space="preserve">How experienced are legislators? Number of MPs re-elected / total number of MPs (current legislature compared with previous). </t>
  </si>
  <si>
    <t>1.3.1.5</t>
  </si>
  <si>
    <t>Conditions for opposition</t>
  </si>
  <si>
    <t>Are the chairs of parliamentary committees allocated on the basis of proportional representation? Yes/No</t>
  </si>
  <si>
    <t>Are parliamentary committees composed on the basis of proportional representation? Yes/No</t>
  </si>
  <si>
    <t>Calibration</t>
  </si>
  <si>
    <t xml:space="preserve">Is speaking time in plenary sittings allotted on an equitable basis or according to the respective weight of political groups? </t>
  </si>
  <si>
    <t>Calibration.</t>
  </si>
  <si>
    <t xml:space="preserve">Seat differential between governing party / coalition and main opposition party / alliance, Difference between seat shares in % points  as of June 2014  (1st chamber of parliament.). </t>
  </si>
  <si>
    <t xml:space="preserve">Share of bills submitted by the opposition: Number of bills submitted by opposition deputies / number of total bills submitted, most recent terminated legislative period (This ratio refers to submitted bills as adopted bills may have been changed significantly so that they may no longer represent opposition positions. The ratio is calculated from data for the most recent terminated legislative period because data on an annual basis may be skewed by the occurence of elections and ensuing changes in parliamentary power constellations.) </t>
  </si>
  <si>
    <t xml:space="preserve">Cohesion of parliamentary groups: Number of MPs who changed their group affiliation during the most recent legislative period / total number of deputies. </t>
  </si>
  <si>
    <t>1.3.2</t>
  </si>
  <si>
    <t>Transparent budgeting</t>
  </si>
  <si>
    <t>Does the government provide multi-year fiscal forecasts of revenue and expenditure aggregates and potential deficit financing? Yes/No</t>
  </si>
  <si>
    <t>How many of the following elements of fiscal information does the government make available to the public?</t>
  </si>
  <si>
    <t>1. Budget and budget supporting documents (macro-economic assumptions. fiscal deficit. deficit financing. debt stock. financial assets. prior year’s budget outturn. current year’s budget. explanation of budget implications of new policy initiatives): Yes/No</t>
  </si>
  <si>
    <t>2. In-year budget execution reports: Yes/No</t>
  </si>
  <si>
    <t>3. Year-end financial statements: Yes/No</t>
  </si>
  <si>
    <t>4. Resources available to primary service units with national coverage in at least two sectors (such as elementary schools and health care): Yes/No</t>
  </si>
  <si>
    <t>1.3.3</t>
  </si>
  <si>
    <t xml:space="preserve">Democratic control over security and law enforcement institutions  </t>
  </si>
  <si>
    <t>1.3.3.1</t>
  </si>
  <si>
    <t xml:space="preserve"> Internal control</t>
  </si>
  <si>
    <t>Is there a law and internal regulations prescribing clearly the principle of proportionality in applying coercive powers? (e.g. In case of crowd control (also called riot control) regulations should prescribe clearly what tactics to be used, when to use lethal and non-lethal weaponry). Is there a prohibition to use lethal weapons in crowd control? If not, are the exceptions very strictly defined? Yes/No</t>
  </si>
  <si>
    <t>Calibration, 0.5 if the law not implemented</t>
  </si>
  <si>
    <t>Have there been any instances of violation of the principle of proportionality during crowd control (eg. during protests and public gatherings) for the past 3 years? Yes/No</t>
  </si>
  <si>
    <t>Positive answer scores "0" and negative answer scores "1"</t>
  </si>
  <si>
    <t>Is there an internal control and enforcement mechanism to deal with abuse of power by security and law enforcement actors (this could be an internal investigative unit and a disciplinary committee; abuse of power is defined by law)…?  Yes/No (N.B. This question refers to investigation of abuses that affect civilians (eg. internal investigation on use of lethal weapons during protests)</t>
  </si>
  <si>
    <t>within police</t>
  </si>
  <si>
    <t>1-0, 0.5 - partially</t>
  </si>
  <si>
    <t xml:space="preserve"> within army</t>
  </si>
  <si>
    <t>within security and intelligence service</t>
  </si>
  <si>
    <t>Is there an internal confidential complaint mechanism against illegal and discriminatory actions and orders within security and law enforcement forces (focal point for reporting abuses and cases of discrimination, distinct of a hierarchical superior)…? Yes/No (N.B. This question checks if somebody (a victim from within the forces) is able to complain about his/her case (eg. gender discrimination, sexual harassment).This question checks if somebody (a victim from within the forces) is able to complain about his/her case (eg. gender discrimination, sexual harassment, hazing).</t>
  </si>
  <si>
    <t>1.3.3.2</t>
  </si>
  <si>
    <t>Parliamentary oversight</t>
  </si>
  <si>
    <t xml:space="preserve">Does the parliament have the right to initiate investigations and organise hearings on functioning or/and abuses by security and law enforcement forces? Yes/No. </t>
  </si>
  <si>
    <t>1-0, 0.5 - difference between law and practice</t>
  </si>
  <si>
    <t>Is the Parliament represented in the National Security (and defence) Council? Yes/No</t>
  </si>
  <si>
    <t>1-0, 0.5 - participation even without membership</t>
  </si>
  <si>
    <t>Are decisions of the National Security (and defence) Council subject to parliamentary scrutiny? Yes/No</t>
  </si>
  <si>
    <t>Is the Parliament consulted before the President declares war or launches military operations? Yes/No</t>
  </si>
  <si>
    <t>Is the Parliament consulted by the President in making appointments to highest ranks of security and armed forces? (Minister of Defence, Minister of Interior, Supreme Chief of Staff, generals). Yes/No </t>
  </si>
  <si>
    <t xml:space="preserve"> Are all political parties, including opposition, represented in the parliamentary oversight bodies?  Yes/No
</t>
  </si>
  <si>
    <t>Do management institutions (Ministry of Defence, Ministry of Interior, Ministry of Justice, Intelligence and Security Agency) regularly report to the Parliament on implementation of policies? Are the reports public? Yes/No</t>
  </si>
  <si>
    <t xml:space="preserve">Does the Ombudsman have competence to undertake investigations and site visit in cases of human rights abuse by security and law enforcement bodies? Yes/No </t>
  </si>
  <si>
    <t>Does the Ombudsman issue public annual reports which include the situation of human rights in the security and law enforcement institutions? Yes/No</t>
  </si>
  <si>
    <t>1.3.3.3</t>
  </si>
  <si>
    <t xml:space="preserve"> Transparency  </t>
  </si>
  <si>
    <t>Is there a dedicated unit responsible for public and media relations in the following management institutions...?  </t>
  </si>
  <si>
    <t>Ministry of Defence</t>
  </si>
  <si>
    <t>Ministry of Interior (and the Ministry of Justice if relevant)</t>
  </si>
  <si>
    <t xml:space="preserve"> Intelligence and Security Agency</t>
  </si>
  <si>
    <t>Is the information on structure, competences, budget and operational decisions available on the websites of the following management institutions? Yes/No</t>
  </si>
  <si>
    <t>Is information on budget expenses for military/armed forces open/easily available for citizens? Yes/No</t>
  </si>
  <si>
    <t>Do the security and law enforcement actors practice regular public reporting about their activities, problems and objectives in the field of its competence? Yes/No. Please specify for:</t>
  </si>
  <si>
    <t>Do the security and law enforcement actors publish statistics and cases on human rights violations by law-enforcement and security personnel? Yes/No. Please specify for:</t>
  </si>
  <si>
    <t>1.3.3.4</t>
  </si>
  <si>
    <t xml:space="preserve"> Civil society oversight</t>
  </si>
  <si>
    <t>Does civil society and media have access, on request, to official documents held by public authorities? (In compliance with the provisions of Council of Europe Convention on Access to Official Documents, 2009)  Yes/No. Please specify for:</t>
  </si>
  <si>
    <t>Have there been instances of civil society organisations and media representatives being intimidated or persecuted while investigating or reporting on human rights violations and corruption within security and law enforcement bodies in the last 3 years? Yes/No</t>
  </si>
  <si>
    <t xml:space="preserve">No means 1, while Yes means 0 </t>
  </si>
  <si>
    <t>Do the management institutions hold regular consultations with civil society organisations on security policies and reform?  Is the format of consultations institutionalised (civil society council)? Yes/No. Please specify separately for the following institutions:</t>
  </si>
  <si>
    <t>Intelligence and Security Agency</t>
  </si>
  <si>
    <t>Do civil society organisations have access to hearings on functioning and abuses by security and law enforcement forces in the standing committees of the parliament? Yes/No</t>
  </si>
  <si>
    <t xml:space="preserve"> Do members of the independent National Preventive Mechanism (under OPCAT) (if exists - see 1.3.1 Civil liberties) have unrestricted access to places of detention? Yes/No. </t>
  </si>
  <si>
    <t>Is civil society represented in the designated National Preventive Mechanism (under OPCAT) ?  Yes/No</t>
  </si>
  <si>
    <t>1.4.</t>
  </si>
  <si>
    <t>Independent Media</t>
  </si>
  <si>
    <t>1.4.1.</t>
  </si>
  <si>
    <t>Media freedom</t>
  </si>
  <si>
    <t>Freedom of the Press: 2016 Index value/Freedom House (Rating) https://freedomhouse.org/report/freedom-press-2016/table-country-scores-fotp-2016</t>
  </si>
  <si>
    <t>Press Freedom Index: 2016 Index value /Reporters without borders https://rsf.org/en/ranking</t>
  </si>
  <si>
    <t>1.4.2</t>
  </si>
  <si>
    <t>Internet</t>
  </si>
  <si>
    <t xml:space="preserve">Fixed (wired)-broadband internet subscriptions per 100 inhabitants
ITU  
http://www.itu.int/net4/itu-d/icteye/
</t>
  </si>
  <si>
    <t xml:space="preserve">Percentage of individuals using the Internet
ITU  
http://www.itu.int/net4/itu-d/icteye/
</t>
  </si>
  <si>
    <t xml:space="preserve">Does the legislation provide criminal liability for defamation or libel? (sources: national legislations, Human Rights Watch’s World Reports, US Department of State country reports, Freedom House Report: Freedom in the World) 
</t>
  </si>
  <si>
    <t>0, 0.5, 1.0, Calibration</t>
  </si>
  <si>
    <t>Have there been reported cases of bloggers or online journalists being prosecuted, fined, or jailed for defamation or libel during the last three years? (sources: Human Rights Watch’s World Reports, US Department of State country reports, Freedom House Report: Freedom in the World)</t>
  </si>
  <si>
    <t>Does the legislative framework allow or existing practices evidence filtering and blocking of Internet content by state? (sources: national legislations, Human Rights Watch’s World Reports, US Department of State country reports, Freedom House Report: Freedom in the World)</t>
  </si>
  <si>
    <t xml:space="preserve">Are the government and parliament decisions, court cases and judgments accessible in the internet? </t>
  </si>
  <si>
    <t>Safer Internet Programmes: Implemented / No / in progress</t>
  </si>
  <si>
    <t>Freedom of Speech &amp; Assembly</t>
  </si>
  <si>
    <t>To what extent can individuals form and join independent political or civic groups? Score Bertelsmann Transformation Index 2016 https://www.bti-project.org/en/reports/country-reports/</t>
  </si>
  <si>
    <t>Linear transformation, benchmarks defined by Lithuania (10) and worst performing EaP country (Azerbaijan / Belarus: 3) in BTI 2016</t>
  </si>
  <si>
    <t>To what extent can these groups operate and assemble freely? Civil Society sub-score from Nations in Transit 2016 https://freedomhouse.org/report/nations-transit-2016/nit-2016-table-country-scores</t>
  </si>
  <si>
    <t>Linear transformation, benchmarks defined by Lithuania (1.75) and worst performing EaP country (Azerbaijan: 6.75) in 2016, FIW 2017 edition</t>
  </si>
  <si>
    <t>Associational and organizational rights: Freedom House, Freedom in the World 2016, Subscore https://freedomhouse.org/sites/default/files/Sub%20Category%20Scores%20FIW%202016.xlsx</t>
  </si>
  <si>
    <t>Linear transformation, benchmarks defined by Lithuania (11) and worst performing EaP country (Azerbaijan: 1) in 2016</t>
  </si>
  <si>
    <t>Independent Judiciary</t>
  </si>
  <si>
    <t>1.6.1</t>
  </si>
  <si>
    <t>Appointment, promotion and dismissal of judges</t>
  </si>
  <si>
    <t>Are judges appointed based on objective criteria (such as the passing of an exam, performance in law school, other training, experience, professionalism, and reputation in the legal community)? Yes/No</t>
  </si>
  <si>
    <t>Calibration, 0.5 indicates that partially</t>
  </si>
  <si>
    <t>Are judges advanced through the judicial system on the basis of objective criteria such as ability, integrity, and experience? Yes/No</t>
  </si>
  <si>
    <t>Calibration, 0.5 - weak improvement system</t>
  </si>
  <si>
    <t>May judges be removed from office or otherwise punished only for specified official misconduct and through a transparent process, governed by objective criteria? Yes/No</t>
  </si>
  <si>
    <t>Calibration, 0.5 - the process is not transparent</t>
  </si>
  <si>
    <t xml:space="preserve">1.6.2. </t>
  </si>
  <si>
    <t>Institutional independence</t>
  </si>
  <si>
    <t>Are judicial decisions based solely on the facts and law without any undue influence from senior judges (e.g., court presidents), private interests, or other branches of government? Yes/No</t>
  </si>
  <si>
    <t>1-0.</t>
  </si>
  <si>
    <t>Does the judiciary have a meaningful opportunity to influence the amount of money allocated to it by the legislative and/or executive branches: Yes/No</t>
  </si>
  <si>
    <t>0.0, 0.5, 1.0, Calibration</t>
  </si>
  <si>
    <t>Are sufficient resources allocated to protect judges from threats such as harassment, assault, and assassination? Yes/No</t>
  </si>
  <si>
    <t>Are senior level judges appointed for fixed terms that provide a guaranteed tenure, which is protected until retirement age or the expiration of a defined term of substantial duration? Yes/No</t>
  </si>
  <si>
    <t>Do judges have immunity for actions taken in their official capacity (functional immunity)? Yes/No</t>
  </si>
  <si>
    <t>Does an independent judicial council have decisive influence on decisions on the appointment and career of judges? Are a majority or a substantial part of the members of this council elected by the judiciary? Yes/No</t>
  </si>
  <si>
    <t>1.6.3</t>
  </si>
  <si>
    <t>Judicial powers</t>
  </si>
  <si>
    <t>Does a judicial organ have the power to determine the ultimate constitutionality of legislation and official acts, and are such decisions enforced? Yes/No</t>
  </si>
  <si>
    <t>Does the judiciary have the power to review administrative acts and to compel the government to act where a legal duty to act exists? Yes/No</t>
  </si>
  <si>
    <t>Does the judiciary have exclusive and ultimate jurisdiction over all cases concerning civil rights and liberties? Yes/No</t>
  </si>
  <si>
    <t>Do judges have adequate subpoena, contempt, and/or enforcement powers, which are utilised, and these powers are respected and supported by other branches of government? Yes/No</t>
  </si>
  <si>
    <t>May judicial decisions be reversed only through the judicial appellate process? Yes/No</t>
  </si>
  <si>
    <t>1.6.4</t>
  </si>
  <si>
    <t>Accountability and transparency</t>
  </si>
  <si>
    <t xml:space="preserve">  Are judges assigned to cases by an objective method (alternative to random case assignment), according to their specific areas of expertise? Yes/No</t>
  </si>
  <si>
    <t>May judges be removed only for good cause, such as a conflict of interest or an unduly heavy workload? Yes/No</t>
  </si>
  <si>
    <t>Does a judicial code of ethics exist to address major issues such as conflicts of interest, ex parte communications, and inappropriate political activity, and are judges required to receive training concerning this code both before taking office and during their tenure? Yes/No</t>
  </si>
  <si>
    <t>Does a meaningful process exist under which other judges, lawyers, and the public may register complaints concerning judicial conduct? Yes/No</t>
  </si>
  <si>
    <t>Are courtroom proceedings open to, and can they accommodate, the public and the media? Yes/No</t>
  </si>
  <si>
    <t xml:space="preserve">Calibration, 0.5 - partially </t>
  </si>
  <si>
    <t>Are judicial decisions published, and are records of courtroom proceedings made available to the public? Yes/No</t>
  </si>
  <si>
    <t>Are there effective procedures to hold judges accountable for illegal activities (whether judges enjoy a wider scope of immunity, reaching beyond their functional immunity)? Yes/No</t>
  </si>
  <si>
    <t>Equal opportunities and non-discrimination</t>
  </si>
  <si>
    <t>1.7.1</t>
  </si>
  <si>
    <t xml:space="preserve"> International and regional HR legal documents (Has your country ratified...?)</t>
  </si>
  <si>
    <t>Protocol 12 of the ECHR? Yes/No</t>
  </si>
  <si>
    <t>Convention on the Rights of Persons with Disabilities: Yes/No</t>
  </si>
  <si>
    <t>International Convention on the Protection of the Rights of All Migrant Workers and Members of Their Families: Yes/No</t>
  </si>
  <si>
    <t>European Charter for Regional or Minority Languages: Yes/No</t>
  </si>
  <si>
    <t>Framework Convention for the Protection of National Minorities: Yes/No</t>
  </si>
  <si>
    <t>European Convention on the Legal Status of Migrant Workers: Yes/No</t>
  </si>
  <si>
    <t>European Convention on Nationality: Yes/No</t>
  </si>
  <si>
    <t>1.7.2</t>
  </si>
  <si>
    <t xml:space="preserve">Anti-discrimination legislation </t>
  </si>
  <si>
    <t xml:space="preserve">Has your country adopted a framework law on protection against discrimination, which meets EU requirements?: Yes/No. If Yes, give the title of the law </t>
  </si>
  <si>
    <t>In the absence of, or alongside, a framework law, which of the following laws provide for protection against discrimination? Yes/No</t>
  </si>
  <si>
    <t>a. Constitution</t>
  </si>
  <si>
    <t>Calibration, 0.5 indicates  general principle responsibility</t>
  </si>
  <si>
    <t>b. Criminal/Penal Code/Law</t>
  </si>
  <si>
    <t>c. Civil Code/Law</t>
  </si>
  <si>
    <t>d. Administrative Code/Law</t>
  </si>
  <si>
    <t xml:space="preserve">Calibration, 0.5 indicates that only on provided public services </t>
  </si>
  <si>
    <t>e. Labour/Employment Code/Law</t>
  </si>
  <si>
    <t>f. Law governing economic activities, provision of goods and services</t>
  </si>
  <si>
    <t>g. Law governing education</t>
  </si>
  <si>
    <t>Is the list of protected grounds contained in the law open or closed (open list means that apart from the list it also says 'and other grounds' thus leaving space for potentially other categories; closed list meant that only the listed grounds are protected.): Open/Closed   Here, please specify which of the laws mentioned in the previous question contain an open list and which contain a closed one unless they uniformly contain either of the two types.</t>
  </si>
  <si>
    <t>Calibration, All documents listed above have an open list - 1; mixed situation - 0.5.</t>
  </si>
  <si>
    <t>Does the national legislation explicitly provide for protection on the ground of ...?: Yes/No</t>
  </si>
  <si>
    <t>a. "race"/colour of skin/ethnic origin</t>
  </si>
  <si>
    <t>b. language</t>
  </si>
  <si>
    <t>c. citizenship</t>
  </si>
  <si>
    <t>d. sex</t>
  </si>
  <si>
    <t>e. age</t>
  </si>
  <si>
    <t>f. sexual orientation</t>
  </si>
  <si>
    <t>g. gender identity</t>
  </si>
  <si>
    <t>h. disability</t>
  </si>
  <si>
    <t>i. religion</t>
  </si>
  <si>
    <t>j. political or other conviction</t>
  </si>
  <si>
    <t>k. social status</t>
  </si>
  <si>
    <t>l. property status</t>
  </si>
  <si>
    <t>m. family status</t>
  </si>
  <si>
    <t>n. place of residence</t>
  </si>
  <si>
    <t>o. occupation</t>
  </si>
  <si>
    <t>p. membership of political party/association of natural persons/labor union</t>
  </si>
  <si>
    <t>q criminal record</t>
  </si>
  <si>
    <t>r. health</t>
  </si>
  <si>
    <t xml:space="preserve"> Does the national legislation provide an extensive definition of discrimination? Yes/No </t>
  </si>
  <si>
    <t xml:space="preserve">Calibration, 0.5 indicates that is the fact that the defiinition is available in one law out of many;  1 if there is framework documents </t>
  </si>
  <si>
    <t>Does the national legislation define and stipulate liability for ...? Yes/No</t>
  </si>
  <si>
    <t>a. Direct discrimination</t>
  </si>
  <si>
    <t xml:space="preserve">Calibration, 0.5 indicates that partially. </t>
  </si>
  <si>
    <t>b. Indirect discrimination</t>
  </si>
  <si>
    <t xml:space="preserve">Calibration. </t>
  </si>
  <si>
    <t>c. Harassment</t>
  </si>
  <si>
    <t>d. Victimisation</t>
  </si>
  <si>
    <t>e. Instigation to discrimination/Instruction to discriminate</t>
  </si>
  <si>
    <t>f. Failure to provide reasonable accommodation</t>
  </si>
  <si>
    <t xml:space="preserve">Does the national legislation  provide protection from ... </t>
  </si>
  <si>
    <t>a. Assumed discrimination</t>
  </si>
  <si>
    <t>b. Associated discrimination</t>
  </si>
  <si>
    <t>c. Multiple discrimination</t>
  </si>
  <si>
    <t>Does the national legislation provide protection in case of discrimination by: (Yes/No):</t>
  </si>
  <si>
    <t>a. Natural persons</t>
  </si>
  <si>
    <t>b. Legal persons</t>
  </si>
  <si>
    <t>Does the national legislation  provide protection from discrimination in the field of (Yes/No):</t>
  </si>
  <si>
    <t>a. Employment</t>
  </si>
  <si>
    <t>b. Education</t>
  </si>
  <si>
    <t>c. Supply of goods and services</t>
  </si>
  <si>
    <t>d. Healthcare</t>
  </si>
  <si>
    <t>Calibration, 0.5 indicates that mostly in theory</t>
  </si>
  <si>
    <t>e. Social security/Welfare</t>
  </si>
  <si>
    <t>Are there specific laws that prohibit discrimination on any single of the aforementioned grounds (e.g. a stand-alone law on gender equality (on the ground of sex))?: Yes/No</t>
  </si>
  <si>
    <t>1.7.3</t>
  </si>
  <si>
    <t>Anti-discrimination policy</t>
  </si>
  <si>
    <t>Are there positive (affirmative) action measures in place to prevent or compensate for previously  and currently existing disadvantages (specify grounds and area): Yes/No</t>
  </si>
  <si>
    <t>Calibration, 0.5 indicates that only in some spheres.</t>
  </si>
  <si>
    <t>Is promotion of equal treatment and non-discrimination vested in (Yes/No):</t>
  </si>
  <si>
    <t>a. One specialised equality body</t>
  </si>
  <si>
    <t>b. Several specialised equality bodies</t>
  </si>
  <si>
    <t>c. An HR institution with a broad mandate (e.g. Ombudsman)</t>
  </si>
  <si>
    <t>d. A governmental agency</t>
  </si>
  <si>
    <t>If there is a specialised equality body, does it have the powers to (Yes/No):</t>
  </si>
  <si>
    <t>If there is no such a body, we score 0</t>
  </si>
  <si>
    <t>a. Consider  individual cases and issue binding opinions</t>
  </si>
  <si>
    <t>b. Consider  individual cases and issue non-binding opinions</t>
  </si>
  <si>
    <t>c. Take cases to courts on behalf of a victim of discrimination</t>
  </si>
  <si>
    <t>d. Take cases to courts in its own name</t>
  </si>
  <si>
    <t>e. Make interventions in the court in the amicus curiae capacity</t>
  </si>
  <si>
    <t>f. Conduct investigation into cases of discrimination</t>
  </si>
  <si>
    <t>g. Conduct research and collect statistical information on discrimination</t>
  </si>
  <si>
    <t>h. Have legislative initiative</t>
  </si>
  <si>
    <t>Have there been court decisions on cases of discrimination, including hate crime and hate speech, in 2015-2016? Yes/No</t>
  </si>
  <si>
    <t>Does the specialised equality body enjoy (Yes/No):</t>
  </si>
  <si>
    <t>1-0, 0.5 indicates that only in theory or there are some restriction</t>
  </si>
  <si>
    <t>a. Political independence</t>
  </si>
  <si>
    <t>b. Financial independence</t>
  </si>
  <si>
    <t>Number of women – MPs in the national Parliament   = Gender Empowerment Measure? % of the total Number (February 2016).  http://www.ipu.org/wmn-e/arc/classif010216.htm</t>
  </si>
  <si>
    <t>Linear transformation, benchmarks defined by Lithuania and worst performing EaP country in 2014</t>
  </si>
  <si>
    <t>Number of women in ministerial positions = % of the total Number  (2016)</t>
  </si>
  <si>
    <t xml:space="preserve">Rule of Law and Fighting corruption </t>
  </si>
  <si>
    <t>1.8.1</t>
  </si>
  <si>
    <t>Control of corruption</t>
  </si>
  <si>
    <t>Worldwide Governance Indicators, 2015 Score, Table View, Governance
Score
(-2.5 to +2.5)  http://info.worldbank.org/governance/wgi/index.aspx#reports</t>
  </si>
  <si>
    <t>Transparency International, CPI 2016 score (rank) http://www.transparency.org/research/cpi/</t>
  </si>
  <si>
    <t>1.8.2</t>
  </si>
  <si>
    <t>Internal and external auditing</t>
  </si>
  <si>
    <t>Is there a national supreme audit institution,  auditor general or equivalent agency covering the public sector? Yes/No</t>
  </si>
  <si>
    <t>Is the audit agency organisationally independent from the executive legislature and judicial organs? Yes/No</t>
  </si>
  <si>
    <t>Is the head (collegiate leadership) of the audit agency protected from removal without relevant justification? Yes/No</t>
  </si>
  <si>
    <t>Do the practices of appointing audit agency staff support the independence of the agency? Yes/No</t>
  </si>
  <si>
    <t>Does the audit agency receive regular funding? Yes/No</t>
  </si>
  <si>
    <t>Are there procedures applied by the audit agency to ensure the quality of audits (objectiveness. validity etc.)? Yes/No</t>
  </si>
  <si>
    <t>Does the audit agency regularly publish reports about its audits? Yes/No</t>
  </si>
  <si>
    <t>Does the legislature regularly debate the reports of the audit agency? Yes/No</t>
  </si>
  <si>
    <t>Does the government act on the findings of the audit agency? Yes/No</t>
  </si>
  <si>
    <t>Is there a government paper defining a system of Public Internal Financial Control (PIFC)? Yes/No</t>
  </si>
  <si>
    <t>Is there an action plan specifying and scheduling the measures required to set up PIFC? Yes/No</t>
  </si>
  <si>
    <t>Are there financial management and control systems used in those bodies of public administration that are charged with managing public revenues and/or expenditures? Yes/No</t>
  </si>
  <si>
    <t>Are there functionally independent internal audit units that assess these internal control systems and report to the leading management? Yes/No</t>
  </si>
  <si>
    <t>Is there a central unit / structure managing the development of PIFC throughout the public sector? Yes/No</t>
  </si>
  <si>
    <t>1.8.3</t>
  </si>
  <si>
    <t>Public procurement (please read the Guideline for this section in the  attached comment)</t>
  </si>
  <si>
    <t>Do major procurements (&gt;0.5% of GDP) require competitive bidding? Yes/No</t>
  </si>
  <si>
    <t>Is sole sourcing limited to specific, tightly defined conditions, such as when a supplier is the only source of a skill or technology? Yes/No</t>
  </si>
  <si>
    <t>Can unsuccessful bidders instigate an official review of procurement decisions? Yes/No</t>
  </si>
  <si>
    <t>Are companies convicted of bribery prohibited from participating in future procurement bids? Yes/No</t>
  </si>
  <si>
    <t>Can citizens access public procurement regulations? Yes/No</t>
  </si>
  <si>
    <t>Can citizens access the results of major public procurement bids? Yes/No</t>
  </si>
  <si>
    <t xml:space="preserve">Public administration </t>
  </si>
  <si>
    <t>1.9.1</t>
  </si>
  <si>
    <t>Policy formulation and co-ordination</t>
  </si>
  <si>
    <t>Does the legislative procedure provide for mandatory consultations with the public opinion, e.g. civil society organisations, stakeholders at the stage of preparatory works, before the draft law or secondary legislative act is due to be adopted by the Council of Ministers (or Prime Minister, or Minister)? Does the Government issue green papers for public deliberation before starting the work on a draft law? Are public hearings practised with the participation of representatives of the Government? Yes/No</t>
  </si>
  <si>
    <t>If the public consultations in any form are conducted in your country, please consider to what extent they have an impact on the final content of proposals? In other words, are the results of public consultations, including opinions of experts, think tanks, NGOs, published in any form? Does the Government inform the public opinion what amendments to drafts legislative acts are being tabled as a result of the consultation process? Yes/No</t>
  </si>
  <si>
    <t xml:space="preserve">Are there effective institutional arrangements to provide strategic planning and policy formulation, to support decision-making? Yes/No </t>
  </si>
  <si>
    <t>Is there a central body (“government office”) supporting the council of ministers? Yes/No</t>
  </si>
  <si>
    <t>Does the government office have sufficient capacity to evaluate line ministry proposals and organise their co-ordinated submission to cabinet meetings? Yes/No</t>
  </si>
  <si>
    <t xml:space="preserve">Are there bodies to co-ordinate cross-sectoral policies? Yes/No </t>
  </si>
  <si>
    <t>Are there procedures to ensure the consultation of all interested ministries and agencies on policy proposals? Yes/No</t>
  </si>
  <si>
    <t>Are there detailed administrative procedures for processing policies? Yes/No</t>
  </si>
  <si>
    <t xml:space="preserve">Are there bodies for assessing the impact of government-wide policies? Yes/No </t>
  </si>
  <si>
    <t>Are there bodies for providing policy advice for ministries and the centre? Yes/No</t>
  </si>
  <si>
    <t>Are there procedures for evaluating the implementation of policies? Yes/No</t>
  </si>
  <si>
    <t>Are policymaking departments sufficiently resourced with qualified staff? Yes/No</t>
  </si>
  <si>
    <t>1.9.2</t>
  </si>
  <si>
    <t xml:space="preserve">Impartial and professional civil service </t>
  </si>
  <si>
    <t>1.9.2.1</t>
  </si>
  <si>
    <t>Legal framework of civil service management</t>
  </si>
  <si>
    <t>Is there a civil service law? Yes/No</t>
  </si>
  <si>
    <t>Does the law define which categories and types of staff are civil servants? Yes/No</t>
  </si>
  <si>
    <t>Is there an adequate code of conduct or equivalent framework for civil servants? Yes/No</t>
  </si>
  <si>
    <t xml:space="preserve">Is explicit political activity of civil servants prohibited by law? Yes/No </t>
  </si>
  <si>
    <t>Is there a clear distinction between political appointees and career civil servants? Yes/No</t>
  </si>
  <si>
    <t>Are there requirements to disclose conflicts of interest? Yes/No</t>
  </si>
  <si>
    <t>Are conflicts of interest effectively addressed? Yes/No</t>
  </si>
  <si>
    <t>Is civil service policy and performance published? Yes/No</t>
  </si>
  <si>
    <t>Do civil servants have access to their personnel files? Yes/No</t>
  </si>
  <si>
    <t>Is there a data protection act? Yes/No</t>
  </si>
  <si>
    <t>Are employment relationships of civil servants protected against politically motivated dismissals? Yes/No</t>
  </si>
  <si>
    <t>1.9.2.2</t>
  </si>
  <si>
    <t>Institutional framework</t>
  </si>
  <si>
    <t>Are there clearly defined institutions to develop and co-ordinate civil service policy? Yes/No</t>
  </si>
  <si>
    <t>Do these institutions have sufficient authority to ensure human resources policies are adopted and complied with? Yes/No</t>
  </si>
  <si>
    <t>Is there an oversight body to ensure the fairness of civil service policies? Yes/No</t>
  </si>
  <si>
    <t>1.9.2.3</t>
  </si>
  <si>
    <t>Employment and remuneration</t>
  </si>
  <si>
    <t>Are levels of pay sufficiently competitive to recruit, retain and motivate qualified civil servants at all levels? Yes/No</t>
  </si>
  <si>
    <t>1.9.2.4</t>
  </si>
  <si>
    <t>Recruitment, promotion and disciplinary procedures</t>
  </si>
  <si>
    <t>Are there effective planning arrangements for deployment of civil servants? Yes/No</t>
  </si>
  <si>
    <t>Are there effective personnel information systems in place? Yes/No</t>
  </si>
  <si>
    <t>Are all posts advertised publicly to ensure equal competition for posts? Yes/No</t>
  </si>
  <si>
    <t>Is there a competitive process including objective assessment for recruitment? Yes/No</t>
  </si>
  <si>
    <t>Are job descriptions prepared and utilised? Yes/No</t>
  </si>
  <si>
    <t>Is the recruitment process checked by multiple reviewers? Yes/No</t>
  </si>
  <si>
    <t>Are there consistent recruitment practices across the civil service? Yes/No</t>
  </si>
  <si>
    <t>Are performance appraisals undertaken on a regular basis for all civil servants? Yes/No</t>
  </si>
  <si>
    <t>Is there a formal unified performance appraisal system? Yes/No</t>
  </si>
  <si>
    <t>Is there a uniform process, with legal basis, for making promotion decisions? Yes/No</t>
  </si>
  <si>
    <t>Are the procedures of promotion open, transparent and based upon merit? Yes/No</t>
  </si>
  <si>
    <t>Is the process of promotion used consistently across the civil service? Yes/No</t>
  </si>
  <si>
    <t>Is the process of promotion overseen by a third party? Yes/No</t>
  </si>
  <si>
    <t>Is there recourse to appeal for promotion grievances? Yes/No</t>
  </si>
  <si>
    <t>Are disciplinary procedures based upon transparent and fair principles? Yes/No</t>
  </si>
  <si>
    <t>1-0, 0.5 if the law regulates procedures in detail, but it doesn't works in practice</t>
  </si>
  <si>
    <t>Is there an appropriate training system to re-skill staff, to prepare new recruits and to develop existing staff? Yes/No</t>
  </si>
  <si>
    <t>1-0, 0.5 if the difference in law and in practice</t>
  </si>
  <si>
    <t>Do the practices of selecting, appointing and promoting senior civil servants support their professionalisation and depoliticisation? Yes/No</t>
  </si>
  <si>
    <t>1.9.2.5</t>
  </si>
  <si>
    <t>Management of public service quality</t>
  </si>
  <si>
    <t>Are there representative surveys monitoring citizens' satisfaction with public services? Yes/No</t>
  </si>
  <si>
    <t>Are the results of such surveys evaluated and used to prepare reforms of public service delivery? Yes/No</t>
  </si>
  <si>
    <t>Are quality management frameworks (e.g., European Foundation for Quality Management Excellence Model, Common Assessment Framework, ISO 9000) regularly used in your country's public administration? Yes/No</t>
  </si>
  <si>
    <t>Can citizens lodge complaints about the quality of public services with the responsible department? Yes/No</t>
  </si>
  <si>
    <t>Are such complaints assessed by functionally independent bodies within public administration? Yes/No</t>
  </si>
  <si>
    <t>SUSTAINABLE DEVELOPMENT</t>
  </si>
  <si>
    <t>2.1.</t>
  </si>
  <si>
    <t>Linear transformation</t>
  </si>
  <si>
    <t xml:space="preserve">2.3.1. </t>
  </si>
  <si>
    <t>2.3.2.</t>
  </si>
  <si>
    <t>2.3.4.</t>
  </si>
  <si>
    <t>2.3.6.</t>
  </si>
  <si>
    <t>?</t>
  </si>
  <si>
    <t>Resource efficiency</t>
  </si>
  <si>
    <t>Water Exploitation Index (water withdrawal as percent of annual long-term water resources) %</t>
  </si>
  <si>
    <t>Waste intensity: municipal waste (total per year), kg/per capita</t>
  </si>
  <si>
    <t>Share of municipal waste recycled, %</t>
  </si>
  <si>
    <t>Pressure on/ state of environment</t>
  </si>
  <si>
    <t>SO2 emissions,  Per capita, kg</t>
  </si>
  <si>
    <t xml:space="preserve"> NOx emmissions, Per capita, kg</t>
  </si>
  <si>
    <t>Forests. Share of forest area, %</t>
  </si>
  <si>
    <t>Nature. Share of nature protected area, %</t>
  </si>
  <si>
    <t xml:space="preserve">Soil. Eroded soil, share of territory, % </t>
  </si>
  <si>
    <t>Pesticides. Pesticides input, kg/ha</t>
  </si>
  <si>
    <t>Education and Culture</t>
  </si>
  <si>
    <t>Education ( questions that are not covered by AA)</t>
  </si>
  <si>
    <t xml:space="preserve">Recently adopted or updated Law on higher education/ Law on universities which in in line with EU standards: Yes/No, specify  </t>
  </si>
  <si>
    <t>1-0, 0.5 –  under formation process</t>
  </si>
  <si>
    <t>Three-cycle structure (when launched, how does it work, any deviations (parallel degrees from the previous system?))</t>
  </si>
  <si>
    <t>1-0, 0.5 – partially</t>
  </si>
  <si>
    <t>Implementation of European Credit Transfer System (ECTS) and the Diploma Supplement (DS)</t>
  </si>
  <si>
    <t>ECTS - Yes/No, when  launched</t>
  </si>
  <si>
    <t>Calibration, 0.5 – partially</t>
  </si>
  <si>
    <t>DS - Yes/No, when  it started being issued</t>
  </si>
  <si>
    <t>Developed National Qualification Framework</t>
  </si>
  <si>
    <t>Is there a NQF in your country? Yes/No. If adopted, how does the system of mutual qualification recognition work in your country?</t>
  </si>
  <si>
    <t>Calibration, 0.5 – works partially</t>
  </si>
  <si>
    <t>Provide qualifications to be used by experts</t>
  </si>
  <si>
    <t>Autonomy of universities (legal basis, statute). Please specify whether you observe the Autonomy on the following levels:</t>
  </si>
  <si>
    <t xml:space="preserve">Organisational </t>
  </si>
  <si>
    <t xml:space="preserve">Academic </t>
  </si>
  <si>
    <t>Financial</t>
  </si>
  <si>
    <t>Personnel</t>
  </si>
  <si>
    <t>Equal access to Higher education (EIE, university entry exams, essays) Indicate and describe the system</t>
  </si>
  <si>
    <t>EIE if works properly - 1; adminssion in the hands of Universities or EIE with deficiencies -0.5; No equal access - 0</t>
  </si>
  <si>
    <t>International students in your country (university level), 2015-2016: Number of students / Per total number of students</t>
  </si>
  <si>
    <t>Calibration, 0=0, 1=best</t>
  </si>
  <si>
    <t>Policy towards foreign students: Equal rights/Not equal with home students/restrictive/ Not restrictive</t>
  </si>
  <si>
    <t>Life-long learning.  Availability of national document on life-long learning: Yes/No/in progress</t>
  </si>
  <si>
    <t xml:space="preserve"> Cultural policy</t>
  </si>
  <si>
    <t>National document on cultural policy: Yes / No / in progress</t>
  </si>
  <si>
    <t>Calibration, 0.5 - in progress</t>
  </si>
  <si>
    <t>National Cultural Policy Review (CoE): Yes / No / in progress</t>
  </si>
  <si>
    <t>UNESCO Convention on the Protection and Promotion of the Diversity of Cultural Expressions: Launched (signed) / ratified / Not launched</t>
  </si>
  <si>
    <t>Calibration, 0.5 - launched</t>
  </si>
  <si>
    <t>National legislation and practice of competition-based support to cultural producers. Yes/No</t>
  </si>
  <si>
    <t>Youth Policy</t>
  </si>
  <si>
    <t>National document on youth policy: Yes / No / in progress</t>
  </si>
  <si>
    <t>National Youth Research: Yes / No / in progress</t>
  </si>
  <si>
    <t>Legal provision for volunteering: Yes / No / in progress</t>
  </si>
  <si>
    <t>Legal provision for youth work: Yes / No / in progress</t>
  </si>
  <si>
    <t>Environmental policy</t>
  </si>
  <si>
    <t>Calibration 0-0,25-0,5-1</t>
  </si>
  <si>
    <t>If yes, are its goals and objectives measurable? Yes/Partually/No</t>
  </si>
  <si>
    <t>a) planned institutional reforms (yes, no, partually)</t>
  </si>
  <si>
    <t>Calibration 0-0,5-1</t>
  </si>
  <si>
    <t>b) institutional reform, including enforcement and control agency (s)  (yes, no, partually)</t>
  </si>
  <si>
    <t>c) division of competence for the environmental administration at national, regional, and municipal levels (yes, no, partually)</t>
  </si>
  <si>
    <t>d) procedure for decision-making (yes, no, partually)</t>
  </si>
  <si>
    <t>e) procedure for the implementation of decisions  (yes, no, partually)</t>
  </si>
  <si>
    <t>f) procedures for promotion of integration of environment into other policy areas (yes, no, partually)</t>
  </si>
  <si>
    <t>g)identification of necessary human and financial resources  (yes, no, partually)</t>
  </si>
  <si>
    <t>h) review mechanism  (yes, no, partually)</t>
  </si>
  <si>
    <t>Is the Environmental policy integration as such demanded by national legislation? Yes/ No/ Under preparation</t>
  </si>
  <si>
    <t>Are there sectoral environmental Strategies adopted by the Parliament/ Government? Yes/ No/ Under preparation/ Under consideration at the adopting body</t>
  </si>
  <si>
    <t>a) air quality</t>
  </si>
  <si>
    <t>b) water quality and resource management, including marine environment (if any)</t>
  </si>
  <si>
    <t>c) waste and resource management</t>
  </si>
  <si>
    <t>e) industrial pollution and chemicals</t>
  </si>
  <si>
    <t xml:space="preserve">Law on Strategic environmental assessment </t>
  </si>
  <si>
    <t>Law on Environmental Impact Assessment</t>
  </si>
  <si>
    <t xml:space="preserve">How many of the regional and global Environmental Conventions and Protocols your country signed, ratified and accessed? Number List of Conventions and Protocols your country ratified (Annex). </t>
  </si>
  <si>
    <t>Was country decided by the recent MoP to be in non-compliance with main conventions and protocols with compliance mechanism? Yes/ No/ Under consideration</t>
  </si>
  <si>
    <t>Is country producing MEAs Annual Reports? Yes/No</t>
  </si>
  <si>
    <t>Sustainable development policy</t>
  </si>
  <si>
    <t>Has a National Strategy of Sustainable Development/Green Economy/Sustainable Consumption and Production document been adopted ?</t>
  </si>
  <si>
    <t>Is there an institutional mechanism for this policy coordination?</t>
  </si>
  <si>
    <t>Sustainable Development and Trade</t>
  </si>
  <si>
    <t>Is there a MEAs/REAs mechanism for prevention of illegal unreported and unofficial fishery?  Yes/ No/ Under preparation</t>
  </si>
  <si>
    <t>Is the Control system of legality of trade in forestry established? Yes/ No</t>
  </si>
  <si>
    <t>Climate change</t>
  </si>
  <si>
    <t>Paris agreement status: Signed/Ratified</t>
  </si>
  <si>
    <t>0-0,25-0,5-1</t>
  </si>
  <si>
    <t>Is there special department within the Ministry of Environemnt or separate agency established dealing  with climate change?  Yes/No/ Under establishment</t>
  </si>
  <si>
    <t>1/0/0.5</t>
  </si>
  <si>
    <t>Linear transformation, 0 - worst, 1 - best</t>
  </si>
  <si>
    <t>Waste waters. Share of Non-treated waste waters in annual waste waters discharge</t>
  </si>
  <si>
    <t>EU INTEGRATION AND CONVERGENCE</t>
  </si>
  <si>
    <t>Market Economy and DCFTA</t>
  </si>
  <si>
    <t>Business climate</t>
  </si>
  <si>
    <t>Rank</t>
  </si>
  <si>
    <t>Time, days</t>
  </si>
  <si>
    <t>Procedures, number</t>
  </si>
  <si>
    <t>Cost, % of income p.c.</t>
  </si>
  <si>
    <t>Paid-in minimum capital, % of income p.c.</t>
  </si>
  <si>
    <t xml:space="preserve">Resolving insolvency, WB Doing Business Report 2017   http://www.doingbusiness.org/ </t>
  </si>
  <si>
    <t>Recovery rate, cents on the dollar</t>
  </si>
  <si>
    <t>Time, years</t>
  </si>
  <si>
    <t>Cost, % of estate</t>
  </si>
  <si>
    <t xml:space="preserve">Paying taxes, WB Doing Business Report 2017   http://www.doingbusiness.org/ </t>
  </si>
  <si>
    <t>Time, hours per year</t>
  </si>
  <si>
    <t>Payments, number per year</t>
  </si>
  <si>
    <t>Total tax rate, % of profit</t>
  </si>
  <si>
    <t xml:space="preserve">Contract enforcement, WB Doing Business Report 2017   http://www.doingbusiness.org/ </t>
  </si>
  <si>
    <t>Cost, % of claim</t>
  </si>
  <si>
    <t>Large-scale privatisation</t>
  </si>
  <si>
    <t>Linear transformation, benchmarks defined by best and worst performing EBRD transition countries (rated 4 and 1, respectively)</t>
  </si>
  <si>
    <t xml:space="preserve">Small-scale privatisation </t>
  </si>
  <si>
    <t>Linear transformation, benchmarks defined by best and worst performing EBRD transition countries (rated 4,3 and 2,3, respectively)</t>
  </si>
  <si>
    <t>Governance and enterprise restructuring</t>
  </si>
  <si>
    <t>Linear transformation, benchmarks defined by best and worst performing EBRD transition countries (rated 3,67 and 1,67, respectively)</t>
  </si>
  <si>
    <t>Price liberalisation</t>
  </si>
  <si>
    <t>Trade and foreign exchange system</t>
  </si>
  <si>
    <t>Competition policy</t>
  </si>
  <si>
    <t>Property Rights</t>
  </si>
  <si>
    <t>Sector Transition</t>
  </si>
  <si>
    <t>Corporate sectors, EBRD Transition Indicators 2015-16 report    http://2015.tr-ebrd.com/en/reforms/</t>
  </si>
  <si>
    <t>Agribusiness</t>
  </si>
  <si>
    <t>General Industry</t>
  </si>
  <si>
    <t>Real estate</t>
  </si>
  <si>
    <t>Telecoms</t>
  </si>
  <si>
    <t>Linear transformation, benchmarks defined by best and worst performing EBRD transition countries (rated 4 and 1.67, respectively)</t>
  </si>
  <si>
    <t>Energy, EBRD Transition Indicators 2015-16 report    http://2015.tr-ebrd.com/en/reforms/</t>
  </si>
  <si>
    <t>Natural resources</t>
  </si>
  <si>
    <t>Sustainable energy</t>
  </si>
  <si>
    <t>Electric power</t>
  </si>
  <si>
    <t>Infrastructure, EBRD Transition Indicators 2015-16 report    http://2015.tr-ebrd.com/en/reforms/</t>
  </si>
  <si>
    <t>Water and wastewater</t>
  </si>
  <si>
    <t>Urban transport</t>
  </si>
  <si>
    <t>Roads</t>
  </si>
  <si>
    <t>Railways</t>
  </si>
  <si>
    <t>Financial sectors, EBRD Transition Indicators 2015-16 report    http://2015.tr-ebrd.com/en/reforms/</t>
  </si>
  <si>
    <t>Banking</t>
  </si>
  <si>
    <t>Insurance and other financial services</t>
  </si>
  <si>
    <t>Micro, small and medium-sized enterprise finance</t>
  </si>
  <si>
    <t>Private equity</t>
  </si>
  <si>
    <t>Capital markets</t>
  </si>
  <si>
    <t>DCFTA</t>
  </si>
  <si>
    <t>Trade defence instruments and technical barriers to trade</t>
  </si>
  <si>
    <t xml:space="preserve">Trade defence instruments </t>
  </si>
  <si>
    <t>Does your country have national legislation on antidumping and countervailing measures? Yes/No</t>
  </si>
  <si>
    <t>Does your country have national authority, investigating dumping and unfair trade practices? Yes/No</t>
  </si>
  <si>
    <t>Does your country participate in WTO TBT? Yes/No</t>
  </si>
  <si>
    <t>1-0, 0.5 – if one Yes and one No</t>
  </si>
  <si>
    <t>Does your country participate in ISO? Yes/No</t>
  </si>
  <si>
    <t>Is application of standards (elaborated for the purpose of standardisation of industrial goods) on products voluntary in your country? Yes/No</t>
  </si>
  <si>
    <t>The share of national standards harmonised with the European or international standards? (% of total number of national standards)</t>
  </si>
  <si>
    <t>The share of the EU harmonised standards adopted in the country as national standards (% of total number of EU standards)</t>
  </si>
  <si>
    <t>How many technical regulations adopted in your country are identical to the EU technical regulations?</t>
  </si>
  <si>
    <t>The status of the country in the CEN  https://standards.cen.eu/dyn/www/f?p=CENWEB:9:::NO:::</t>
  </si>
  <si>
    <t>The status of the country in the CENELEC https://www.cenelec.eu/dyn/www/f?p=web:9</t>
  </si>
  <si>
    <t>Representation in the ETSI - how many companies are presented and their status http://www.etsi.org/membership/current-members</t>
  </si>
  <si>
    <t>Sanitary and phytosanitary measures</t>
  </si>
  <si>
    <t>Does your country participate in the WTO SPS and Codex Alimentarius?.: Yes/No</t>
  </si>
  <si>
    <t>Are national producers (meaning establishments) legally obliged to implement HACCP (Hazard Analysis and Critical Control Points) system?  Yes/No</t>
  </si>
  <si>
    <t>Does national legislation allow direct application of international standards i.e. Codex Alimentarius as a basis of assessment of compliance with national requirements?  Yes/No</t>
  </si>
  <si>
    <t>Calibration, 0.5 - under preparation</t>
  </si>
  <si>
    <t>For how many animal product categories, the EU recognised the country's plans for monitoring residuals?</t>
  </si>
  <si>
    <t>For how many categories of animal products, designated for human consumption, the country has a permission to export to the EU?</t>
  </si>
  <si>
    <t>For how many categories of animal products, not designated for human consumption, the country has a permission to export to the EU?</t>
  </si>
  <si>
    <t>Does your country implement systems of identification and trasabiliy for animals? Yes/No</t>
  </si>
  <si>
    <t>Does your country implement any system of alert connected with those existent in EU, which deal with food safety or animal feed? Yes/No/Under preparation</t>
  </si>
  <si>
    <t>Customs and trade facilitation</t>
  </si>
  <si>
    <t xml:space="preserve">Is the Revised Kyoto Convention on the simplification and harmonisation of customs procedures ratified by your country?  Yes/No </t>
  </si>
  <si>
    <t xml:space="preserve">Does the country apply the WTO FTA? </t>
  </si>
  <si>
    <t>Does your country apply the customs procedures based on risk management and increasingly avoid the physical control? Yes/No</t>
  </si>
  <si>
    <t>Does you country apply facilitated procedures for customs clearance (red/green/yellow/blue lanes)? Yes/No/Under preparation</t>
  </si>
  <si>
    <t>Does your country apply the concept of Authorized Economic Operator (AEO)? Yes/No/Under preparation</t>
  </si>
  <si>
    <t>Does your country implement customs electronic system? Yes/No/Under preparation</t>
  </si>
  <si>
    <t xml:space="preserve"> Services and establishments</t>
  </si>
  <si>
    <t>Number of economic activities that require licensing</t>
  </si>
  <si>
    <t>Linear transformation, best 0</t>
  </si>
  <si>
    <t xml:space="preserve">Does the national legislation allow national undertakings to use international financial reporting standards for the purpose of national accounting?  Yes/No </t>
  </si>
  <si>
    <t xml:space="preserve">Has your country established independent electronic communications regulatory authority (commission or board in the sphere of telecoms, independent from the government)?  Yes/No </t>
  </si>
  <si>
    <t>Does your country implement legislation concerning the electronic trade? Yes/No</t>
  </si>
  <si>
    <t>Does your country apply electronic signature and electronic identity cards? Yes/No/Under preparation</t>
  </si>
  <si>
    <t>Does your country implement the universal service in tellecomunication sector (accesible communications means, emergency call 112, etc.)? Yes/No/Under preparation</t>
  </si>
  <si>
    <t>Does your country have independent (from the government) national authorities, i.e. Commission or Board (one or several) responsible for regulation of financial services:</t>
  </si>
  <si>
    <t xml:space="preserve"> Banking services Yes/No/</t>
  </si>
  <si>
    <t xml:space="preserve"> Insurance services and Investments in transferable securities Yes/No/</t>
  </si>
  <si>
    <t xml:space="preserve">Did your country adopt a strategy or a roadmap which provide for the implementation of the International Association of Insurance Supervisors' “Insurance Core Principles”? Yes/No </t>
  </si>
  <si>
    <t>Does your country have in place a safeguard mechanism in banking sector? Yes/no</t>
  </si>
  <si>
    <t xml:space="preserve">Did the government adopt a strategy or a roadmap which provide for the implementation of the International Organisation of Securities Commissions' “Objectives and Principles of Securities Regulation”?   Yes/No </t>
  </si>
  <si>
    <t>Capital</t>
  </si>
  <si>
    <t>Are there limitations on acquisition of land (i.e. agricultural)  Yes/No</t>
  </si>
  <si>
    <t>1-0, Availability of limitations means 0</t>
  </si>
  <si>
    <t>land (i.e. agricultural)</t>
  </si>
  <si>
    <t>real estate</t>
  </si>
  <si>
    <t>Are there any administrative procedures or prohibition for movement of capital? Yes/No and Number</t>
  </si>
  <si>
    <t>Are there any administrative procedures or prohibition for payments? Yes/No and Number</t>
  </si>
  <si>
    <t xml:space="preserve"> Intellectual property rights</t>
  </si>
  <si>
    <t>Appearance in lists of states with low protection of IPR. Yes/No</t>
  </si>
  <si>
    <t>1-0,Yes is negative</t>
  </si>
  <si>
    <t xml:space="preserve">Intellectual property rights protection from Global Competitiveness Report 
https://www.weforum.org/reports/global-competitiveness-report-2015 
</t>
  </si>
  <si>
    <t>Did your country adopt the Protocol on modification of the Trade Related Aspects on Intellectual Property Rights" (T.R.I.P.S.)? Yes/No</t>
  </si>
  <si>
    <t>Does your country implement a mechanism of intellectual property protection at the border? Yes/No</t>
  </si>
  <si>
    <t>Does your country adopt geographical indications and other intellectual property rights protected (protected designation of origin, traditional specialties) ? Yes/No</t>
  </si>
  <si>
    <t>Does your country protect the EU geographic  indications and other intellectual property rights? Yes/No</t>
  </si>
  <si>
    <t>Does the justice system of your country ensure the effective protection of intelectual properties? Yes/No</t>
  </si>
  <si>
    <t>Competition and State aid</t>
  </si>
  <si>
    <t>Has your country established independent and competent national authority in the field of protection of economic competition? (Commission or board independent from the government) Yes/No</t>
  </si>
  <si>
    <t>Does the authority mentioned in the previous question or another national authority have powers to supervise provision of aid granted by state to companies? Yes/No</t>
  </si>
  <si>
    <t>Has an inventory of state aid (register) for goods been prepared by national authorities (as an obligation within WTO)? Yes/No</t>
  </si>
  <si>
    <t>Does your country allow the competition-related body to intervene in all economic areas and industries? Yes/No</t>
  </si>
  <si>
    <t>Is the legislation of your country requiring the obligatory approval from the competition-related bodies in the preparation of the legislation? Yes/No</t>
  </si>
  <si>
    <t>Is the competition-related body of your country effectively promote the competition in the court? Yes/No</t>
  </si>
  <si>
    <t>Is your country implementing training programs for judges concerning the application of the competition legislations? Yes/No</t>
  </si>
  <si>
    <t>Is your country using the approach of the OECD products market regulation in identifying the restrictions to competition? Yes/No</t>
  </si>
  <si>
    <t xml:space="preserve">Freedom, security and justice </t>
  </si>
  <si>
    <t>3.2.1</t>
  </si>
  <si>
    <t>Visa dialogue</t>
  </si>
  <si>
    <t xml:space="preserve">Did your country receive a Visa liberalisation Action Plan? </t>
  </si>
  <si>
    <t>Yes/No</t>
  </si>
  <si>
    <t>If the Action Plan exists,  have your government adopted a domestic document for its implementation and set up a national co-ordination mechanism? Yes/No</t>
  </si>
  <si>
    <t xml:space="preserve">Is there a special law regulating data protection in accordance with the EU standards? Yes/No </t>
  </si>
  <si>
    <t xml:space="preserve">Is there an independent data supervisory authority? Yes/No </t>
  </si>
  <si>
    <t>Legal and institutional capacity for issuing national passport for travel abroad in accordance with European standards: Yes/No</t>
  </si>
  <si>
    <t>Are biometric passports being issued? Yes/No</t>
  </si>
  <si>
    <t>Irregular immigration, including readmission</t>
  </si>
  <si>
    <t>Is your country implementing the Readmission Agreement with EU? Yes/No</t>
  </si>
  <si>
    <t>Is there a competent civilian authority dealing with migration issues in your country?: Yes/No</t>
  </si>
  <si>
    <t>Is there a framework document on regulation of migration policy in your country? Yes/No</t>
  </si>
  <si>
    <t>Legislation on subsidiary, humanitarian and temporary protection: Yes/No</t>
  </si>
  <si>
    <t>Procedures relating to treatment of refugee status and asylum applications</t>
  </si>
  <si>
    <t>Ratification of the 1951 UN Convention on refugees' status and its 1967 Protocol: Yes/No</t>
  </si>
  <si>
    <t>Legislation on status of those persons: Yes/No</t>
  </si>
  <si>
    <t>Is there regularly updated migration profile of your country, containing data on illegal and legal migration?: Yes/No</t>
  </si>
  <si>
    <t xml:space="preserve">Is there adequate infrastructure (asylum centres, including detention centres)? </t>
  </si>
  <si>
    <t xml:space="preserve">3.2.3. </t>
  </si>
  <si>
    <t>Border management</t>
  </si>
  <si>
    <t>Framework document setting up Integrated border management (IBM) as a basis for national border management policy: Yes/No</t>
  </si>
  <si>
    <t>Operational legal framework establishing horizontal cooperation and information exchange between the bodies involved in IBM: Yes/No</t>
  </si>
  <si>
    <t>Customs (law enforcement aspects)  - adoption and implementation of a legal framework enabling the customs authorities to carry out complete investigations in criminal matters: Yes/No</t>
  </si>
  <si>
    <t>Border demarcation: length of border demarcated with third countries in % of total border length with non EU countries</t>
  </si>
  <si>
    <t>Linear transformation with best (MD=99%) and worst (ARM=0%) performing EaP country as benchmarks</t>
  </si>
  <si>
    <t>Does your country have border check-points administered commonly with (non-)EU neighboring country? Yes/No</t>
  </si>
  <si>
    <t>Security and combatting organised crime</t>
  </si>
  <si>
    <t>Ratification of the UN Convention against Trans-national crime: Yes/No</t>
  </si>
  <si>
    <t>Ratification of 2 protocols  on organised crime: on preventing trafficking in persons and against smuggling: Yes/No</t>
  </si>
  <si>
    <t>Does your country have a comprehensive strategy to fight organised crime and an action plan containing a timeframe, specific objectives, activities, results, performance indicators and sufficient human and financial resources for its implementation?: Yes/No</t>
  </si>
  <si>
    <t>Is there legislation in place on fighting against money laundering, including financing of terrorism in line with EU standards?: Yes/No</t>
  </si>
  <si>
    <t>Ratification of the Council of Europe Convention on Laundering, Search, Seizure and Confiscation of the Proceeds from Crime and on the Financing of Terrorism (# 198): Yes/No</t>
  </si>
  <si>
    <t>Ratification of the Council of Europe Convention on action against trafficking in human beings: Yes/No</t>
  </si>
  <si>
    <t>Is there a national framework legislation on combating trafficking in human beings?: Adopted or not</t>
  </si>
  <si>
    <t>Is there a state-led victim assistance mechanism (National Referral Mechanism) in place?. Yes/No</t>
  </si>
  <si>
    <t>Does your country comply with Trafficking Victims Protection Act (TVPA)’s minimum standards – tier ranking 
Data taken from 2014 report: http://www.state.gov/documents/organization/226844.pdf</t>
  </si>
  <si>
    <t>US Government Data - Tier Ranking, 1 is best, 2 is 0.5, 2WL is 0.3</t>
  </si>
  <si>
    <t>Is there a framework legislation dealing with prevention and combating drug addiction?: Yes/No</t>
  </si>
  <si>
    <t xml:space="preserve">Energy: legislation convergence and energy policy </t>
  </si>
  <si>
    <t>3.3.1</t>
  </si>
  <si>
    <t>Institutional framework of energy market</t>
  </si>
  <si>
    <t>Role of Energy regulator (independence, level of responsibility)</t>
  </si>
  <si>
    <t>Is the regulator on energy market independent from Government in decision making? Yes/No</t>
  </si>
  <si>
    <t>Is the tariffs policy independent from the Government (gas and electricity sectors) Yes/No</t>
  </si>
  <si>
    <t>Is the regulator on energy market implementing the trasparency procedures? Yes/No</t>
  </si>
  <si>
    <t>Level of competition on gas and electricity markets</t>
  </si>
  <si>
    <t>Is the ownership in energy market legally unbundled? (Vertically integrated structures or multiple providers?) Yes/No</t>
  </si>
  <si>
    <t>Have different consumers a possibility to choose suppliers in gas and electricity markets? (pull or contract-based market model) Yes/No</t>
  </si>
  <si>
    <t>Have the suppliers a possibility to access the infrastructure on competitive basis? (Transmission and distribution networks, gas storages etc.) Yes/No</t>
  </si>
  <si>
    <t>Has your country adopted the Third Energy Package legislation? Yes/No/Under preparation</t>
  </si>
  <si>
    <t>Does your country build interconnections with EU countries?</t>
  </si>
  <si>
    <t>Fully operational electricity interconections? Yes/No/Under progress</t>
  </si>
  <si>
    <t>3.3.2</t>
  </si>
  <si>
    <t>Energy efficiency</t>
  </si>
  <si>
    <t>Are there specific funds for energy efficiency projects? Yes/No</t>
  </si>
  <si>
    <t>Environment and climate policy</t>
  </si>
  <si>
    <t>Transport: regulatory policy</t>
  </si>
  <si>
    <t>State ownership and management of the sector incumbents</t>
  </si>
  <si>
    <t>Higher score means less role of the state which is considered better.</t>
  </si>
  <si>
    <t>Rail</t>
  </si>
  <si>
    <t>No or almost no state monopoly (1)/ Transformation (0.5)/ Yes (0)</t>
  </si>
  <si>
    <t>Ports</t>
  </si>
  <si>
    <t>Airports</t>
  </si>
  <si>
    <t>Third parties access to transport infrastructure</t>
  </si>
  <si>
    <t>Higher score means third parties have access to transport infrastructure what is considered as better since there is more fair competition.</t>
  </si>
  <si>
    <t>Roads (construction and maintenance)</t>
  </si>
  <si>
    <t>Yes (1)/ Partially (0.5)/ No (0)</t>
  </si>
  <si>
    <t>Vertically unbundled natural monopolies in transport</t>
  </si>
  <si>
    <t>Higher score means different segments of transport monopolies are separated what is considered as better.</t>
  </si>
  <si>
    <t>Yes (1)/ Transformation (0.5)/ No (0)</t>
  </si>
  <si>
    <t>Independent transport regulator</t>
  </si>
  <si>
    <t>Higher score means more independent regulators operate in different transport sectors what is considered as better.</t>
  </si>
  <si>
    <t>Yes (1)/ Is under creation (0.5)/ No (0)</t>
  </si>
  <si>
    <t>Independent transport incidents investigating body</t>
  </si>
  <si>
    <t>Higher score means more independent investigating bodies operate in different transport sectors what is considered as better since the EU often insists on this.</t>
  </si>
  <si>
    <t xml:space="preserve">Number of accidents per mln population. </t>
  </si>
  <si>
    <t>Linear transformation. The higher indicator the less road safety what is considered as worse. Number of injury road accidents per 1 million population</t>
  </si>
  <si>
    <t>Is your country implementing a strategy for transport infrastructure modernization (public and private investments)? Yes/No</t>
  </si>
  <si>
    <t>II. APPROXIMATION</t>
  </si>
  <si>
    <t>New data (2013- end of June 2014)</t>
  </si>
  <si>
    <t>1</t>
  </si>
  <si>
    <t>DEEP AND SUSTAINABLE DEMOCRACY</t>
  </si>
  <si>
    <t xml:space="preserve">TOTAL </t>
  </si>
  <si>
    <t>1.1</t>
  </si>
  <si>
    <t>Elections (national level) - most recent elections are taken into account.</t>
  </si>
  <si>
    <t>Last early parliamentary elections were held on November 28, 2010, while the last local elections - on June 5/19, 2011. Thus, some of answers will not change as compared to the last index, while others will be complemented considering the last amendments to electoral legislation.</t>
  </si>
  <si>
    <t>§</t>
  </si>
  <si>
    <t>1-0, 0.5 - difference between free airtime and news coverage</t>
  </si>
  <si>
    <t>Yes. Each party has the right to publish its election programme in state-owned newspapers Holos Ukrainy, Uriadovyi Courier, and in one regional printed media in every region of Ukraine. Each party and MP candidate is provided with free airtime on state TV and radio channels (for each party: 60 minutes on national public television, 60 minutes on national public radio, 20 minutes on regional TV channels in every region, and 20 minutes on regional radio channels in every region; for each MP candidate: 20 minutes on regional TV channel and 20 minutes on regional radio) channel in the respective region). Nevertheless, in the 2012 parliamentary elections the OSCE/ODIHR monitoring results demonstrated that the state-owned Pershyi Natsionalnyi displayed a clear bias in favor of the ruling Party of Regions, devoting 48% of its campaign coverage to the Party of Regions, while devoting only 13 % to  Batkivshchyna. Some 97% of of the Party of Regions' coverage was in a positive tone, while 17% of the coverage of the United Opposition-Batkivshchyna was negative.</t>
  </si>
  <si>
    <t xml:space="preserve"> Yes.  The Election Code (art.64) stipulates that state-owned media should provide free airtime to all election candidates in a fair and non-discriminatory manner. Moreover, the art. 64¹ stipulates that each election candidate should be provided free airtime (5 minutes on TV, 10 minutes on radio and 1 minute daily for election ads) by national broadcasters in parliamentary elections and republican referenda. The airtime for paid election ads is granted to all election candidates at the same broadcasting hours. In addition, the national media (including the state-owned one) is obliged to organise debates with all election candidates running for parliamentary elections, while the local media should organise local election and referenda debates. However, the most recent parliamentary and local elections showed that not all candidates use these rights. According to the OSCE/ODIHR report on the 2010 parliamentary elections, "the Public Radio/TV company generally respected the legal requirement to provide accurate, balanced and impartial election coverage of the contestants" (source: http://www.osce.org/odihr/75118). National observers supported this conclusion, stating that national state-owned media have generally ensured a pluralism of opinion when covering election campaigns, although the parties in power were slightly favoured. (source:http://bit.ly/WGgIG4). Speaking about 2011 local elections, the OSCE/ODIHR LEOM media monitoring stated that "the national public TV Moldova 1 offered a balanced coverage of the campaign in its editorial programmes, granting access not only to the four parliamentary parties, but also to other contestants, generally presenting them in a neutral tone."  (source: http://www.osce.org/odihr/elections/85409).</t>
  </si>
  <si>
    <t xml:space="preserve">No, except for minimal access during electoral campaigns (regulations differ for elections at different levels), the opposition has no access to the state-owned media. This problem is always reported by independent media watchdogs and underlined by all OSCE/ODIHR election monitoring reports. </t>
  </si>
  <si>
    <t>Yes. The Electoral Code contains provisions providing for the allocation of free and paid airtime to qualified election contestants. According to the OSCE/ODIHR report on the Presidential elections of 2013, "even though equal access was guaranteed only to those candidates who qualified for free airtime, 
the main media outlets covered all major contestants." the main issue is related to the so-called "qualified candidates". According to the electoral law only those candidates nominated by political parties that received either 4% in the last parliamentary elections or 3% in the last local elections were considered as ‘qualified'.</t>
  </si>
  <si>
    <t>Yes, according to local and international monitoring. (In Armenia, in 2001 the state broadcaster was converted to a public service broadcaster).</t>
  </si>
  <si>
    <t>No. This has been one of the major concerns of the OSCE ODIHR Election observation missions in all elections to date. The government keeps tight controls not only on the state-run and so-called private TV, but also the Public broadcaster.  State-owned media remain accessible only for the government's candidates, while the opposition party candidates are always either refused or face smear campaigns in state-run media outlets.</t>
  </si>
  <si>
    <t xml:space="preserve">No. However, certain campaign activities (namely, campaigning on public TV and radio channels, publication of election programmes and election posters) of the contestants are financed directly from the state budget of Ukraine. </t>
  </si>
  <si>
    <t>Yes, if the election period is considered. Election candidates receive zero percent loans from the state (art. 37 of Electoral Code).  State loans are then cleared fully or partially by the state depending on the overall number of votes received by the election candidate in the respective district. In addition, the election candidates are provided free air time by state-owned TV and radio companies during election campaign (art. 64¹ of the Electoral Code). Otherwise (between elections), the political parties are not publicly  financed, although the Law on political parties (art.28) stipulates state funding for political parties between elections (0.2%  of  budget revenues from the last year). The money should be allocated proportionally to  political parties, according to their parliamentary or local elections' results. Only parties that receive parliamentary mandates or a certain amount of votes in local elections are elegible to public funding. Hovwever, due to financial constraints, public state funding was postponed until 2017 for parliamentary elections and until 2015 for local elections.  A draft law on Financing of Political Parties and Election Campaigns has been pending Parliament approval since July 2013 (source: http://bit.ly/1jOaAaI). The deadline for its approval set by GRECO was September 2014.  The new law is going: to regulate the mechanisms and conditions for private and public financing of political parties and election campaigns, to establish mechanisms for surveilance of parties and election campaigns' financing, to introduce transparent financial reporting procedures and appropriate sanctions applied for violations of law's provisions etc. The Venice Commision made public its opinion on this draft law on 11 March 2013. (source: http://www.osce.org/odihr/elections/100077)</t>
  </si>
  <si>
    <t>No. Previously, registered candidates that stood in elections were entitled to state funds for publishing their election materials, but on 25 November 2013 the parliament amended the Electoral Code and state funds are no longer available. However, the state covers expenses related to candidates' minimum guaranteed time on TV and printed space in newspapers.</t>
  </si>
  <si>
    <t xml:space="preserve">Yes. The parties benefit from the general annual state financing, which is distributed basically in accordance with the principle of proportional equality. The pool of political parties that are entitled to public funds is provided in the Law on Political Union of Citizens. In particular, those parties that passed the 3% threshold in the last parliamentary or local municipal elections are entitled to financing from the state budget annually. A more or less similar rule applies as regards campaign financing. In particular, an  electoral subject that gets 5% or more of votes in the parliamentary elections, or 10 % of votes in the first round of the presidential elections, gets lump sum of 1,000,000 Gel from the State Budget for reimbursing campaign costs. In case of local municipality elections, electoral subject gets 500,000 GEL if it gets 3% or more of votes. </t>
  </si>
  <si>
    <t>No</t>
  </si>
  <si>
    <t>No. The Parliament of Azerbaijan adopted the Law on Amendments to the Election Code on 18 June 2010. According to this new Law, the old provision that had provided public funding (about 200 Euros) for registered candidates’ campaigns was removed. Therefore, the amendments eliminated the possibility for candidates to receive state funding for their campaign and it created obstacles that disproportionately affected opposition candidates, which desperately needed government funding to cover campaign expenses. The Electoral code of Azerbaijan includes restricitcve provisions on the allocation of free airtime for elction contestants that favour only the governing party. Not all election contestants benefit from free airtime.</t>
  </si>
  <si>
    <t>Is there an independent (state) mechanism for identifying bias in the state media and is identified bias subject to swift correction? Yes/No</t>
  </si>
  <si>
    <t>Calibration. An 0.5 indicates that an independent mechanism exists, but that its evaluations usually do not lead to corrections</t>
  </si>
  <si>
    <t>No. Based on the results of monitoring of the 2007 early parliamentary elections, the OSCE/ODIHR EOM recommended to establish an independent media council with a clear mandate to oversee and control free, equal and fair access to the public broadcasters, as well as to strengthen the independence and powers of the National Broadcasting Council to increase its capacity to supervise the broadcast media in an impartial manner. Following the 2012 elections, OSCE/ODIHR recommended to introduce rules on the coverage of candidates in their institutional roles in the news aimed to prevent broadcasters from giving them privileged treatment. These 2007 and 2012 recommendations have yet to be implemented.</t>
  </si>
  <si>
    <t>Yes/partially. There is a practice established by independent media NGOs over last decade of monitoring the media coverage during elections, revealing the bias in election coverage by both public and private media. However, this mechanism is dependent on external donor funding, while the reports are only informative. The media coverage in elections is also monitored by the national media regulatory body (the Broadcasting Coordinating Council (BCC)), that releases regular bi-weekly monitoring reports during election campaign. BCC could apply sanctions or issue warnings against the broadcasters for biased coverage, but the 2010 parliamentary and 2011 local elections showed that the effectiveness of  these sanctions is limited. The administrative sanctions enter into force usually afer election campaign, while the fines  are not  high enough  to discourage violations and  make a swift correction in broadcasters' editorial policy. After 2011 local elections, OSCE/ODIHR EOM recommended the improvement of BCC enforcement mechanisms by establishing short timeframes for the adoption and entry of sanctions into force (source: http://www.osce.org/odihr/elections/85409). In 2012 a local media NGO submitted to the Parliament for review a proposal with amendnemts to the Electoral Code that is still being examined by parliamentary commissions.  Besides, the BCC political  independence is questioned by both election contestants and media NGOs, as the BCC members are politically appointed. A draft of amended Broadcastng Code designed to change this situation was submitted in 2011 to the parliamentary commission on media and it is still waiting to be examined.</t>
  </si>
  <si>
    <t xml:space="preserve"> Partially. Under the  Electoral Code (Article 51.15) the GNCC is in charge of conducting media monitoring and  assessing media compliance with the allocation of free time, maintaining equal conditions for paid time and the balance in news programmes and talk shows. However, according to the ODIHR/OSCE monitoring report of the Presidential Elections of 2013, "The GNCC took a passive approach in overseeing the media during the election campaign, which limited transparency and effectiveness." In the report, concerns were expressed over the GNCC's ability to identify potential violations and give media the opportunity to correct any identified imbalance.</t>
  </si>
  <si>
    <t>No.The National Committee of the TV and Radio of RA is the body to identify bias in the public broadcast media, and it is a subject to swift correction, but the Committee is not perceived to be independent: a half of its members are appointed by the President of RA, the other half are elected by the National Assembly of RA that is under the control of the President of RA and ruling party.</t>
  </si>
  <si>
    <t xml:space="preserve">No. Several independent media groups and international organisations, like OSCE/ODIHR, maintained daily media monitoring prior to each election. Though the serious shortages and open bias were recorded, the authorities turned a blind eye to consideration of those criticisms. </t>
  </si>
  <si>
    <t>Calibration. 0.5 indicates that legislation is implemented but significant irregularities are reported.</t>
  </si>
  <si>
    <t xml:space="preserve">Yes. In 2014, all major domestic and international organisations (i.e. OSCE/ODIHR, CVU, OPORA and others) concluded that the 2014 early presidential elections were generally in line with international standards. At the same time they noted that unrest in the Eastern Ukraine seriously impacted the election environment and affected the human rights situation in that region, making it impossible to organise voting in the territories controlled by insurgents. In 2012 parliamentary elections, international observation missions reported a number of serious irregularities, such as CEC's failure to inform potential candidates on mistakes and omissions in the registration documents filed with the CEC, abuse of administrative resources by candidates in the single-mandate election districts, widespread instances of indirect bribing of voters, incidents of violence and intimidation against MP candidates and campaign workers, hidden campaign funding by MP candidates and parties, late submission of campaign funding reports to the CEC by 2/3 of MP candidates in single-mandate districts, cases of group/proxy voting, lack of transparency in vote counting, as well as serious problems in tabulation of the election results by some District Election Commissions which resulted in impossibility to establish election results in 5 out of 225 single-mandate election districts. </t>
  </si>
  <si>
    <t>Yes. The OSCE/ODIHR EOM confimed that the 2010 parliamentary elections met most OSCE and Council of European commitments, although a number of cases of inappropiate enforcement of legal provisions were registered (quality of voter rolls, superficial financial reporting of election candidates, establishment of polling stations abroad etc. ). As for 2011 local election, OSCE/ODIHR LEOM  confirmed that the 5 June 2011 local elections largely met the  OSCE and Council of Europe election-related commitments, but recommeded the authorities to address the remaining legal, administrative and regulatory issues regarding the establishment of a centralised electronic voter register, revision of financial reporting mechanisms, improvement of legal provisions tackling vote buying, strengthening the capacity and quality of lower-level election bodies and officials etc.(source: http://www.osce.org/odihr/elections/85409) . National observers ascertained that administration largely followed the election legislation  in local 2011 elections,  although cases of uneven interpretations and insufficient  knowledge of legal norms regarding the registration of election candidates, the filing of financial reports by candidates, the access to voter rolls and the procedures regarding the modification of their content have been reported. However, these deficiences did not have a significant influence on the  election results. (source: Promo-lex report for 2011 elections http://www.e-democracy.md/files/elections/local2011/final-report-promo-lex-local-elections-2011-en.pdf)</t>
  </si>
  <si>
    <t xml:space="preserve">Not fully. Conclusions by the OSCE/ODIHR as well as multiple evidence by local watchdogs point to a well-functioning state system for falsifying elections. </t>
  </si>
  <si>
    <t xml:space="preserve">Yes. According to the OSCE/ODIHR report on the Presidential Elections of 2013, "… presidential election was efficiently administered and transparent, and took place in an amicable and constructive environment. During the election campaign, fundamental freedoms of expression, movement, and assembly were respected and candidates were able to campaign without restriction. The media was less polarized... On election day, voters were able to express their choice freely." However, there have been more concerns expressed over the conduct of the local municipality elections in June, 2014. </t>
  </si>
  <si>
    <t xml:space="preserve">It is implemented with shortcomings, according to local and internatioonal observers. </t>
  </si>
  <si>
    <t xml:space="preserve">No </t>
  </si>
  <si>
    <t>Calibration, 0.5 - legislation is good but badly implemented</t>
  </si>
  <si>
    <t xml:space="preserve">No. The 2011 Parliamentary Election Law was submitted to the parliament and passed in the first and final reading during one day; the text of the draft law and adopted law was publicly available only after its adoption by the parliament. The type of the electoral system for the 2012 parliamentary election (mixed or 'parallel' system) and the electoral threshold for national constituency (5% of the valid votes cast nationally) was proposed by the President of Ukraine, and the opposition parties in fact were forced to vote for the system and suggested threshold in order to allow certain provisions (aimed to improve the overall quality of the law) to appear in the final version of the law. However, the final version of the Law was supported by both ruling and opposition parties. In 2012 parliamentary elections, international election observation missions noted a number of cases when the provisions laid down in the Parliamentary Election Law were violated or poorly implemented. </t>
  </si>
  <si>
    <t>Yes. The electoral legislation is perceived as legitimate by all political actors, although the major part of its amendments made since 2010 is criticised by opposition. Besides, the international election observation mission confimed that  the 2010 parliamentary elections and the 5 June 2011 local elections largely met the  OSCE and Council of Europe election-related commitments. According to the March 2014  joint opinion of the Venice Commission on the proposed amendments to the Election Code of Moldova, "the Election Code currently in force provides a good basis for the conduct of democratic elections in the country, although it could be improved, in particular concerning the seat allocation methodology and the thresholds established in the last  reform." (source: http://bit.ly/1tTvpWa)</t>
  </si>
  <si>
    <t>Yes/No. According to independent polls, the majority of the population see elections as legitimate. But the OSCE/ODIHR election missions always voice serious concerns, including as to the electoral legislation. For example, they criticise the early voting procedure, which is assumed to be an important mechanism for falsifying elections.</t>
  </si>
  <si>
    <t>Yes. According to the OSCE/ODIHR report on Presidential Elections of 2013, "the electoral legal framework is comprehensive and provides a sound legal basis for the conduct of democratic elections. Numerous technical amendments were made to the electoral legislation ahead of elections, which addressed the majority of OSCE/ODIHR recommendations. However, several provisions of the Election Code remain unclear and were not applied in a consistent manner."</t>
  </si>
  <si>
    <t xml:space="preserve">No. "Though a significant number of electoral violations have taken place due to improper enforcement, the key mechanisms challenging the legitimacy of elections are rooted in the Electoral Code of Armenia. Multiple and continuous changes to the electoral legislation have considerably improved the quality of administration of elections, nevertheless, in general, they have resulted in the development of a more sophisticated arsenal of fraudulent practices. Electoral violations have merely become ‘softer’ and have replaced violence and disorder with raw intimidation, vote-buying and hidden transgressions." http://hetq.am/eng/print/20973/ </t>
  </si>
  <si>
    <t xml:space="preserve">No. The Election Code is restricive and was amended multiple times in
the last three years, in June 2010, February 2011, April 2012 and April 2013. These amendments further restrict candidates' ability to reach out to voters. Both the Venice Commission and OSCE /ODIHR have given lots of recommendations to reform the restrictive nature of the Election Code. But they were never considered by the government.  Election legislation in its current form allolws the ruling party to control election commissions at all levels. It has a detrimental affect for the opposition party candidates to compete equally in the polls. </t>
  </si>
  <si>
    <t>Calibration, 0.5 - there are shortcomings</t>
  </si>
  <si>
    <t>No. According to the 2013 amendments to the Parliamentary Election Law, the election districts should comply, if possible, with a number of requirements. In particular, deviation in the number of voters between the districts should not exceed 12% of the average number of voters in the State Register of Voters; the district boundaries should respect the interests of local communities, national minorities and sub-regional devision of Ukraine. However, all of these requirements are "soft" since, as has been mentioned above, should be respected if possible. The Parliamentary Election Law provides little guidance to the CEC as to how the number of districts in each region should be determined. Neither does it require to hold public consultations while setting the election district boundaries. Based on the 2012 election results, the OSCE/ODIHR EOM recommended to amend the electoral law to provide for a transparent redistricting process, performed well in advance of the next parliamentary elections and based on clear, publicly announced rules, taking into account the existing administrative divisions, and historical, geographical and demographic factors.</t>
  </si>
  <si>
    <t xml:space="preserve">Yes/partially. According to the Election Code, the electoral districts correspond to the borders of the second-tier territorial-administrative units of the Republic of Moldova, and of the autonomous territorial unit of Gagauzia, Chisinau and Balti municipalities. Nevertheless, the legislation does not provide clear criteria for constituency delimitation and the conditions for its review. The constituencies' size varies according to the number of population.  As the central authorities don't control the Transnistrian region, no consituencies have been establihed for/ in this region since 1992. At the same time, no clear and transparent criteria was used for establishing the polling stations (PS) abroad outside consulates and embassies for the 2010 parliamentary elections (first time experience). The distribution of PS abroad did not correspond to the distribution of citizens of voting age residing there. Under the Election Code (art.87), the seats in Parliament are allocated according to the method of greatest remainders, although a proportional electoral system is in place. The “remainder seats” are allocated on an equal basis to all parties that pass the threshold, resulting in a possible distribution of a greater number of seats to small parties. The seat allocation procedure was changed shortly before the 2010 elections in contradiction of the Venice Commision Code of Good practice in Electoral Matters and was widely perceived as designed to benefit the parties in power. </t>
  </si>
  <si>
    <t>No. But this is not a visible issue in the opposition's criticism.</t>
  </si>
  <si>
    <t xml:space="preserve">No.  The current rules for Majoritarian election have significant shortfalls. The existing system unfairly distributes mandates by election district and doesn’t guarantee the proportionality between a specific party’s received votes and seats in the Parliament/local self-governing bodies. According to the reports of national and international observer organisations, the disparity of the population size in single mandate constituencies remains a notable long-term shortcoming that undermines the equality of 
the vote.  </t>
  </si>
  <si>
    <t xml:space="preserve">Yes. Mainly the demarcation is done, but there are shortcomings concerning compliance with the rules. </t>
  </si>
  <si>
    <t>Calibration. 0.5 indicates that appropriate mechanisms exist, but that their functioning is constrained</t>
  </si>
  <si>
    <t>There are a number of mechnisms in place to ensure accuracy of the data in the State Register of Voters. However, between 1 January and 19 October 2012, 57,917 multiple entries were removed from the State Register of Voters, while in the last two days before the day of parliamentary election and on election day Precinct Election Commissions made 1,507 inclusions, 19,625 exclusions of voters, as well as changed personal records for 73,357 voters. In the 2014 presidential election, OSCE/ODIHR and domestic observers (CVU, OPORA) reported only isolated cases of problems with accuracy of voter lists. While the situation with accuracy of the State Register of Voters and the voter lists seems to have changed for the better, the OSCE/ODIHR nevertheless made a number of additional recommendations to contribute to a better voter registration in Ukraine.</t>
  </si>
  <si>
    <t>Yes/ partially. The voters themselves have the possibility to check the accuracy of voter lists (VL) and ask the Electoral Bureau of the polling station for its revision or update if some errors regarding their personal data are found (art.40, Election Code).  The voter lists are to be made available in the premises of the polling stations, and shall be posted on the official web site of the Central Election Commission 20 days before the Election day. Nevertheless, an online verification of voter lists  on CEC website was not available during 2011 local elections, due to financial constraints.  The quality of VLs remained an issue during both 2010 and 2011 elections, mainly due to the decentralised  procedure of compiling voter lists.  Mayors are responsible for the compilation of basic VLs, whose electronic copies are submitted to the CEC. The establishemnt of a centalised voter register was seen as a solution to increase the accuracy of VLs, and a respective provision was included in the amended Election Code (2010).  According to the June 2014 amendment to the Election Code, the register will be implemented in the 2014 parliamentary elections.</t>
  </si>
  <si>
    <t>No. There were a lot of cases registered where one person had voted several times or where people who should be entitled to vote were not in the register. Citation from OSCE report on existing problems in voter registration: "There is no consolidated or centralised voter list at any level above the PEC, nor are there provisions for national crosschecking to safeguard against multiple voter registrations. 
The Electoral Code does not provide for voter lists to be displayed in public places. Voter registration on election day is not in line with international good practices and, given the lack of safeguards to crosscheck voter lists, could result in multiple voter registrations."</t>
  </si>
  <si>
    <t xml:space="preserve">Yes. Voter lists are posted at precincts and CEC website for public scrutiny with a time limit available for making changes. In case of incorrect information, a political party, member of election commission or an observer organisation could apply to the relevant electoral commission. If the request is not granted by the commission, an interested part could apply to the court. According to the OSCE/ODIHR report on Presidential Elections of 2013, "there was overall confidence in the quality of voter lists." However, according to the national oserver organisations, the government did not fulfil the promise to introduce voter lists with biometric data. </t>
  </si>
  <si>
    <t>No. Although the CEC publishes the voter register, there are always complaints from the side of opposition and NGOs regarding misusage of the names of those absent from the country. That's why the NGOs demand to publish the voter lists as well, which is prohibited by the law and rejected by the authorities.</t>
  </si>
  <si>
    <t xml:space="preserve">No. The OSCE/ODIHR  report on 2013 presidential elections found that "the voter registration on election day is not in line with international good practice". There is no legal provision that ensures that the data of voters who register to vote on supplementary lists on election day is entered into
the permanent voter register. </t>
  </si>
  <si>
    <t>Calibration. 0.5 indicates several shortcomings or unclear criteria</t>
  </si>
  <si>
    <t>The Parliamentary Election Law and Presidential Election Law provide for a precise list of documents to be submitted by political parties, MP candidates and  presidential candidates to the Central Election Commission to be registered as electoral subjects. The Law restricts the possibility of refusal of registration or cancellation of registration to formal reasons only (failure to submit all required documents, loss of Ukrainian nationality by a candidate etc.). In 2012 the OSCE/ODIHR strongly criticized the CEC decision on refusal to register two main opposition candidates (Y.Tymoshenko and Y.Lutsenko) to run in the elections since they were serving prison terms. In 2014 presidential elections no major violations of the right to be elected have been reported by domestic and international election observation missions. The OSCE/ODIHR, however, recommended to remove a 10-year residency requirement from the Presidential Election Law, to introduce a threshold for a refund of the electoral deposit paid by candidates, and to explicitly state the conditions for a refund of deposit in one-round election.</t>
  </si>
  <si>
    <t xml:space="preserve">Yes.  All citizens eligible to vote have the right to run for office, with the exception of non-Moldovan citizens, persons under 18 years old or under 25 years old (for mayoral posts), active military personnel, prisoners serving their sentence in a penitentiary and persons whose criminal records include crimes committed intentionally. (art. 11, 13, 75, 124, Election Code ).  The registration process for the 2010 parliamentary elections was inclusive; the CEC did not turn down any request for registration. As for 2011 local elections the OSCE/ODIHR LEOM reported that, despite some complaints, candidates did not express any major concerns regarding the registration process. </t>
  </si>
  <si>
    <t xml:space="preserve"> No. OSCE/ODIHR recommendations: The Electoral Code should be amended to provide clear and reasonable criteria and mechanisms 
for candidate registration that is proportionate to the aim of the law. In this regard, consideration 
should be given to detailing the process of signature verification and providing reasonable criteria 
for denial of registration on the grounds of discrepancies in their income and/or asset declarations. 
Candidates should be provided with the opportunity to correct mistakes that are inadvertent, minor, 
or technical in character. The withdrawal of voter and candidate rights of citizens in prison or pre-trial detention, irrespective 
of the gravity of the crime committed, should be removed from the law. Any restrictions on voter 
and candidate rights should be proportional and clearly outlined in the law. http://www.osce.org/odihr/elections/98146?download=true</t>
  </si>
  <si>
    <t>Partially. According to the OSCE/ODIHR report on Presidential Elections of 2013, the residency requirements imposed on presidential candidates "appear disproportionate and at odds with international standards." In addition, OSCE/ODIHR recommended that the issue of dual citizenship be reconsidered in line with international standards.</t>
  </si>
  <si>
    <t>Yes, but during Presidential Elections on February 2013 there was a lawsuit to the Constitutional Court regarding the candidate registration procedure. The Court rejected the complaint.</t>
  </si>
  <si>
    <t>No. The registration is highly politicised and became further restricted following several amendments to the Election Code.  OSCE/ODIHR Election missions have routinely criticised the registration system. The issue of election organisation is one of the worse parts of the election practice.</t>
  </si>
  <si>
    <t>Yes. Based on the 2012 parliamentary election results, the OSCE/ODIHR EOM came to conclusion that in the parliamentary elections candidate registration was largely inclusive and resulted in a deverse field of candidates representing a wide variety of political views. However, in 2012  the OSCE/ODIHR EOM also noted some shortcomings in the registrations process, such as exlusion of two opposition leaders from the election race, denial of registration to many MP candidates on minor technical grounds, as well as underrepresentation of women among the MP candidates. In 2014 presidential elections no significant problems in terms of registration of presidential candidates have been noted. Some of them were refused registration, but solely because they failed to submit to the CEC the required documents.</t>
  </si>
  <si>
    <t>Yes. All candidates are registered in an inclusive process, if they fulfill the requirements of registration. In the 2011 local elections, candidates from 20 political parties, 1 electoral bloc, as well as independents ran. Neither international nor national observers reported cases of denial of registration, although minor procedural issues during the registration process have been noted. During the last 2010 parliamentary elections no candidate was denied registration.</t>
  </si>
  <si>
    <t>The law is non-discriminatory but the implementation is hugely biased.</t>
  </si>
  <si>
    <t xml:space="preserve">Partially. Particular problems exist as regards the candidate registration (see comment above). According to the statements of national human rights organisations, the Central Election Commission showed an inconsistent approach as regards candidate registration. There have been reports of the withdrawal of candidatures by opposition party representatives during the local municipality elections in June 2014 due to alleged pressure. </t>
  </si>
  <si>
    <t xml:space="preserve">Yes. Legal means are not in place to prevent applications for registration. There were several cases when CEC didn't accept  applications, but it always grounded its decisions on the lack of necceserary documents on the applicant's part. Nevertheless there were opinions that SEC's decisions were politically motivated. </t>
  </si>
  <si>
    <t>No. The registration process is very politicised and selective. The opposition candidates face serioud politically motivated obstacles, ungrounded bureacracy and difficulties during the registration. In many instances government criticis or opposition party candidates were arbitrarily refused registration.</t>
  </si>
  <si>
    <t>1-0. N/A if a country's electoral system precludes independent candidatures.</t>
  </si>
  <si>
    <t xml:space="preserve">Yes. In the parliamentary elections independent candidates can be registered in the single mandate districts (however, in the nationwide election district only political parties can nominate candidates). The Presidential Election Law also allows independent candidates to be registered for election. To be registered as a candidate, a person must have the right to be elected, as well as submit to the CEC the documents prescribed by the Law. </t>
  </si>
  <si>
    <t>Yes.  For both 2010 early parliamentary and 2011 local elections. The citizens could run as independents if they collected a certain number (depending on the office they are running for) of voter support signatures.  In the 2010 early parliamentary elections, 19 electoral contestants ran as independent candidates. No independent candidate was denied registration.</t>
  </si>
  <si>
    <t xml:space="preserve">Yes, but not in all cases. Independent candidates could put forward their candidatures for the position of President, Parlamentarian or member of a local self-governing body. However, independent candidates could not run for the elections of a Mayor or Gamgebeli.  </t>
  </si>
  <si>
    <t>Mostly yes, but there are cases of rejection of registration, and usually the reason for that remains uncertain or politically motivated.</t>
  </si>
  <si>
    <t>No. Independent candidates who criticise the government policies had a bleak chance to be registered even if they fulfil all legal requirements. Both the government and the Central Election Commission have been instrumental in obstructing independent or pro-opposition candidates' registration.</t>
  </si>
  <si>
    <t>No. According to national opinion poll conducted by IFES in 2012, before the 2012 parliamentary elections more Ukrainians lack confidence in the CEC (47%) than have confidence (34%). In 2014, according to IFES, only 32% of Ukrainians felt confidence with the CEC. The CEC is generally perceived as transparent, however in each national elections the OSCE/ODIHR criticises the practice of meetings of the CEC members behind closed doors to preliminary discuss the issues to be considered at the CEC formal meetings. Impartiality of the CEC raises serious doubts, since its members are political appointees.</t>
  </si>
  <si>
    <t>Yes. According to OSCE/ODIHR LEOM, "the election administration performed in an overall transparent and professional manner and was perceived as impartial by the majority of stakeholders" during the 5 June 2011 elections. Parliamentary parties nominated members to election management bodies at all levels. Nevertheless, the main opposition party, Party of Communists, contested the political independence of Central Electoral Commission since its composition does not represent the parliamentary majority and the opposition in a balanced manner. CEC meetings are generally conducted in a collegial manner, and are open to the public, media and observers and broadcast on-line, while the decisions are published on CEC website.  International observers concluded that CEC operated also in a transparent and impartial manner and generally enjoyed the confidence of political parties in the 2010 parliamentary elections. The level of confidence in electoral bodies at the regional and local level is lower.</t>
  </si>
  <si>
    <t>No. The Chairwoman of the CEC receives direct orders from the President (and is subject to EU's targeted personal sanctions for rigging election results).</t>
  </si>
  <si>
    <t xml:space="preserve">Yes. The confidence in the election administration has been significantly increased after the candidate nominated by the civil society organisations was appointed as head of the Central Election Commission. According to the OSCE/ODIHR report from 2013, "the CEC managed the election preparations in a professional, transparent and timely manner and enjoyed a high level of stakeholder confidence. . . DECs and PECs performed their tasks competently and managed preparations without major difficulties." Despite the positive assessment, the national observer organisations call for the change of the composition of election administration as it did not ensure multiparty representation. </t>
  </si>
  <si>
    <t>No. After Presidential Elections in February 2013, the Armenian CEC chairman was even  publicly "awarded" by youth activists the title of "honoured artist". The CEC is perceived as favouring the party in power.</t>
  </si>
  <si>
    <t>No. The Central Election Commission (CEC) operates under strict government control,  always producing reports and issuing rulings favouring the ruling party.  There is a widespread belief among opposition and civil society groups that President Aliyev is using the CEC to organise unfair elections that will allow his government to stay in power.</t>
  </si>
  <si>
    <t>Yes. In parliamentary elections, the names of the parties appear on the ballot paper for voting in the nationwide constituency according to the order determined by lot. The names of MP candidates registered in a single member constituency appear on the ballot paper in alphabetical order of the candidates' surnames. The latter approach is also applied to the presidential elections.</t>
  </si>
  <si>
    <t>Yes.The design and text of the ballot is approved by the Central Electoral Commission. Election contestants are listed on a ballot in the order determined by lots’ results drawn by the competent election administration body. (art. 48 of Election Code)</t>
  </si>
  <si>
    <t>Yes</t>
  </si>
  <si>
    <t>Yes. The ballot designs as well as method of voting are determined by rules and regulations and are not arbitrary.</t>
  </si>
  <si>
    <t>Yes, according to the law and in practice. Partly, as there are people  with dissabilities who claim difficultes during voting procedures</t>
  </si>
  <si>
    <t>Yes. There has not been any serious concern on that, though the few lapses include ballots with the absence of emblem of party nominating its candidate, ballots with black-amd-white color, ballots in Latin alphabet among old people knowing only Cyrillic, particular in villages and other shortages create obstacles during the voting.</t>
  </si>
  <si>
    <t>Calibration. 0.5 indicates limitations to accessibility, security and secrecy</t>
  </si>
  <si>
    <t>In 2012, OSCE/ODIHR EOM reported tension and unrest in 2% of election precincts, as well as isolated cases of voter intimidation, proxy and multiple voting, group voting at 5% of election precincts observed, while at 6% of the election precincts observed not all voters marked their ballot papers in secret. According to the OSCE/ODIHR EOM, in 12% of the election precincts observed in 2012, web cameras were placed in a way that they could compromise the secrecy of voting. IFES observers also reported that accessibility of polling stations for disabled voters was uniformly weak. The 2014 early presidential elections were generally accessible, secure and secret, except for two regions in the Eastern Ukraine, where voting/tabulation was impossible to organise in many territorial districts.</t>
  </si>
  <si>
    <t>Yes. However, most of polling stations did not provide access to people with disabilities. The voting is less secure and accesible for voters residing in the Transnistrian region who should move to the special polling stations in neighbouring villages under the control of constitutional authorities, to cast their vote. Usually, the access to special polling stations is obstructed by the Transnistrian border guards, which strengthen the border control on Election Day, recording all people crossing the border and checking more rigorously their IDs.  In the second round of 2011 local elections, CEC decision to remove the curtains from polling booths affected the secrecy of voting. Althougth the Supreme Court annulled the decision on the evening before Election Day, not all polling stations were informed of this decision, and there were reported cases when the secrecy of the vote was compromised. Besides, national and international observers reported that a number of polling stations were not adequately arranged, with premises that were too small and with insufficient numbers of polling booths.</t>
  </si>
  <si>
    <t>Secure and secret, but not accessible.</t>
  </si>
  <si>
    <t>Yes. According to the OSCE/ODIHR and national observer organisations reports, the secrecy of voting was generally ensured during Presidential (2013) and Local Municipality (2014) elections. From the OSCE report on 2013 elections "The CEC addressed the participation of voters with disabilities in 
various ways.(...) Braille templates for ballots were introduced in all polling stations. In addition, 302 polling stations were fitted with ramps and 800 special voting booths for disabled voters were available.</t>
  </si>
  <si>
    <t>Yes by the law, but most of the polling stations are not accessible for people with disabilities, and some are not secure.</t>
  </si>
  <si>
    <t>No. In many cases, authorities and law enforcement officials, and government-orchestrated sportsmen directly interfere and intimate voters in order to make them vote for pro-government candidate. It continues to breach the secrecy of the vote. There has not been any serious challenge in the accessibility of the polling station. As to the security of the polling, the cameras installed in polling station were reportedly used to scare the vulnerable groups in the regions in order to avoid them voting for opposition candidates.</t>
  </si>
  <si>
    <t>Calibration. 0.5 indicates partially ineffective systems</t>
  </si>
  <si>
    <t>Yes. The procedures for printing the ballot papers, for distribution of the ballot papers to the election commissions, as well as for voting are rather detailed, which can be viewed as an additional mechanism for prevention of electoral fraud. Yet, in practice a number of  instances of fraud were reported in 2012 parliamentary elections. In 2014 presidential elections, domestic election observation missions reported only exceptional cases of fraudulent voting.</t>
  </si>
  <si>
    <t xml:space="preserve">Yes. According to the Election Code (art. 53)  voters who exercise their vote are applied a stamp on the ID card annex or on the documents on which the voter votes. This procedure reduces the possibility of multiple voting. The premises where ballots are stored before the Election Day are guarded by the police. Only the chairperson of respective district electoral council or polling station electoral bureau, accompanied by at least two other members of the council or bureau, shall have access to them during this period. The large number of domestic and international observers deployed during recent election campaigns also plays a role in reducing election fraud. The Penal Code sanctions  multiple voting and stuffing ballot boxes (Art. 182) with up to 3 years of imprisonment or a fine in amount of 200 to 500 conventional units. . </t>
  </si>
  <si>
    <t>Yes. Under the Electoral Code, a political party or candidate could be de-registered if the fact of vote-buying is proved by the court. The Criminal Code of Georgia provides sanctions for vote buying. However, in the last presidential elections, "citizen observers reported a few cases of . . . vote buying."</t>
  </si>
  <si>
    <t>Yes, the systems exist, but in many cases they are misused or not effective.</t>
  </si>
  <si>
    <t>The Election Monitoring and Democracy Studies Centre (EMDS), a leading independent election monitoring group in Azerbaijan, closely monitored Azerbaijan’s9  October 2013 presidential election and concluded that it was neither free nor fair and documented extensive fraud on election day. Rather than investigating credible reports of vote frauds, the authorities went to arrest EMDS Director, Anar Mammadli, raided his office and confiscated election report related materials.</t>
  </si>
  <si>
    <t>Calibration. 0.5 indicates ineffective prevention systems or observed practices of vote buying</t>
  </si>
  <si>
    <t>Yes. Vote buying is precluded mainly through the possibility of observation of elections (including voting and ballot counting) by the observers, as well as through the provisions of the Criminal Code of Ukraine which envisages criminal liability for illegal usage of the ballot papers. However, in 2012 the OSCE/ODIHR EOM detected isolated cases of explicit vote buying on election day. Individual instances of vote buying were also detected by domestic observers in the 2014 presidential elections.</t>
  </si>
  <si>
    <t xml:space="preserve">Yes/partially. According to the Election Code (art.38), the election candidates are prohibited from using public means and goods (administrative resources) in election campaigns, to offer voters money or gifts, and to distribute goods free of charge, including humanitarian aid or other charity. However, the Code does not have a clear penalty provision for vote buying. At the same time, the offering of electoral gifts by all election contestants is a common phenomenon in elections and no election contestant has been penalised for this so far. During the 5 June 2011 local elections, national observers reported a high number of  cases of electoral gifts distribution to voters by candidates.  CEC subsequently asked the Ministry of Interior (MoI) to investigate the matter. No candidate was sanctioned.  In May 2013 an amendment to the Penal Code provision on corruption of voters (art. 181¹) entered into force. The amendment specifies the goods that do/do not fall under the category of electoral gift, and tightens sanctions for vote buying (1 to 5 years of imprisonment or a fine in amount of 200 to 500 conventional units, and ban on holding certain positions or to practise certain activities for a term up to 3 years). (source: http://lex.justice.md/md/347655/). However, the sanctions could be applied only if the gifts are offered during election campaigns, and political parties have been already taking advantage of this loophole. In 2014 there have been already cases observed when some political parties distributed food packages or other goods to the population.  </t>
  </si>
  <si>
    <t>No, though it is of course illegal.</t>
  </si>
  <si>
    <t xml:space="preserve">Yes. Provided that there is a strong political will to prevent and adequately follow up on the cases of vote buying, the heavy sanctions provided by the Electoral Code and the Criminal Code could serve as a deterrant for vote buying. </t>
  </si>
  <si>
    <t xml:space="preserve">Yes, but in practice it doesn't work. Vote-buying occurs, but there have been no cases of proven vote buying. </t>
  </si>
  <si>
    <t>No.  Even though it is forbidden under the law, it continues to be a widespread tactic for the incumbent regime during all elections. All administrative resources are always used by the authorities for vote buying, very often through intimidation and financial incentives. There is no political will at all within the government to prevent vote buying and tempering the electoral process.</t>
  </si>
  <si>
    <t xml:space="preserve">Calibration. 0.5 indicates intermediate levels of intimidation. </t>
  </si>
  <si>
    <t>Yes. In 2012, the OSCE/ODIHR EOM assessed the voting process positively in 96% of election precincts observed, while cases of voter intimidation were rare. In the 2014 presidential elections, voters were widely intimidated only in 2 eastern regions controlled by insurgents, while in the rest of Ukraine voters were able to express their free will without intimidation.</t>
  </si>
  <si>
    <t>Yes. In the local elections on 5 June 2011, both national and international observers reported isolated cases of intimidation. The findings of the Quick vote conducted on 5 June 2011 (10% of all polling stations) by a local NGO (Promo-Lex) showed that in 13% of  observed polling stations cases were reported of violence and intimidation towards voters. However, these were individual cases that did not affect the final election results.</t>
  </si>
  <si>
    <t>They can, but it does not necessarily lead to fair results. The authorities use intimidation at work places to make sure that the turnout is high (including during the early voting procedure, which they use to falsify the results).</t>
  </si>
  <si>
    <t>Yes. The election environment was dramatically improved after the 2012 parliamentary elections. However, according to OSCE/ODIHR report on Presidential Elections, "a few instances of harassment and intimidation took place."</t>
  </si>
  <si>
    <t>Despite reports on intimidation issued by local NGOs and intenational organisations, no charges have been brought for intimidation.</t>
  </si>
  <si>
    <t>No. The systematic pressure and intimidation of voters are routinely applied by the authorities to get the desired result and to ensure the incumbent's/ruling party's victory in the elections. It has a chilling effect on the voters, who mostly are vulnerable groups. People living in the fear of climate are afraid to challenge such pressures, as they could face bad consequences, like being dismissed from job, interrogated or detained.</t>
  </si>
  <si>
    <t>Yes. The procedure for registration of both domestic and international observers in national elections is rather simple. For the 2012 parliamentary elections, the CEC registered election observers from 68 national NGOs, 28 foreign states and 35 international organisations. For the 2014 presidential election, the CEC registered election observers from 10 domestic NGOs, 19 foreign stattes and 20 international organisations.</t>
  </si>
  <si>
    <t>Yes. The registration procedure for both domestic and international observers involves the submission of a request letter from the organisation that propose the observer,  a copy of its ID or passport, a copy of NGO's registration certificate, and  photograph for an international observer. The refusal to register observers must be justified and can be appealed to higher authorities, and later in the law court (art. 63, Election Code).  No observer was refused accreditation in either the 2010 parliamentary or 2011 local elections. For the 2010 early parliamentary elections, 3,214 observers (domestic and international) were accredited, and for the 5 July 2011 local elections, 146 international and 1,010 domestic observers were accredited.</t>
  </si>
  <si>
    <t>Yes, but observation is highly limited by the legislation and its implementation. For example, observers do not see ballots during the counting procedure.</t>
  </si>
  <si>
    <t>Yes. In most cases, NGOs or journalists willing to observe elections can freely register as an observer either with the Central or District Election Commissions.</t>
  </si>
  <si>
    <t xml:space="preserve">Formally yes, but there are cases when the observers were intimidated or even dismissed from the polling stations. "The OSCE/ODIHR EOM was informed that candidate proxies and accredited observers had attempted to file more complaints but had encountered obstruction from PECs, 
including refusal to record irregularities in their journals or to receive an official complaint." </t>
  </si>
  <si>
    <t>No. For instance, it becomes extremely difficult for critical NGOs or individuals to get registered for election observation.  The major independent domestic election observation group - Election Monitoring and Democratic Studies Center - had its observer training sessions in private homes interrupted by
the police or local executive authorities. Though the group, whose registration has been arbitrarily annulled, has registered its observers individually, the overall situation for independent observers was hostile and not satisfactory at all. There were even a number of cases when international NGOs were arbitrarily denied observation status.</t>
  </si>
  <si>
    <t>Calibration. 0.5 indicates significant extent of counting problems</t>
  </si>
  <si>
    <t>In the 2012 parliamentary elections, the OSCE/ODIHR EOM assessed vote counting positively in 89% election precincts observed. The list of detected irregularities included instances of violations of the legally prescribed procedures for vote counting and compiling the vote counting protocols, interference of unauthorised persons in the work of the Precinct Election Commissions, obstruction to observation of vote counting. In the 2014 presidential election, OSCE/ODIHR EOM assessed vote counting positively in 94% of the election precinct observed. The list of detected problems included mainly procedural errors and problems connected to completing the vote counting protocols.</t>
  </si>
  <si>
    <t>Yes. The Quick Count and Parallel Vote Tabulation processes were conducted in the 5 June 2011 local elections, but in a limited area (only in the 3 cities - Chisinău,  Bălci and Comrat - 10% of all polling stations). The  parallel vote count largely confirmed the official election results. Although national observers reported some discrepancies in counting protocols, they could not influence the final election results. (source: http://www.e-democracy.md/files/elections/local2011/pr-promo-lex-local-elections-06-06-2011-en.pdf). A parallel vote tabulation operation (PVT) and a qualitative and quantitative quick count of votes (Quick Count) conducted by a domestic NGO (Promo-LEX) during the 2010 early parliamentary elections also largely confirmed the official election results. The OSCE/ODIHR EOM also made an overall positive assessment of the vote count at polling stations in the 2010 elections.</t>
  </si>
  <si>
    <t>No, it is named as one of the core problems in OSCE/ODIHR reports.</t>
  </si>
  <si>
    <t>Mostly yes. According to the OSCE/ODIHR report on the Presidential Elections of 2013, "counting was assessed positively in 120 of 134 polling stations observed . . . However, some PECs were noted as having difficulties in understanding all counting procedures."</t>
  </si>
  <si>
    <t>No, this is one of the most disputable parts of elections.</t>
  </si>
  <si>
    <t xml:space="preserve">No. No. In the last presidential election of October 2013 October, the OSCE/ODIHR mission found that "the count was reported as overwhelmingly negative, with 58% of the observed polling stations assessed as bad or very bad, indicating very serious problems.
Regarding specific aspects of the count, IEOM observers negatively assessed PEC’s understanding of and adherence to procedures, as well as their overall performance." International observers have always found serious irregularities related to the accuracy of the counting. Tampering with the tabulation and counting process, the inflated vote outcome, ballot box stuffing and other serious procedural errors have been one of the major concerns expressed by international observers in all past elections. </t>
  </si>
  <si>
    <t>1-0, 0.5 indicates that observers are limited</t>
  </si>
  <si>
    <t>In both presidential and parliamentary elections, candidates, authorised representatives of political parties, candidate proxies as well as observers from political parties, candidates and NGOs are allowed to observe the count.</t>
  </si>
  <si>
    <t>Yes. Under the Election Code Code (art. 55), the representatives of election candidates (parties, blocs, independent candidates), national and international observers,  and media are allowed to observe the count. During the last parliamentary election (28 November 2010) and local elections (5/19 June 2011), only a few cases related to the non-admission of election candidates' representatives to observe the count were reported by both international and local observers. (source: http://www.e-democracy.md/en/elections/parliamentary/2010/monitoring/, and http://www.e-democracy.md/en/elections/local/2011/monitoring/)</t>
  </si>
  <si>
    <t xml:space="preserve">Yes, but as observers have to stand quite far from the table where the counting takes place and do not see what is on the ballots, it does not prevent fraudulent counting. </t>
  </si>
  <si>
    <t xml:space="preserve">Yes. Under the Electoral Code, representatives of political parties or candidates are allowed to observe the count. </t>
  </si>
  <si>
    <t xml:space="preserve">Yes, the parties and candidates are allowed to observe, but only delegated representatives. </t>
  </si>
  <si>
    <t xml:space="preserve">Partially yes. Political parties and candidates have their observers present in PECs. However, there are cases, mainly in the regions, where sometimes the opposition observers were forced to leave the polling station during the counting process by police or government-orchestrated sportsmen. There were a number of cases in the 2010 parliamentary elections when the opposition (Musavat, Popular Front) observers were not allowed to observe the count. In the 2013 and prior elections the allowed distance between observers and the counting space didn't allow to properly observe the details of the counting process. </t>
  </si>
  <si>
    <t>Calibration. 0.5 indicates operation problems of the appeal system</t>
  </si>
  <si>
    <t>Yes in 2014. In the 2012 parliamentary elections the CEC processed complaints in a timely manner but with limited or no debate during its official sessions, which, according to the OSCE/ODIHR EOM, negatively affected the transparency of the process. In addition, the limited factual information or legal reasoning of many CEC resolutions on complaints put into question their justification, while a formalistic and at times contradictory approach left the aggrieved parties without due consideration of their claims, contrary to OSCE commitments. A small number of complaints were also filed with the District Election Commissions, which mostly rejected them on formal grounds, demonstrating in general an excessively formalistic approach. In 2012, the OSCE/ODIHR EOM also noted that a significant number of court decisions on election-related complaints demonstrated inconsistent, unsound or narrow interpretations of the law, while lawsuits were dismissed on sometimes questionable grounds of lack of evidence or inadmissible evidence. The situation improved in 2014. The OSCE/ODIHR concluded that in the 2014 presidential election courts considered election-related complaints and appeals brought before them promptly and thoroughly and offered complainants sufficient opportunity to state their claim.</t>
  </si>
  <si>
    <t xml:space="preserve">Yes. The 2010 and 2011 amendments to the Electtion Code introduced a new procedure for filling complains and appeals, stipulating that decisions of election bodies must first be appealed to a higher election body before a complainant can go to court, or that the complainant could lodge an appeal against election bodies ' decisions directly to court on election day. The new appeal procedure was less known for stakeholders (candidates, courts, lower-level election bodies)  which led to a number of procedural errors and delays in considering appeals and complaints during the 2011 local elections. Nevertheless, the LEOM ascertained that CEC reviewed complaints in an open and transparent manner, and its decisions were generally well reasoned and in line with legislation. With some exceptions, the court judgments appeared also well reasoned and based on legal provisions in place. (source: http://www.e-democracy.md/files/elections/local2011/final-report-osce-local-elections-2011-en.pdf). In the 5 June 2011 elections, the CEC received 74 complaints and appeals in total, most of them filed by parliamentary parties and independent candidates. During the 2010 parliamentary elections, the CEC received 80 complaints in total and issued 42 decisions on 44 complaints.  </t>
  </si>
  <si>
    <t>No, it is as biased as, for example, the registration procedure.</t>
  </si>
  <si>
    <t xml:space="preserve">Yes. According to the report of the national observer organisation, the District Election Commissions responded adequately to their appeals and complaints. </t>
  </si>
  <si>
    <t>The appeal system is appropriate by the law, but in reality it is not impartial and non-partisan.</t>
  </si>
  <si>
    <t xml:space="preserve">No. the existing appeal system is totally biased and politicised, favouring the ruling party. As the OSCE/ODIHR EOM said in relation to the 9 October 2013 presidential election, "the complaints/appeals were heard hastily, with little or no time given for the proper review of materials submitted." </t>
  </si>
  <si>
    <t>In 2012 parlamentary elections, OSCE/ODIHR EOM stressed that some legal provisions and/or the practice of their implementation appeared at odds with international standards. The same conclusion was shared by domestic election monitoring organizations (OPORA, CVU) and international observation missions (CANADEM, ENEMO etc.). Both domestic and international election observation missions concluded that the 2014 presidential elections were genarally held without significant problems, except for the Eastern Ukraine, where the rebels prevented voting from being held im most of the territorial election districts established in Luhansk and Donetsk oblasts.</t>
  </si>
  <si>
    <t>Yes. The international observers confirmed in their reports that both the 2010 parliamentary and 2011 local elections largely met the OSCE and Council of Europe election-related commitments. The elections were administered in a transparent and impartial manner by the Central Election Commission (CEC) and conducted in a calm environment, conducive to a competitive campaign, and offered voters a genuine choice. National observers (Promo-Lex) reported that the 2011 local general elections were adequately prepared and were marked by a high level of voter participation and a fierce competition among candidates. Although multiple deficiencies have been recorded during the election campaign, mainly due to the actions undertaken by the majority of the actors involved, these deficiences did not significantly influence the election results (source: http://bit.ly/1zKSlr5).</t>
  </si>
  <si>
    <t>No. In 2013-2014 only local elections took place. They were not attended by OSCE/ODIHR observers, but local observers registered multiple problems (http://spring96.org/ru/tags/1205).</t>
  </si>
  <si>
    <t>Yes. According to the OSCE/ODIHR Report on Presidential Elections of 2013, "the 27 October presidential election was efficiently administered and transparent, and took place in an amicable and constructive environment. During the election campaign, fundamental freedoms of expression, movement, and assembly were respected, and candidates were able to campaign without restriction. The media was less polarised  . . .  and presented a broad range of viewpoints. On election day, voters were able to express their choice freely."</t>
  </si>
  <si>
    <t>No. Mostly international organisations and gongos confirm that there were serious problems, which didn’t influence the results. But local independent and pro-oppositional organisations confirm serious problems that influenced the results highly.</t>
  </si>
  <si>
    <t>No. In 2013 presidential elections, the OSCE/ODIHR Eom, which had both long and short term observers, found that the elections failed to meet international standards. "The counting was assessed in overwhelmingly negative terms, with 58% of observed polling stations assessed as bad or very bad, indicating serious problems. In
14 observed counts, IEOM observers reported manipulation of voter list entries, results or protocols, including cases of votes being reassigned to a different candidate." http://www.osce.org/institutions/110015?download=true</t>
  </si>
  <si>
    <t>1.1.4.</t>
  </si>
  <si>
    <t xml:space="preserve">Vote differential between winner and best-performing rival in most recent presidential elections: Difference between vote shares in percentage points </t>
  </si>
  <si>
    <t>N/A</t>
  </si>
  <si>
    <t>41.89%. In the most recent 2014 presidential elections, the winner, Petro Poroshenko, received in his support 9,857,308 votes (54.7%), the second presidential candidate, Yulia Tymoshenko – 2,310,050 votes (12.81%).</t>
  </si>
  <si>
    <t>A vote of legislators is hard to compare to a vote of citizens, so N/A. 61.4% (official result - 62 of 101 MPs). Until March 2012, the Parliament repeatedly failed to elect the president. In the 16 March 2012 presidential elections, only one candidate was nominated who was elected as president with 62 votes.</t>
  </si>
  <si>
    <t>Aleskander Lukashenko - 79.67%; Andrei Sannikov - 2.43%; difference: 77.24%.</t>
  </si>
  <si>
    <t>Vote differential - 40.4%;                     Davit Bakradze (United National Movement) - 21.72%;                     Giorgi Margvelashvili (Coalition "Georgian Dream") - 62.12%</t>
  </si>
  <si>
    <t xml:space="preserve">Vote differential: 21.89% . Most recent presidential elections were held on 18 February 2013. The winner Serzh Sargsyan got 861155 votes (58.64%), the best-performing rival Raffi Hovhanissyan- 539691 (36.75%)  </t>
  </si>
  <si>
    <t>79.3%. In last presidential election sof October 2013, the ruling party's candidate, incumbent Ilham Aliyev received 84.5 %  of the vote, while the best performing rival got 5.2 %.</t>
  </si>
  <si>
    <t xml:space="preserve"> Vote differential between strongest party / electoral alliance and main opposition party/ alliance, most recent legislative elections: Difference between vote shares in percentage points </t>
  </si>
  <si>
    <t>4.46%. The Party of Regions, which was the ruling and the strongest party at the time of the 2012 parliamentary elections, received in the nationwide election district 30% (6,116,746) of the votes, while the main opposition party Batkivshchyna was supported by 25.54% (5,209,090 votes) of the voters.</t>
  </si>
  <si>
    <t>9.92. The November 28, 2010 early parliamentary election results: Party of Communists of the Republic of Moldova (PCRM) – 39.34% - (opposition); Liberal Democratic Party of Moldova (PLDM) – 29.42%; Democratic Party of Moldova (PDM) – 12.7%; Liberal Party (PL) – 9.96%.</t>
  </si>
  <si>
    <t>Based on official results by constituency, the average percent for the winner is ca 75%, but opposition votes are not recorded. Belarus has a majoritarian electoral system. The majority of MPs are individual candidates: 105 out of 110. There is no ruling party in the country and not a single opposition representative is in the parliament.</t>
  </si>
  <si>
    <t>Difference:14.63 %                                  Bidzina Ivanishvili - Georgian Dream (54.97%)                              United National Movement - More Benefits to People (40.34%)</t>
  </si>
  <si>
    <t>13.9%. During most recent legislative elections on 5 May 2012, the strongest party - Republican Party of Armenia received 466 440 votes (44.02%). The main opposition "Prosperous Armenia" party  received 454 673 votes (30.2%).</t>
  </si>
  <si>
    <t xml:space="preserve">92.2% Yeni Azerbaiajan received 45.8%, pro-government independents 48.2%, so together 94%. Musavat received 1.8%.  The last parliamentary elections were held on 7 November 2010. Parliamentary elections are conducted under a majoritarian system.The elections saw the incumbent YAP party getting 71 seats, while traditional main opposition parties none.  </t>
  </si>
  <si>
    <t>1.2.</t>
  </si>
  <si>
    <t xml:space="preserve"> Media freedom, association and assembly rights</t>
  </si>
  <si>
    <t>1.2.1.</t>
  </si>
  <si>
    <t>Freedom of the Press: 2014 Index value/Freedom House (Rating) http://www.freedomhouse.org/sites/default/files/Global%20and%20regional%20tables.pdf</t>
  </si>
  <si>
    <t>Linear transformation, benchmarks defined by best and worst performing EBRD transition country; best = 16 (Estonia), worst = 96 (Turkmenistan)</t>
  </si>
  <si>
    <t>Press Freedom Index: 2014 Index value /Reporters without borders</t>
  </si>
  <si>
    <t xml:space="preserve">Linear transformation, benchmarks defined by best and worst performing EBRD transition country; best = 9.63 (Estonia), worst = 80.81 (Turkmenistan) </t>
  </si>
  <si>
    <t xml:space="preserve">1.2.2. </t>
  </si>
  <si>
    <t>Association and assembly rights</t>
  </si>
  <si>
    <t xml:space="preserve"> To what extent can individuals form and join independent political or civic groups? Score Bertelsmann Transformation Index 2014</t>
  </si>
  <si>
    <t>Linear transformation, benchmarks defined by best and worst performing EBRD transition country; best = 10 (Estonia etc.), worst = 1 (Turkmenistan)</t>
  </si>
  <si>
    <t xml:space="preserve">To what extent can these groups operate and assemble freely? Civil Society sub-score from Nations in Transit 2014 </t>
  </si>
  <si>
    <t>Linear transformation, benchmarks defined by best and worst performing EBRD transition country; best = 1.5 (Poland), worst = 7 (Turkmenistan and Uzbekistan)</t>
  </si>
  <si>
    <t>Associational and organizational rights: Freedom House, Freedom in the World 2014, Subscore http://www.freedomhouse.org/report/freedom-world-aggregate-and-subcategory-scores</t>
  </si>
  <si>
    <t>Linear transformation, benchmarks defined by best and worst performing EBRD transition country; best = 12 (Czech Rep Poland, Estonia etc.), worst = 0 (Uzbekistan, Turkmenistan)</t>
  </si>
  <si>
    <t>1.3.</t>
  </si>
  <si>
    <t xml:space="preserve"> Human rights</t>
  </si>
  <si>
    <t>1.3.1.</t>
  </si>
  <si>
    <t xml:space="preserve"> Protection of civil liberties </t>
  </si>
  <si>
    <t xml:space="preserve">Violations of civil liberties </t>
  </si>
  <si>
    <t>Personal autonomy and individual rights (Freedom House, Freedom in the World 2014, subscore) http://www.freedomhouse.org/report/freedom-world-aggregate-and-subcategory-scores</t>
  </si>
  <si>
    <t>Linear transformation, benchmarks defined by best and worst performing EBRD transition countries; best =15 (Czech Republic)  worst = 3 (Uzbekistan, Turkmenistan)</t>
  </si>
  <si>
    <t>Freedom of expression and belief (Freedom House, Freedom in the World 2014, subscore) http://www.freedomhouse.org/report/freedom-world-aggregate-and-subcategory-scores</t>
  </si>
  <si>
    <t>Linear transformation, benchmarks defined by best and worst performing EBRD transition countries; best = 16 (Slovak Rep, Poland, Czech Rep, Lithuania, Estonia), worst =1 (Uzbekistan)</t>
  </si>
  <si>
    <t xml:space="preserve">Physical integrity rights index, 2011 data (Cingranelli and Richards Dataset, www.humanrightsdata.com) </t>
  </si>
  <si>
    <t>Linear transformation, benchmarks defined by best and worst performing EBRD transition countries, best = Slovenia, Czech Rep (8), worst = Russia (0)</t>
  </si>
  <si>
    <t xml:space="preserve">To what extent are civil rights guaranteed and protected, and to what extent can citizens seek redress for violations of these rights? Bertelsmann Transformation Index 2014 </t>
  </si>
  <si>
    <t>Linear transformation, benchmarks defined by best and worst performing EBRD transition countries; best = Estonia, Poland, Czech Rep (10), worst = Turkmenistan (1)</t>
  </si>
  <si>
    <t>Did your country ratify the European convention of Human Rights? Yes/No</t>
  </si>
  <si>
    <t>Yes, in 1997</t>
  </si>
  <si>
    <t>Yes, in 1999</t>
  </si>
  <si>
    <t xml:space="preserve">Yes, in 2002. </t>
  </si>
  <si>
    <t>Yes, in 2012</t>
  </si>
  <si>
    <t xml:space="preserve">Yes, the system operates from January 2013, but it is still limited to criminal cases only. Funds available are not sufficient for the whole year. Civil legal aid is scheduled for 2014-2017 but most probably will be futher delayed. </t>
  </si>
  <si>
    <t xml:space="preserve">Yes. The Legal Aid Council developed rules as to have access to the data to check income, assets, etc. to check the financial capacity. </t>
  </si>
  <si>
    <t>Partially or even no. Absence of the right to legal aid in administrative proceedings when the penalty involves deprivation of liberty (administrative arrest); - Mandatory recovery from the convicted person of the legal aid costs; - The funding of legal aid services in civil cases by advocates themselves
without any compensation by the government; no mechanism in place for checking a person’s income for legal assistance purposes http://www.osce.org/odihr/36295?download=true</t>
  </si>
  <si>
    <t xml:space="preserve">Yes, the Free Legal Aid Service was created in 2007. In 2013, the Service was separated from the Ministry of Corrections that will ensure its greater independence from the executive branch. </t>
  </si>
  <si>
    <t xml:space="preserve">Yes, partly. There is a system, but not that efficient. Free of charge legal aid (it is stipulated by the Constitution, art. 20), including for people with limited financial means and persons who receive treatment and/or care at psychiatric establishments (according to amendments and addenda to the RA laws on “Psychiatric Care” and “Advocacy” adopted on 30 April 2013 by the National Assembly). </t>
  </si>
  <si>
    <t>No. The court  services, including legal aid, are very inadequate. The Court system remains highly corrupted and ineffective.</t>
  </si>
  <si>
    <t>Yes, in 1998</t>
  </si>
  <si>
    <t xml:space="preserve">Yes. The death penalty is abolished also in war time (Rome Statute was ratified in September 2010). </t>
  </si>
  <si>
    <t>Yes, in 1997 by the Law of Georgia on the Full Abolition of the Death Penalty as a Special Measure of Punishment</t>
  </si>
  <si>
    <t>Yes,  in  2003. The Constitution of the Republic of Armenia (article 15)</t>
  </si>
  <si>
    <t>Yes. Moldova ratified the Convention on 2 October 1997. The documet entered into force on  February 1998.</t>
  </si>
  <si>
    <t>Yes, in 2000</t>
  </si>
  <si>
    <t>Yes. Armenia ratified the European Convention for the Prevention of Torture and Inhuman or Degrading Treatment or Punishment on 18 June 2002. A delegation of the Council of Europe's Committee for the Prevention of Torture and Inhuman or Degrading Treatment or Punishment (CPT) carried out an ad hoc visit to Armenia from 5 to 7 December 2011.</t>
  </si>
  <si>
    <t>Yes. However, the implementation remains a serious problem.</t>
  </si>
  <si>
    <t>Did your country request the publication of the latest European Committee for Prevention of Torture (CPT) reports (2013-2014)? - Yes/No        http://www.cpt.coe.int/en/states.htm</t>
  </si>
  <si>
    <t>Yes, visits on 9-21 October 2013, and 18-24 February 2014.</t>
  </si>
  <si>
    <t>Yes. The last visit of CPT took place in 2011, and the next is scheduled for 2015 (http://www.cpt.coe.int/en/states/mda.htm)</t>
  </si>
  <si>
    <t xml:space="preserve">Yes, the Government of Georgia requested publication of the report on the visit to Georgia undertaken in 2012. The Report was published on 31 July 2013. http://www.cpt.coe.int/documents/geo/2013-18-inf-eng.pdf </t>
  </si>
  <si>
    <t>A delegation of the Council of Europe's Committee for the Prevention of Torture and Inhuman or Degrading Treatment or Punishment (CPT) carried out an ad hoc visit to Armenia from 4 to 10 April 2013 and from 20 to 23 May 2014. At the end of the latest visit, the delegation presented its preliminary observations to the Armenian authorities.</t>
  </si>
  <si>
    <t>No.</t>
  </si>
  <si>
    <t>Yes. The Ombudsman Office is defined as the National Preventive Mechanism (NPM).</t>
  </si>
  <si>
    <t xml:space="preserve">Yes. Moldova ratified the OPCAT in 2006 and set up the National Preventive Mechanism on Torture in 2008. </t>
  </si>
  <si>
    <t>Yes, in 2005</t>
  </si>
  <si>
    <t>Yes, ratified in 14 September 2006.</t>
  </si>
  <si>
    <t>Yes.</t>
  </si>
  <si>
    <t>Yes.  The Ombudsman + model has been selected. NGOs are accepted for visits. Expert Council with Ombudsman's Representative on NPM is playing a key role.</t>
  </si>
  <si>
    <t>No. On 3 April 2014 a new law was adopted on the Ombudsman (Law no. 52). 1. It is unclear how this provision can meet the requirements of UN OPCAT Article 18, which specify that a National Preventative Mechanism (1) is independent; (2) has independent personnel; (3) is gender balanced; and (4) includes ethnic and national minority representation. This provision and provisions below manifestly fail on criteria (2)-(4). 2. There appears to be no provision for public reporting by the NPM, an issue repeatedly raised. There is no provision for ordinary and urgent reporting procedures. No provisions on time limits for responses by the concerned authority to ensure accountability to the NPM. 3. The list of NPM's rights does not include all rights and privileges as required by Article 20 UN OPCAT, relating to access to all facilities and all information, the right to hold private interviews; direct contact with the UN SPT etc.</t>
  </si>
  <si>
    <t>Yes, the Public Defender of Georgia carries out functions of a National Preventive Mechanism, envisaged by the Optional Protocol to the United Nations Convention against Torture and Other Cruel, Inhuman or Degrading Treatment or Punishment since 2009,</t>
  </si>
  <si>
    <t>Yes, in April 2008, Armenia designated the Human Rights Defender's Office as its National Preventive Mechanism through an amendment to the Law on Human Rights Defender. In 2010, the Human Rights Defender established a Council on Torture Prevention to support the NPM work, comprising both representatives from the Human Rights Defender's Office and civil society organisations.</t>
  </si>
  <si>
    <t>Yes. The Ombudsman (Human Rights Commissioner) Office is the national preventive mechanism.</t>
  </si>
  <si>
    <t xml:space="preserve">1.3.2. </t>
  </si>
  <si>
    <t xml:space="preserve">1.3.2.1. </t>
  </si>
  <si>
    <t>No. The protocol was signed but not ratified</t>
  </si>
  <si>
    <t>Yes, ratified in 2001. Entered into force in 2005</t>
  </si>
  <si>
    <t>No. It has signed in 2003, but not ratified yet.</t>
  </si>
  <si>
    <t>Yes, ratified</t>
  </si>
  <si>
    <t>yes</t>
  </si>
  <si>
    <t xml:space="preserve">Yes, ratified on 13 March 2014. </t>
  </si>
  <si>
    <t>Yes (Ratified on 19/9/2005; in force since 1/1/2006)</t>
  </si>
  <si>
    <t>No. Signed but not ratified</t>
  </si>
  <si>
    <t>No. It has signed in 2001, but not ratified it yet.</t>
  </si>
  <si>
    <t>Yes (Ratified on 26/1/1998; in force since 1/5/1998)</t>
  </si>
  <si>
    <t>Yes, ratified in 2005</t>
  </si>
  <si>
    <t>Yes (Ratified on 2/7/2007; in force since 1/10/2007)</t>
  </si>
  <si>
    <t xml:space="preserve">No. </t>
  </si>
  <si>
    <t>Yes (Ratified on 14/4/2000; in force since 1/4/2007)</t>
  </si>
  <si>
    <t xml:space="preserve">1.3.2.2. </t>
  </si>
  <si>
    <t>Yes, the Law of Ukraine “On the principles of prevention and combating discrimination in Ukraine” (came into force on 4 October 2012, amended on 30 May 2014). Definitions were brought to EU requirements standards, mandate of the equality body was broadened, shift of the burden of proof introduced. EU positively assessed the law, but insisted on its further close implmentation, monitoring, and further development to meets all directives' criteria, i.e. further specification should be introduced into the legislation to provide for the LGBT rights protection, etc.</t>
  </si>
  <si>
    <t xml:space="preserve">Yes. Law on Ensuring Equality from 25 May 2012. </t>
  </si>
  <si>
    <t>No framework law, but there are provisions against discrimination in the Constitution and other laws.</t>
  </si>
  <si>
    <t>Yes, the Law of Goergia on the Elimination of All Forms of Discrimination. Adopted on 2 May 2014</t>
  </si>
  <si>
    <t>In the absence of or alongside with a framework law, which of the following laws provide for protection against discrimination? Yes/No</t>
  </si>
  <si>
    <t>Yes (Art 24)</t>
  </si>
  <si>
    <t>Yes. The Constitution of Georgia includes a general principle on equality before the law (Art. 14) and equality of citizens of Georgia in social, cultural, economic and political life irrespective of their national, ethnic or religious identity (Art. 38).</t>
  </si>
  <si>
    <t xml:space="preserve">Yes (Art 161) was amended in June 2014 to include disability among protected characteristics, though the mechanism and wording of the article stayed unchanged. </t>
  </si>
  <si>
    <t>Yes. 1. Art. 176 of the Criminal Code in new version in force as from 8 February 2013   2. Additionally, art. 166/1 para. (3) of the Criminal Code - Torture and ill-treatment  and art. 173 of the Criminal Code - sexual harassment.</t>
  </si>
  <si>
    <t>Yes. The Criminal Code makes criminally punishable infringement on the equality of human beings (Art. 142); Racial Discrimination (Art. 142*); Infringment of the rights of the persons with special needs (Art. 142**); commission of certain crimes on the ground of racial, national, religius or ethnic intolerance is considered to be an aggravating circumstance (Art. 53.3*)</t>
  </si>
  <si>
    <t>Yes.  (Penal Code provisions include acts against discrimination (Azerbaijan 1 September 2000, Art. 109), racial discrimination (ibid., Art. 111), infringement of citizens' equality (ibid., Art. 154), and incitement of national, racial or religious hostility (ibid., Art. 283), as well as stiffer sentencing for murder whose motive is based on "national, racial [or] religious hatred or enmity" (ibid., Art. 120.2.12))</t>
  </si>
  <si>
    <t xml:space="preserve">No, there is only procedural article 60 in Civil Procedural Code that provides for the shift of the burden on proof. </t>
  </si>
  <si>
    <t>Only on certain grounds. In particular, the Civil Code prohibits any discrimination in family relationships between a wife and a husband (Article 1153).</t>
  </si>
  <si>
    <t>No. In October 2006, Azerbaijan passed a law on gender equality, which defines gender-based discrimination as any distinction, exclusion or restriction exercised on the basis of gender, including sexual harassment, but this does not concern the Civil Code.</t>
  </si>
  <si>
    <t>Yes. Art. 65/1 (discrimination in education), art. 71/1 (access to public services and goods), art. 260 discrimination in access to public services in electronic communication, post services and IT.</t>
  </si>
  <si>
    <t>Yes. The General Administrative Code of Georgia envisages general principle of equality before the law and prohibits discrimination (Art. 4); The Code of Administrative Offences provides for a general principle of equality of parties irrespective of national, ethnic origin or other grounds (Art. 233).</t>
  </si>
  <si>
    <t xml:space="preserve">No. The only exception is the Code of Administrative violations that provides a non-discrimiantion clause under article 248. Otherwise, the two other substantive and procedural laws do not provide non-discrimination clause.  </t>
  </si>
  <si>
    <t>Yes, (Art. 12 of the Labour Code of Ukraine)</t>
  </si>
  <si>
    <t>Yes. Art. 5, 7, 8, 9, 10, 128, 199</t>
  </si>
  <si>
    <t xml:space="preserve">Yes. Article 2 of the newly amended Labour Code prohibits discrimination on multiple grounds and provides a clear definition of what constitutes discrimination. </t>
  </si>
  <si>
    <t>Yes, the law exists, but it is one of so called dead laws, doesn’t work at all, no court practice.</t>
  </si>
  <si>
    <t>Yes. The Labour Code prohibits discrimination based on various characteristics, including race and nationality (ibid. 1 Feb. 1999, Chap. I, Sec. 16).)</t>
  </si>
  <si>
    <t>Yes, (Art. 8 of the Law of Ukraine “On Advertisement”)</t>
  </si>
  <si>
    <t>Yes, (Art/ 3 of the Law of Ukraine "On Education”)</t>
  </si>
  <si>
    <t>Yes. Moreover, art. 65/1 of the Contraventional Code ensures punishment for discrimination in education.  In July 2014, a new Educational Code was aproved by the Parliament in the first reading. It is premature to evaluate the quality of the document due to eventual changes in the law.</t>
  </si>
  <si>
    <t xml:space="preserve">Yes. The Law on Higher Education obliges state to ensure elimination of discrimination in higher education on any grounds (Art. 3); The Law on General Education enshrines the right of a pupil, parents, teachers and their unions to excerise the rights provided by the Law without discrimination on any ground. </t>
  </si>
  <si>
    <t>All of the above mentioned laws' lists are open.</t>
  </si>
  <si>
    <t>Closed list: Constitution, Electoral Code, Execution Code, Law on migration of labour force, Law on blood donation and transfusion of blood, Law on child rights, Law on health care, labour code, law on education, civil procedure code, etc
Open list: Criminal Code, Criminal Procedure Code, Code on Administrative offenses, Law on the statute of the criminal investigator, Law on courts organisation etc. most legislation mentions equality as a principle.</t>
  </si>
  <si>
    <t>Constitution - open, Criminal Code - open, Labour Code - closed, Law governing economic activities - closed</t>
  </si>
  <si>
    <t>1. Constitution -  closed; 2. Criminal Code - open; 3. Civil Code - open; 4. General Administrative Code - declaratory principle on the prohibition of "discriminatory measures"; Code of Administrative Offences - open; 5. Labour Code - finishes with "political or other opinion" (not "other ground"); 6. Law on Higher Education - open; Law on General Education - does not list grounds, but prohibits discrimination in general terms; 7. Law on patients' rights - closed; 8. Law on Elimination of All Forms of Discrimination - open</t>
  </si>
  <si>
    <t>The Constitution, the Labor Code, the  Law on Education and the Law on Administrative violations provide open list. The Criminal Code, the Law on Protection of Economic Competition provide closed list.</t>
  </si>
  <si>
    <t>Open list: The Constitution, Criminal Code, Labour Code; Law governing economic activities, provision of goods and services.                             Closed  list: Law on migration</t>
  </si>
  <si>
    <t>Yes - Constitution, Law on Elimination of All Forms of Discrimination</t>
  </si>
  <si>
    <t>Yes - Constitution,  Law on Elimination of All Forms of Discrimination</t>
  </si>
  <si>
    <t xml:space="preserve"> Yes</t>
  </si>
  <si>
    <t>Yes -  Law on Elimination of All Forms of Discrimination</t>
  </si>
  <si>
    <t>Yes, The Law Nr. 121  of 25 May 2012 “On ensuring equality” specifies non-discrimination on the base of sexual orientation in labour relations.</t>
  </si>
  <si>
    <t>Yes (Law of Ukraine "On Associations of Citizens")</t>
  </si>
  <si>
    <t>Yes - Labour Code</t>
  </si>
  <si>
    <t>Yes -  Law on Elimination of All Forms of Discrimination; Law on patients' rights, Art. 6 and 31; Law on protection of health, Arts. 4 and 6</t>
  </si>
  <si>
    <t>Yes. The Law about Medical Care and Treatment of Population, art. 4. There is a law, the situation needs to be improved</t>
  </si>
  <si>
    <t>Yes, (Art. 1 of the Law of Ukraine  “On the principles of prevention and combating discrimination in Ukraine”)</t>
  </si>
  <si>
    <t xml:space="preserve">Yes. Moldova has to ensure that, despite explicit reference, discrimination based on sexual orientation is covered under “any other similar grounds” in the application of the law. </t>
  </si>
  <si>
    <t>Yes. The Law on Elimination of All Forms of Discrimination provides an extensive definition of discrimination.</t>
  </si>
  <si>
    <t>Yes, the Article 1 of the Law of Ukraine  “On the principles of prevention and combating discrimination in Ukraine”.</t>
  </si>
  <si>
    <t>Yes, but  no clear definition of discrimination.</t>
  </si>
  <si>
    <t>Yes. Article 2 (1) and 2 (2) of the Law on Elimination of All Forms of Discrimination prohibits ALL types of discrimination and then specifies the types of discrimination - direct and indirect.</t>
  </si>
  <si>
    <t>Yes, but  there is no  definition of discrimination.</t>
  </si>
  <si>
    <t>Yes, the Article 1 of the Law of Ukraine “On the principles of prevention and combating discrimination in Ukraine”.</t>
  </si>
  <si>
    <t>Yes. Article 2 (1) and 2 (3) of the Law on Elimination of All Forms of Discrimination prohibits ALL types of discrimination and then specifies the types of discrimination - direct and indirect.</t>
  </si>
  <si>
    <t>Yes, but with very limited scope, e.g. article 390(4)(3) of the Criminal Code.</t>
  </si>
  <si>
    <t>Yes, the Article 1 of the Law of Ukraine “On the principles of prevention and combating discrimination in Ukraine”</t>
  </si>
  <si>
    <t xml:space="preserve">The definition of discrimination in the Labour Code implies creation of intimidating, hostile, humiliating or insulting environment.  </t>
  </si>
  <si>
    <t>Yes, but with limited scope</t>
  </si>
  <si>
    <t xml:space="preserve">No, there is no precise definition of victimisation, though victimisation of those who complain about discrimination is prohibited by AD Law (art. 14, as amended in May 2014). </t>
  </si>
  <si>
    <t>Yes, The notion is defined in the Law Nr. 121  of 25 May 2012 “On ensuring equality” but is not de facto used in the legislation.</t>
  </si>
  <si>
    <t xml:space="preserve">The definition of discrimination in the Labour Code implies creation of intimidating, hostile, humiliating or insulting environment  </t>
  </si>
  <si>
    <t>Yes, Article 1 of the Law of Ukraine “On the principles of prevention and combating discrimination in Ukraine”.</t>
  </si>
  <si>
    <t>Yes. Article 2 (5) of the Law on Elimination of All Forms of Discrimination</t>
  </si>
  <si>
    <t xml:space="preserve">Yes. The Code of Administrative Offences makes failure to take into account the needs of the persons with disabilities in the process of planning and construction  administratively punishable (fine from GEL 500 to 800, approximately - 230 to 330 Euro). However, the provision of the law lacks implementation. </t>
  </si>
  <si>
    <t>To a limited extent, the Law of Ukraine “On the principles of prevention and combating discrimination in Ukraine” does not cover assumed discrimination, though  definition of discrimination provided in Art 14 of the Law of Ukraine "On combating propagation of HIV-related diseases and legal and social status of persons that live with HIV" provides for protection against assumed discrimination but with limited application - on the grounds of HIV status or membership of groups of higher risks of contraction.</t>
  </si>
  <si>
    <t>0.5 based on Law on protection of health, Articles 4 and 6 prohibit discrimination of detainees and  prisoners in health care system; Law on HIV, Art 5 defines protection of HIV infected persons from discrimination as one of the priorities of  state policy)?    No</t>
  </si>
  <si>
    <t>No,  the Law of Ukraine "On the principals of prevention and  and combating discrimination in Ukraine” does not provide explicitly protection from multiple discrimination, though Art 14 of the Law of Ukraine "On combating propagation of HIV-related diseases and legal and social status of persons that live with HIV" provides for protection against assumed discrimination but with limited application - on the grounds of HIV status or membership of groups of higher risks of contraction.</t>
  </si>
  <si>
    <t>Yes. Article 2(4) of the Law on Elimination of All Forms of Discrimination</t>
  </si>
  <si>
    <t>Yes - the Law on the Elimination of All Forms of Discrimination, Article 3</t>
  </si>
  <si>
    <t>Partially yes. The protection does not cover the LGBT.</t>
  </si>
  <si>
    <t>Yes - Labour Code of Georgia; General provision of the Law on the Elimination of All Forms of Discrimination (Art. 3) that prohibits discrimination in all fields.</t>
  </si>
  <si>
    <t xml:space="preserve">   Yes</t>
  </si>
  <si>
    <t xml:space="preserve">Yes - General provision of the Law on the Elimination of All Forms of Discrimination (Art. 3) that prohibits discrimination in all fields; Specific provisions could be found in the Laws on General Education and Higher Education. </t>
  </si>
  <si>
    <t xml:space="preserve">General provision of the Law on the Elimination of All Forms of Discrimination (Art. 3) that prohibits discrimination in all fields; General Provision in the Law on Product Safety and Free Circulation, providing a general principle on non-discriminatory approach in provision of goods.  </t>
  </si>
  <si>
    <t>Yes - Law on protection of Health - general prohibition of discrimination on any grounds - closed list; Law on Patients' Rights</t>
  </si>
  <si>
    <t>Yes. General provision of the Law on the Elimination of All Forms of Discrimination (Art. 3) that prohibits discrimination in all fields. Law on State Pension lists equality before the law as its main principle. The Law on the Social Protection of Persons with Disabilities prohibits discrimination (art. 2).</t>
  </si>
  <si>
    <t>Yes. For example, Law on State Pensions, article 4(1)(1)</t>
  </si>
  <si>
    <t>Yes: on the grounds of sex, disability, nationality/ethnicity, membership of trade unions</t>
  </si>
  <si>
    <t>Yes.  Law on equal opportunities between men and women</t>
  </si>
  <si>
    <t xml:space="preserve">Yes, for instance, Law on Gender Equality prohibits discrimination on the ground of sex in most spheres of social life; Labour Code prohibits discrimination in labour relations </t>
  </si>
  <si>
    <t>Yes. The "Law on Equal Rights and Equal Opportunities between Men and Women"</t>
  </si>
  <si>
    <t>Yes. Azerbaijan has a penalty-enhancement statute for crimes motivated by racial, national, or religious hatred (Criminal Code Article 61).  The Constitution of Azerbaijan guarantees equality and rights for all citizens; Article 25 specifically prohibits any restriction of these rights on the grounds of gender. Principles contained in the Employment Code, the Penal Code, and the Marriage and Family Code all stem from the Constitution, thereby further sanctioning equal rights and freedoms for men and women.</t>
  </si>
  <si>
    <t>1.3.2.3.</t>
  </si>
  <si>
    <t xml:space="preserve">Affirmative actions measures are provided for in the framework anti-discrimination law as well as in the specific laws concerning equality for women and men, disability (the new redaction even includes the notion of reasonable accommodation), and the law on national minorities. Because affirmative actions provided by law are not always provided at policy levels and are not granted when it comes to reality, i.e. when looking at the law on people with disabilities and positive action measures connected within the law and provided on paper, we clearly see that in practice they all are absent. New version of the AD Law clearly establishes positive measures and how they should be introduced, although no positive measures according to these mechanisms have yet been established.  </t>
  </si>
  <si>
    <t>Parlially yes.  National courts and/or administratie bodies are reluctant to compensate adecquately for disadvantages. Due to the changes in the legislation and modest case law of the National Council on non-discrimination, it is too early to evaluate.</t>
  </si>
  <si>
    <t>The victim of discrimination should apply to the Ombudsman and/or courts of general jurisdiction in order to prevent discrimination and/or get compensation for discrimination (Law on the Elimination of All Forms of Discrimination). The Law on Social Protection of Persons with Disabilities provides for affirmative actions to prevent existing disadvantages for Persons with Disabilities. However, the law is not implemented in practice. The Law on Gender Equality provides for general provisions to prevent disadvantages stemming from gender specificities, however, the law is very general in that respect. The Labour Code provides affirmative actions to create more favourable conditions for pregnant women and minors.</t>
  </si>
  <si>
    <t xml:space="preserve">Yes. For example 1) family law was amended to stipulate same minimum age of marriage (18) for men and women to avoid gender inequality. 2) City Mayor instructed to put disability signs in parking areas to ensure equal opportunities. 3) Government regulation 996-N stipulates that the State is to compensate private employer by 50% of the salary paid to disabled employee, 4) currently a draft law is under discussion to prohibit clinics of informing the sex of unborn child to parents until 30 months of pregnancy expires to avoid abortion of female fetuses which is widespread.   </t>
  </si>
  <si>
    <t xml:space="preserve"> Is promotion of equal treatment and non-discrimination vested in (Yes/No):</t>
  </si>
  <si>
    <t>Yes. The non-discrimination Council was established by law and came into operation in November 2013.</t>
  </si>
  <si>
    <t xml:space="preserve">Yes. 1 out of 4 ombudsmen is specialized on non-discrimination issues. This speialization is unofficial/collegial. </t>
  </si>
  <si>
    <t>Yes, Ombudsman is vested with the power of oversight ensuring equal treatment and elimination of discrimination (Law on Elimination of All Forms of Discrimination, Art. 6).</t>
  </si>
  <si>
    <t>While there is no specialised body, under the new law of Elimination of All Forms of Discrimination vests the Ombudsman with the specific power to try to achieve friendly settlemnet of the case; issue non-binding recommendations; apply to the court</t>
  </si>
  <si>
    <t>No such body</t>
  </si>
  <si>
    <t>no</t>
  </si>
  <si>
    <t>Yes, partially (Note: only in cases when victims are not able to do it themselves, i.e. owing to poor health, disability, etc.). There is also an option to be third party in the case.</t>
  </si>
  <si>
    <t xml:space="preserve">Yes, or there is an option to provide expert opinion on cases on demand from the court. </t>
  </si>
  <si>
    <t xml:space="preserve">No. Moldovan legislation does not provide such possibility to write amicue curiae. However, parties in the process can request a third party to provide an expert opinion. It is used very rarely in courts. </t>
  </si>
  <si>
    <t>Yes. But, in all cases of politically motivated discriminations and persecutions, there was no single instance of investigation results. Neither the Ombudsman institution nor Ministers ever conducted any successful investigation in political discrmination cases.</t>
  </si>
  <si>
    <t xml:space="preserve">No, to limited capacity can provide recommendations to authorities and the Cabinet of Ministers. </t>
  </si>
  <si>
    <t>Yes, According to the Law Nr. 121  of 25 May.2012 “On ensuring equality” the Council has the right to "initiate proposals to modify the legislation in the field of nondiscrimination".</t>
  </si>
  <si>
    <t>Have there been court decisions on cases of discrimination, including hate crime and hate speech, in 2013-2014? Yes/No</t>
  </si>
  <si>
    <t xml:space="preserve">Yes </t>
  </si>
  <si>
    <t>Yes. However, it seems such court decisions will be enforced only from pecuniary perspective.</t>
  </si>
  <si>
    <t xml:space="preserve">Two out of three such cases were rejected, which means negative result. Moreover, the recent case (after our monitoring period, but shows the tendencies) of a pure hate speech toward sexual minorities and human rights activists from the part of a newspaper was qualified by the court as value judgement. The overall situation in the country does not allow to score this answer 1 (although the question is not about court decisions quality, but rather their existence in general). Yes. Civil case EKD /0546/02/11 concerning equal opportunities at work place. No. KD1/0053/01/12 by the Criminal Appeal Court, No. KD3/0056/01/12 by the Criminal Appeal Court. </t>
  </si>
  <si>
    <t xml:space="preserve">While there is no specialized body, the Law on Elimination of All forms of Discrimination vests the power to oversight fulfilment of the law in the Public Defender of Georgia. the </t>
  </si>
  <si>
    <t>Yes, political independence of the Public Defender, an oversight body to ensure equality and elimination of discrimination, is guaranteed by the legislation.</t>
  </si>
  <si>
    <t>n/a</t>
  </si>
  <si>
    <t xml:space="preserve">Yes, financial independence of the Public Defender, an oversight body to ensure equality and elimination of discrimination, is guaranteed by the legislation. </t>
  </si>
  <si>
    <t xml:space="preserve"> Number of women – MPs in the national Parliament   = Gender Empowerment Measure? % of the total Number (June 2014).  http://www.ipu.org/wmn-e/arc/classif010213.htm</t>
  </si>
  <si>
    <t>Linear transformation, benchmarks defined by best and worst performing EBRD transition countries, Serbia best = 34%, Hungary worst = 9.5 % (as of 1 June 2014)</t>
  </si>
  <si>
    <t>9.88 % (44 female MPs; parliament - 445 members)</t>
  </si>
  <si>
    <t>18.81% (19 female MPs; parliament - 101 members)</t>
  </si>
  <si>
    <t>27.3% (30 female MPs out of 110 MPs)</t>
  </si>
  <si>
    <t>17 out of 150 = 11.33%</t>
  </si>
  <si>
    <t>14 (10.7 % of the total 131 members)</t>
  </si>
  <si>
    <t>16 %  (20 female MPs; parliament - 125 members)</t>
  </si>
  <si>
    <t>Number of women in ministerial positions = % of the total Number  (June 2014)</t>
  </si>
  <si>
    <t>Linear transformation (0% - 0; max % - 1)</t>
  </si>
  <si>
    <t>5.26 % (1 woman out of 19 ministers)</t>
  </si>
  <si>
    <t>28.57% (6 women out of 21 members of the cabinet ministers), as of 1 July 2014</t>
  </si>
  <si>
    <t>8.3% (2 out of 24)</t>
  </si>
  <si>
    <t>4 out of 19 = 21%</t>
  </si>
  <si>
    <t>2 (11 % of the total 18)</t>
  </si>
  <si>
    <t xml:space="preserve">5 % (1 position out of 20) </t>
  </si>
  <si>
    <t>Yes, partially. To become a judge, a person must pass two difficult exams. The initial training of future judges has been introduced. However, decisions on transfers of judges (both horizontal and vertical) are non-transparent and do not follow any objective criteria, because the law does not specify any such criteria, nor does it require a competitive procedure for professional promotion.</t>
  </si>
  <si>
    <t xml:space="preserve">Yes. SCM has developed and amended several rules on judges appointment. When analysing some of appointments made by SCM during the 2013, it seems that candidates with lower marks are nominated for judges. </t>
  </si>
  <si>
    <t>No, they are appointed by the President. Of course there are some criteria in national law, for example in the Code of Judicial System and Status of Judges. But in most cases the main criterion is still loyalty.</t>
  </si>
  <si>
    <t>Yes. The Law on Common Courts of Georgia sets compulsory qualifications and criteria that candidates should meet. More detailed norms on criteria are defined by the Rule on Selection of judges which is adopted by the High Council of Justice. Though transparency of the evaluation and decision-making process by the HCoJ are of concern to local NGOs.</t>
  </si>
  <si>
    <t xml:space="preserve">Yes. It’s a combination of objective and subjective criteria where the former prevails. The process has two levels. On level 1, the decision is made solely by the judiciary and on the basis of objective criteria stipulated in the law (graduation of the school (currently called Justice Academy), marks received in the academy, area of specialisation, etc.). Then, level 2, the list of graduates has to be approved by the President of Armenia who uses absolute discretion in approving or disapproving the given candidate. In practice, though, the President rarely refuses a candidate. Since 2008, when the system was changed and the judicial school graduation system was introduced, all the graduates of the judicial school have been appointed; with few exception of those who withdrew their candidacy by their own will. </t>
  </si>
  <si>
    <t xml:space="preserve">No. Judges are appointed by executive power, more precisely by the President. The main criteria for appointment is loyalty to the government. </t>
  </si>
  <si>
    <t>No. Regarding the election of judges to higher courts, the Law “On the Judiciary and Status of Judges”, as earlier, does not define any objective criteria, except for work experience as a judge. Moreover, there are no provisions on any competition in order to be recommended for a vacant position.</t>
  </si>
  <si>
    <t>Yes, partially. SCM approved several rules for judges promotion. However, SCM does not justify their decisions properly when a candidate with a lower evaluation is promoted.</t>
  </si>
  <si>
    <t>Mostly no. Ability, integrity, and experience are important, but loyalty plays the main role.</t>
  </si>
  <si>
    <t xml:space="preserve">No. Though the High Council of Justice is obliged under the law to develop the criteria for the advancment of judges, it has not done so yet. Therefore, it is not obvious what are the criteria for advancement of judges, except for the general provision in the Law on General Courts. </t>
  </si>
  <si>
    <t xml:space="preserve">Yes. It’s a combination of objecitve and subjective criteria where the former prevails. The process has two levels. On level 1, the decision is made solely by the judiciary and on the basis of objective criteria stipulated in the Judicial Code. Then, level 2, the decision has to be approved by the President of Armenia, who uses absolute discretion in approving or disapproving the decision of the judiciary. In practice, though, the President rarely rejects the list submitted by the Council of Justice. </t>
  </si>
  <si>
    <t>Yes. But by law. In practice judges advanced on the basis of loyality to the government.</t>
  </si>
  <si>
    <t>No. Problems that exist with removal of judges are clearly identified in the ECHR decision in the case of "Olexander Volkov vs. Ukraine" (9 January 2012). ECHR pointed to the lack of an independent body to make decisions on these grounds, as well as the lack of legal clarity in the grounds and procedures for removal of judges from office, as well as the lack of a statute of limitations for a judge’s removal from office on disciplinary grounds.</t>
  </si>
  <si>
    <t xml:space="preserve">Yes. However a new law on ludges’ liability was approved in the first reading in a Parliament session from July 2014. </t>
  </si>
  <si>
    <t>No. The President can impose any disciplinary penalty on any judge. There is no public and legally defined procedure of examination of such decisions.</t>
  </si>
  <si>
    <t xml:space="preserve">Yes. Grounds for removal of judges are defined by the Law on Common Courts of Georgia. Apart from that, the Law on Disciplinary Proceedings against Judges considers the grounds for initiating disciplinary process. Some of the grounds were deemed to be vague and, based on NGOs' long-termn advocacy campaign, they were taken out from the law (in 2012). Transparency of disciplinary proceedings has been a major concern of local NGOs, as the whole process was confidential. The amendments  adopted in 2012 determine that the decisions of Disciplinary Collegium and Disciplinary Plenum should be uploaded on the official web-page without indicating the name of the judge and the court where s/he serves. In addition, a complainant should be notified about the result of the disciplinay proceedings. </t>
  </si>
  <si>
    <t xml:space="preserve">Yes. The judge may be removed from office for violation of ethics norms, as well for making a decision with prima facie gross substantive or procedural law violation. The process is governed by objective criteria stipulated in the Judicial Code. </t>
  </si>
  <si>
    <t>No. Judges are unprotected on this issue. According to the Constitution, when a judge commits a crime, the President of the Republic of Azerbaijan, on the basis of the conclusions of the Supreme Court, may address the parliament with the purpose of removing the judge from office. The Venice Commission criticised this regulation, in the context of constitutional court judges, that it should be a serious crime instead of crime. (See Venice Commission, Opinion on the Draft Law on the Constitutional Court of the Republic of Azerbaijan, CDL-INF (96)10 Strasbourg, 1996).</t>
  </si>
  <si>
    <t xml:space="preserve">1.4.2. </t>
  </si>
  <si>
    <t>No. After judicial reform in 2010, the entire judicial system became dependent on the political authorities, namely on the Administration of President Yanukovych. Judges have become more cautious in matters affecting the political and business interests of representatives of political power. The judges were forced to censor their opinions not only where there was an instruction as to a specific outcome for a given case, but also in the absence of such an instruction. Interviews with judges suggest that, until recently, the greatest influence that was experienced by judges in the course of adjudication of cases came not even directly from the politicians, but specifically from court presidents, who were subordinated to political authorities. 
Following the ouster of the Yanukovych regime, it appears that the judges are, once again, adjusting to the new political reality, although the influence of former government representatives remains visible. A new Law “On Restoring the Trust in the Judicial Systaem of Ukraine” (dated 8 April 2014) has authorised the judges in each court to elect the court’s president (who was previously appointed in a centralised manner); however, in the majority of the courts, judges elected as presidents those who were installed by the former government, the representatives of which still retain control over courts.</t>
  </si>
  <si>
    <t>Sometimes yes, but sometimes no. In some cases, judges are influenced by the senior judges and bureaucrats. Generally, this situation takes place in political cases.</t>
  </si>
  <si>
    <t xml:space="preserve">Yes. There have been dramatic changes in judicial behaviour after the change of the government in 2013. The Prosecutor's Office is not seen as exerting pressure on the judicial branch. The number of pre-trial detentions has been dramatically changed and Prosecutor's motions are not granted without substantive evidence. However, it is believed that senior judges hold the mechanisms for influencing the judges. </t>
  </si>
  <si>
    <t xml:space="preserve">No. The judge may on a case by case basis be influenced both from external and internal sources (Cassation Court judges, Presidential administration) </t>
  </si>
  <si>
    <t>No. The judicial branch functions as executor of the political decisions of the Presidential Administration. In non-politicised cases, judicial decisions are also based on instructions by the presidential office or other high ranks of executive power and corrupted interests.</t>
  </si>
  <si>
    <t>Yes, partially. Lobbying for financing is based on personal contacts, but not on legal mechanisms. Funds allocated to the judicial branch are administered by the State Court Administration, which is accountable to the Council of Judges of Ukraine. The higher specialised courts, the Supreme Court and the Constitutional Court of Ukraine also administer their own funds.</t>
  </si>
  <si>
    <t>Yes. The SCM develops and proposes the budget directly to the Parliament. The draft project is co-ordinated with the Ministry of Finance. Comments provided by Ministry of Finance are not necessarily mandatory for SCM. The court's oudget has been increasing in recent years.</t>
  </si>
  <si>
    <t>No, It's not  prescribed by law</t>
  </si>
  <si>
    <t xml:space="preserve">Partially. The draft of the part of finances of the judiciary in the state budget is submitted by the HCoJ to the government. Moreover, the reduction of the current costs of the judiciary may occur only with the consent of the HCoJ. The Supreme Court and the Constitutional Court prepare their own budget requests and control the expenditure of funds allocated to them. </t>
  </si>
  <si>
    <t xml:space="preserve">Yes. The Judicial Department (executive body of the Judiciary) decides on the budget and submits it for approval to the Council of Court's Chairman (a self-regulatory body of the Judiciary) which then approves the request and submits it to the government. </t>
  </si>
  <si>
    <t xml:space="preserve">According to new amendement to the Law on Judges and Courts (20 June 2014), 1st instance courts budget should be submitted to JLC for its opinion.  But genereally No. The judicial system is financed by state budget, and this provides an opportunity for the government to influence the judicial system. For instance, there was a 84 million AZN expenditure under the name of “Expenditures in other categories” in Judiciary, law enforcement and prosecution section of the Azerbaijan State Budget for 2013. </t>
  </si>
  <si>
    <t>No. Judges are not sufficiently protected from attacks. Murders of judges go unsolved for years. No visible measures are taken to prevent such instances. Granted, on 16 January 2014, in the midst of revolutionary events in Kyiv, the Verkhovna Rada adopted a “dictatorship” law that included stronger protections for judges as one of its components. However, under the circumstances of judicial arbitrariness, especially towards peaceful protesters, such state protection appeared as a guarantee of this very arbitrariness. The law gave rise to violent clashes, which ultimately resulted in the ouster of the Yanukovych regime and the repeal of the law. At the same time, this was followed by increased instances of pressure against judges by protesters, with the aim of forcing the former to resign their offices. It is becoming apparent that, until there is a cleansing among the ranks of judges, society will not accept any measures aimed at ensuring the security of judges.</t>
  </si>
  <si>
    <t>Parlially Yes. The number of complaints from judges and courts shows the inefficiency of the judicial police. Some of the courts used to sign contracts with private companies as to reduce the number of threats.</t>
  </si>
  <si>
    <t>Yes. The creation of a marshal service to maintain order and protect courthouses has brought about significant improvements in judicial security. Another advance is the installation of metal detectors in many courts.</t>
  </si>
  <si>
    <t xml:space="preserve">Yes. No reported cases so far. The Judicial Code stipulates specific measures for protecting the security of judges, their family members and the home if such request is made (art 84), e.g. authority to possess weapon, other special means, etc.   </t>
  </si>
  <si>
    <t>Yes, by law. For instance, according to the Courts and Judges Act, throughout the entire term of their office, judges shall be entitled to keep, carry and use for the prescribed purpose a service weapon in cases and order provided by legislation; if necessary, security shall be provided for them.</t>
  </si>
  <si>
    <t xml:space="preserve">Yes. Following the completion of an initial 5-year appointment as a judge, judges are elected permanently by the Parliament. A judge who is elected permanently may remain in office until the age of 65. Other grounds for removal of judges are defined by the Constitution. But the Venice Commission has many times drawn attention to the fact that a 5-year period of the first appointment violates the principle of irremovability of judges, but the correction of this situation requires amendment of the Constitution. </t>
  </si>
  <si>
    <t xml:space="preserve">Yes, until retirement age (65 years). </t>
  </si>
  <si>
    <t>Yes, according to the Code of Judicial System and Status of Judges, a judge is appointed for a 5-year term. The term can be prolonged for another 5 years or without time limit. However, the president can dismiss a judge at any point (for example, referring to an ostensibly serious mistake made by the judge).</t>
  </si>
  <si>
    <t>Yes. The judges of the Supreme Court are appointed for 10 years with a guaranteed tenure. Under the new amendments to the constitution, the newly selected judges at the city/regional and appellate courts will be appointed for an indefinite period (until reaching retirement age); however, s/he first has to serve up to three years of probation period.</t>
  </si>
  <si>
    <t>Yes. The judges (including senior judges) have guaranteed tenure until age 65 (retirement age).</t>
  </si>
  <si>
    <t xml:space="preserve">Yes. Judges are appointed for the term of five years. During this term, judges should take a training course at least once a year. At the end of this period their activity would be evaluated. If the evaluation does not reveal any professional shortcoming, the mandate of the judge is extended until the age of retirement of 65, by proposal of the Judicial-Legal Council. If the evaluation reveals professional shortcomings, the mandate of the judge is not extended. </t>
  </si>
  <si>
    <t>Yes. Judges in Ukraine have quite a broad immunity. In particular, according to the Constitution, they cannot be detained or arrested without the consent of the Parliament, unless there is a criminal guilty verdict against them. A criminal case against a judge may be initiated only by the Prosecutor General of Ukraine or his deputies. These immunities are broad and go beyond functional immunity, as a result of which Ukraine received a warning from the Venice Commission.</t>
  </si>
  <si>
    <t>Yes. Judges have immunity from prosecution, detention and search. They could only be prosecuted with the consent of the authority that appointed them.</t>
  </si>
  <si>
    <t xml:space="preserve">Yes. </t>
  </si>
  <si>
    <t>Yes (art. 13 of the Judicial Code)</t>
  </si>
  <si>
    <t xml:space="preserve">Yes. Judges are not responsible for the damage sustained by a participant in a trial or a person participating in the case due to the court's mistake, at the cost of his private property. This damage shall be reimbursed by the state in cases and orders made by the law. According to a new amendment to the Law on Judges and Courts (20 June 2014),  judges salaries cannot be reduced during period of office. </t>
  </si>
  <si>
    <t xml:space="preserve">No. A determinative role in making decisions on appointment, career and removal of judges belongs to the Higher Qualification Commission of Judges and the Higher Council of Justice. By law, the Higher Qualification Commission of Judges consists of 11 members: 6 judges elected by the Congress of Judges of Ukraine. As for the Higher Council of Justice, according to the Constitution, it includes only 3 out of 20 members elected by the Congress of Judges of Ukraine, plus the Head of Supreme Court ex officio. The Venice Commission has given numerous warnings to Ukraine that such composition of the Higher Council of Justice does not meet European standards, under which such body must be independent of both the executive and the legislative branches, and at least half of its membership must be made up of judges elected by their peers, so as to guarantee the broadest representation of judges. In its decision in “Oleksander Volkov v. Ukraine”, the ECHR also recognised that the current make-up of the High Council of Justice violates the requirement concerning independence of such a body. A draft law No. 4829 has been registered in the Parliament, which would provide an interim solution to this problem before Constitutional amendments are adopted. It is proposed that the President, the Congress of Advocates of Ukraine, the Congress of Representatives of Higher Education Institutions and Research Organisations in Law, and the All-Ukrainian Conference of Prosecutors appoint HCJ members from their quota from among the judges recommended by the Congress of Judges. </t>
  </si>
  <si>
    <t>Partially yes. The latest amendments to the law ensure the majority of judges in the SCM. However, during 2013 and 2014 judges failed to nominate all the judges to the SCM. Thus, the number of judges de facto is not a majority in SCM.</t>
  </si>
  <si>
    <t>No, The President appoints judges to the courts of general jurisdiction, specialised courts, courts of appeal, and the Court of Cassation, as well as six members of the Constitutional Court.</t>
  </si>
  <si>
    <t xml:space="preserve">Yes. The High Council of Justice has the power to appoint and promote judges, except for the appointment of the Judges of the Supreme Court, who are appointed by the Parliament of Georgia. Apopintment of the judges of the Constitutional Court is also differently regulated.  </t>
  </si>
  <si>
    <t xml:space="preserve">Yes. The Justice Council has 13 members, 9 of whom are appointed by the judiciary, and the remaining members are appointed by the President and the Parliament. Despite the fact that the President approves the list of appointments and decisions on careers of judges, the list is drafted independently by the Justice Council, the majority of which are judges. Since 2008, when the appointment system was reformed and the judicial school was introduced, all the graduates of the Judicial School have been appointed (with few examples where the graduates withdrew their candidacy by their own decision) which means that the President's involvement is minimal while the Justice Council's role is decisive. </t>
  </si>
  <si>
    <t>No. 1st instance court judges, even though chairman of the courts, are directly appointed by the President. Constitutional, Supreme and court of appeal judges are also appointed, upon advice of the President, by parliament. So the executive power plays a key role on appointment of judges. A majority of members of the Legal-Judicial Council are appointed by the executive power. The Minister of Justice is also chairman of the LJC.</t>
  </si>
  <si>
    <t>1.4.3.</t>
  </si>
  <si>
    <t>Yes, partially. Since 1996, a Constitutional Court is functioning in Ukraine, which is authorised to review the constitutionality of acts of Parliament, President, and Government, as well as to perform some other functions. Unconstitutional acts lose effect from the date of the decision of the Constitutional Court. However, the lawmakers do not always adhere to the demands by the Constitutional Court to fill certain gaps in the legal framework. The Constitutional Court does not have any leverage to correct this situation. Moreover, in recent years, the Constitutional Court was also under total control of President Yanukovych and has engaged in manipulative judicial practices. Despite the ouster of the Yanukovych regime, the majority of justices on the Constitutional Court remain his nominees.</t>
  </si>
  <si>
    <t xml:space="preserve">Yes, partially. The decisions are not enforced. The parliament is now willing to examine in a reasonable time the statements of the Constitutional court when legislation has to be amended. </t>
  </si>
  <si>
    <t>Yes. The Constitutional court has the authority to determine the ultimate constitutionality of legislation and official acts, etc. But de facto the Constitutional court uses the power very rarely, and it never contradicts the president's decisions.</t>
  </si>
  <si>
    <t>Yes. The Constitutional Court of Georgia has the authority to review and determine the constitutionality of legislation and declare the norm/provision unconstitutional. The decision of the Constitutional Court takes effect immediately. The Parliament has the duty to obey the decision of the Constitutional Court.</t>
  </si>
  <si>
    <t>Yes. The Constitutional Court is vested with the power of deciding on the constitutionality of laws, including the constitutionality of the judicial practice by which the constitutional meaning of a given legislative provsion was obstructed. There remain concerns regarding constitutional court decisions' enforcement.</t>
  </si>
  <si>
    <t>Yes. A centralised model of constitutional review is implemented in Azerbaijan. Generally, the Constitutional Court's decisions are applied by lower courts.</t>
  </si>
  <si>
    <t xml:space="preserve">Yes, partially. To review administrative acts, Ukraine has created a system of administrative courts and introduced administrative justice. In 2010, administrative courts received a power to impose huge penalties on an official who did not report on the implementation of a court’s decision or did not comply with it. Half of this penalty is collected by the State Budget, while the other half is given to a person who won the court case. The constitutionality of the President’s and the Government’s acts can be reviewed by the Constitutional Court. However, under the Yanukovych regime, administrative courts, similarly to the Constitutional Court, have reprogrammed their work to serve as protectors of interests of the Yanukovych regime, due to being dependent on it. </t>
  </si>
  <si>
    <t xml:space="preserve">Yes. Moldova has no specialised administrative courts. However, all official documents can be contested in court. Constitutionality of President's, Government's and Parliament's act can be contested before the Constitutional Court. </t>
  </si>
  <si>
    <t>Yes. The judiciary has the power to review acts by state bodies and compel them to act where a legal duty to act exists. Under the Constitution, everyone who has suffered damages as a result of actions by government or self-governance bodies, or their officials, has the right to obtain complete compensation from the state through the court proceedings.</t>
  </si>
  <si>
    <t xml:space="preserve">Yes. The Administrative courts have judicial review power of the administrative acts, inlcuding the power to compel the public bodies to eliminate the violation and/or compel the authorities to act (to restore the violated right). The substantive basis is stipulated in the "Law on Fundamentals of Adminstrative Action and Administrative Proceedings" while the procedural basis are stipulated in the Administrative Procedure Code. </t>
  </si>
  <si>
    <t>Yes. Judicial proceedings of cases concerning administrative disputes are held in administrative-economic courts and administrative-economic collegiums. Administrative disputes are considered by administrative-economic courts as a court of first instance. But actions concerning the disputes on 1) political parties, 2) mass media organs and 3) normative acts are considered by administrative-economic collegiums of the courts of appellate instance of the Republic of Azerbaijan as a court of 1st instance.</t>
  </si>
  <si>
    <t>Yes, partially. According to the Constitution of Ukraine, jurisdiction of the courts extends to all legal disputes. However, it is difficult for a person to protect his right in the courts of general jurisdiction if they are violated by an unconstitutional act of the President or Government, because individuals do not have the right to apply to the Constitutional Court directly in these instances. There are also instances when the courts of different specialisations simultaneously refuse to accept certain cases to review, on the grounds that these cases must be heard by a court of different specialisation. Also, individuals do not have the right to receive compensation of damages caused by an unconstitutional legal act. Mechanisms for compensation of damages caused as a result of delays in judicial proceedings are similarly lacking.</t>
  </si>
  <si>
    <t>No. De-jure yes,but de-facto in some cases ultimate jurisdiction belongs to the President.</t>
  </si>
  <si>
    <t>Yes. Under the Constitution, everyone has a right to refer to the court and seek remedy for violation of his/her civil rights and liberties.</t>
  </si>
  <si>
    <t xml:space="preserve">Yes. The Judiciary has ultimate but not exclusive jurisdiction. Some civil rights and liberties can be decided through administrative proceedings by public bodies that precede judicial remedies. These proceedings have certain elements of judicial proceedings such as the right to be heard, the right to appeal, to right to be notified. The judiciary conducts judicial review of the decisions by administrative bodies. </t>
  </si>
  <si>
    <t xml:space="preserve">No. According to the Azerbaijan Constitution, individuals have a right to directly complain to the Constitutional Courts. But the ECHR pointed aout that complaint to the Constitutional Court was not one of the remedies to be exhausted prior to lodging an application with the Court. Specifically, the Constitutional Court lacked adequate accessibility because, in order to exercise a right of individual petition before the Constitutional Court, individuals were required on a domestic level to have had recourse to another remedy (additional cassation procedure before the Plenum of the Supreme Court) which was ineffective within the meaning of Article 35 § 1 of the Convention (see Ismayilov v. Azerbaijan, no. 4439/04, §§ 39-40, 17 January 2008).  </t>
  </si>
  <si>
    <t>Yes. Judges have a power to impose fines for contempt of court. They also have certain control powers over the enforcement of court judgments, but they do not exercise these powers on their own initiative; there must be a petition by an interested party. Only the administrative justice system since 2010 provides an opportunity to impose fines for failure to comply with a court decision by an administrative body – either by a court on its own initiative or by a petition from a person who won the case. In different types of proceedings, courts have the power to issue decisions on forcibly bringing to court of a person who ignores summons by a court.</t>
  </si>
  <si>
    <t>No, in Belarus all branches of power are highly centralised.</t>
  </si>
  <si>
    <t xml:space="preserve">Yes. Judges generally have adequate subpoena and contempt powers in both criminal and civil cases. Criminal judgments are always enforced, and monetary claims against the government are satisfied, though not always immediately. However, judges do not have authority over enforcement of civil judgments, execution of which is implemented by the National Bureau of Enforcement. </t>
  </si>
  <si>
    <t xml:space="preserve">Yes. Judicial decisions, with few exceptions, are as a rule executed, and there are a number of government agencies assisting the courts in the process of execution such as the Police, the Department of Execution of Judicial Acts of the Ministry of Justice, penitentiary facilities, etc. </t>
  </si>
  <si>
    <t xml:space="preserve">Yes. Both criminal, civil and administartive procedural code provide authority to the judges to apply such kind of powers and those are respected and executed by other branches of government. But in highly politicised cases other branches are reluctant to execute interim decisions of judges. For instance, in case of prominent journalist Avaz Zeynalli, court decision on subpoena of the former MP Guler Ahmadova was not carried out by police. </t>
  </si>
  <si>
    <t>Yes. Court decisions can be reviewed only by courts through appellate and cassation proceedings, as well as certain other court procedures, exclusively upon a petition by participants to the proceedings. Sometimes disciplinary bodies (Higher Qualification Commission of Judges, Higher Council of Justice) attempt to evaluate court decisions, but they do not have the right to amend or repeal court decisions. Not infrequently, judges can be subjected to disciplinary sanctions for decisions issued, if a disciplinary body sees certain abuses.</t>
  </si>
  <si>
    <t xml:space="preserve">Yes. In appeal the court can reverse a decision. The number of appeal cases is increasing. </t>
  </si>
  <si>
    <t>Yes, but in practice the executive branch of power, especially the president, can influence the judicial process.</t>
  </si>
  <si>
    <t>Yes. Art. 4 of the law on General Courts.</t>
  </si>
  <si>
    <t xml:space="preserve">Yes, through appeal or revision (reopening) of proceedings and only through a judicial process.  </t>
  </si>
  <si>
    <t xml:space="preserve">No. The pardon authority is especially misused by the President. The presidential pardon, particularly on political prisoners, is used for bargaining with the West, or as to create a favourable image of the president. As a result, the presidential pardon functions as “negative judgement” in practice. </t>
  </si>
  <si>
    <t xml:space="preserve">1.4.4. </t>
  </si>
  <si>
    <t xml:space="preserve"> Are judges assigned to cases by an objective method (alternative to random case assignment), such as lottery, or according to their specific areas of expertise. May they be removed only for good cause, such as a conflict of interest or an unduly heavy workload? Yes/No</t>
  </si>
  <si>
    <t>Yes, partially. Automatic assignment of cases is provided for by law. But in practice, case assignment is influenced by court presidents. The Regulations on Automated Document Management System in Courts, which were approved by the Council of Judges of Ukraine, paved the way for numerous manipulations with case assignment. According to the regulations, general meetings of judges in each court have more than ten grounds under which they can set forth special rules of case assignment, bypassing the automated system. Meetings of judges usually delegate to the court president the right to decide which judge will hear a particular case.</t>
  </si>
  <si>
    <t>Yes. The random distribution of cases was improved. Cases cannot be distributed to a judge with a heavy workload.</t>
  </si>
  <si>
    <t>No, as in political cases the principle doesn't work.</t>
  </si>
  <si>
    <t>Partially yes. By the law, distribution of cases are based on the principle of ordinary number, which means distribution of the cases in accordance to the registration of the case and order among judges. The judge is decided by the chair of court based on the rule which is defined in the law on "Distribution of the cases and transfer of the responsibility on other judge in the common court system". Though sometimes, in practice, there are questions whether the case assignment took place in the right way. The Minister of Justice is in the process of elaborating a draft law that porvides clearer rules for case distribution.</t>
  </si>
  <si>
    <t xml:space="preserve">No, if the random case assignment method is not considered as objective method. On of 10 June 2014 the Judicial Code was amended to stipulate that the cases should be assigned by random case assignment computer programme).  </t>
  </si>
  <si>
    <t>No. According to the Instruction on Clerical Work of Courts in Azerbaijan Republic, 2011, cases are randomly distributed among judges. Yes ,
occasionally judges are removed as result of objection or requests to withdraw.</t>
  </si>
  <si>
    <t>Yes, partially. In 2012, a framework Law "On Rules of Ethical Conduct", governing all professional ethics codes, was adopted and extends to judges. In February 2013, the Congress of Judges adopted a fully revised version of the Code of Judicial Ethics. However, its provisions are duplicative of existing legislation in many respects, while at the same time failing to provide answers to a lot of practical questions. Judicial ethics trainings are being conducted; however, they are not practical in nature and are limited to simple commentary on the Code’s provisions.</t>
  </si>
  <si>
    <t xml:space="preserve">Yes. However, these circumstances are provided by law. Trainings on judicial code of ethics are part of initial and continuous training for judges. For example, for 2013 National Institute of Justice had to train 25 judges. For 2014, it is planned to train 25 judges on judicial code of ethics. </t>
  </si>
  <si>
    <t>Yes. In Belarus the Code of ethics exists. But in practice it’s a formal document for judges.</t>
  </si>
  <si>
    <t>Yes, in February 2013, the Congress of Judges adopted a fully revised version of the Code of Judicial Ethics. Judges receive trainings in judicial ethics before taking office. In the training programme for acting judges, prepared for the year 2014, Judicial Ethics is included as one of the subjects.</t>
  </si>
  <si>
    <t xml:space="preserve"> Yes. All the mentioned issues are addressed in the Judicial Code and in the Code of Judicial Conduct. The law provides for appropriate training of judges to be made mandatory (currently it is not).</t>
  </si>
  <si>
    <t xml:space="preserve">Yes. The Code approved by the decision of the Judicial–Legal Council on 22 June 2007 addresses the stated issues. But it is not mandatory to receive trainings concerning this code. </t>
  </si>
  <si>
    <t>Yes. According to the Law “On Judiciary and Status of Judges”, anyone can apply to the Higher Qualification Commission of Judges (disciplinary body for judges of local and appellate courts) with a complaint (application) on improper conduct of a judge. A member of the Higher Council of Justice may initiate disciplinary liability of judges of the Supreme Court or higher specialised court, based on the results of inspection of reports (Law “On the Higher Council of Justice”).</t>
  </si>
  <si>
    <t>Yes. This process is facilitated by the mandatory recording of court sittings.</t>
  </si>
  <si>
    <t>Yes, according to the Civil Procedure Code and Criminal Procedure Code, any citizen can submit a complaint concerning judicial misconduct to a higher court.</t>
  </si>
  <si>
    <t xml:space="preserve">Yes. The High Council of Justice has the competence of initiation of disciplinary proceedings against judges in the disciplinary board. For this reason, HCoJ has authority to receive complaints, to carry out initial verification on the case, and to decide wether to refer the case to the disciplinary board or not. The main part of disciplinary proceedings is confidential; however, the author of the complaint is notified about the outcome of the disciplinary proceedings. </t>
  </si>
  <si>
    <t>Yes. Complaints can be filed through the Ethics Commission of the Justice Council (the Judicial channel) or the Minister of Justice (Executive channel). Decisions holding judges liable for ethics violations are held friequently by the Justice Council. In 2013, 22 such decisions were made (10% of judges were disciplined).</t>
  </si>
  <si>
    <t>No. Because, according to article 112 of the Judges and Courts Act, 1997, natural and legal persons may apply to the Judicial-Legal Council, only in the event that they possess information concerning offences related to corruption.</t>
  </si>
  <si>
    <t>Yes, partially. According to the Law “On Judiciary and Status of Judges” and procedural codes, hearings of all cases are open, except when considering the case in a closed session. In most local courts, a person can get inside the building upon presentation of a passport to the guard and stating the reason for visiting the court. Despite the legal requirements, in some appellate courts, and in all higher courts and the Supreme Court, the guards do not allow entrance into the courtrooms of people who are not trial participants.</t>
  </si>
  <si>
    <t xml:space="preserve">Yes, partially. During 2013 and 2014, several courts were reconstructed so as to have bigger capacity. In many cases, a courtroom can not accommodate even all parties to the process. </t>
  </si>
  <si>
    <t>Yes, but with some exceptions. The court can decide to close the process. e.g. some trials against opposition activists, military officials and officers of law enforcement were organised behind closed doors.</t>
  </si>
  <si>
    <t>Yes. The Constitution of Georgia as well as the Organic Law on Common Courts establish the principle of openness of court hearings. According to the amendments introduced to the Law on General Courts, the court hearings have been opened for photo, video and audio recording. Any interested individual has a right to audiorecord the court hearing from a place designated by the judge. The priority in videorecording of the court proceedings is given to the Public Broadcaster, which is obliged to provide other media outlets with a copy of the recording upon request.</t>
  </si>
  <si>
    <t xml:space="preserve">Journalists sometimes complain about ill-grounded decision to close the courtroom. Yes, unless exceptions under law are applicable (such as  national security, private life, etc.). The journalists regularly provide court reporting from courthouse. </t>
  </si>
  <si>
    <t xml:space="preserve">No. But in Azerbaijan practice creates an impression that proceedings are open to the public. It is debated. First of all, according to Azerbaijan’s domestic legislation (Instruction on Clerical Work of Courts in Azerbaijan Republic, 2011),  first instance courts do not have the obligation to provide in advance public announcement of the date and time of hearings in administrative and civil cases. This is a violation of legislation on public hearings. In practice, generally it is hard for ordinary citizens to observe common cases. But in a cases of significant interest to NGOs, human right activist and etc., NGO representatives are allowed to attend hearings. So this creates the illusion that the right to public hearing is observed in Azerbaijan. </t>
  </si>
  <si>
    <t>Yes, partially. Texts of most court decisions are to be included in the electronic register of court decisions (http://reyestr.court.gov.ua), which is open to the public and free of charge. In practice, some courts do not yet provide their decisions to the register. Nevertheless, with the launch of the registry, it has become an important source of information about the courts’ activity, even though recent amendments to legislation narrowed the range of decisions that should be included in the registry. As for the recording of court proceedings, there is a mandatory audio recording of trials. But CD recordings of the trial can be provided only to persons who are participants of the proceedings. However, everyone has the right to use a personal recorder in any open trial.</t>
  </si>
  <si>
    <t>Yes. The publication of judicial decisions are part of the judge's evaluation. Judge are responsible mostly to issue the judicial decision. The court clerks are responsible for publishing it on the court's web page.</t>
  </si>
  <si>
    <t>Yes, partially. The Constitutional Court, the Supreme Court and Supreme Economic Court publish their decisions in journals and on their websites. Other courts do not publish their decisions, and their proceedings are not available to the public.</t>
  </si>
  <si>
    <t xml:space="preserve">Yes. The Supreme Court and the Constitutional Court publish their decisions on their respective websites. The video and audio recording of the case proceedings are allowed in the courtroom since the changes in the legislation introduced in 2013. </t>
  </si>
  <si>
    <t xml:space="preserve">Yes, all judicial decisions are published and access to database is free for the public (users need only to register to get password and login). Court records are not made public but the parties to the proceedings may get the (audio) recordings upon payment of a court fee. </t>
  </si>
  <si>
    <t>No. Relevant issues on this subject are  laid out by the Rules on Pronouncement of Act of State and Local Authorities through e-information systems, adopted by presidential decree on 16 February 2011, which came into force on 1 January 2012 for state bodies, and came into force for local authorities on 1 January 2014. According to this Rules, 1st instance court judgments should be pronounced within 10 days after rendering. But in practice 1st instance court judgments are not published.  Related to records of courtroom proceedings, there is no legislative base to make such records available to public. In some cases, records are fabricated by judges.</t>
  </si>
  <si>
    <t>No. The respective procedures exist but they can hardly be called effective. Given the large number of reports of illegal conduct, disciplinary bodies are not able to handle them effectively. Thus, selectivity and uneven approach to different judges are widespread in this area. As for immunity, the judges, in accordance with the Constitution, have immunity from arrest and detention, which is not limited to functional immunity.</t>
  </si>
  <si>
    <t xml:space="preserve">Yes. During 2013 and 2014 the Criminal Procedure Code, law on the statute of judges and several of other laws were amended. The immunity of judges was limited in corruption cases. The General Prosecutor can issue a search or arrest warrant. In both cases the SCM is informed post factum. The judge can be apprehended for misdemeanour offences. The last changes in the law were approved by the Government on 16 July 2014. </t>
  </si>
  <si>
    <t xml:space="preserve"> According to the Code of Judicial System and Status of Judges there are such instruments.</t>
  </si>
  <si>
    <t xml:space="preserve">Yes, there are effective procedures to hold judges accountable for illegal activities. </t>
  </si>
  <si>
    <t>Yes. The immuny of judges is confined to their judicial functions. The judge can be held criminally liable for committal of a crime, including for taking a bribe, for disclosing confidential information about qualificatin exams, for forcing (e.g. threatening) to give testimony, for adopting prima facie unfair judgment or a decision in pursuit of personal benefits. The judge can be arrested at the moment or immediately after committal of the crime without any authority from the President or the Chief Justice. However, his further detention (as a preventive measure which can be ordered following 72 hours of his arrest), including bringing of charges and subjecting him to administrative liability), can be ordered only by the consent of the President of Armenia upon recommendation of the Justice Council.</t>
  </si>
  <si>
    <t>Yes. But by law. Practically, JLC is reluctant to examine complaints about judges. Important nuance, sometimes JLC uses these complaints as a sword of Damocles against  judges who begin to be disloyal to the regime. The corruption system also gives practical leverage to the executive power to keep the judges in service of political needs.</t>
  </si>
  <si>
    <t>1.5.</t>
  </si>
  <si>
    <t xml:space="preserve"> Quality of public administration </t>
  </si>
  <si>
    <t>1.5.1.</t>
  </si>
  <si>
    <t>Yes, the legislation envisages mandatory consultations with stakeholders within decision making process. Usually, public hearings are held only if proposed  changes in legislation are substantial (par.42 of the Regulations of the Cabinet of Ministes of Ukraine). They involve the representatives of relevant ministry/agency who are tasked to inform the public about new state policy. Within Ukrainian legislation (Regulations of the Cabinet of Ministers of Ukraine) there is no obligation to  develop green papers The Regulations provide for elaboration of an obligatory memorandum/explanatory note on assumptions of the bill/ before starting drafting of a law.</t>
  </si>
  <si>
    <t>Yes, the legislative procedure provides for mandatory consultations (list of legislative acts is presented in the answers from previous years).
No, the Government normally is not issuing green papers, but in some cases with the help of donors, some studies are prepared before certain draft laws are prepared (for instance with he assistance of UNDP, studies on local public finance with options were prepared before the law was drafted). 
Yes, public hearings take place.  
Announcements about the public counsltations on draft laws and government decisions are published on the webpages of the ministries, but also on the portal www.particip.gov.md \</t>
  </si>
  <si>
    <t>No. Each year a special plan for preparing drafts of laws in the next year is approved by the President and published (see example: http://www.pravo.by/main.aspx?guid=3871&amp;p0=P31300572&amp;p1=1). Any interested party can send its proposals concerning a draft law to the public agency responsible for its preparation. No mandatory consultations with public are stipulated for legislative acts which are adopted by the Council of Ministers. Any ministry can initiate such discussions and consultations.</t>
  </si>
  <si>
    <t>No. There is no mandatory consultation with the public in any form for the government’s legislative acts. There are no green papers or policy papers issued by the government to inform the process and involve the public. Generally there are no public hearings either mandated or in practice for legislative initiatives.</t>
  </si>
  <si>
    <t xml:space="preserve">No, consultation with the public is not mandatory at any stage of law-making.  Parliamentary Standing committees shall organise at least one parliamentary hearing during each regular session on issues concerning the spheres reserved to them by the Law on Rules of Procedure of the National Assembly. The law doesn’t specify the framework of invitees. The list of invitees shall be approved by the decision of the Committee. Actually, parliamentary committees organise hearings on draft laws and invite civil society organisations to take part in it. The Government doesn’t issue green papers for public deliberation, but the Government issues an annual programme in which the reflected draft laws, somehow, should be developed. There isn’t any normative act requiring that the Council of Ministers organise consultations with the public. In reality, such public consultations are organised mainly through submitting draft laws to the respective ministries' websites. The procedure of public hearings is regulated by the Government decision #296, adopted March 25, 2010. </t>
  </si>
  <si>
    <t>Partially. There is no law on public lobbying in Azerbaijan. According to the latest changes to the constitution in 2009, citizens can become involved in legislative initiatives after collecting 40,000 signatures. Currently, law proposals are placed on the website of Parliament, and it is possible to comment online. But there are no green papers and white papers in Azerbaijan. There are such documents as the budget for the next year, 2020 development strategy, anti-corruption strategy, and the open government partnership national action plans for 2012-2015 were published and formally discussed. MB: A 0 would make sense in comparison with ARM, but I think one could also justify giving both countries an 0.5 since in both countries civil society and citizens have some possibilities to participate in the legislative process. There is a multidimensionality problem in the question since the three questions are not fully congruent.</t>
  </si>
  <si>
    <t>Partially. Public consultations are conducted according to the procedure envisaged in Ukrainian legislation, which does not oblige the Government to publish results of consultations in any specific form.  Standard practice is to  prepare so-called comparative tables containing all  proposals forwarded by stakeholders. But these documents, as well as list of amendments inserted into draft legislative acts as a result of public consultations, are only for the internal use of the Governement.  Unfortunately there are no public campaigns which release to the public changes inserted into the public policy as a result of consultations. Nor are there public discussions wchich involve all stakeholders. The Cabinet appointed at the beginning of year 2014 has started consulting many issues of state policy within the framework of Public Initiave "Reanimation Package of Reform", involving civil society experts into an assessment of the policy proposals developed by the Government.</t>
  </si>
  <si>
    <t>It varies from case to case, it doesn’t have an organised and structured nature. Usually the collected opinions are generalised in a table of opinions that are attached to the folder of the draft act, but the responsible institution is not obliged to make public the collected opinions and does not explain the rejection of the proposals. They can just ignore the proposals or the opinion at their discretion. The situation is slightly different in the case of some well-organised associations, such as national associations of local governments, associations of different businesses, other interest groups where, depending on their strengths, the government feels obliged to take into consideration their opinion, or to provide an explanation for rejecting their proposals. Overall, the government accepts recommendations from think tanks, but this is not a rule.</t>
  </si>
  <si>
    <t>No. However, it can be noted that in some cases (especially, political ones) public consultations have no impact but In less sensitive issues they can have a great impact. The Government usually does not publish the opinions of non-government participants and does not inform the public as to what amendments have been accepted, but if such amendments are accepted they are easily identifiable. The Government is not obliged to accept suggestions and amendments proposed by NGOs and it usually doesn’t do that. Authorities also don’t explain why they are not willing to accept suggestions voiced during public hearings.</t>
  </si>
  <si>
    <t>Yes. The consultations in practice undertaken by the government is not “public” per se, rather expert working groups are created to provide input on some of the government’s initiatives. These working groups usually comprise domestic non-governmental organisations and missions of international/donor organisations. The track record of such consultative process is mixed - in some instances the impact has been considerable (e.g. first wave of judicial reforms in 2013 was largely based on the studies produced by an NGO coalition). In other cases, the government chooses not to enact or delay enactment of key changes advocated by NGOs. The public is not informed on what is the share of the non-state actor advocacy success. However, as the legislative drafts are submitted to parliament, the hearings are public and especially at the committee level there is a chance for the consultative processes to achieve change.</t>
  </si>
  <si>
    <t>Overall, the impact of the public in devising policies and in law-making is extremely low, although its weight has somewhat risen in recent years. The degree of the impact that the public consultations are having on policy-making also varies from sector to sector, with the most strategic areas of decision-making (including the military, security, key industries) being almost totally exempt fromthe  public’s influence. It is difficult to find such statistics but consultations have some impact on the final content of proposals. Only it is necessary to take into account that the Government doesn’t compromise on principle issues. 
Parliamentary hearings are published on the Parliamentary website. The Government does not publish or report about the outcome of its consultations with the public, neither does it formally inform the public about the changes in its policies or draft decisions which might be affected by the consultations.</t>
  </si>
  <si>
    <t xml:space="preserve">No. On the policy level, public consultations do not feature in the policymaking process in Azerbaijan. However, in some cases, government agencies invite pro-government civil society organisations to closed-door consultations. In 2013, the EU delegation made several attempts to bring the Civil Society Forum national platform and the government together for discussions on thematic issues, but without success. The government was expected to participate in the discussions of the Venice Commission’s Proposals on the NGO law of Azerbaijan, but did not attend. On 17 December 2013, the Parliament of the Republic of Azerbaijan adopted changes to the Law on Grants, Law on Non-governmental Organizations, Law on Registration of Legal Entities and State Registry, as well as to the Code on Administrative Offenses without any public consultations. The new Law was published in the official press on 3 February 2014, and entered into force on the same day, despite the fact that the majority of CSOs were against fthese amendments and sent an official letter to the president of republic of Azerbaijan. </t>
  </si>
  <si>
    <t>Partially. All line ministries and other executive power bodies within the process of preparation of strategic/programme documents should follow the procedures stipulated in the Law of Ukraine on national target programmes, and provisions of "Procedure of elaboration and execution of national targeted programmes" (Resolution #106 dated 31 January 2007 with amendments).  Ministry of Economic Development and Trade of Ukraine is still on the initial stage of  developing draft law on strategic planning system.</t>
  </si>
  <si>
    <t>Yes. At the ministerial level the Divisions for policy analysis, monitoring and evaluation are created and are functional. The divisions have on average 3-4 employees. 
Within the State Chancellery General Division on on policy co-ordination, external assitance and central public administration reform a Department for policy coordination and strategic planning is also functioning.</t>
  </si>
  <si>
    <t>Yes. The Government Chancellery acts as the body co-ordinating strategic planning and policy formulation. No other official arrangement is provided by Georgian legislation. There is a 16 person strong Policy Analysis, Strategic Planning and Co-ordination Department recently created at the Government Chancellery, which has regular interaction with OECD/SIGMA and other donors to help improve its capacity. The Chancellery is reportedly in the midst of a significant reorganisation and it remains to be seen whether the reoganisation results in significant improvement of the quality of strategic planning and policy formulation.</t>
  </si>
  <si>
    <t xml:space="preserve">No, There aren't institutional arrangements, but there are many strategic documents adopted by the Government of Armenia.  Certain institutional arrangements are devised in the legislation, particularly in the Law on Legal Acts, to provide for strategic planning, policy formulation, impact assessment, etc. (e.g. see art. 27, Law on Legal Acts). What can definitely be doubted in this respect is rather the effectiveness of such institutional arrangements, at least because these are envisaged as optional, discretionary procedures.                                          </t>
  </si>
  <si>
    <t xml:space="preserve">Partially. The Center for Strategic Studies under the President of Azerbaijan Republic and research and development centres under the state bodies such as Ministry of Taxes and Central Bank, has barely any impact on the decision-making process. They are involved in preparation of strategic planning and programmes. The formulation of the policy making system is under the monopoly of the presidential adminstration. </t>
  </si>
  <si>
    <t>Yes. The Secretariat of the Cabinet of Ministers of Ukraine, headed by the Minister - Member of the Cabinet of Ministers of Ukraine. The functions of Secretariat are defined in the Law on Cabinet of Ministers of Ukaine (last amendments dated 27 March 2014)</t>
  </si>
  <si>
    <t>Yes. (State Chancellery)</t>
  </si>
  <si>
    <t>Yes. The Apparatus of the Council of Ministers which is responsible for its day-to-day activities.</t>
  </si>
  <si>
    <t>Yes. The Government Chancellery acts as the body co-ordinating strategic planning and policy formulation. No other official arrangement is provided by Georgian legislation. There is a 16 person strong Policy Analysis, Strategic Planning and Coordination Department (PASPCD) recently created at the Government Chancellery, of which 8 persons are working on policy planning. The Department has regular interaction with OECD/SIGMA and other donors to help improve its capacity. The Chancellery is reportedly in the midst of a significant reorganisation and it remains to be seen whether the reoganisation results in significant improvement of the quality of strategic planning and policy formulation.</t>
  </si>
  <si>
    <t>Yes, there is a government office supporting the council of ministers.</t>
  </si>
  <si>
    <t>Yes, There is a presidential office supporting the cabinet of ministers.</t>
  </si>
  <si>
    <t>Yes. The new structure of the Secretariat of the Cabinet of Ministers of Ukraine had been developed and endorsed (dated 27March 2014). The structure reflects the need to ensure co-ordination of sectoral policies at the central level. Unfortunately, as for now, it is impossible to assess its efficiency and effectivness.  It should be emphasized that the new structural unit (Governmental office for the EU issues) will co-ordinate all activities of the line ministries and other executive power bodies in the area of European integration.</t>
  </si>
  <si>
    <t>Yes. The policy planning unit of the PASPCD has staff of 8 persons and the legal department has 11 persons. However there is no information available to evaluate staff qualifications. The anticipated staff development support from various donors will hopefully strengthen the capacities further.</t>
  </si>
  <si>
    <t>Yes. The government office collects and evaluates line ministries' proposals and organises their co-ordinated submissions to cabinet meetings according to RA President’s 18 July 2007 Decree "On Order of the Organisation of Activities of the Government and other state bodies".</t>
  </si>
  <si>
    <t>Yes,  Azerbaijan has a powerfull presidential adminstration with sufficient capacity to evaluate and co-ordinate line ministries.</t>
  </si>
  <si>
    <t xml:space="preserve">Yes. The Order of Cabinet of Ministers #75, dated 19 March, 2014, established four governmental committees to co-ordinate cross-sectoral policy: on social, economic development and international co-operation; on defence issues; on regional development; on humanitarian development. The first meeting of the Government commitee was held on 31 March 2014. </t>
  </si>
  <si>
    <t xml:space="preserve">Yes. In addition to policy divisions of state chancellery and ministries, on different issues inter-ministerial committees can and are created (for instance on co-ordination of external assistance, etc.). </t>
  </si>
  <si>
    <t>Yes. The Administration of the President and the Council of Ministers. Different kinds of special joint committees to solve a particular problem are also very popular.</t>
  </si>
  <si>
    <t>Yes. There is no separate body for cross-sectoral policy co-ordination.  The Government Chancellery handles such matters, unless other governmental body is designated for coordinating a specific policy.</t>
  </si>
  <si>
    <t xml:space="preserve">Yes. The Government of Armenia and its office is the main co-ordinating body, but the Ministry of Economy, the Ministry of Justice and the Ministry of Finance also have some role in this issue. </t>
  </si>
  <si>
    <t>Yes, under legislation, this is given to the Cabinet of Ministers (CM), but the CM is a nominal organisation. In reality the presidential administration is dealing with bodies to co-ordinate cross-sectoral policies.</t>
  </si>
  <si>
    <t xml:space="preserve">Yes. Par. 37-41 of the Regulations of the Cabinet of Ministers of Ukraine (Resolution of the CoM of Ukraine #950 dated 18 July 2007) provides for consultations of draft legal acts of the Cabinet of Ministers of Ukraine with all interested state bodies and regions, as well as for approval of them by all relevant authorities (procedures of approval, approval by silence and re-approval procedure). </t>
  </si>
  <si>
    <t>Yes. All drafts of legislative acts are to be approved by all interested ministries before being introduced to the Parliament</t>
  </si>
  <si>
    <t>Yes. All policy proposals must be heard and approved at the meeting of the Cabinet before adoption.</t>
  </si>
  <si>
    <t xml:space="preserve">Yes. Procedures are regulated by the Regulation on the Organisation of the Government Activity.  According to RA President’s 18 July 2007 Decree "On Order of Organisation of the Activities of the Government and other state bodies". </t>
  </si>
  <si>
    <t>Yes. According to the rule, the proposals of any of the ministries should be co-ordinated with other concerned ministries as well as Ministry of Justice. However, on many occasions when the policy was implemented, it appeared that there is little co-ordination between ministries. There is little consideration of the rule in practice.</t>
  </si>
  <si>
    <t xml:space="preserve">Yes. According to the Ch. 8 of the Regulations of the Cabinet of Ministers of Ukraine (#950 dated 18 July 2007) the procedures for processing policies are envisaged (elaboration of policy proposal, concept of law, concept of state programme, etc.) </t>
  </si>
  <si>
    <t xml:space="preserve">Yes. In addition to the normative acts mentioned before (INDEX 2013), the Government decision no. 33 from 11 January 2007 on the Rules for the elaboration and the unified requirements for the policy documents is also relevant. There is also a new draft regulation prepared by the state chancellery that is expected to replace the GD no. 33. </t>
  </si>
  <si>
    <t xml:space="preserve">Yes. The Law on Normative Acts, adopted in 2009, sets the rules for adopting normative acts, sets their standards and clarifies the hierarchy of laws.  </t>
  </si>
  <si>
    <t xml:space="preserve">Yes, According to RA President’s 18 July 2007 Decree "On Order of Activities of the Government and other state bodies".                       </t>
  </si>
  <si>
    <t>According to the  Law on normative acts and other authorities of the public administration, all procedures for processing policies are envisaged.</t>
  </si>
  <si>
    <t xml:space="preserve">Yes. Line ministries are responsible for an assessment of sectoral policies (it is expected that the  Government's Office for the EU issues will be responsible for assessment of governmental policy in the area of European integration). </t>
  </si>
  <si>
    <t>No. But the State Control Committee as well as other controlling agencies monitor and assess some policies and processes if asked by the President.</t>
  </si>
  <si>
    <t xml:space="preserve">No, there is no policy impact assessment requirement for government-wide policies. However, the State Audit Office (SAO) does have the mandate and practice of conducting performance audits. However since 2013 SAO has published only five such audit reports. http://sao.ge/en/audit/audit-reports/performance-audit  </t>
  </si>
  <si>
    <t xml:space="preserve"> Yes, the Government Staff of RA, according to RA President’s 18 July 2007 Decree "On Order of Organisation of the Activities of the Government and other state bodies". The Control Chamber is an external body.                   </t>
  </si>
  <si>
    <t>There are no special bodies charged with assessment of policymaking. All of them are operated under contol of the presidential administration.</t>
  </si>
  <si>
    <t>Yes. Special Public Councils are established at the level of central executive bodies for providing policy advice and consultations. Some line ministries (e.g. Ministry for Social Policy and Labour, Ministry of Economic Development and Trade)  have also own scientific and research institutes.</t>
  </si>
  <si>
    <t>Yes, but some ministries do not have such a specialised body. The Administration of the President has its own think-tank - Information-Analytical Center under the Administration of the President. Some ministries (for example, the Ministry of Economy) have special institutes for providing policy advice, some have special departments and some do not have a specialised body.</t>
  </si>
  <si>
    <t>Yes. Most ministries have own analytic departments and the Government Chancellery has its own Policy Analysis, Strategic Planning and Co-ordination Department (PASPCD). However the quality of the units is difficult to assess.</t>
  </si>
  <si>
    <t xml:space="preserve">Yes. There are institutions in the network of the Academy of Science of Armenia, which provide policy advice, and there are deliberative commissions attached to the ministries (it is not specifically designated to provide policy advice to the Government). Members of these commissions are public officials, representatives from NGOs and higher educational institutions. There also other bodies  (e.g. the National Center for Legislative Regulation). </t>
  </si>
  <si>
    <t>Partially, there are some centres like centre for strategic studies, research and development operating in ministries. For example, Ministry of Taxes, Min.Economic Development, Min.of Labor and Social Protection, and Central Bank. Their numbers are very restrictive. Some of them are not specialised in policy advice field and have weak research capacity. for example the Min.of economic development and Min.of Labor and Social Protection.</t>
  </si>
  <si>
    <t>Rather no. However, an evaluation of policy implementation is provided for by the Acts of Ukraine and Rules of Procedure of the Council of Ministers, but in fact evaluations are conducted only in a very formal way, without looking very much into substance.</t>
  </si>
  <si>
    <t>Yes.   In 2012 the Government has elaborated and piloted the Ex-Post evaluation Guidebook. Line ministries are expected to utilise the guidebook for conducting further policy evaluations.</t>
  </si>
  <si>
    <t>Yes. Each agency has specific parameters for evaluating its activities.</t>
  </si>
  <si>
    <t>Yes. The SAO is currently conducting performance audits and financial and complience audits of various ministries, programmes, and entities. However the scope of SAOs work is naturally limited.</t>
  </si>
  <si>
    <t>Yes, the procedures are regulated by RA President’s 18 July 2007 Decree "On Order of Activities of the Government and other state bodies".  The decree merely provides for evaluation of policy implementation, but does not provide detailed procedures to that effect.               .</t>
  </si>
  <si>
    <t>No, mainly executive committees are engaged in this process and therefore the assessment is considered unfair.</t>
  </si>
  <si>
    <t>Partially.  Budget cuts led to a revision of the structures and staff reductions in ministries. Nevertheless, in the Secretariat of the Government and the Presidential Administration, new departments - Departments for Reforms - were established.</t>
  </si>
  <si>
    <t>No. Although the respective departments have in average 3-4 staff units, some ministry representatives interviewed said the respective staff is not sufficiently qualified and that sometimes they are fulfilling just a role of gathering information from other departments and sections of the ministries.</t>
  </si>
  <si>
    <t>In general no, but there are some qualified staff members in various ministries and agencies.</t>
  </si>
  <si>
    <t>No. There are no designated policymaking departments. Some ministries have analytic departments, but this is not uniform and definitely not required by law. The qualifications of the staff are very difficult to assess, since there is no ready public access to the staff’s resumes. While the vacancies announced by public bodies must contain a job description, there are no uniform rules or guidelines on the level of detail of these descriptions. Hence analysing these announcements too, would yield very limited idea of the staff’s capacity.</t>
  </si>
  <si>
    <t xml:space="preserve">No. In general no, but there are some qualified staff members. On one hand, there are a series of institutional arrangements to ensure that the entire civil service is sufficiently qualified (requirements for higher education, competitive basis for recruitment to civil service, selection criteria, etc.). In addition, government agencies are staffed with a certain amount of specialists who have undergone quality trainings and are often graduates of world leading institutions (especially due to specifically designed educational programmes such as ‘Tavitian’). Yet, overall, as a matter of fact the quality of public servants is not high on average. The Government offers comparatively unattractive employment conditions (salary, social security, etc.) and hence is in a competitive disadvantage in terms of attracting the most qualified resources in the nation. </t>
  </si>
  <si>
    <t>With the exception of Strategical Analytic Center under President Administration, Central Bank and the Ministry of Taxes, the staff of other centres under ministries are not well qualified.</t>
  </si>
  <si>
    <t xml:space="preserve">1.5.2. </t>
  </si>
  <si>
    <t xml:space="preserve">1.5.2.1 </t>
  </si>
  <si>
    <t>Yes (issued in 1993). The provisions of the new Law on civil service have been adopted in 2011. Unfortulately, due to financial constraints this law has been suspended in November 2012 (and again in 2013) and will come into effect only as of 1 January 2015. The main problem is finding sufficient and sustainable financial resources for its implementation (especially taking into account new renumeration policy).</t>
  </si>
  <si>
    <t>Yes. The Law "On Civil Service in the Republic of Belarus" N 204-З (14 June 2003). Latest amendments were made on 30 May 2013.</t>
  </si>
  <si>
    <t>Yes. Georgian civil service is regulated by the Civil Service Code and the Law on the Conflict of Interests and Corruption in Civil Service, both adopted in 1997.</t>
  </si>
  <si>
    <t>Yes. Civil Service law has been adopted in 2001 and relates to the central government employees. There is a separate law on Municipal Service (2004), which is related to the municipal employees. Answers of this section relate mainly to the Civil Service law. The law "On Public Service" adopted on 26 May 2011 regulates all kinds of public services, including civil and municipal services.</t>
  </si>
  <si>
    <t>Yes. The Act entered into force in 2001.</t>
  </si>
  <si>
    <t>Yes/No. The new Law tries to define the scope of civil service (taking into account the list of state bodies, in which civil service position and categories of employees covered by the Law are envisaged), and to demarcate the political and civil service positions. But in fact, some categories  assigned to civil service (for example assistants to MPs) are strictly of political nature. This breaks the standards of neutral civil service. In 2012 the Special Order of NACS was issued to identify the criteria for demarcation between civil service positions and employees of state bodies, but provisions of this order are very general and empower heads of civil service in each state body to make the final decisions on classification of positions on their own.</t>
  </si>
  <si>
    <t>Yes. Article 5 of the Civil Service Code differentiates between the state-political official, a civil servant, auxiliary staff and non-permanent staff. Article 1.3 lists all state-political officials (President, Members of Parliament, Prime Minister and members of the Cabinet, members of representative bodies of Adjara and Abkhazia, and executives of Adjara and Abkhazia). Articles 6, 7, and 8 define the meanings of the other three types of civil service employees.</t>
  </si>
  <si>
    <t xml:space="preserve">Yes. The Law on Public Service defines categories and types of civil servants. </t>
  </si>
  <si>
    <t>Yes. The definitions of Civil service are in Article 2 of Law on Civil service. Classification of administrative and auxiliary positions are in Article 11 of Law.</t>
  </si>
  <si>
    <t>Yes. According to the Law on civil service, 1993. The general principles of conduct of civil servants were elaborated in 2010 by the Main Department of Civil Service of Ukraine.The law on the rule of ethical conduct issued in 2012 defines key principles of behaviour of civil servants and procedure of holding them to responsibility for violation of these principles.</t>
  </si>
  <si>
    <t>No. there are elements of the code of conduct within the civil service law. Besides, there are certain informal rules which are followed by civil servants.</t>
  </si>
  <si>
    <t>Yes. The general principles of civil service work are listed in Article 13 of the Code and Chapter 61, and the general code of conduct was added to the Code in 2009. The Law on Conflict of Interests and Corruption in Civil Service provides further additions to the framework.</t>
  </si>
  <si>
    <t>Yes. The code of conduct for civil servants was adopted in 2002 by the Civil Service Council. But the 2002 Code is not in effect. Instead, following the decision of the Council of Civil Service (http://www.cscouncil.am/doc%5Ciravabanakan%5C844.pdf) respective codes of conduct are to be introduced in each state body based on regulations accepted by the ‘council of ethics’ that operate within each agency. In many agencies these councils are currently in the process of formation.</t>
  </si>
  <si>
    <t>Yes. The  Rules of Ethics and Conduct of Civil Servants entered into force in May 2007.</t>
  </si>
  <si>
    <t>Yes. Political neutrality is one of the basic principles of the new Law  (art.3). According to the art.12 when performing his/her official job duties, a civil servant shall have no right to take any actions that manifest his/her political views or indicate his/her personal attitude towards certain political parties. Nonetheless, no restriction has been imposed by the new Law, 2011 (similar to Law 1993) on a civil servant being a member of political party.  Art. 8 of the Law on the rule of ethical conduct envisages as well the political impartiality of civil servants, and recommends avoiding demonstrations in any form of their own political beliefs or opinions.</t>
  </si>
  <si>
    <t>No, but in practice it is. For example, the right to express opinions in public, joining some political groups etc. are in reality prohibited.</t>
  </si>
  <si>
    <t>Yes. The Code clearly states the non-political nature of the civil service (Article 13, para. g). Georgian legislation does not restrict civil servants’ membership in political parties. Exception to this rule are the police, military servicemen, prosecutors, judges and employees of certain organs of the Ministry of Finance (Law of Georgia on Political Unions of Citizens, Art.10), due to the nature of their work, and impartiality that is of even higher order. Party members who are appointed to these positions must relinquish their membership for the duration of their service. All civil servants are precluded from using their work for party activities (Civil Service Code Art.61). The Unified Election Code (UEC) clarifies how the two roles of impartial civil servant and a party activist may be reconciled. It states that civil servants may participate in campaign activities when not fulfilling their official duties (UEC Art. 76.1). The regulation however is minimal and full of possibilities for abuse.</t>
  </si>
  <si>
    <t>Yes. Article 23 (1) of the Law on Public Service.</t>
  </si>
  <si>
    <t>Yes. The Law on Civil Service has the following article: 20.1.6. forbidding them to take part in activity of the political parties during fulfillment of service duties. However, in practice, there are numerous cases of violation of this article. In practice, civil servants are extensively involved in the activity of the ruling political party.</t>
  </si>
  <si>
    <t>No. Political appointees are the part of civil service corp under the Law 1993 (and partially, patronage positions, assistants to MPs under the new Law 2011).</t>
  </si>
  <si>
    <t>Yes, in Article 5 of Civil Service Code. However in practice the political neutrality and professionalism of civil service is often questionable.</t>
  </si>
  <si>
    <t>Yes. The law clearly distinguishes civil servants from political appointees. Appointment to civil service positions mainly takes place on the bases of competition. There are few exceptional cases when civil servants are appointed without competition.</t>
  </si>
  <si>
    <t xml:space="preserve"> In practice not, in legislation yes.</t>
  </si>
  <si>
    <t xml:space="preserve">Yes. The issue of conflict of interest is defined by the Law of Ukraine on Principles of prevention and combating corruption (art. 14) and Law on the rules of ethical conduct (art.15)  </t>
  </si>
  <si>
    <t xml:space="preserve"> There is a requirement for nonpublic disclosure of income and asserts of senior officials  </t>
  </si>
  <si>
    <t>Yes. Appropriate provisions are in place in both the Civil Service Code and the Law on Conflict of Interests. Article 734 of the Code sets the general rules for conduct in case of conflict of interests, and states the civil servants may not offer or receive benefits stemming from the position in the civil service (734.1) and must declare any conflict of interests upon being appointed to a position or immediately as the conflict arises (734.2 c)). Further civil servants must publicly declare their relations (family and household members) employed at the same agency as them, and must do so annually by 1 February (734.3).</t>
  </si>
  <si>
    <t>Yes, Art. 30-31 of the Law on Public Service concerns only higher-ranked officials. Article 24, point 3 of the Law on Civil Service.</t>
  </si>
  <si>
    <t>Partially. The draft  Law of the Azerbaijan Republic, On the Prevention of Conflicts of Interest in the Activities of Public Officials, has not yet passed in parliament. However, in some laws (eg laws on civil service and government procurement), there are some rules to prevent conflicts of interest. Also, the article 85.2 of the Constitution of Azerbaijan prohibits people working in the executive or judicial organs, or those involved in different paid activities, except for scientific or creative,  to be elected to the parliament.</t>
  </si>
  <si>
    <t>Yes. A Civil Servant is prohibited to work with close relative (parent, husband, son, daughter, brother, sister, husband’s parent, son, daughter, brother, sister) if their service is connected to the subordination or supervision of each other. The issue of the conflict of interest is the part of legistation regulating ethical conduct and corruprion issues.</t>
  </si>
  <si>
    <t xml:space="preserve">Yes. The National Commission of Integrity was created and is functional. Some members of the commission complained that there are some interests of the president of the entity to delay the examination of some cases of some heads of state agencies, officials.    </t>
  </si>
  <si>
    <t>No. In the legislation, the conflicts of interest are adequately addressed; however the practice is more problematic. The law’s definition of family and household members does not account for the intensiveness of personal linkages in Georgia. Extensive networks of friends and extended family are just as important as immediate household. There are frequent reports of nepotism and abuse of position in the media, however there is no effective follow-up from law enforcement bodies.</t>
  </si>
  <si>
    <t xml:space="preserve"> Yes. Article 5 (1-16,17) of the Law on Public Service. But it doesn't work effectively in practice. Armenia’s Human Rights Defender’s report also refers to cases of blatant violation of conlfict of interest principles. There have been numerous similar cases reported in the media which caused wide public resonance.</t>
  </si>
  <si>
    <t xml:space="preserve">No. The law on conflict of interest has not been implemented. </t>
  </si>
  <si>
    <t xml:space="preserve">Yes. In February 2012 by the Presidential Decree the Strategy of state personnel policy for years 2012-2020 was adopted, in years 2012-2013 the relevant action plans were developed in the form of a government decision. But there are no public reports on activity performance. The Scretariat of  the Cabinet of Ministers is working on the Strategy for reforms of civil service and local self-government (to be approved in second half of 2014). </t>
  </si>
  <si>
    <t xml:space="preserve">No. There is no separate and official civil service policy in place. The reform of the system has been discussed for over a decade. Currently, with the appointment of the new head of the Civil Service Bureau in late 2013, the CSB and government are said to be preparing a new draft concept for the reform. Once the concept is finalised and adopted (planned for the end of 2014), then a new law is to be drafted. CSB is not a designated body to monitor the performance of civil service. There is no effective system of performance assessment in place, either on the individual civil servant level or the institutional level. </t>
  </si>
  <si>
    <t>Yes, publishes performance but not policy. Civil Service council submits annual report to the Parliament of Armenia. The Law on Civil Service, Article 37 (8)</t>
  </si>
  <si>
    <t>Article 4 of the Public Service Act provides principles of public service and all of them are published. The Law on Civil Service doesn't ensure the publication of performance. Article 30-1 includes only performance appraisal of the civil servants.</t>
  </si>
  <si>
    <t xml:space="preserve">Yes. Civil servants have an access to the personnel file (osobova sprava) and are obliged to  be acquainted under signature about all changes in the  personnel file and record of own career development (responsibility of HR division within state body). </t>
  </si>
  <si>
    <t>Yes, but security services have their own files on civil servants which are closed to them.</t>
  </si>
  <si>
    <t>Yes. Civil servants may access all data containing their personnel information, just like all citizens of Georgia, according to the legislation.</t>
  </si>
  <si>
    <t>Yes.The Law on Civil Service, Article 22 (b).</t>
  </si>
  <si>
    <t>Yes. The law on civil service has a special article about it: 19.0.7. at the first request, to acquaint with all materials of his/her personnel file, references and other documents attached therein, as well as to demand inclusion of his/her statements to the personnel file.</t>
  </si>
  <si>
    <t>Yes. The Law was adopted in 2010, came into force starting from 1 January 2011.</t>
  </si>
  <si>
    <t>Yes. It is a part of the Law on Information, Informatisation and Data Protection (2008).</t>
  </si>
  <si>
    <t>Yes/NO. Data protection legislation is part of the General Administrative Code of Georgia.  Additionally there is a Personal Data Protection Act and the Personal Data Protection nIspector's office was established in summer 2013. However there were highly publicised cases of wiretapping and illicit filming of private lives, with hundreds of hours of such material continuously surficing from 2012 on.  Pressured from the civil society and international community, changes were made to legislation regulating surveilance, boosting the protection and procedures for ensuring oversight. However in practice there remains little confidence over the actual protection of personal data and freedom from illegal surveillance. Georgian civil society groups are continuing their advocacy for higher effective protection, especially within the This Affects You Too campaign (esshengexeba.ge, in Georgian only).</t>
  </si>
  <si>
    <t>Yes. The Article 6 (1) of RA Law on Personal data, adopted on 8 October 2002.</t>
  </si>
  <si>
    <t xml:space="preserve">No, there is no data protection act. </t>
  </si>
  <si>
    <t>Yes. Thus according to the new Law on civil service (2011) the position of Head of civil service has been established in every state body (higher CS position). Head of civil service will act from 1 January 2015 as an employer for every civil servant within the body subject to his/her responsibility. But, in practice (last appointments in February-June 2014 confirmed this) political influence on nominations and dismissals is still very high.</t>
  </si>
  <si>
    <t>Formally, yes, according to the law 158/2008 on public service the public servant enjoys stability in function. In practice it is not always the case. Especially  after new national elections when top dignitaries are changing, some civil servants are forced by different means to resign and to free the job for other persons.</t>
  </si>
  <si>
    <t>No, but officlally the recorded reasons for dismissal will be non-political reasons.</t>
  </si>
  <si>
    <t>No. While the Civil Service Code explicitly states the nonpartisan nature of the service and establishes protection from discrimination and politically motivated dismissal, in practice there is very little respect for the nonpartisanhsip principles from current or any previous government. Civil servants have been dismissed en masse after the 2012 parliamentary elections. The trend continued in 2013 as well, especially as demonstrated when the new law on local self governance was adopted in February 2014 the amendment was placed in the package of laws that dismissed all the civil servants of local governance bodies with the election of new local governments in June 2014. The civil society, the Ombudsman and opposition politicians vigorously challenged these amendments, including through the Constitutional Court. As a result of this pressure, in May 2014 parliament adopted amendments scrapping this move. The judiciary has been instrumental in restoring the rights of the people dismissed for political motivation. Local NGOs providing legal aid have helped reinstate dozens of unfairly dismissed local government civil servants.</t>
  </si>
  <si>
    <t xml:space="preserve">Yes – by the law (The Law on Civil Service, Article 22 (g)) and No in practice. The tendency of  de-facto politically motivated dismissals has been declining since 2008-2010. </t>
  </si>
  <si>
    <t>Yes. The Public Service Act protects state employees from politically motivated dismissals. In practice, no.</t>
  </si>
  <si>
    <t xml:space="preserve">1.5.2.2 </t>
  </si>
  <si>
    <t>Yes. According to the Law on Civil service (1993, 2011) the National Agency of Ukraine for Civil Service (NACS) is the main institution responsible for state regulation and implementation of the state policy in the civil service and coordination of implementing actions  in this area. Whereas the Ministry of Justice is responsible for prevention against corruption within the civil service corps.</t>
  </si>
  <si>
    <t>No. But partly this function is implemented by the Academy of Public Administration under the Aegis of the President of the Republic of Belarus and the Administration of the President of the Republic of Belarus.</t>
  </si>
  <si>
    <t>Yes. As noted above, Civil Service Bureau (CSB) is tasked with developing and coordinating civil service policy.</t>
  </si>
  <si>
    <t>Yes. Civil Service Council and chief officers of respective public bodies is defined as institutions to develop and coordinate civil service policy by the Law on Civil Service (Article 36).</t>
  </si>
  <si>
    <t>Yes. In 2005 was established   a special commission on public service  under the President of the Republic of Azerbaijan.</t>
  </si>
  <si>
    <t>Yes. Their competences are defined by the Law on civil service of Ukraine and relevant Statutes.</t>
  </si>
  <si>
    <t>Partly yes. The Administration of the President does, the Academy of Public Administration does not.</t>
  </si>
  <si>
    <t>CSB did publish a Human Resource Management Manual in 2013, under the previous leadership. This Manual has only a recommendational character. However, CSB also maintains the www.hr.gov.ge - the government recruitment portal, onto which all state institutions must advertise their vacancies and accept applications. Hiring agencies must post job descriptions and requirements. However, there is no standard of the level of detail of these.</t>
  </si>
  <si>
    <t>Yes.  The Commission on Civil Service has  sufficient authority,  relevant  rights and functions described for the Commission.</t>
  </si>
  <si>
    <t xml:space="preserve">No. It is planned to establish the Higher Council of Civil Service under the patronage of the President of Ukraine. </t>
  </si>
  <si>
    <t xml:space="preserve">Yes. Ministry of Labour, Social Protection, and Family is the  body responsible for the civil service policies. </t>
  </si>
  <si>
    <t>No. CSB has no disciplinary or enforcement mechanisms and generally is not an oversight body in either law or practice.</t>
  </si>
  <si>
    <t>No, there is no official and independent oversight body to ensure the fairness of civil service policies. But, according to the 31.21. Civil servant law, civil servants may  appeal from attestation results to the relevant executive power body during 7 working days. Relevant executive power body shall consider the complaint during 20 working days after it has been filed.</t>
  </si>
  <si>
    <t xml:space="preserve">1.5.2.3 </t>
  </si>
  <si>
    <t xml:space="preserve"> No. The salary rate and structure of civil servants' salaries under the Law on Civil Service (1993) are not sufficient. Remuneration provisions are going to be changed (from 1 January 2015, according to the new Law). The new Law stipulates the increase of basic salaries more than twofold, and provides for calculation of the size of bonuses and allowances in reference to minimum official salary rate. Actually, taking into account economic situation, some of the allowances to civil servants' salaries were frozen, e.g. allowance for continuous service within civil service corp are reduced in percentage value.</t>
  </si>
  <si>
    <t>No, civil servants are often underpaid.</t>
  </si>
  <si>
    <t>No. The official salary ranges are not defined by any law, and the actual salaries are negotiated by individual Ministers and the general spending ceiling is negotiated with the Finance Ministry annually. Salaries therefore can vary considerably from ministry to ministry. Bonuses are a major part of remuneration in Georgian civil service. Georgian legislation does not provide a clear and impartial systematic method of performance assessment with which bonuses are normally associated. Nor is the size of the bonus – absolute or relative to monthly salary - defined anywhere. The trend is to give “salary supplements”, often in the amount of official monthly salary, to all staff at least once a year, and usually, at the end of each quarter. However, bonuses larger than monthly salaries are not infrequent either. Beyond that, there are instances when “bonuses” are paid to certain staff every month. Since the agencies cannot pay salaries over the set amount for a given position, they tend to pay competitively only through these monthly supplements This is of course not official, but rather a verbal agreement made upon hiring. The grounds for such agreement may vary. On one hand, it may be that civil service is attempting to recruit and sustain highly qualified staff but on the other – it could also be favouritism and corruption. There have been several high profile scandals over exuberant bonuses that ministers and their staff get. As a reaction, the government adopted a new regulation of disbursing bonuses on26  June 2014, which clarifies who may qualify for bonuses for all classes of public orgnisations and stipulates that the bonus may be given not more than once per quarter and shall not amount to more than a month's salary of an individual in question. The bonus must also be substantiated. The rule already states that the substantiation may be to motivate and encourage the staff and support retention and attraction of high quality staff. The new civil service reform concept and the subsequent law will have to address the remuneration issue in the coming year.</t>
  </si>
  <si>
    <t xml:space="preserve">No. Monthly average salary in public administration sector was EUR 182 in 2012, which is very low. Levels of pay vary from one agency to the other, and only a few of them provide competitive salaries (Ministry of Finance, State Revenue Agency, Central Bank). Various types of additional remuneration are applied in state service: bonuses, lump sum incentives, etc. Overall the pay for public service is not competitive.  </t>
  </si>
  <si>
    <t>No.  At the end of 2013, the average monthly 452 AZN is the average monthly salary of civil servants. Accoring to Economic Research Center calculation on minimum living cost  per person end of 2012 was 168 AZN. Average household was 4.5 persons in this period, so the minimum living cost per family was 756 AZN. This becomes a cause of corruption. The possibility of corrupt income attracts people to the civil service.</t>
  </si>
  <si>
    <t xml:space="preserve">1.5.2.4 </t>
  </si>
  <si>
    <t>No. There are not such arrangements in terms of a global, horizontal mechanism covering the whole governmental administration on central, regional and local levels. Staff planning is performed within the limits of single bodies by each institution separately on yearly basis (within budget arrangements).</t>
  </si>
  <si>
    <t xml:space="preserve">No. Planning is done at the level of each individual public entity. </t>
  </si>
  <si>
    <t>No. There is no clear system in place for training of newly recruited civil servants. Nor is there a clear system in place for judging the need for additional personnel, or their specific qualifications.</t>
  </si>
  <si>
    <t>No. There aren't effective planning arrangements for deployment of civil servants.</t>
  </si>
  <si>
    <t>Yes. Public authorities submit to the State Commission on Civil service their needs in terms of employees (at least once a month). The State Commission organises the selection procedure. All these procedures are governed by specific documents that are published on the website of the commission.</t>
  </si>
  <si>
    <t xml:space="preserve">No.  The existing personnel information system ("Kartka") doesn't allow use for human resource management in the civil service. </t>
  </si>
  <si>
    <t>No. There is no unified database of civil service employees. Individual agencies have own HR management practices and these are not yet harmonised or centralised. Hence there is limited accountability and supervision in individual agencies.</t>
  </si>
  <si>
    <t>Yes. The list of posts by categories and types, passports of posts, list of posts of respective bodies, reserve of personnel, etc. are in place. There is a database of working civil servants, and a reserve list.</t>
  </si>
  <si>
    <t>No online access to management system so far.</t>
  </si>
  <si>
    <t xml:space="preserve">No. However, NACS created a special web-service "vacancies of state executive power bodies" (http://nads.gov.ua/control/vacancy), but in practice this service doesn't work. Each line ministry or executive power body can allocate info about vacant positions on its own web-site. </t>
  </si>
  <si>
    <t>Partially. The vacancies are published on the websites of the respective authorities, but also on some specialized portals (like www.civic.md). There is not common public portal for all vacancies.</t>
  </si>
  <si>
    <t>No, almost never</t>
  </si>
  <si>
    <t>Yes. All posts must be publicly advertised and a 10 day application period is to be ensured, according to the civil service law. The advertisements must be published on the official government employment web portal administered by CSB - www.hr.gov.ge, and may be published on the recruiting agency's official web page, however this is not a requirement. Local self-governing entities must publish their vacancies on CSB web page and in the official gazette.</t>
  </si>
  <si>
    <t xml:space="preserve">Yes. All posts must be publicly advertised and a 10 day application period is to be ensured, according to the civil service law. The advertisements must be published on the official government employment web portal administered by CSB, and may be published on the recruiting agency's official web page. Local self-governing entities must publish their vacancies on CSB web page and in the official gazette. This situation has been in place with the amendments of 17 May 2011.  </t>
  </si>
  <si>
    <t>Yes. State Civil Service Commission announces the competition and interviews. The process on filling of the vacancies advertised in the competition consists of 2 stages – testing and the interview in compliance with article 28 of the Law on “On civil service”. Any citizen of the Republic of Azerbaijan with higher education and meeting requirements of the relevant position can participate in this competition.</t>
  </si>
  <si>
    <t>No. The Law on Civil Service (1993) and the Resolution of the Cabinet  #169 dated 15 February 2002 provide for the competition procedure in the form of exam. The New Law provides also for the conducting of interviews with the candidates in addition to the tests (typical questions for testing procedure were developed by Order of NACS dated 3 Octoberv2012, #168), but it's impossible to assess the modalities of the planned new competition procedure, because the new Law was suspended.</t>
  </si>
  <si>
    <t>No, almost never.</t>
  </si>
  <si>
    <t>No. Objective assessment remains problematic, despite it being required by the legislation. The usual procedure for recruitment is an oral interview usually conducted by the head of the unit hiring. Presence of a CSB representative is usually recommended, but not required. There is no possibility of independent/outside presence at the interview or other recruiting procedures. Given the high degree of politicisation of the civil service and evidence of patronage and nepotism, objectiveness of the hiring process is highly doubted. A study conducted by a local NGO found that acting civil servants, who were appointed ahead of the public competition for the posts, were overwhelmingly hired. This was despite very high average application rates, in some cases reaching into hundreds.</t>
  </si>
  <si>
    <t xml:space="preserve">No. The competition is held in two stages: testing and interview. Those participants who answered correctly at least 90 per cent of the test assignments obtain the right to participate in the second stage of the competition. The winners of the interview are considered those participants who received at least 75% of the interview's score assignment.
The corresponding Competition Commission forwards a conclusion on the participants selected as winners as a result of the competition to the official having the jurisdiction to make appointments to the position concerned. The official appoints one of the participants selected as a winner to the  position.  Transparency International's report quotes experts who say that the Civil Service Council and the competition and attestation commissions are also subject to external pressure. This pressure is especially significant in the case of “profitable” or “privileged” positions. 
The TI report also notes that there are no clear criteria or requirements for final decisions on appointment or promotion of civil servants. This leaves room for discretionary and biased decisions by corresponding officials.http://transparency.am/publication.php?id=41 
In addition, the Law on Civil Service (Art. 12) allows to appoint civil servants without competition, and this is widely practised. Official statistics of such appointments are available at http://new.cscouncil.am/documents/statistics/18.pdf according to which, in 2012, 264 civil servants have been appointed in line with this recruitment procedure. </t>
  </si>
  <si>
    <t>No, in practice no, in legislative yes, objective assessment for recruitment observed  only  during  the  first  level of  testing prosess .</t>
  </si>
  <si>
    <t>Yes. Art.11 Law on civil service, 1993 (art.1, 12 Law on civil service, 2011) regulates the introduction of job descriptions for civil servants. At the same time a new Law  envisages creation of job profile for each civil service position as a background for competition. During the year 2012 all executive power bodies elaborated job profiles for every civil service position (job profile will take effect with new Law).</t>
  </si>
  <si>
    <t>No. In general, job descriptions have a very vague character.</t>
  </si>
  <si>
    <t>Yes. Job descriptions are mandatory, however the level of detail is not prescribed in the legislation nor are there any clear guidelines. Hence, in practice the job descriptions are very general and vague.</t>
  </si>
  <si>
    <t>Yes. In legislation, job descriptions are mandatory, but in practice the job descriptions are very general and vague. In some  governmental agencies the job descriptions are missing at all so far.</t>
  </si>
  <si>
    <t xml:space="preserve">Yes. The competition commission includes representatives of the division that is hiring civil servants and of the human resources division which checks the process (Resolution of the Cabinet of Ministers #169 dated 15 February 2002). According to the Art.20 Law on civil service of  Ukraine (2011) and new Order of NACS (5 March 2012, #43)  the competition commission may include experts in a relevant field (but in practice this procedure can be checked only starting from 1 January 2015). </t>
  </si>
  <si>
    <t>No. The requirement is that a recruitment committee be set up for each call. The committee is staffed by the agency recruiting and may also include a representative of the CSB, or other agencies and experts, as needed, but there are no requirements thereto.</t>
  </si>
  <si>
    <t xml:space="preserve">No.  There is no legal base for  independent reviewers. </t>
  </si>
  <si>
    <t>Yes, at least on procedural level. Law and secondary legislation envisage common rules for all civil servant positions.</t>
  </si>
  <si>
    <t xml:space="preserve">Yes, the procedures for the  recruitment of the civil servants are prescribed by the law on public servants. </t>
  </si>
  <si>
    <t>No, but almost in all cases a recommendation from another civil servant (usually, of a high rank) is required. In most cases this recommendation is unofficial. Passing of an exam is required to be appointed but it has a very formal character.</t>
  </si>
  <si>
    <t xml:space="preserve">No. The minimum recruitment legislation is the same across the civil service, however, the way individual agencies choose to recruit, the strategies and personnel they employ for this is not currently regulated or streamlined. CSB’s initiative of the single recruitment/vacancy announcement portal for the civil service may ease access to the listings of the vacancies, however would certainly not amount to much change in the actual conduct of the applicant assessment. </t>
  </si>
  <si>
    <t>Yes, performance appraisals should be conducted for all civil servants (except pregnant women, civil servants of patronage service and civil servants appointed to the position within reporting period) every year  according to the procedure, established by the Order of Main Department of civil service # 122 dated 31 October 2003. New procedure of performance appraisal is regulated according to art.29 of the Law on civil service, 2011 and Order of the NACS (05 March 12, #46)</t>
  </si>
  <si>
    <t>It is obligatory at least once per 3 years, but it has a very formal character. Bonuses of public agencies' heads depend on special parameters (whether they are fulfilled or not).</t>
  </si>
  <si>
    <t>No. There is no formal or uniform performance appraisal system in place. As noted above, bonuses and salary supplements are regularly paid to most civil servants, however basis for them is unclear. Attestations are held in all agencies, at different times, usually coinciding with the major political/leadership changes and are hence seen as a tool for staffing agencies with the personnel loyal to the new leadership.</t>
  </si>
  <si>
    <t>Yes. Regular performance appraisals of all civil servants are carried out once every three years.</t>
  </si>
  <si>
    <t>Yes. Regular performance appraisals of all civil servants are carried out on the base of article 30-1 of the law on Public Service. .</t>
  </si>
  <si>
    <t>Yes, established by legislation (new more comprehensive performance appraisal system were developed under the new Law 2011)</t>
  </si>
  <si>
    <t>No. The civil service law stipulates that a civil servant may be subject to attestation once every three years. Government Ordinance N.411 of June 2014 regulates the attestation procedures. The ordinance maintains that attestation may take the form of various tests, written assignments and/or interiews, and prior to attestation supervisor of the civil servant in question must produce his/her evaluation, which the civil servant may request to review. However, the ordinance does not set the criteria for evaluation.</t>
  </si>
  <si>
    <t>Yes. Performance appraisal system is regulated by the Law on Civil Service and Regulation on Performance Appraisal Implementation approved by the Civil Service Council</t>
  </si>
  <si>
    <t>Yes. Regulated on base of the same article. According to Article 30-1 of the law on Public Service.</t>
  </si>
  <si>
    <t>Yes, art.27 of the Law, 1993, establishes the procedure for vertical and horizontal (higher rank) promotion of civil servants.  The same provisions were transferred to the New Law on civil service, 2011 (art.31) . New Law envisages the possibility of financial promotion within the same position of civil servant (increasing of the basic salary).</t>
  </si>
  <si>
    <t>Partly this process is regulated by the Law on Civil Service but not in all cases.</t>
  </si>
  <si>
    <t xml:space="preserve">YES/NO. Governmental Ordinance #411, indicated above, states that attestation may be the basis for making promotion/demotion decisions. However, the Ordinance only sketches out the process, the practical effectivness of which is very much doubted. The Civil Service Code (Art. 77) only sets a very broad framework for making promotion decisions. It only specifies that a civil servant may be up for promotion after at least 6 months of service and recommended by an assessment committee.There are no specific criteria or methodology given for the committee to do the assessment. </t>
  </si>
  <si>
    <t xml:space="preserve">Yes. The civil service vacancy posts are mainly occupied through competition. The winner of the competition is appointed to the post and receives respective rank. The uniform process is prescribed by law.  Art 19 of the Civil Service Law requires that civil servants pass attestations at least every three years  and may be promoted based on that. However the prescribed uniform system for public employee promotion rests primarily on the criteria defining the employees’ experience within public service rather than on substantive criteria such as qualifications, relevant skills or attestation results. </t>
  </si>
  <si>
    <t xml:space="preserve">Yes. Article 32 of the law on Public Service. </t>
  </si>
  <si>
    <t>No. Promotion under the Law 1993 leads to subjective approach to promotion. The new Law does not provide for the defined promotion procedure (especially the procedure of transferring to higher position under the art. 29).</t>
  </si>
  <si>
    <t>No. As noted above, the process is not regulated in detail and its openness, transparency and merit-based nature is highly questionable. Given there is no clear performance assessment system and methodology in place in either whole of civil service or in any given agency, at least formally, the process can be regarded as deficient.</t>
  </si>
  <si>
    <t>No.  Appointment to higher positions is envisaged by law to be based on merit, and the designated systems for attestation and testing are to serve those purposes. In reality, though, we can certify that the practice falls short of being genuinely open and transparent. A person appointed in a post automatically receives the respective rank.</t>
  </si>
  <si>
    <t>No. The process is not openess and  transparency.  Promotion is based on merit (in some cases) or at the request of  higher officials or their relatives, friends. There are cases of bribes as well.</t>
  </si>
  <si>
    <t>No. Promotion (career development) of civil servants is rather the result of subjective decisions of line managers than established procedure. It can be changed starting from 1 January 2015 when the obligatory competition procedure for almost all (except group I) civil servant positions came into force.</t>
  </si>
  <si>
    <t>No. Please see above.</t>
  </si>
  <si>
    <t>Yes, promotion takes place through competition and this requirement of the law is used in practice across the civil service.</t>
  </si>
  <si>
    <t>No. There is an intention to establish the Higher Council of Civil Service under the patronage of the President of Ukraine (such body is envisaged in draft law on amendments to the Consitution of Ukraine)</t>
  </si>
  <si>
    <t xml:space="preserve">Yes. The promotion is done based on the evaluation of the performances of the civil servant. For the high level servants the evaluation is done by a commission appointed by the Prime Minister. The court of accountants may also check this on the occasion of the periodic controls.  </t>
  </si>
  <si>
    <t>No. And there is no such provision in the law</t>
  </si>
  <si>
    <t>No. Promotion decisions are made solely inside a given agency, without outside supervision.</t>
  </si>
  <si>
    <t>No, never</t>
  </si>
  <si>
    <t>Yes. There is a procedure for appeal envisaged in the legislation (both, in the old Law on civil service and in the new one)</t>
  </si>
  <si>
    <t>There is no appeal for promotion grievances, but there is appeal for evaluation results, which is the base for the promotion.</t>
  </si>
  <si>
    <t xml:space="preserve"> Officially there is, but it does not normally lead to positive results</t>
  </si>
  <si>
    <t>Yes. The Government Ordinance #411 provides for a commission to hear appeals. A civil servant may take his grievance to the Commission and then appeal to courts, or go directly to courts.</t>
  </si>
  <si>
    <t>In legislative yes, in practice rarely case.</t>
  </si>
  <si>
    <t>Partially. New Law on civil service stipulates in detail this procedure (but it can't be assessed as for now).</t>
  </si>
  <si>
    <t xml:space="preserve">Yes, the procedure is clearly regulated by law (article 59 of the law 158 on public service and statutes of public servants). The servant can submit a written explanation. The servant can appeal to court if disagrees with the administrative act applying the disciplinary sanction. </t>
  </si>
  <si>
    <t>Yes/No. The basis for disciplinary procedures is provided by Articles 78 and 79 of the Civil Service Code, and include failure to perform the duties assigned, or their inadequate performance; inflicting material damage to the agency, or illicitly creating such conditions; acting against common moral rules or committing indecent acts directing at discrediting the employing agency or the civil service, irrespective of whether the act was committed in official capacity or not. Using the criterion of acting against common morality could be subject to wide interpretation, and could probably not qualify as transparent or fair. Further, given there is no clear overall assessment criteria or a streamlined performance appraisal system, the broad principles identified in the Code could be insufficient.</t>
  </si>
  <si>
    <t>Yes. The Law on Civil Service regulates disciplinary procedures in detail, but there is no information on how it works in practice.</t>
  </si>
  <si>
    <t>In legislative yes (Article 25 of Law on Public Service), in practice not.</t>
  </si>
  <si>
    <t>Yes, under the Law, 1993, the system of training, retraining and in-service training was established (art.29). The network of training institutions was developed (23 regional centres and National Academy of Public Administration with 4 branches). According to the New Law, 2011, Academy will play a key role in increasing of level of professional competence of CS (art.30). In-service trainings of senior civil servants are conducted in the School of Senior Civil Service (e.g. it provides special Leadership programmes on annual basis).</t>
  </si>
  <si>
    <t xml:space="preserve">Yes. The State Chancellery and the Academy for Public Adminsitration have an important role here.   </t>
  </si>
  <si>
    <t>Such a system exists but many civil servants consider it to be ineffective. It has a limited scope and is often a mere formality, especially in preparing new recruits.</t>
  </si>
  <si>
    <t>No.There is no training system in place, either for recruits or for current employees. Individual agencies may have own internship/trainee programmes, supplemented by donor support (e.g. Office of Chief Prosecutor of Georgia), however there is no system-wide vision on this.</t>
  </si>
  <si>
    <t>Yes. There are training systems and civil servants participate in in-service training at least every 3 years (the Law on Civil Service, Article 20 (2).  However the system of training lacks sufficiently qualified specialists and mostly is of formal nature.</t>
  </si>
  <si>
    <t>Yes, there are training systems and civil servants participate in trainings in their ministries, some supported by international organisations such as  EU, UNDP, GIZ, SECO, etc. The law on civil service regulates additional education of civil servants by Article 22-1.</t>
  </si>
  <si>
    <t xml:space="preserve">No. There are no provisions that regulate selection, appointment and promotion of senior civil servants, neither within the Law from 1993, nor from 2011. For example, there is no obligation to conduct open competition for senior positions. </t>
  </si>
  <si>
    <t>No. Senior civil servants tend not to be any exception to the overall trends in civil service appointment and promotion.</t>
  </si>
  <si>
    <t>In legislative, yes,  in practice no.</t>
  </si>
  <si>
    <t xml:space="preserve">1.5.2.5 </t>
  </si>
  <si>
    <t>No. Some local authorities conduct surveys of citizens' satisfaction (at city level) within the quality management system.</t>
  </si>
  <si>
    <t>Yes, but they are usually organised by civil society organisation, not by government.</t>
  </si>
  <si>
    <t>Yes, such regular polls are conducted for instance by the Independent Institute of Socio-Economic and Political Studies (IISEPS). The results of Government polls are closed to public.</t>
  </si>
  <si>
    <t>No. There are no regular, representative surveys of citizen satisfaction with public services that are publicly available.</t>
  </si>
  <si>
    <t xml:space="preserve">Yes. There are some surveys by different fields of public services conducted by different organisations. These surveys aren't conducted on a regular basis, and each year they do not cover all fields of public services, and are not conducted nationwide. </t>
  </si>
  <si>
    <t>No. There is no access to representative surveys monitoring citizens' satisfaction with public services.</t>
  </si>
  <si>
    <t>Yes, but mostly with donor support.</t>
  </si>
  <si>
    <t>Not in terms of reforms, but they are considered during the process of decision-making.</t>
  </si>
  <si>
    <t xml:space="preserve">No. The results of such surveys are somewhat used to prepare reforms, but not at such a level that the answer will be yes.  </t>
  </si>
  <si>
    <t>No for the period 2013 until June 2014.</t>
  </si>
  <si>
    <t>No, there is no information on applying EU and other internationally based standards and no access to them.</t>
  </si>
  <si>
    <t xml:space="preserve">Yes. According to art.8 Law on administrative service (2012), each service should be provided based on so called technological card. Techological card envisages the procedure of appeal in case service doesn't match the required level of quality (Resolution of the Cabinet on requirements to technological card of administrative service dated  30 January 2013, #44). </t>
  </si>
  <si>
    <t>Yes, there is also a possibility to submit complaints electronically.</t>
  </si>
  <si>
    <t>Yes. Citizens can lodge complaints with the internal audit body at each state insitution, and the body may use disciplinary sanctions against civil cervants, after an inquiry. However, there is very little expectation of redress.</t>
  </si>
  <si>
    <t xml:space="preserve">Yes,  According to the Law on Rules of Ethics and Conduct of Civil Servants,  citizens can complain about the behaivor civil servants and quality of public management as well. </t>
  </si>
  <si>
    <t>No. According to the procedure, complaints are considered by the state body responsible for delivering administrative service.</t>
  </si>
  <si>
    <t xml:space="preserve">No, they are usually assessed by the same body that is delivering the service. </t>
  </si>
  <si>
    <t>Yes/No, Often complaints are assessed by the body which is the object of the complaint, but in some important cases other agencies interfere.</t>
  </si>
  <si>
    <t>Yes/No. The internal audit units are part of the same organisation to which the complaint is addressed. Although their independence is underscored in law, in practice the heads of such units are appointed by the institution's head and have no special guarantees of independence in terms of tenure or secure funding for their activities. Hence, the actual independence of such bodies is questionable.</t>
  </si>
  <si>
    <t>No. Such complaints assessed by the service delivery agency or respective public administration body.</t>
  </si>
  <si>
    <t>Usually such grievances are analysed by relevant departments of presidential adminstration and parliament of Republic of Azerbaijan</t>
  </si>
  <si>
    <t>1.6.</t>
  </si>
  <si>
    <t xml:space="preserve">Fighting corruption </t>
  </si>
  <si>
    <t xml:space="preserve">1.6.1. </t>
  </si>
  <si>
    <t>Worldwide Governance Indicators, 2013 Score. http://info.worldbank.org/governance/wgi/index.aspx#reports</t>
  </si>
  <si>
    <t>Linear transformation, benchmarks defined by EBRD transition countries; best = 1.11 (Estonia), worst = -1.34 (Turkmenistan)</t>
  </si>
  <si>
    <t>Transparency International, CPI 2013 score (rank) http://cpi.transparency.org/cpi2013/results/</t>
  </si>
  <si>
    <t>Linear transformation, benchmarks defined by EBRD transition countries; best =Estonia  (68, rank 28 ), worst = Turkmenistan, Uzbekistan (17, 168 )</t>
  </si>
  <si>
    <t>25 (rank 144)</t>
  </si>
  <si>
    <t>35 (rank 102)</t>
  </si>
  <si>
    <t>29 (rank 123)</t>
  </si>
  <si>
    <t>49 (rank 55)</t>
  </si>
  <si>
    <t>36 (rank 94)</t>
  </si>
  <si>
    <t>28 (rank 127)</t>
  </si>
  <si>
    <t>1.6.2.</t>
  </si>
  <si>
    <t xml:space="preserve"> Yes. Accounting Chamber of Ukraine, the body provided by the Constitution, conducts its activity within the framework of the Law on Accounting Chamber of Ukraine.</t>
  </si>
  <si>
    <t>Yes. The Court of Accounts is the supreme audit institution in the state, covering the public sector, according to the Law on the Court of Accounts, no.261-XVI from 5 December 2008.</t>
  </si>
  <si>
    <t>Yes. The State Control Committee and The General Prosecutor Office</t>
  </si>
  <si>
    <t>Yes, there is a State Audit Office in place: that is the supreme audit institution.</t>
  </si>
  <si>
    <t xml:space="preserve">Yes. The Control Chamber of Armenia is the national supreme audit institution, which oversees the usage of the budget resources and the state and municipal property. </t>
  </si>
  <si>
    <t>Yes. there is Chamber of Accounts, the institution of supreme audit of government spending. This organisation is subordinate to Parliament.</t>
  </si>
  <si>
    <t>Yes, The Accounting Chamber is a permanent body responsible for supervising, which is appointed by the Verkhovna Rada of Ukraine, subordinated and accountable to it. The Accounting Chamber operates independently of any other state bodies. (art.1 Law On Accounting Chamber)</t>
  </si>
  <si>
    <t>Yes. The Court of Accounts shall have organisational, functional, operational and financial independence according to the  Law on the Court of Accounts, no.261-XVI from 5 December 2008.  In exercising its duties and powers, the Court of Accounts shall be independent and not  subject to direction or control of any other natural person or legal entity.</t>
  </si>
  <si>
    <t>No. The President appoints and dismisses the heads of these departments. Additionally these departments are accountable to the president.</t>
  </si>
  <si>
    <t xml:space="preserve">Yes, State Audit Office is independent from all three branches of the Government. Any act that can impair its independence is prohibited. The Auditor General is nominated by the Chair of the Parliament and elected by the majority of the Parliament for a five year term. </t>
  </si>
  <si>
    <t xml:space="preserve"> Yes. Audit agency is independent body by the Law on "Control Chamber". But by the Constitution its programme is approved by the National Assembly: The Control Chamber also has to report to the National Assembly at least once a year. The Control  Chamber is independent from all three branches.</t>
  </si>
  <si>
    <t>Yes, in legislative yes, but not in practice. Chamber of Accounts institutionally is independent of the executive government and reports to the Parliament only on an annual basis. Its functions and mandate are regulated by a specific law on Chamber of Accounts. But in practice the Chamber of Accounts  is dependent on the executive (the president's administration and Ministry of Finance).</t>
  </si>
  <si>
    <t xml:space="preserve">Yes. Chairman of the Accounting Chamber shall be appointed by the Verkhovna Rada of Ukraine on the submission of the Head of the Verkhovna Rada of Ukraine for 7 years with the right to appointment for a second term. Appointment of Chairman of the Accounting Chamber is conducted by secret ballot (art.10 of the Law). The Chairman assures the professional independence of the Chamber. He can be removed early from office by the Chairman of the Verkhovna Rada of Ukraine 
only in instances strictly stipulated in the Law. </t>
  </si>
  <si>
    <t>Yes. The Law on the Court of Accounts, no.261-XVI from 5 December 2008 provides for the exhaustive grounds on which a member, including the  head of the Court of Accounts, may be removed from office (art.21 of the Law on the Court of Accounts, no.261-XVI from 05 December 2008).</t>
  </si>
  <si>
    <t>No. The head of the agency is dismissed and appointed directly by the President with no accountability.</t>
  </si>
  <si>
    <t>Yes, according to the Constitution of Georgia, the Auditor General can be dismissed by the Parliament only based on the impeachment procedure. In such case, violation of the Constitution, commission of high treason or other criminal offences shall be confirmed respectively by the Constitutional Court or Supreme Court of Georgia.</t>
  </si>
  <si>
    <t>Yes. The head of the Control Chamber is protected from removal by the Law on "Control Chamber". The current head of the restructured  chamber is in office since 2007 and there have been no removals so far.</t>
  </si>
  <si>
    <t>Yes, according to Article 5 of the Law on the Chamber of Account, the authorities of the Chairman of the Chamber of Accounts, the Deputy Chairman and seven Auditors are valid for seven years.  The chairman and auditors   of the Chamber  of Accounts are appointed by the Parliamentary majority. The law on Chamber Accounts  protects the leadership of the Chamber of Accounts from early dismissals. However, in practice, if desired by the executive power, dismissal is possible.</t>
  </si>
  <si>
    <t>Yes. Members of Accounting Chamber (First deputy and Deputy Head, Chief Comptrollers and Secretary of the Accounting Chamber) shall be appointed by the Verkhovna Rada of Ukraine on the basis of recommendations of the Chairman of the Accounting Chamber by secret ballot, for 7 years, in the procedure identical to that provided for the appointment of Chairman of the Accounting Chamber.  Members of the Accounting Chamber cannot be detained, prosecuted without
consent of the Verkhovna Rada of Ukraine (art. 37 of the Law).</t>
  </si>
  <si>
    <t>Yes. The Law on the Court of Accounts, no.261-XVI from 5 December 2008 prescribes that the audit staff of the Court of Accounts enjoys independence, stability in their positions, and that they comply only with the law and the regulatory acts adopted by the Plenary of the Court of Accounts (collegiate leadership). The certification of the audit staff is carried out by the Plenary of the court of Accounts (art.25 of the Law). The staff is appointed on an open competition basis.</t>
  </si>
  <si>
    <t>Yes, the Auditor General appoints the whole staff of the office, including all  Deputy Auditor Generals.</t>
  </si>
  <si>
    <t>Yes. The staff members of the Control Chamber are civil servants, and the practices of appointing agency staff support the independence of the agency according to the law. However, in practice, there are informal channels of influence on civil servants in general (clientelism, informal networking, etc) that make the overall substantive independence of the civil service questionable. This relates equally to the substantive independence of the staff of the Control Chamber.</t>
  </si>
  <si>
    <t xml:space="preserve">Yes, in legislative, there is guarantee of independence for  members of Chamber of Accounts. No, in practice,  their activities are regulated by the executive. </t>
  </si>
  <si>
    <t>Yes, the Accounting Chamber is financed directly from the State Budget of Ukraine. The amount of these funds is set annually by the Verkhovna Rada of Ukraine and outlined in the State Budget of Ukraine separately. (art.38 of the Law on Accounting Chamber)</t>
  </si>
  <si>
    <t>Yes. The Court of Accounts plans its budget every 2 years and submits it to the Parliament, which approves it and than sends it to the Government to include it in the draft Law on the state budget (art.11 on the Court of Accounts, no.261-XVI from 5 December.2008).</t>
  </si>
  <si>
    <t>Yes. These agencies are financed by the state budget.</t>
  </si>
  <si>
    <t>Yes, the draft budget of the State Audit Office is elaborated by the Office itself and submitted to the Ministry of Finance by the Parliament. The Law on State Audit Office provides safeguards for the adequate funding of the Office – funding for a given year may not be less than funding allocated for the previous year and such reduction is only possible at the consent of the State Audit Office.</t>
  </si>
  <si>
    <t>Yes. The Control Chamber receives regular funding from the state budget.</t>
  </si>
  <si>
    <t>Yes. The Chamber of Accounts is directly financed by the budget (in accordance with Article 13 of the Act).</t>
  </si>
  <si>
    <t>Yes. 
Standard defined by the Accounting Chamber: "Rules of procedure for preparing and carrying out inspections and enforce their results",  adopted by the Resolution of the Accounting Chamber # 28-6 dated 27 December 2004, and registered in the Ministry of Justice of Ukraine
( 28 January 2005, #115/10 395).</t>
  </si>
  <si>
    <t>Yes. Procedures are based on audit standards developed based on international audit standards (INTOSAI) (art.3 and 32 of the Law).</t>
  </si>
  <si>
    <t>Yes. These procedures are contained in Presidential Decree #510.</t>
  </si>
  <si>
    <t>Yes. The SAO has a quality control department which reviews all audit reports in progress and published, to improve the quality of audits. Georgian SAO uses the international quality standards (ISQC 1, ISSAI 40, ISSAI 1220) both institutionally and when drafting individual audit reports.</t>
  </si>
  <si>
    <t>Yes. There are procedures, which are regulated in detail by the Law on Control Chamber (the law does define, in a rather declarative way, a series of standards to which the work of the auditors shall conform; it also defines the rights and responsibilities of both the auditors and the entities subject to the audit, including the latter’s right to appeal and complain against the actions of the auditors). Mentioned provisions of the law and also Article 19 of the Law on Control Chamber (regulates procedures and conditions of control implementation) can be considered as conditions to ensure the quality of audits.</t>
  </si>
  <si>
    <t xml:space="preserve">No. Quality of audit reports are low.  The Chamber of Accounts has no power to add any critical comments on public expenses in its reports. Any real audit therefore is excluded from the beginning. </t>
  </si>
  <si>
    <t>Yes. The Accounting Chamber  shall submit an annual report to Verkhovna Rada of Ukraine on the overall results of  inspections, audits and examinations as well as the costs of these activities, by 1 December. Report of the Accounting Chamber, after approval by the Verkhovna Rada of Ukraine, is published in editions of the Verkhovna Rada of Ukraine (art.35 of the Law on Accounting Chamber). Committees of the Verkhovna Rada of Ukraine can hear reports and information (messages) of the Accounting Chamber based on the results of inspections, audits and examinations and proposed changes to legislation based on the results of such audits.</t>
  </si>
  <si>
    <t>Yes. The audit reports and the decisions on approving them taken by the Plenary of the Court of Accounts are published within 15 days in the Monitorul Oficial (Official Gazette) of the country (art. 34 of the Law).</t>
  </si>
  <si>
    <t>Partially. The State Control Committee and the General Prosecutor Office regularly publish reports about their audits. But these reports don’t contain full information.</t>
  </si>
  <si>
    <t>Yes. SAO web page currently displays only one finalised (effectiveness) audit report for 2014. However in 2013 SAO conducted 87 financial and 4 effectiveness audits, reports of which are available on the web page.</t>
  </si>
  <si>
    <t>Yes. The Control Chamber regularly publishes annual reports and current reports. http://www.coc.am/YearReportsEng.aspx</t>
  </si>
  <si>
    <t xml:space="preserve">Yes the Chamber of Accounts has published narrative report on annual basis, and Conclusions on state budget twice a year. But results of audits are not published. They are not publicly accessible. </t>
  </si>
  <si>
    <t>Partially. The Parliament of Ukraine regularly, no less than twice a year, asks the relevant committee of Verkhovna Rada of Ukraine to analyse results of controlling measures executed by the Accounting Chambers (art.33 of the Law). In practice, it happens rarely.</t>
  </si>
  <si>
    <t>Yes. The annual report of the Court of Accounts is presented and debated annually in the Parliament (art.8 of the Law).</t>
  </si>
  <si>
    <t>The president regularly listens to reports of the audit agency.</t>
  </si>
  <si>
    <t xml:space="preserve">Yes, the Parliament of Georgia hears the Auditor General annually and may request that an audit be conducted of a specific programme/institution and then hear the findings of the audit. However there is little public knowledge of any other regular debates and discussions. </t>
  </si>
  <si>
    <t xml:space="preserve"> Yes.  The Control Chamber at least once a year submits a report of its audit to the National Assembly. However, the presentation of this report in the Parliament is completely nominal/formal and is not followed by debates. In practice, all the efforts of the oppositional parties in the Parliament to initiate a substantive debate over the conclusions of the Control Chamber have been countered by the Chamber’s formalistic responses, and this approach has been backed by the Parliament’s majority which has traditionally avoided subjecting these reports to any substantive scrutiny. </t>
  </si>
  <si>
    <t>No. There is never discussion on annual report with participation of representative from civil society. Only twice a year (during the discussion on draft and implementation of budget) a review of the Chamber of Accounts is presented to the parliament. There is no public discussion, and the parlamentary discussion is too short.</t>
  </si>
  <si>
    <t>Yes. According to the Law (art.29), based on the results of audits, the Accounting Chamber forwards decisions and conclusions to the executive agencies, heads of enterprises, institutions and organisations, banks and credit institutions that have been inspected. These decisions and conclusions are adopted by the Accounting Chamber, and their addressees have right to respond if they do not agree with them, and are obliged to take measures aimed at elimination of detected violations of rules and standards, damages, mismanagement and losses. In practice not 100%, but they are trying to do this in majority of cases.</t>
  </si>
  <si>
    <t>Yes. The Government usually takes action on the findings and recommendations of the Court of Accounts. However, there are instances when these findings are ignored.</t>
  </si>
  <si>
    <t>Yes/No. The SAO sends its findings and files to prosecution services in case of criminal violations for further investigation and prosecution. In its annual report SAO admits that only about a quarter of its recommendations to the audited institutions were acted upon in 2012-2013 and it recognises the need for improvement, possibly through closer involvement of parliament in the process.</t>
  </si>
  <si>
    <t>Partially.  In practice the government reaction is rarely proportional to the scale of  violations.</t>
  </si>
  <si>
    <t>Partially. Very rarely.</t>
  </si>
  <si>
    <t xml:space="preserve">Yes. The Concept of development of financial management and control system until 2017 (adopted in 2005 with several amendments). </t>
  </si>
  <si>
    <t>Yes. The Government passed the Decision no.597 from 2 July 2010 on approving the Programme for the Development of Public Financial Internal Control. Later on, a Law on Public Financial Internal Control no.229 from 23 September 2010 was passed and it came into effect 12 months later.</t>
  </si>
  <si>
    <t xml:space="preserve">Yes, the Law of Georgia on Public Internal Financial Control was adopted by the Parliament of Georgia in 2010 based on the Strategy on Development of Public Internal Financial Control developed by the Government of Georgia in 2009. </t>
  </si>
  <si>
    <t xml:space="preserve">Yes. The Government approved the Strategy of Public Internal Financial Control in 2010, which is defining a system of Public Internal Financial Control. </t>
  </si>
  <si>
    <t>No, the draft law on Financial Control has not been passed by parliament. However, the department of Treasury office has the authority to monitor and the inspection office has control of expenditure of budget funds in government bodies.</t>
  </si>
  <si>
    <t>Yes. The annual action plans, specifying measures to set up the PIFC systém, have been adopted in the form of the Orders of Cabinet of Ministers.</t>
  </si>
  <si>
    <t>Yes. The Programme for the Development of the Public Financial Internal Control passed by Government Decision no.1041 from 20 December 2013 contains an action plan for 2014-2017 scheduling a set of 9 objectives and 66 actions  aimed to implement PIFC (Annex to the Government Decision).</t>
  </si>
  <si>
    <t>The latest plan available covered only the period up to 2014. The Harmonisation Center has already published its annual report for 2013, summarising the developments for the year.</t>
  </si>
  <si>
    <t>Yes. There is an action plan for 2011-2013.</t>
  </si>
  <si>
    <t>Yes, there is the internal action plan., which is approved by the parliament, but it is not publicly available. At the same time, the action plan on Promotion of Open Government  Partnership in Azerbaijan for 2012-2015 years was presented in September 2012 and included specific action on PFMP.</t>
  </si>
  <si>
    <t>Yes. For example, special unit called: Division on Internal Financial Control and Audit was set up in the Ministry of finance of Ukraine. Every executive power body and budgetary institution has set up a special units in accordance with the Regulation of The Cabinet of Ukraine #1001. starting from 1 January 2012.</t>
  </si>
  <si>
    <t>Yes. The Law on Public Financial Internal Control no.229 from 23 September 2010 provides for the establishment of financial management and control working gropus in the public administration bodies (Chapter II of the Law on Public Financial Internal Control no.229 from 23 September 2010).</t>
  </si>
  <si>
    <t>Yes. According to the Belarusian law, some elements of financial management and control system are used in state agencies.</t>
  </si>
  <si>
    <t xml:space="preserve">Yes, according to the official website of Internal Audit Council, currently  there are 23 units of Internal Audit in Georgia, including 12 ministries (except Ministry of Justice, Ministry of Defense, Ministry of Internal Affairs and Ministry of Corrections and Legal Assistance), 5 units of internal audit  in autonomous republic of Adzharia, 5 units in autonomous republic of Abkhazia and one in administration of South Ossetia. In the Ministries the internal audit units were set up on the basis of the pre-existing general inspections units, and in the Autonomous republics they were set up from scratch. </t>
  </si>
  <si>
    <t>Yes, according to the Law on Internal Audit, all bodies of public administration, including those in charge of managing public revenues and/or expenditures, are required to have departments/divisions/systems of internal audit.</t>
  </si>
  <si>
    <t>No, there are no control systems for managing public revenues and/or expenditures. All decisions in this regard are under central control.</t>
  </si>
  <si>
    <t xml:space="preserve">Yes. They have been established since January 2012. The effectiveness can be assessed in different ways, but audit units can be effective and efficient only in case the leading management is interested in their results. </t>
  </si>
  <si>
    <t>Yes. Internal audit units have been established in the public administration bodies, under the direct authority of the manager of the public administration body (art.19 of the Law on Public Financial Internal Control no.229 from 23 September 2010). However, the effectiveness of the internal audit units in various entities proves uneven, so far being less effective than expected.</t>
  </si>
  <si>
    <t>Yes, the Law of Georgia on Public Internal Financial Control obligates that internal audit shall be functionally independent. However, the application of this provision in practice and real independence of internal audits is questionable.</t>
  </si>
  <si>
    <t>Yes. The Parliament adopted the Law on Internal Audit. It is related to the Public Sector and there are functionally independent internal audit units by this law. But the real independence of these units is in question. It is not clear how the system in place can be assessed as functionally independent if it is assessed, at the same time, to lack “real independence”. Functional independence of the internal audit systems is largely questionable despite the formal provision for the independence of the internal audit units.</t>
  </si>
  <si>
    <t>Yes. The Parliament of Azerbaijan adopted the Law on Internal Audit. It is related to the Public Sector and there are functionally independent internal audit units by this law. But in practice, there is no real independence.</t>
  </si>
  <si>
    <t>Yes. Responsibility for development of PIFC is assigned to Ministry of Finance (Ministry should develop and implement the system together with Accounting Chamber and Main Department of Control and Audit )</t>
  </si>
  <si>
    <t>Yes. The Ministry of Finance receives the reports from the internal audit units and is appointed as the authority resonsible for the development and monitoring of the PIFC policy (art.28 and 29 of the Law on Public Financial Internal Control no.229 from 23 September 2010).</t>
  </si>
  <si>
    <t>Yes. There is an internal audit commission (harmonisation center) accountable to the government. It ensures establishment and development of internal control and co-ordination of various internal audit units. The secretariat of the centre is provided by the Ministry of Finance.</t>
  </si>
  <si>
    <t>Yes. The Government and the Ministry of Finance are managing the development of PIFC.</t>
  </si>
  <si>
    <t>Yes. The Ministry of Finance are managing the development of PIFC.</t>
  </si>
  <si>
    <t xml:space="preserve">1.6.3. </t>
  </si>
  <si>
    <t>The basic Law on Performing Public Procurement states that purchasing/ordering anything that’s worth more than 1 mln grn requires organising a tender procedure. That would mostly be either open bidding which requires competition or sole sourcing (officially “buying from one participant”  or “negotiating”). There is a list of cases and situations when negotiations can be performed. If the case does not fit – the purchase should be organised as competitive bidding, if needed – combined with initial pre-bidding evaluation or held as two-staged bidding. 
In 2013 and up to April 2014 legislation allowed 40 conditions on which competitive bidding or tender procedure in general could be avoided, dividing cases 50/50 approximately, which means that half of the procurements were performed with no open competition. Latest changes to procurement legislation made in April-May 2014 under the pressure of public activists and journalists reduced the list from 40 to 10 and clarified certain paragraphs  to shut down the biggest loopholes. 
Also, in 2013  state enterprises, that have proven to be one of the biggest source of corruption, spent significant sums of money avoiding tender procedures as they got the permission to skip it in case the purchase is financed at the enterprise's own expenses. In 2014 this has not yet been changed.</t>
  </si>
  <si>
    <t xml:space="preserve">Yes. The Law on public procurement no.96 from 13 April 2007 provides that competitive bidding is the rule applied in public procurement, whereas other forms of public procurement may be applied only in the cases given by the Law (art.33 of the Law). </t>
  </si>
  <si>
    <t>Yes, Belarusian Law requires competitive bidding. These procedures are contained in Presidential Decree #590-591. But there are some gaps in national law which reduce the effectiveness of competitive bidding.</t>
  </si>
  <si>
    <t>Yes, major procurements require competitive bidding unless the procurement falls under the exceptions prescribed in the legislation. The list of these exceptions is rather broad and gives the chance to avoid competitive bidding procedure in a number of fields. The procurement process is regulated by the Law of Georgia on State Procurement and by-laws adopted by the Head of the Competition and State Procurement Agency. Set procedures allow three types of procurement: Electronic Tender, Simplified Electronic Tender and Simplified Procurement.  Electronic Tender, Simplified Electronic Tender require competitive bidding. One significant positive change has been in defence procurement - under the new leadership, the Ministry of Defence has used a transparent electronic procurement system and competitive bidding significantly more frequently than ever before. (This still holds, despite the fact that the Minister of Defence was just recently fired, on the heels of alleged procurement corruption).</t>
  </si>
  <si>
    <t xml:space="preserve">No. However, Article 17 of the Law on Procurement, which defines methods of procurement, also provides that competitive bidding (open procedure, as the term is in the Law on Procurement) shall be the most preferable and major method of procurement and other forms of procurement shall be applied only in the cases defined by that Law. </t>
  </si>
  <si>
    <t>Yes in legislative, according to article 17.1 of the law on state procurement: If supposed price for goods (works and services) is higher than minimum price set by respective executive authority, they shall be procured through open tender.  According to presidential decree dated 29 January 2002, all purchases of 250 mln manat (315 million USD) and above shall be effected by the tender. This is less than 0.4% of GDP of the country. This requirement is not implemented in practice, especially during the execution of state investment budget.</t>
  </si>
  <si>
    <t xml:space="preserve">The Law states that negotiations should be performed as an exception when bidding is impossible. There is a list of such cases that is supposed to restrict the practice of using negotiating instead of open bidding. It contains a number of obvious cases when negotiating is inevitable: bidding cancelled twice (for lack of participants or their not fitting the requirements and therefore being disbarred),  having no alternative by default (patent, authors rights), performing additional works or supplying additional goods, emergencies that leave no time for bidding (catastrophe or natural disaster). Until recently this list was used to provide loopholes to avoid bidding.  It used to contain a paragraph allowing negotiations in case of “urgent need” within “specific economic or social circumstances”. This could basically be regarded to mean anything, taking into account the long lasting economic crisis, and it was. 
Latest changes in April-May 2014 clarified this legislative norm to be limited to fighting a  catastrophe or natural disaster and supplying humanitarian aid.
In May 2014, however, due to the military conflict with Russia, this paragraph was also updated with a case of “specific period” when procurement is performed for the needs of restricted list of state bodies: Ministry of Defence, Ministry of Internal Affairs, National Guard, State Security Service,  State Border Guard Service, Foreign Intelligence Service, and State Service of Special Communication and information protection. </t>
  </si>
  <si>
    <t>Yes. (art.53 of the Law on public procurement no.96 from 13 April 2007)</t>
  </si>
  <si>
    <t xml:space="preserve">Yes, sole source contracting (simplified tender) is limited to specific conditions. The list of these conditions is provided in the Law of Georgia on State Procurement and includes, inter alia, procurement when the supplier is the only source; when there is tight schedule etc. While the list is specified, it is rather broad and shall be reduced. </t>
  </si>
  <si>
    <t>Yes, partially. Unlike the previous two laws on procurement, the current law on procurement doesn’t contain the term “sole sourcing”. Instead Article 20 of the Law defines “negotiation procedure” as one of the methods of procurement, and it provides that such method of procurement is organised either through preliminary publication of announcement on tender or without publication of such announcement. The conditions for the application of the case with no publication of tender announcement resemble those of sole sourcing. These conditions are specific, tightly defined, including that of only source of skill or technology. However, the  Article that provides that the negotiation procedure without preliminary publication of announcement can also be applied, if there is urgent need to purchase a good, service or works, in practice is not always properly implemented and, as some scandalous stories revealed, some public officials interpret the “urgent need” improperly.</t>
  </si>
  <si>
    <t xml:space="preserve">No. According to Article 50 of the law on state procurement (Procurement procedure from one (single) source). </t>
  </si>
  <si>
    <t xml:space="preserve">Any participant can address the Antimonopoly Committee (AMC) with a complaint if he believes his rights for a fair bid were violated. This might be a complaint on discriminative requirements set by tender organisers, or an unjust disbarment, or the result of bidding. Filing a complaint to AMC would cost 5 000 grn in case of goods/services procurement and 15 000 in case of works. AMC has an authority to put the procedure on hold while considering a complaint, though it has no power to cancel the results on its own. </t>
  </si>
  <si>
    <t>Yes. Unsuccessful bidders can file a complaint, which may lead to a suspension of conclusion and/or enforcement of the contract (art.71-74 of the Law on public procurement no.96 from 13 April 2007).</t>
  </si>
  <si>
    <t>Yes. According to Presidential Decree #590-591</t>
  </si>
  <si>
    <t>Yes, the rules to review procurement decisions are defined in Article 23 of the Law of Georgia on State Procurement. Competition and State Procurement Agency set up an appeal and dispute resolution board to which any person or company can appeal if they suspect a violation of procurement rules. calibration - 1.00</t>
  </si>
  <si>
    <t xml:space="preserve">Yes. Article 45 of the Law on Procurement provides that each person (both physical and legal) has the right to appeal actions (inaction) and/or decisions of the procuring entities, tender commission and Procurement Appeals Council (PAC). The decisions of the procuring entities or tender commission can be appealed to the PAC or court. The person also can appeal to court against the decisions of PAC. Moreover, any person, who suffered losses as a result of violations committed by the above mentioned entities, can also demand through court compensation for damages incurred. </t>
  </si>
  <si>
    <t>Yes in legislative, according to Article 55 of the law on state procurement (Right of lodging of complaint.) But, no in practice.</t>
  </si>
  <si>
    <t>In general, the basic Law on Public Procurement instructs disbarment of the offer if there is indisputable evidence that the participant has given a bribe or is planning to do so (though not specified how such thing is to be proven) or if the individual participant or participating officials that represent company-participant at the bidding procedure was officially charged with a corruption violation or public procurement legislation violation (though cases like this rarely happen to get to the court). 
Up until now there were no clear procedures to control such cases, there were no official “blacklists” of such companies and people. But the latest  changes to procurement legislation clarified it to some extent: it is hard to prove the bribery, but it is possible to prove faking the competition and co-ordinating actions with a fake competitor. From now on, the Antimonopoly Committee maintains a list of such people/companies. Person or company that (for the period of last 3 years) was charged by AMC must be disbarred from tender. 
Although the major problem now is that a company itself gets charged and disbarred – but not its owners and management who have already set up a practice to establish a new company with a clean history and continue their business in public procurement field. The same goes for companies that did not yet appear on the blacklist officially but for years it has been known, according to journalists' and activists' reports, to be actors in corrup schemes: old companies disappear from the field, new ones appear – freshly established, no business history and no guarantee of having no links to the previous ones. 
Furthermore, the list is not complet. It does not have a lot of major corrupt actors on it, and no state department is officially charged with monitoring and controlling this new part of legislation. So the legislation exists but the practice is still blurry.</t>
  </si>
  <si>
    <t>Yes.   The Public Procurement Agency keeps a record of the companies prohibited from taking part in public procurements. This record aims to ban participation of compromised companies for a period of 3 years (art.18 of the Law).</t>
  </si>
  <si>
    <t>No, companies convicted of bribery are not prohibited from participating in future procurement bids. Competition and State Procurement Agency keeps a blacklist of companies prohibited from bidding for one year. However, the list of acts that lead to the inclusion of the company in the blacklist does not include bribery conviction. calibraton - 0</t>
  </si>
  <si>
    <t>The concept of criminal law, on which Armenian Criminal Code is based, does not foresee criminal liability for legal persons, among them companies. Thus, companies cannot be convicted for bribery, which is a criminal offence. At the same time, Article 5 of the Law on Procurement, which defines the categories of those persons that shall be debarred from the participation in the procurement, provides that a legal person can be debarred from the procurement, if that person’s executive officer, who represents him in the procurement procedure, has been convicted for economic crimes or crimes against state service within 3 years prior to the moment of the submission of the bid. Score – 1.00</t>
  </si>
  <si>
    <t>No. According to Article 12 of the law on state procurement.</t>
  </si>
  <si>
    <t>Since 2008 information on public procurement is available at Register of Public Procurement (https://tender.me.gov.ua/ ), which is a special site set up by the Ministry of Economics. Every procurement has a separate page with the related documents uploaded: announcement with specification/technical task, changes made to it, protocol of disbarment, protocols of the offers opening procedure, data on prices in case of purchasing goods, or official explanation in case of negotiation  procedure. Access is free, registration required. 
As for the state enterprises, as mentioned above, since they were allowed to procure without organising tenders – they also stopped reporting on these expenses in 2012 and did not do that in 2013-2014.  Presumably half of the money spent by state sector went into shadow deals while this norm was valid and information on the last 2 years – at least for public access – is lost.
Latest changes to procurement legislation in April-May  made these expenses public again: state enterprises now report on their expenses (goods and services over 100,000 and works over 1 mln), special section at APP provided for it. Although the implementation is still in process with a form of report unified but not yet followed and enterprises still avoiding to show prices and even what exactly they are buying. 
(Last year evaluation stated “1,00” for this part. But taking to account this situation with state enterprises we would like to point out that it would be appropriate to evaluate 2013 with “0,75” and update it to “1,00” only starting with May 2014)
Another major step to improve public access was removing the restriction for search within the data on the APP site. Until 2014 complex search (by customer, subject, winner, location, date, sum etc) was only available for state representatives, like law enforcement. Now it is open for everyone.
It is still important to highlight that public has the access to information but cannot regulate procurements in a direct way: a citizen cannot act as a subject of a lawsuit or a complaint on a corrupted procurement case, only one of the bidders can file a complaint and only law enforcement or AMC can start a trial.</t>
  </si>
  <si>
    <t>Yes, Procurement Legislation is accessible on the official website of the Competition and State Procurement Agency www.spa.gov.ge Additionally, the state legislative herald is electronically available for free at matsne.gov.ge calibration - 1.00</t>
  </si>
  <si>
    <t>Yes. Similar to all other regulations, public procurement regulations are published in the Official Bulletin of the Republic of Armenia (laws, codes and decrees of the Government) and Official Bulletin of Departmental Acts (orders of the Minister of Finance ). In addition, the regulations are accessible through electronic legal databases – ARLIS and IRTEK, web-site of and web-site of the Armenian public procurement system (www.gnumner.am). Score – 1.00</t>
  </si>
  <si>
    <t>All information on procurement is published at APP up to the stage of signing the contract. Public has the access to information on participants, rejected offers, accepted offer and winner. It is also possible to learn if the procurement procedure was cancelled or declared invalid before the contract signed, but the reason not always specified. 
On the other hand there is no possibility to track the purchase after the deal – information on whether the money were transferred, goods supplied, services performed or works accomplished is not published at AAP, neither is information on contract being terminated. 
The only information that is now additionally published at APP is on contracts being modified (price changed due to the quantity changes etc.)</t>
  </si>
  <si>
    <t>Yes, after the introduction of Unified Electronic System of State Procurement, all results of electronic procurement and simplified electronic procurement are accessible on the official website of Competition and State Procurement Agency. However, if the procurement was not done electronically, the results will not be accessible. The state procurement agency has close co-operation with Transparency International Georgia, which is allowed full and unrestricted access to the procurement database for their own research purposes. This in particular contributes to further transparency of the procurement activities. calibration - 0.75</t>
  </si>
  <si>
    <t>Yes. Article 10 of the Law on Procurement provides that, if the price of the contract exceeds one base unit of procurement (According to the Article 2 of the Law on Procurement, one basic unit of procurement is equal to 1 mln AMD, which is around 2,440 USD considering the current currency rate (1 USD ≈ 410 AMD).  ), then the Ministry of Finance, as the authorised body for public procurement, shall publish official announcement on that contract (except the cases, when the contract contains state, official or bank secrets) in its official bulletin on procurement and official web-site of public announcement of the RA (http://www.azdarar.am). By the same Article of the Law the mentioned announcement shall be published within 7 days after signing the contract. In addition, Point 4 of Article 8 of the Law on Procurement provides that, within 5 calendar days following the request, the customer is required to submit to any person the protocol of the procurement procedure or a copy of any document, which is an integral part of that protocol, except the cases when the procurement contains state, service or bank secret. Score – 0.75
The publication of procurement protocols in the www.gnumner.am is in accordance with law requirements. However, because of absence of procurement statistics one can question whether all the procurement protocols are published in the web-page. Score – 0.75</t>
  </si>
  <si>
    <t xml:space="preserve">1.7. </t>
  </si>
  <si>
    <t>1.7.1.</t>
  </si>
  <si>
    <t>1.7.1.1</t>
  </si>
  <si>
    <t>Can the legislature alone, without the involvement of other agencies, impeach the president? Yes/No</t>
  </si>
  <si>
    <t>No. Under Article 111 of Ukraine’s Constitution, the decision on the removal of the President from office through the procedure of impeachment is adopted by the Verkhovna Rada of Ukraine by no less than three-quarters majority of its constitutional composition, after the review of the case by the Constitutional Court of Ukraine, and the receipt of its opinion on the observance of the constitutional procedure of investigation and consideration of the case of impeachment, and the receipt of the opinion of the Supreme Court of Ukraine to the effect that the acts, of which the President is accused, constitute high treason or other crime.</t>
  </si>
  <si>
    <t>Yes. Under Article 89 of the Moldova's Constitution, the decision on the removal of the President needs two thirds of Member of the Parliament.</t>
  </si>
  <si>
    <t xml:space="preserve">  Yes. To impeach the president the parliament needs a two-third majority in both chambers. In reality, the President has the right to dissolve Parliament, and in reality Parliament is not independent of the President.</t>
  </si>
  <si>
    <t>Under the Constitution of Georgia (Art. 63), the Parliament needs a conclusion of the Constitutional Court of Georgia to ascertain whether the President violated constitution or committed a criminal act. Only after receiving the affirmative report from the Constitutional Court, the Parliament could proceed with the impeachment procedure.</t>
  </si>
  <si>
    <t xml:space="preserve">No. The President may be impeached for state treason or other heavy crimes only on the basis of positive conclusion of the Constitutional Court. In order to obtain a conclusion on the motion of impeaching the President of Armenia from office, the National Assembly (Parliament of Armenia) shall appeal to the Constitutional Court by a resolution adopted by the majority of the MPs. The resolution to remove the President from office shall be passed by the National Assembly by a two-thirds majority vote of the total number of MPs, based on the conclusion of the Constitutional Court. In the event that the Constitutional Court concludes that there are no grounds for impeaching the President the motion shall be removed from the agenda of the National Assembly (Article 57 of the Constitution of Armenia).                                                                  </t>
  </si>
  <si>
    <t>No. The President may be dismissed from his post by decree of the Parliament taken by majority of 95 votes of deputies. But, this decree has to be signed by the Chairman of Constitutional Court. In case the Constitutional Court  fails to sign the said decree within one week, it shall not come into force. Parliament with the support of the Constitutional court can succeed in dismissal of the President.</t>
  </si>
  <si>
    <t xml:space="preserve">Yes. At the session of the Parliament every MP has the right to present an inquiry to the Government, heads of the bodies of state power and local self-government, chief executives of any enterprises, institutions and organisations. The heads of the relevant bodies and chief executives are obliged to notify MPs of the results of consideration of inquiry. The parliament is also granted the right to invite the head of the body/chief executive who replied to the inquiry to participate in the discussion of his/her reply, in case when MP who presented an inquiry requested the discussion, and the parliament or at least one-fifth of all MPs supported the MP’s request for discussion.  In practice, the legislature regularly interpellates officials from the executive. In addition to the parliament, the executive branch officials may be summoned by the parliamentary committees. </t>
  </si>
  <si>
    <t>Yes. According to article 105 of the Constitution of Moldova, the "Government and each of its members are obliged to answer questions and interpellations raised by MPs". The Government is accountable to Parliament and presents the information and documents required by it, its committees and parliamentarians.</t>
  </si>
  <si>
    <t>Yes. Under the Constitution (Article 60), “A member of the Government, an official elected, appointed or approved by the Parliament, shall be entitled and in case of request shall be obliged to attend the sittings of the Parliament, its Committee or Commission, to answer questions raised at a sitting and submit an account of an activity. On request such an official shall be heard by the Parliament, Committee or Commission”. Under the Rules of Procedure of the Parliament (article 221/2), "A group of ten MPs, a faction have a right to address with an inquiry a body accountable to Parliament, Government of Georgia, and a Member of Government, who have to answer this inquiry at the plenary sitting of Parliament. The inquiries are answered on the last Friday of each month’s plenary sitting during the Government Hour."</t>
  </si>
  <si>
    <t>Yes, According to article 80 of the Constitution of Armenia “Deputies shall be entitled to ask the Government written and oral questions while the factions and deputy groups shall also be entitled to submit interpellations to the Government. During one sitting of the regular session week the Prime Minister and the Government members shall answer the Deputies’ questions.” The Government members can be regularly invited to the hearings and sessions, according to the Law on Rules Of  Procedure Of The National Assembly.</t>
  </si>
  <si>
    <t>No. The executive keeps its strong and total influence over the legislative on all decision-making issues, as the legislative plays a rubber stamp role.</t>
  </si>
  <si>
    <t>Yes. The Parliament is entitled to conduct independent investigations of the chief executive and agencies of the executive through establishment of  temporary commissions of inquiry. However, the procedures for operations of these commissions, including the procedures for investigation, are not properly regulated in the laws.</t>
  </si>
  <si>
    <t xml:space="preserve">Yes. According to article 31 of the Rule of Procedures of the Parliament (RP), "Any standing committee may start an investigation within its jurisdiction relating to the work of public administration." Also, according to Article 34 of the  Rule of Procedures of the Parliament, an Inquiry Committee can be created by the Parliament. </t>
  </si>
  <si>
    <t xml:space="preserve">Yes, in cases specified by the Rules of Procedure of the Parliament. According to Article 55 of the Rules of procedure of the Parliament, Temporary Investigative Commission could be created on the basis of the information of unlawful actions of the state organs or officials that threaten the security of the country, its sovereignty, territorial integrity, political, economic or other interests of the country, etc. The Temporary Investigative Commission could apply to the law-enforcement agencies to start investigation, based on the materials in front of it, or apply to the Parliament to start the impeachment procedure against officials who could be impeached under the constitution.  </t>
  </si>
  <si>
    <t xml:space="preserve"> Yes, According to article 73 of the Constitution of Armenia and according to the Law on Rules of Procedure of the National Assembly, NA can form committees to investigate acute issues.       Art 73 provides for the right to form ad hoc committees within the National Assembly, and yet it does not explicitly provide for investigative functions vested in these committees. In reality, a number of committees have been previously formed under the auspices of the National Assembly to perform largely investigative functions (such as the commission to investigate 1 March 2008 events), yet the legal status and the access granted to such committees is not clearly defined. 
                                         </t>
  </si>
  <si>
    <t xml:space="preserve">No.  Legislative organs, namely parliament, is a rubber-stampt and toothless body always under the direct political influence of the executive.  </t>
  </si>
  <si>
    <t xml:space="preserve">No. The parliament’s powers in this field are limited to defining the basic principles of national security; setting the structure, number of staff and functions of the Armed Forces, Security Service, Ministry of Interior; adoption of the national programmes of reforms in the relevant field etc. The parliament may control the activities of the agencies of coercion via general mechanisms of parliamentary oversight, through the Ombudsman and Accounting Chamber, but, again, the effectiveness of such control is not very high since the parliament is not allowed to vote no confidence in the heads of the relevant agencies. </t>
  </si>
  <si>
    <t>Yes. According to the article 25 of the Law on State Security Bodies "The Parliament exercises control over the activity of state security bodies through hearings of  the chiefs of state security bodies during public or closed sessions". According to article 125 of the RP "MPs are entitled to submit interpellations to the Government". The presence of members of the Government, to whom interpellations are addressed at Parliament session, is mandatory. At the proposal of the Standing Bureau, standing committees or parliamentary factions, Parliament can initiate hearings in other areas of public interest.</t>
  </si>
  <si>
    <t xml:space="preserve">Doesn't answer the question. Does the legislature have effective oversight over military police, intelligence services?  Yes, under the legislation. According to the Constitution, the Government is accountable to the Parliament. The parliamentary interpellation right can be exercised also vis-à-vis these ministers. Besides, any member of the government can be dismissed by the Parliament based on the impeachment procedure.  </t>
  </si>
  <si>
    <t xml:space="preserve">Yes by the Constitution and No in practice. The legislature has the same power of oversight over all agencies funded by the state budget by the Constitution. Also, according to article 80 of the Constitution of Armenia, Deputies are entitled to ask the Government written and oral questions while the factions and parliamentary groups are also entitled to submit interpellations to the Government. During one sitting of the regular session week the Prime Minister and the Government members answer the Deputies’ questions.                                                                                </t>
  </si>
  <si>
    <t>No. It is totally ineffective. The power ministeries operate under the direct oversight of the executive, meaning the President.</t>
  </si>
  <si>
    <t>The Prime Minister is appointed by the parliament upon the president's proposal. The President is constitutionally required to submit to the Parliament the name of the PM suggested by parliamentary coalition.</t>
  </si>
  <si>
    <t>The President nominates the prime minister and the legislature approves the candidature. The legislature is not able to appoint the PM against the will of the President.</t>
  </si>
  <si>
    <t>No. The President appoints the PM,  and the House of Representatives (the lower chamber) approves the appointment. The president is also entitled to dissolve the House, if it twice refuses to approve the appointment.</t>
  </si>
  <si>
    <t xml:space="preserve">Yes, the Parliament appoints the Prime Minister on the nomination of the President, who in turn can nominate only the candidate presented by the majority of the members of the Parliament. The President's role is limited only to the nomination of the candidate suggested by the Parliament. </t>
  </si>
  <si>
    <t xml:space="preserve"> No. The President of Armenia on the basis of the distribution of the seats in the National Assembly and consultations held with the parliamentary factions, appoints as Prime Minister the person enjoying confidence of the majority of the Deputies and if this is impossible the President of the Republic appoints as the Prime Minister the person enjoying confidence of the maximum number of the Deputies (Article 55 (4) of the Constitution of Armenia). The president proposes the candidate, and the parliament approves by voting.</t>
  </si>
  <si>
    <t xml:space="preserve">No. President submits to the Parliament the nomination of a person to the post of Prime Minister for approval. The Parliament (Milli Majlis) gives its consent to the nomination to the post of a Prime Minister no later than one week after the day the nomination was presented. </t>
  </si>
  <si>
    <t>Yes, under the 2014 version of the Constitution, the legislature appoints all the ministers. Most of them are appointed based on the Prime Minister's proposal, except for the Foreign Minister and Minister of Defence, whose names are suggested to the legislature by the president.</t>
  </si>
  <si>
    <t>No. According to article 98.6 of the Constitution, the ministers are appointed by the President upon proposal of the Prime Minister of Moldova.</t>
  </si>
  <si>
    <t xml:space="preserve">Yes, but not directly. The Parliament does not appoint ministers. Ministers are appointed by the Prime Minister. At the initial stage, when the government is formed after the Parliamentary elections, the composition of the government is approved by the Parliament through the vote of confidence. </t>
  </si>
  <si>
    <t>No. The President of Armenia appoints to, and dismisses from, office the members of the Government upon the recommendation of the Prime Minister (Article 55 (4) of the Constitution of Armenia).</t>
  </si>
  <si>
    <t xml:space="preserve">No. According to Art. 109 of the Constitution, the President appoints and dismisses members of Cabinet of Ministers of the Azerbaijan Republic. </t>
  </si>
  <si>
    <t>Yes. On the proposal of no less than one-third of its constitutional composition, the Parliament may initiate the vote of no confidence in the government and adopt resolution of no confidence in the Cabinet of Ministers by the majority of its constitutional composition. However, non-confidence in the government cannot be considered by the VR of Ukraine more than once during one regular session and within one year from the date of approval of the Government’s Programme of Action.</t>
  </si>
  <si>
    <t>Yes.  According to the Constitution, on the proposal of no less than a quarter of MPs, the Parliament may initiate the vote of no confidence in the government and adopt resolution of no confidence in the Cabinet of Ministers by the majority of its constitutional composition.</t>
  </si>
  <si>
    <t>According to the Constitution the Parliament can, but the President has the power to prevent this by dissolving the Parliament.</t>
  </si>
  <si>
    <t xml:space="preserve">Theoretically yes. Article 81 of the Constitution. However, the procedure could take rather long and is very complicated. </t>
  </si>
  <si>
    <t>Yes. The legislature may express no confidence in the Government by a majority vote of the total number of the Deputies (Article 84 of the Constitution of Armenia).</t>
  </si>
  <si>
    <t>yes, but it has never happened.</t>
  </si>
  <si>
    <t>1.7.1.2</t>
  </si>
  <si>
    <t xml:space="preserve">Does the President lack the right to dissolve the legislature? Yes/No </t>
  </si>
  <si>
    <t>The president is entitled to dissolve the parliament in three cases: if the parliament fails to hold its regular meetings during 30 days of the current session, if the government fell and no new government has been formed in 60 days, and if during 30 days following dissolution of the parliamentary coalition new coalition has not been formed.</t>
  </si>
  <si>
    <t>No. There are several situations when the President may dissolve the Parliament. First case is in accordance with Article 78 Constitution of Moldova, if after repeated elections the president is not elected, the President in-office shall dissolve the Parliament. Also, the President may dissolve the Parliament, after the consultations with parliamentary factions, if the Legislature fails to form the government or blocks the rule-taking procedure for three months. The President  dissolves the Parliament if the Legislature refuse to invest the Government within 45 days after the first request and  after rejection of at least two requests for Government approval. (Article 85.1 and 85.2 of the Constitution of Moldova)</t>
  </si>
  <si>
    <t>No (Meaning the President does have the right to dissolve the legislature - that would give the answer No to the question)</t>
  </si>
  <si>
    <t xml:space="preserve">Yes. The Government cannot dissolve the Parliament. Only the President can dissolve the Parliament. The President can dissolve the parliament only if two consecutive parliamentary no-confidence motions against the government fail to gain the support of 60 percent of the MPs. If the parliament is unable to pass a no-confidence vote within the constitutionally defined timeframe, the President has to dissolve the parliament three days before the deadline expires and announce snap parliamentary elections.  </t>
  </si>
  <si>
    <t>No. The President of Armenia dissolves the National Assembly if the National Assembly does not give approval to the programme of the Government after two attempts in succession within two months. The President may also dissolve the National Assembly upon the recommendation of the Chairman of the National Assembly or the Prime Minister in the following cases: a) If the National Assembly fails within three months to resolve on the draft law deemed urgent by the decision of the Government or; b) If in the course of a regular session no sittings of the National Assembly are convened for more than three months); c) if in the course of a regular session the National Assembly fails for more than three months to adopt a resolution on issues under debate (Article 74.1 of the Constitution of Armenia).</t>
  </si>
  <si>
    <t>Yes. The President does not have the right to dissolve the parliament (Milli Majlis), but he/she has the right to veto its decisions. To override a presidential veto, the Milli Majlis must have a majority of 95 votes.</t>
  </si>
  <si>
    <t xml:space="preserve">Does the legislature approve any executive initiative on legislation? That is, does the executive lack the right to enact decrees?  Yes/No   </t>
  </si>
  <si>
    <t>Yes. According to Article 85 of the Ukraine's Constitution, all the laws require adoption by the parliament.</t>
  </si>
  <si>
    <t>Yes. According to article 60.1 of the Constitution, the Parliament is the supreme representative body of the people of Moldova and the sole legislative authority of the state.</t>
  </si>
  <si>
    <t>No. According to Art. 101 Constitution, the President may issue temporary decrees which have the power of law and may only be rejected by a two-thirds majority of parliament (both chambers, full composition).</t>
  </si>
  <si>
    <t xml:space="preserve">It is the Parliament's exclusive authority to enact the laws. Only in exceptional circumstances - that is in case of emergency situation, the President could enact decrees that have the force of the law; however, once the Parliament resumes work, the decrees must be authorised by it. </t>
  </si>
  <si>
    <t>The executive can enact decrees according to respective laws, but not laws. By virtue of the Constitution, international treaties, the laws of the Republic of Armenia, or the decrees of the President of the Republic and to ensure the implementation thereof the Government adopts decisions, which are subject to observance in the whole territory of the Republic. The Government decisions are signed by the Prime Minister (Articles 85 and 86 of the Constitution of Armenia).</t>
  </si>
  <si>
    <t>No. According to Art. 113 Constitution, the President may issue decrees and orders. For establishing general procedures the President issues decrees, as per all other questions - he issues orders. They are not legally required to be confirmed by the legislative. Such decrees should not contradict the Constitution and the laws of the Azerbaijan Republic (Art. 149 Constitution).</t>
  </si>
  <si>
    <t>Yes, but a two-thirds majority is required to override a presidential veto.</t>
  </si>
  <si>
    <t>Yes. In accordance with article 93.2 of the Constitution, the President of Moldova is entitled to return the draft law to the Parliament with his remarks. The Parliament can override the veto of the President if the Legislature decides to maintain the previous decision.</t>
  </si>
  <si>
    <t>No, not in reality. The Parliament is loyal to the President. There is no need to veto its laws. All laws needed by the executive are adopted by the Parliament (often unanimously)</t>
  </si>
  <si>
    <t>The Laws passed by the parliament could be vetoed by the President; however, the President is NOT the head of the executive branch. The Parliament can override the veto of the President with a simple majority.</t>
  </si>
  <si>
    <t xml:space="preserve">Yes -  the simple majority can override the veto of the President.   
According to the Article 55 (2) of the Constitution of RA the President of the Republic: "shall, within twenty one days of receipt, sign and promulgate, the laws passed by the National Assembly; Within this period he/she may remand the law passed by the National Assembly to the latter with objections and recommendations requesting for new deliberations. The President shall, within five days, sign and promulgate the law re-adopted by the National Assembly;".According to the Article 72 of the Constitution of RA,"Should the National Assembly decline to accept the recommendations and objections presented by the President of the Republic, it shall pass the remanded law, again with a majority vote of the number of Deputies.The National Assembly shall deliberate on a priority basis any law, which has been remanded by the President. " </t>
  </si>
  <si>
    <t>No. President has the right to veto legislature’s decisions. To override a presidential veto, the parliament (Milli Majlis ) must have a majority of 95 votes (of 125 votes total).</t>
  </si>
  <si>
    <t>Yes. The legislature can initiate bills in all policy areas (however, draft budget law can be submitted to the Parliament only by the Cabinet of Ministers of Ukraine). None of the bills requires prior consent of the executive.</t>
  </si>
  <si>
    <t xml:space="preserve">Yes. Parliament has the right to initiate bills in all policy areas. </t>
  </si>
  <si>
    <t>Yes. The legislature is entitled to initiate bills in all policy areas except for the draft of the state budget and the draft law on structure, authority and procedures of activity of the Government. Only the Government is entitled to submit draft budget to the Parliament. In addition, a draft law which results in increase of expenditure of the State Budget of the current year, reduction of an income or taking of the new financial obligations by the State, may be adopted by the Parliament only after the consent of the Government.</t>
  </si>
  <si>
    <t xml:space="preserve">Yes. The legislature does have a right to initiate bills in any policy areas, therefore the executive lacks gatekeeping authority. The National Assembly upon the recommendation of the Government approves the administrative territorial division of Armenia. The Government submits the draft state budget to the National Assembly for approval (Article 82 and 89 (2) of the Constitution of Armenia). </t>
  </si>
  <si>
    <t>Yes, except drafting of state budget. In Azerbaijan, the Parliament (legislature) does not participate in the drafting stage of the budget. After the draft is prepared by the relevant state bodies under the co-ordination of the Ministry of Finance and delivered to the President (Executive Power), the latter submits the state budget to the Parliament (Legislature) for their review and approval. The Parliament cannot introduce amendments. It is restricted only to confirm or refer back the budget draft for additional improvements. There has never been an independent legislative initiative by the legislature; if there would be any, then first it should be agreed with the executive body (presidential office).</t>
  </si>
  <si>
    <t>No. The executive can impound funds appropriated by the legislature.</t>
  </si>
  <si>
    <t xml:space="preserve">Yes. Under the Constitution, the current expenditure for the Parliament of Georgia in the State Budget comparative to the amount of budgetary means of the previous year may be reduced only with the prior consent of the Parliament. </t>
  </si>
  <si>
    <t xml:space="preserve">Yes. The legislature approves the law on the annual state budget and executive acts according to the law. The state budget is subject to the legislature’s approval (through law-making) and overall the executive expenses shall conform to the law on state budget. Meanwhile, the definitions in the budget are often so generic that the executive enjoys a wide discretion in redistributing budgetary resources. </t>
  </si>
  <si>
    <t>Yes. The resources that finance the parliament’s internal operation are provided for by the internal budget of the Parliament, based on the State budget of Ukraine. The internal budget of the Parliament can be adopted and amended only by the legislature.</t>
  </si>
  <si>
    <t>Yes. According to article 60 of the Constitution, resources that finance the parliament’s internal operation are provided for by the internal budget of the Parliament.</t>
  </si>
  <si>
    <t>No, the presidential Administration is in control.</t>
  </si>
  <si>
    <t>Yes. Under the Constitution, the Parliament adopts a decision itself on the distribution of the budgetary means of the Parliament in the State Budget.</t>
  </si>
  <si>
    <t>Yes. The Chairman of the National Assembly chairs the sittings, manages its material resources and ensures its normal functioning (Article 79 of the Constitution of Armenia).</t>
  </si>
  <si>
    <t>Are members of the legislature immune from arrest and / or criminal prosecution? Yes/No</t>
  </si>
  <si>
    <t>Yes. The MPs enjoy immunity from both arrest and criminal prosecution: under Article 80 of the Constitution of Ukraine, the people’s deputies of Ukraine cannot be brought to criminal liability, detained or arrested without prior consent of the Parliament.</t>
  </si>
  <si>
    <t>Yes. Under article 70.3 of the Constitution, MPs of Moldova cannot be brought to criminal liability, detained or arrested without prior consent of the Parliament.</t>
  </si>
  <si>
    <t>No. Art 102 of the  Constitution stipulates that MPs of both chambers are not immune if charged with defamation and insult.</t>
  </si>
  <si>
    <t>Yes. However, immunity can be waived with the consent of the Parliament. Exceptional case, when the member of the parliament could be detained or arrested is when he/she is caught flagrante delicto which shall immediately be notified to the Parliament. Unless the Parliament gives the consent, the arrested or detained member of the Parliament shall immediately be released.</t>
  </si>
  <si>
    <t xml:space="preserve">Yes,  MPs are formally immune from arrest and criminal prosecution (Article 66 of the Constitution). However, in practice, numerous MPs have been deprived of their immunity whenever there was an incumbent leadership’s will to that effect. The prosecutor’s request, in such cases, has always been a sufficient ground to deprive the MPs of immunity (the Parliament has never effectively protected its MPs against the requests for deprivation of immunity). In 2012, MP Vardan Oskanian was deprived of immunity on grounds widely believed to be politically motivated.  </t>
  </si>
  <si>
    <t xml:space="preserve">Yes, under the law. However, it is totally arbitrary, as there have been cases when the MP, who turned to have conflict with the ruling Party or ruling Aliyev family, has his immunity suspended by the rubber-stamp parliament, and even was arrested on politically motivated case. (cases of Igbal Agazade, Huseyin Abdullayev etc) </t>
  </si>
  <si>
    <t>Yes. All MPs are elected on the basis of universal, equal, direct and secret suffrage for a 5-year term</t>
  </si>
  <si>
    <t>Yes. All members of Legislature are elected.</t>
  </si>
  <si>
    <t>No. 8 out of 64 members of the upper chamber are directly appointed by the president.</t>
  </si>
  <si>
    <t xml:space="preserve">Yes. All the members of the parliament are elected. Neither the Government, nor the President could appoint the members of Parliament. </t>
  </si>
  <si>
    <t xml:space="preserve">Yes. The National Assembly is elected through mixed majoritarian (41 Deputies) and proportional (90 Deputies) electoral systems. The executive lacks the power to appoint MPs. </t>
  </si>
  <si>
    <t xml:space="preserve">Yes. Yes, the President or the government  does not have any authority to appoint any members of the legislature. However, as all the elections get falsified, the MPs are chosen/selected based on the nepotism,  good connections to President's family, or hopefuls pay hefty bribes to get a seat. </t>
  </si>
  <si>
    <t xml:space="preserve">1.7.1.3. </t>
  </si>
  <si>
    <t>1-0 (0.5 if the legislature must involve other agencies to change the Constitution).</t>
  </si>
  <si>
    <t>No. The laws on amendments to specific chapters of the Constitution (namely, Chapter I “General Principles”, Chapter III “Elections and Referenda” and Chapter XIII “Amendments to the Constitution of Ukraine”) require approval by the national referendum. Besides, a draft law on amendments to the Constitution of Ukraine can be considered by the Parliament only if the Constitutional Court of Ukraine provided an opinion confirming compliance of the draft law with requirements of Articles 157 and 158 of the Constitution.</t>
  </si>
  <si>
    <t>Parliament has the right to adopt a law on amending the Constitution at least 6 months after the initiative was submitted. Law shall be passed by a  two thirds majority. But any amendments requires the opinion of the Constitutional Court on initiatives to revise the Constitution.</t>
  </si>
  <si>
    <t>No. According to Art. 138 Constitution, amendments to the Constitution must be initiated by the President or by a referendum.</t>
  </si>
  <si>
    <t xml:space="preserve">Yes,  procedure doesn't require involvement of any other agency, but  amendments to the Constitution shall be promulgated for one month public discussion. This provision does not legally oblige the Parliament to take into account the results of the public discussion. It should be stated that the President can exercise the veto right against the constitutional changes. However, such veto can be overriden by a 3/4 majority. </t>
  </si>
  <si>
    <t>No. The Constitution is adopted or amended by referendum, which may be initiated by the President of Armenia or the National Assembly (Article 111 of the Constitution of Armenia).</t>
  </si>
  <si>
    <t xml:space="preserve">No. Any change in the Constitution is subject to all–nation referendum. Legislature alone can only initiate change to the Constitution, but cannot change without public vote of confidence. </t>
  </si>
  <si>
    <t>Yes, the treaties in the field of human rights and freedoms, general political and economic treaties, treaties related to peace, financial aid and loans to/by Ukraine, participation of Ukraine in international unions, military support to other states, treaties containing provisions which require ratification by the parliament etc</t>
  </si>
  <si>
    <t>Yes, but only those that require ratification and/or provide for accession of Georgia to an international organisation or intergovernmental union; is of a military character; pertains to the territorial integrity of the state or change of the state frontiers; is related to borrowing or lending loans by the state; requires a change of domestic legislation, adoption of necessary laws and acts with force of law with the view of honouring the undertaken international obligations. The Parliament shall be notified about the conclusion of other international treaties and agreements.      (Art. 65 of Constitution)</t>
  </si>
  <si>
    <t xml:space="preserve"> Yes. The National Assembly ratifies those international treaties: a) which are of political or military nature or stipulate changes of the state borders, b) which relate to human rights, freedoms and obligations, c) which stipulate financial commitments for the Republic of Armenia, d) application of which shall bring about legislative amendments or adoption of a new law, or stipulate norms contravening the laws,  e) which prescribe ratification, f) in other cases defined by law (Article 81(2) of the Constitution of Armenia). Despite the provision of a list for specific types of treaties to be approved by the Parliament, the “yes” is justified by the wide scope of issues covered by those types of treaties. </t>
  </si>
  <si>
    <t>Yes.  It has been the case for almost all sanctioned and unsanctioned gatherings.</t>
  </si>
  <si>
    <t>Yes. Amnesty can be granted only by the law adopted by the Parliament and signed by the President of Ukraine</t>
  </si>
  <si>
    <t>Yes. Article 72 of Constitution</t>
  </si>
  <si>
    <t>Yes. The National Assembly declares amnesty upon the recommendation of the President of Armenia (Article 81(1) of the Constitution of Armenia).</t>
  </si>
  <si>
    <t>Yes, it is totally under the power of the legislature.</t>
  </si>
  <si>
    <t>Yes. The governor of the central bank is appointed and discharged from office by the Parliament on the President’s proposal</t>
  </si>
  <si>
    <t>Yes. The governor of the central bank is appointed by the Parliament on the President’s proposal</t>
  </si>
  <si>
    <t>No, in fact it only approves the president's decision.</t>
  </si>
  <si>
    <t>No. The president of the National Bank of Georgia is appointed by the President of Georgia from among the members of the Council of the National Bank. The members of the Council of the National Bank are elected by the Parliament upon the nomination of the President of Georgia. (Art. 96 of the Constituion)</t>
  </si>
  <si>
    <t>Yes. The National Assembly appoints the Chairman of the Central Bank upon the recommendation of the President of Armenia (Article 83.3 of the Constitution of Armenia).</t>
  </si>
  <si>
    <t xml:space="preserve">Yes. Parliament approves the governor of Central Bank upon the recommendation of the President. </t>
  </si>
  <si>
    <t>1-0. Coded 1 if the legislature appoints members to the bodies governing state-owned media</t>
  </si>
  <si>
    <t>Yes, in two major ways: first, through appointment of half the members of the National Broadcasting Council, which regulates the activities of the broadcasting entities, including public (state-owned media); second, through development of the policy in the field of broadcasting and adoption of the relevant laws.</t>
  </si>
  <si>
    <t xml:space="preserve">Yes. The Parliament can inlfluence the operation of the state-owned media through appointment of the members of the National Broadcasting Council, which regulates the activities of the broadcasting entities, including public. The Parliament appoints the members of Supervisory Board of the Public Broadcaster. </t>
  </si>
  <si>
    <t>Yes. The Parliament has a role to play in the selection of the members of the Board of Trustees of the Public Broadcaster (Art. 24-26 of the law of Public Proadcasting)</t>
  </si>
  <si>
    <t>Yes. According to the Article 28 of the "LAW OF THE REPUBLIC OF ARMENIA ON TELEVISION AND RADIO BROADCASTING", "Public Television and Radio Company is obliged to: Broadcast the programs stipulated by the RA law “Regulations of the National Assembly” according to the procedure and time defined by that law", "The National Assembly approves the regulation of the public television and Radio Company .The council of Public Television and Radio Company works out the regulations of the Public Television and Radio Company and introduces it to the government of the Republic of Armenia. The government of the Republic of Armenia presents the regulations, as a legislative initiative, to the RA National Assembly. The National Assembly of the Republic of Armenia ratifies the regulations of the Public Television and Radio Company."  According to article 32 of the same law "The Council of Public Television and Radio Broadcasting Company provides the President of RA and the National Assembly with the annual report."  Article 35: "Each year the council of the Public TV and radio company forms the budget of the expenses of the public TV and radio company for the following year, presenting it to the government of the Republic of Armenia. The latter presents it to the RA National Assembly for confirmation." According to the article 36 "Before March 1 of each year, the Council introduces to the National Assembly a statement (including a policy and financial statement) on the previous year’s activities of the Public TV and Radio Company. The chairman of the Council presents the statement at the session of the National Assembly. The statement is discussed at the session of the National Assembly according to the procedure defined by the RA law “Regulations of the National Assembly” and is taken into account. "</t>
  </si>
  <si>
    <t xml:space="preserve">Yes. Parliament determines the amount and limits of financial aid for the state-owned media. It also  determines the appointment of new members to the board of Radio and TV Broadcasting Council. The main role of the Parliament in the approval of the new members of Public Radio and TV Broadcasting Council is to approve one out of the nominated 2 candidates.  </t>
  </si>
  <si>
    <t xml:space="preserve">1.7.1.4. </t>
  </si>
  <si>
    <t>Yes. Each legislator has the right to employ up to four paid assistants and up to 27 assistants working on unpaid basis</t>
  </si>
  <si>
    <t>No. Only Head of the Committees and Heads of the Fractions have a personal secretary, as well as the President and Vice-Presidents of the Parliament; Also, Parliament Staff are to render organisational, legal, documentation, informational, financial, material-technical and social services to MPs.</t>
  </si>
  <si>
    <t xml:space="preserve">Yes. Each legislator may have two personal assistants: one on the basis of work agreement and one free of charge. </t>
  </si>
  <si>
    <t>No. Despite a state-funded legislative staff, not every legislator has at least one policy expert.</t>
  </si>
  <si>
    <t>No. However, each MP chooses his own staff and hypothetically might have someone with policy expertise.</t>
  </si>
  <si>
    <t>No. Only the Parliamentary Committees and Fractions have non-secretarial staff with policy expertise, as well as the President and Vice-Presidents of the Parliament; also, Parliamentary Staff provide research-consultancy services to MPs.</t>
  </si>
  <si>
    <t>The law does not specify this issue, but it is possible to have such staff. One personal assistant may be a policy expert.</t>
  </si>
  <si>
    <t>linear transformation best = 0.56, worst = 0. These benchmarks assume that a legislature's institutional capacity is improved if a significant share of lawmakers can rely on experiences from the previous legislative period. However, since few changes in the composition of a legislature may also indicate problems of lacking representativity or adaptability, they should not be rewarded through the coding. Therefore 50 percent of experienced legislators is defined as the best possible performance.</t>
  </si>
  <si>
    <t>186 out of 450 = 0.41</t>
  </si>
  <si>
    <t>57  of MPs were re-elected. Total number of  MPs is 101 (share = .564)</t>
  </si>
  <si>
    <t>21/110=0.19</t>
  </si>
  <si>
    <t>53 MPs are experienced as legislators out of 150. However, others might be having experience of being a members of the local self-governing bodies. 0.35</t>
  </si>
  <si>
    <t>67/131=0.51</t>
  </si>
  <si>
    <t>125 MPs are elected for 5 year term in the Parliament. As a result of the total falsification and fraud in elections, the parliament is comprised of cronies of President, and the majority (71 MPs) of them are the members of the ruling YAP party.  Over 50 are re-elected. There is no opposition party MP in today's parliament. Most of the MPs are inexperienced and notorious for corruption.  = 50/125 = 0.4</t>
  </si>
  <si>
    <t xml:space="preserve">1.7.1.5. </t>
  </si>
  <si>
    <t xml:space="preserve">Neither the Parliament's Rules of Procedure, nor the Law on Parliamentary Committees require that chairs of the parliamentary committees be allocated on the basis of proportional representation. However, the list of names of the committee chairs must be preliminarily approved by co-ordination meeting of the factions before puting to a vote in the parliament (Art. 82.1 of the Rules of Procedure).   </t>
  </si>
  <si>
    <t>Yes. Currently, the governing coalition with 53 seats in Parliament chairs 6 out of 10 permanent parliamentary committees.</t>
  </si>
  <si>
    <t>No. Candidatures on the position of Chairs of Parliamentary Committees are nominated from among the members of the Committees by the Fractions, Majority, Minority, and those MPs (consisting of at least 6 persons) who are not members of any Parliamentary Fraction. Currently, all Committee Chairs are members of the ruling coalition.</t>
  </si>
  <si>
    <t xml:space="preserve">No. The right to nominate a candidate from among the deputies for the position of the Chair of the Standing Committee belongs to the Deputies (the Law on Rules of Procedure of the National Assembly, article 26(1)).  </t>
  </si>
  <si>
    <t xml:space="preserve">No. As a rule, the heads of the parliamentary committees are elected from the majority party members (ruling YAP party) in the parliament. </t>
  </si>
  <si>
    <t xml:space="preserve">No. Although the Rules of Procedure (Art.81) provide that the composition of the committees has to reflect the weight of political groups in the legislature, these provisions are not enforced in practice. </t>
  </si>
  <si>
    <t>Yes. The Parliament’s Rules of Procedure (Art. 17) states that the nominal composition of  committees shall be established taking into account the proportional representation of factions in Parliament.</t>
  </si>
  <si>
    <t>Yes. Compositions of the Parliamentary Committees are determined in proportion to the Fraction members and the number of parliamentarians who are not member of any fraction. Fractions in its turn are composed of the parliamentarians who share same political views and interests. Member of the Parliament has a right to be  involved in only one fraction.</t>
  </si>
  <si>
    <t xml:space="preserve">Yes. The membership composition of the committee must reflect the quantitative ratio of factions, deputy groups and other deputies not included in factions or groups (the Law on Rules of Procedure of the National Assembly, Art. 25 ). </t>
  </si>
  <si>
    <t>Speaking time in plenary sittings is allocated between the MPs regardless of their affiliation with political groups.</t>
  </si>
  <si>
    <t>Speaking time in plenary sittings is the same and the weight of the political groups does not matter in this case</t>
  </si>
  <si>
    <t>No, there are no political groups as such.</t>
  </si>
  <si>
    <t xml:space="preserve">Opposition parties receive as much speaking time as governing parties. During political debates the speaking time is allocated equally to the Majority, Minority (45 minutes each); Fractions and Speaker of the Parliament (15 minutes each) and each parliamentarian who is not a member of any Fraction (5 minutes). Each parliamentarian, irrespective of its affiliation, is entitled to 5 minutes speech during plenary sessions. </t>
  </si>
  <si>
    <t>Yes. Speaking time for all political groups is the same, and this means that the weight of the political groups does not matter in this case. There can be violations of speaking time regulations by the Parliament speaker or vice-speakers, who represent the ruling party.</t>
  </si>
  <si>
    <t>No. That is arbitrary</t>
  </si>
  <si>
    <t>The parliamentary coalition was formed on 27 February 2014. As of 1 June 2014, it comprised Batkivshchyna party (86 MPs), UDAR party (41 MPs), Svoboda party (35 MPs), "Economic Development" MP group (41 MPs) and "Sovereign European Ukraine" MP group (35 MPs), overall - 238 MPs out of 450 (52.8%). The main opposition party, Party of Regions, included 78 MPs (or 17.3% of seats). Hence, seat differential equals to 35.5%.</t>
  </si>
  <si>
    <t>The coalition has 53 seats and main oposition party has 34 seats with a difference of 19 seats. Also, there are 14 non-affliated members. The coalition shares 52.4% of total seats and the main opposition party - 33.7%. Seat differential = 18.7 pct points.</t>
  </si>
  <si>
    <t>There is not a single oppositional MP in the parliament. The electoral system is majoritarian.</t>
  </si>
  <si>
    <t xml:space="preserve">Governing Coalition (Majority) - 83 (55% of 150 seats); Opposition (Minority) - 51 (34%); differential:19%   </t>
  </si>
  <si>
    <t>The governing party has 70 (53.4%) seats In the current Parliament (as of June 2014) and 5 opposition factions have 57 seats (43.5%) officially.  4 MPs don't belong to any faction.  Total number of seats is 131. Differential: 9.9%</t>
  </si>
  <si>
    <t>In last parIiamentary elections of November 2010, the incumbent party got 71 seats out of 125, while the major opposition parties failed to get any single seat because of the massive violation and fraud. Remaining 54 seats were filled by the pocket opposition, so-called 'independents' and pro-governmental parties. The so-called "independents" (non-partisan) MPs are same of the ruling party members indeed. As there is no opposition party/coalition in the parliament, there is no seat difference share.</t>
  </si>
  <si>
    <t>Linear transformation,e.g. best = 42% (% of opposition bills Ukraine), worst = 0 Belarus/Azerbaijan</t>
  </si>
  <si>
    <t>We will use combined figure of two, namely 1,151 out of 2,757, so 42%.    1)  Share 54 %. During Dec 2012- 27 Feb 2014 there were 1,034  bills submitted by the opposition out of 1,916  bills . 2) Share 14 %. Opposite coalition of former opposition and deputies of party of regions who changed afiliation. During 27 Feb 2014- June 2014 there were 117  bills submitted by the opposition out of 841 bills.</t>
  </si>
  <si>
    <t>34 bills submitted by opposition. Total 176 bills. Share 19.31 %</t>
  </si>
  <si>
    <t>There is not a single oppositional MP in the parliament.</t>
  </si>
  <si>
    <t>16 bills submitted by opposition MPs; 3 bills submitted jointly, by opposition and majority MPs; 435 by the majority + independent MPs, so 16 of 454 or 3.5%.</t>
  </si>
  <si>
    <t>47/309 (15.2%).There were total 309 bills in the Parliament in 2013. 173 bills have been submitted by the Government of Armenia and 47 by the opposition. But it is necessary to mention that only 2-3 bills of opposition have been adopted (There was a coalition consisted of 2 parties and 4 opposition factions in 2013). Independent MPs and groups of MPs from all kind of factions can submit draft laws.</t>
  </si>
  <si>
    <t>In current Parliament, there are no MPs from the opposition parties. In previous parliaments, traditionally all the bills initiated by the opposition deputies have always been ignored and never been considered at all.</t>
  </si>
  <si>
    <t>N/aap</t>
  </si>
  <si>
    <t xml:space="preserve">Best = 0, worst = .53. </t>
  </si>
  <si>
    <t xml:space="preserve">53% (238 out of 450 (there was a huge reaffiliation in  this (7) legislative period, and changes were continuing after 30 June 2014. </t>
  </si>
  <si>
    <t xml:space="preserve"> 9 out of 101 MPs (9/101=9%) changed their group affiliation during the most recent legislative period.</t>
  </si>
  <si>
    <t>There are no parliamentary groups.</t>
  </si>
  <si>
    <t xml:space="preserve">15 MPs changed their group affiliation during the ongoing legislative period out of 148 Parliamentarians (10.1%). Out of 15 MPs who changed their affiliation, 2 MPs left the majority and 13 left the minority. </t>
  </si>
  <si>
    <t xml:space="preserve">1.5%.  In 2014, 2 MPs left their group affiliation, without changing it - from opposition party. The “Law on Parliament regulation” does not allow to MPs to change their group affiliation, but only to leave. Total no. of MPs: 131. </t>
  </si>
  <si>
    <t xml:space="preserve"> There has not been any change in the group affiliation in past decade. Never before has there been any fraction in Azerbaijan parliament due to the very few number of opposition MPs. And, above all, there is no opposition MP in today's parliament. In general, according to the Regulation of Azerbaijan Parliament, at least 25 parliamentarians can come together to establish a fraction. </t>
  </si>
  <si>
    <t>1.7.2.</t>
  </si>
  <si>
    <t xml:space="preserve">Deviation between actual aggregate expenditure and budgeted expenditure: Average % of budgeted expenditure, (2011-2013). </t>
  </si>
  <si>
    <t>Linear transformation 0= best, 11.5 = worst</t>
  </si>
  <si>
    <t xml:space="preserve">(0.65)-0.935% (*2013 - 0.912 %; 2012 - 0.924%;  2011 0.97% (9 months of 2011)) </t>
  </si>
  <si>
    <t>96.6% (3.4%)     2013 (-3,6%), 2012 (-3,5%), 2011 (-3%)</t>
  </si>
  <si>
    <t>98.6% (1.4%) (2011 – 1.1%, 2012 – 1.3%, 2013 - 1.8%)</t>
  </si>
  <si>
    <t>The PEFA figures 2009-2011) were: 1.4 %, 4.4%), and 7.5 %, so average: 4.4%)   Deviation between the actual budget expenditure and the originally budget expenditure as approved by the Parliament exceeded 5% only in 1 out of 3 completed FYs. (SOURCE: WWW.PEFA.ORG )</t>
  </si>
  <si>
    <t>Average:  95.4% (4.6%) Deviation 2011 (-5.3%), 2012 (-6.5), 2013  (-1.9).</t>
  </si>
  <si>
    <t>(88.5%) 11.5%   The revenues of 2013 state budget accounted 19496.3 million manat and this figure is 1.8 percent or 337.3 million manat higher in comparison with the projected calculations ( the expenditure budgeted was 19159.0 million manat).  Forecasted expenditure for 2012  was 12.748 billion AZN but real expenditure was 15.397 billion AZN, so 21% over-budget.</t>
  </si>
  <si>
    <t>Yes the Government provides such forecasts.</t>
  </si>
  <si>
    <t>Yes, the Government provides such forecasts.</t>
  </si>
  <si>
    <t>No, only annual State Budget</t>
  </si>
  <si>
    <t>These are provided in the State Budget annually. The Government is required to prepare the Document of Basic Data and Directions (BDD) annually. BDD is a medium-term expenditure framework, which shall be submitted to the Parliament along with the draft State Budget for its consideration. Unfortunately, BDD does not enjoy the status of normative act, which negatively affects its binding character and diminishes its real impact on the budgetary process.</t>
  </si>
  <si>
    <t>Yes. The Government approves Medium-term Expenditure Framework for 3 years each year, which includes fiscal forecasts of revenue and expenditure and potential deficit financing.</t>
  </si>
  <si>
    <t xml:space="preserve">Partially, the government provide mid term (3 years) fiscal forecasts of revenue and expenditure aggregates, but there is no information potential deficit financing. </t>
  </si>
  <si>
    <t>Yes. The Government’s supporting documents include all of the mentioned information. Each year the Programme of economic and social development elaborated by the Ministry of Economic development and Trade of Ukraine prepares macro-economic assumptions.</t>
  </si>
  <si>
    <t>Yes. All of these are public information.</t>
  </si>
  <si>
    <t>Yes. Main figures and data are available on the Ministry of Finance web page. Other data can be released upon request.</t>
  </si>
  <si>
    <t>Yes. All of these are public information. Main figures and data are available on the Ministry of Finance web page. Other material must be released upon request.</t>
  </si>
  <si>
    <t>Yes. The Government provides all above mentioned information to the public.</t>
  </si>
  <si>
    <t>Yes. The Government’s supporting documents include all of the mentioned information. Each year the Programme of economic and social development elaborated by the Ministry of Economic development makes macro-economic assumptions.</t>
  </si>
  <si>
    <t>Yes. According to the Art.61 of the Budget Code of Ukraine, the annual report on the State Budget is submitted by the Cabinet of Ministers of Ukraine to Verkhovna Rada of Ukraine no later than 1 May of the year following the reporting month. The Ministry of Finance each month publishes on its web-site reports.</t>
  </si>
  <si>
    <t>Yes. Ministry of Finance publishes monthly and quarterly budget execution reports and these are available on its web page</t>
  </si>
  <si>
    <t>Yes. Accrual monthly reports.</t>
  </si>
  <si>
    <t>Yes. The Ministry of Finance publishes on its web-site Year-End financial statements.</t>
  </si>
  <si>
    <t>Yes. Budget execution report is delivered by the Minister of Finance to the parliament and adopted there. The document is public and available both on the MOF web page and the official legislative gazette.</t>
  </si>
  <si>
    <t>Yes. Information on expenditures on primary education and on maternity assistance are available in the Expenditure by Functional Classification File</t>
  </si>
  <si>
    <t xml:space="preserve">1.7.3 </t>
  </si>
  <si>
    <t>1.7.3.1.</t>
  </si>
  <si>
    <t>Yes, there are legislative provisions alongside the regulations released by the Ministry of Interior that regulate this. Ukrainian legislation in this respect is in compliance  with international standards.</t>
  </si>
  <si>
    <t>Yes. The Law regarding use of physical force, special means and firearms (nr.218 passed on 19 October 2012) clearly prescribes the principle of proportionality in applying coercive powers, as well as the rules, restrictions and exceptions, including in cases of crowd control.</t>
  </si>
  <si>
    <t>No. Several laws name the principle of proportionality but the prescriptions are quite vague. The recently amended Martial Law only adds to this vagueness.</t>
  </si>
  <si>
    <t xml:space="preserve">Yes. The Law on Police adopted in October 2013 as a general rule prescribes the principle of proportionality in use of coercive measures. There is a general provision in the law that prohibits policemen to use lethal force in places where there is a threat that other persons might be injured. Provisions regulating use of special means are generally in compliance with international standards. </t>
  </si>
  <si>
    <t xml:space="preserve">The Law of the Republic of Armenia on Police (16 April 2001), article 32: "It shall be prohibited to employ firearms...during considerable accumulation of people when other persons may suffer from the exercise of firearms." And the law “on Legal Regime of State of Emergency” clearly prescribes that the conditions and limits of the use of physical force, special means, weapons and military equipment, already regulated by law are not subject to change in the state of emergency. There are also other legal acts and draft laws clearly prescribing this principle.  </t>
  </si>
  <si>
    <t>No.
According to the law, law-enforcement forces (in the main – the Mobile Police Regiment and Internal Troop of Ministry of Internal Affairs) could be used “to preserve law and order”. According to the law about the “Status of Internal Troops” (4th article), Internal Troops could be used to prevent mass unrest and this time there are no official restrictions to use lethal weapons. But there is information that the administration could issue orders to restrict use of lethal weapons. But such egulations are closed to the public.</t>
  </si>
  <si>
    <t>Yes, numerous violations occured during Euromaidan events in November 2013-February 2014. Militia men and riot police were using lethal weapons which caused numerous injuries and fatalities</t>
  </si>
  <si>
    <t>Yes, the latest instances took place in the second half of 2011, during the so-called 'silent protests' (but they should still qualify).</t>
  </si>
  <si>
    <t xml:space="preserve">Yes, there have been a number of cases. The most recent example of excessive use of force by special operation forces was dispersal of manifestation on 26 May 2011, as a result of which dozens have been injured and four persons died. Dozens of protesters sustained severe bodily injuries as a result of using excessive force by the police during the unlawful dispersal of the rally on 3 January 2011. </t>
  </si>
  <si>
    <t>Yes. There were many cases, especially after September 2013, when the President of Armenia declared the willingness of Armenia to join the Customs Union.</t>
  </si>
  <si>
    <t>Yes. The latest registered violations by internal troops and police  happened in 2012 (March, Quba region), in 2013 (January - Ismailli region, January - Baku, March - Baku).</t>
  </si>
  <si>
    <t>There are units of internal investigation in law enforcement ministries, but, if there is no criminal law suit, the results of the internal investigations of abuses that affect civilians are not provided to the person to whom the abuse occurred (e.g. from police). The results of internal investigations in national security service and police are classified, for Ministry of Defence- partially.</t>
  </si>
  <si>
    <t>Yes.
One of the departaments of MİA is Head Office of Interrogation and Examination. Moreover there are special structures in Presidential Administration and National Parliament related with law-enforcement organs. But their reports about investigation of abuses that affect civilians are not clear and open for society yet. In fact, there was not one official who was punished as a result of such investigation.</t>
  </si>
  <si>
    <t>Yes, there are internal control and enforcement mechanisms in police structures. MoI has the department of internal security and the section for monitoring human rights protection in activities of the MoI. However, the inertion of previous regime caused lack of efficiency of these structrures.</t>
  </si>
  <si>
    <t>Yes.  There is a special unit and a disciplinary committee within the MIA with the power to investigate the cases of abuse of power by MIA personnel.</t>
  </si>
  <si>
    <t>Yes, but in practise such cases are investigated with a lot of obstacles.</t>
  </si>
  <si>
    <t xml:space="preserve">There is no effective mechanism, although there is a General Inspection at the Ministry of Internal Affairs tasked with the relevation of facts of misconduct by the staff of the Ministry and investigation of crimes "belonging to their competence". However, the body is not seen effective in investigating the cases of alleged human rights violations. Moreover, the Statute of the body is confidential and therefore its functions are not clear. The Public Defender of Georgia voiced the initiative to create an independent mechanism for following up the cases of alleged human rights violations committed by law-enforcement bodies as the existing mechanisms are not sufficient and effective. The initiative has been supported by Thomas Hammarberg, EU Special Adviser to Georgia. </t>
  </si>
  <si>
    <t xml:space="preserve">The Internal Security Department is designed for any violations committed by a police officer. This Unit serves as a punishment tool for selective usage in cases, when it is necessary to find a scapegoat. The internal control mechanism is not independent and is accountable to the same state body, that's why it can't be effective. The results are not open to public.                                                        </t>
  </si>
  <si>
    <t xml:space="preserve">Internal Investigation Department is a separate structural unit within the Ministry of Internal Affairs supervising observation of the law, human rights and civil freedoms by the MIA officers in the course of execution of their responsibilities and conducting inquiries into complaints, applications and reports regarding involvement of the Ministry’s officers in the activities inconsistent with their office, violations of the law and illegal actions. However, their work has not been visible or effective at all and has been mainly symbolic. </t>
  </si>
  <si>
    <t>Yes, there are internal control and enforcement mechanisms in the Armed Forces. The Army has the Main department of military service law-enforcement, which is responsible for internal control and enforcement. At the same time, it does not work efficiently and it defends the reputation of the army until civil society raises a point for investigation of abuses that affect civilians. However, the Army is not usually used in crowd control operations.</t>
  </si>
  <si>
    <t>Yes. The task to investigate the cases of abuse of power by MoD personnel is attributed to an internal disciplinary committee and to the General Prosecutor Office.</t>
  </si>
  <si>
    <t xml:space="preserve">There is a General Inspection within the Ministry that examines the cases of abuse of power by military. However, the Army is not usually used in crowd control operations. </t>
  </si>
  <si>
    <t xml:space="preserve">Investigative service, Military police. Military Police serves as a punishment tool for selective usage in cases, when it is nesesarry to find a scapegoat. Or when the case is too blatant to keep silent, e.g. a death of a soldier. The internal control mechanisms are not independent, are accountable to the same state body, that's why it can't be effective. </t>
  </si>
  <si>
    <t>Three kinds of departments: 1) The Department of Internal Investigaton. It has 8 regional divisions in its subordination. 2) Major Inspection Department in MoD. 3) Internal Security Department. These structures are highly corrupted and have hardly realised any serious and effective work.  In certain times, the military has been used to disperse crowds, mainly during the large opposition protests in 2003 and 2005.</t>
  </si>
  <si>
    <t>Yes, there are internal control and enforcement mechanisms in the Security Service and the External Investigation Service.</t>
  </si>
  <si>
    <t>No open public data</t>
  </si>
  <si>
    <t xml:space="preserve">No. Security and Intelligence forms part of the Ministry of Internal Affairs. See the comment above. </t>
  </si>
  <si>
    <t>Department of counter-intelligence and the section of examination of the Ministry of National Security.</t>
  </si>
  <si>
    <t>Yes, but in reality these complaints very rarely lead to any significant result</t>
  </si>
  <si>
    <t>No. Though the Law on Conflict of Interest and Corruption, namely chapter V1, provides for setting up a protection scheme for whistleblowers in any public institution (including police, army, etc.) to report cases of violation of law or Code of Conduct of Public Servants, it is only serving or resigned public offficials who report the cases to this body. Yes, there have been internal complaints mechanisms established  in defence and security institutions.</t>
  </si>
  <si>
    <t>Yes
But it is a very difficult case to investigate because official structures prefer not to give any information about internal problems. It is clear that there are different official confidential complaint mechanisms against illegal and discriminatory actions within security and law-enforcement forces. But their information and investigative actions are not open for society. There were some cases in Azerbaijan when some employee of law-enforcement forces complained againt someone within that structure. But as a result those employees were fired from their jobs. Every law-enforcement force declared such kind of "hot lines" for complaints. But this way is not successful, because there is not one fact related to punishment of officials as a result of this "hot line". At the same time, the Human Rights Defender receives a lot of complaints from security and law-enforcement forces. In yearly reports of Ombudsman, the public can see this information.</t>
  </si>
  <si>
    <t>Yes, there is a telephone helpline with the number available  at the webpage of the MoI. Also, potential victims can use a letter or e-mail for contacting the Minister or meet him personally in the framework of established procedures. But it does not guarantee fair and unbiased investigation.</t>
  </si>
  <si>
    <t>See the answer abov. Yes, there are complaints mechanisms in place in the police.</t>
  </si>
  <si>
    <t xml:space="preserve">The internal security service actually serves as a punishment tool for selective usage in cases, when it is necessary to find a scapegoat. The internal control mechanisms are not independent and are accountable to the same state body. </t>
  </si>
  <si>
    <t>There are some official confidential complaint mechanisms in Mnistry of Internal Affairs. One of them is Internal Investigative Department. But its reports are in secret.  According to the regulation employees have opportinuty to meet with his chief and talk about his/her problems.</t>
  </si>
  <si>
    <t>Yes, there is a telephone helpline with the number available at the webpage of the MoD. Also, potential victims can use a letter or e-mail for contacting the Minister or meet him personally in the framework of established procedures. But it does not guarantee fair and unbiased investigation.</t>
  </si>
  <si>
    <t xml:space="preserve">Yes. See the answer above </t>
  </si>
  <si>
    <t>There are several possibilities for those who serve in the army to make complaints, but it serves as a punishment tool for selective usage in cases, when it is necessary to find a scapegoat. Or when the case is too prominet to keep silent. The internal control mechanisms are not independent, are accountable to the same state body, e.g. the Public Council adjunct to the Defence Ministry, which serves the Ministry's, but not soldiers' or their families' interests.</t>
  </si>
  <si>
    <t>Internal Security Department. Hot-line and Hot-mail. Complainant can send his/her complaint via e-mail and web-site. According to the regulation employees have opportinuty to meet with his chief and talk about his/her problems.</t>
  </si>
  <si>
    <t>Yes, there is a telephone helpline with the number available at the webpage of the Security Service. Also, potential victims can use a letter or e-mail for contacting the Head or meet him personally in the framework of established procedures. But it does not guarantee fair and unbiased investigation.</t>
  </si>
  <si>
    <t>Yes, but in reality these complaints very rarely lead to any significant result.</t>
  </si>
  <si>
    <t>Internal Security Department. Hot-line and Hot-mail. Complainant can send his/her complaint via e-mails and web-site. According to the regulation employees have opportinuty to meet with his chief and talk about his/her problems.</t>
  </si>
  <si>
    <t>1.7.3.2 .</t>
  </si>
  <si>
    <t xml:space="preserve">Yes, it can in accordance with article 89 of the Constitution of Ukraine. The decision to launch parliamentariy investigations and to create the respective commission is to be taken by one-third of the members of the Parliament of Ukraine. However, the investigation commission's findings and conclusions are decisive neither for investigation nor for court. </t>
  </si>
  <si>
    <t>Yes. No change since previous year.</t>
  </si>
  <si>
    <t xml:space="preserve">Yes, the parliament can create ad hoc Investigatory Commissions; however, according to the Rules of Procedure of the Parliament, the decision on the creation of the Investigatory Commissions is adopted by the majority; Accordingly, the parliamentary opposition is unable to establish them, unless the majority so decides. There have been cases in the past, when the requests of the opposition to create ad hoc Investigatory Commissions into gross violations of human rights by law-enforcers were declined - in 2007 and 2011. In 2014, the parliamentary opposition requested establishment of an investigatory commission into death of one of the ex- high ranking MIA officials; however, the request was declined by the Parliament indicating that the investigation by the Prosecutor's Office was still ongoing.  </t>
  </si>
  <si>
    <t>Yes. Parliament holds hearings in Standing Committees with invited experts, civil society representatives, etc. But no hearings were organised and investigation initiatied on specific cases of abuse by security and law enforcement bodies within the last 4 years. The hearings are organised on vague themes, e.g.  “Higher Public Trust Towards Police” or "Strengthening the Relations between the Society and Army".</t>
  </si>
  <si>
    <t>Yes. Parliament has the right to investigate and organise hearings on functioning and abuses by security and law enforcement forces. But it happened only in the mid-1990s. The Minister of Defence (Mammadrafi Mammadov) was called (in 1995) to parliament to get clear information about real situation in army.  Since that time there has been no instance of this kind.</t>
  </si>
  <si>
    <t>Yes, in accordance with the President of Ukraine Decree №  528/2014, dated 16 June 2014, the Chairman of the Parliament is the member of National Security and Defence Council (upon agreement). It means that participation in Council meetings is not obligatory for the Chairman of the Parliament and invitations for the meetings can be ignored. The Article 107 of the Constitution of Ukraine also provides the Chairman of the Parliament with the right to participate at Council's meetings.</t>
  </si>
  <si>
    <t>Yes. Two members of the parliament – Chairman of the Parliament and Chairman of the National Security, Defence and Public Order Commiittee - are members of the Supreme Security Council.</t>
  </si>
  <si>
    <t>Yes, the speakers of the two chambers are members of the SC.</t>
  </si>
  <si>
    <t xml:space="preserve">Yes. According to the Law on National Security Council, the Chair of the Parliament personally participates in the Council meetings (even though he/she is not a member of the Council). </t>
  </si>
  <si>
    <t>The Chairman of the RA National Assembly is a Member of the RA National Security Council.</t>
  </si>
  <si>
    <t xml:space="preserve">Yes. According to official information, the Security Council is the deliberative body under the President and he organises it according to Article 109 (section 27) of the Constitution of the Republic of Azerbaijan. The Chairman of the Milli Majlis (the Parliament) is a member. </t>
  </si>
  <si>
    <t>No, except for the cases of declaring war, launching military operations and mobilisation or announcing state of emergency.</t>
  </si>
  <si>
    <t xml:space="preserve"> Yes. Via members of the parliament – members of the Supreme Security Council.   This is not parliamentary scrutiny, but representation in the NSC.</t>
  </si>
  <si>
    <t>Officially yes in some cases, some decisions should be adopted by the Parliament but no real scrutiny takes place.</t>
  </si>
  <si>
    <t>Not by the law. However, the Parliament of Georgia approves National Security Concept.</t>
  </si>
  <si>
    <t xml:space="preserve">No, the decisions of the National Security Council are not subject to parliamentary scrutiny. </t>
  </si>
  <si>
    <t>No. The President determines the agenda and order of the discussion of issues at the session of Security Council according to the submission
of the Head of the Office.The President presides at the sessions ofthe Security Council. The Head of the Office of the President acts as
the Secretary of the Security Council. The Head of the Office provides the activity of the Security Council, manages the preparation of sessions.
The decision of the SC is not subject to parliamentary scrutiny and the Parliament is not informed about the agenda and decisions by the
Council.</t>
  </si>
  <si>
    <t>Yes. In accordance with the Article 85 of the Constitution of Ukraine, the declaration of war and launching of military operations are to be approved by the prliament's decision, but the President of Ukraine could make the decision about using the Armed Forces against external aggressions (Article 106 of the Constitution of Ukraine).</t>
  </si>
  <si>
    <t>Yes. It is required by law. Only in case of need to respond to aggression, the Parliament is consulted post-factum.</t>
  </si>
  <si>
    <t>Yes, according to the law.</t>
  </si>
  <si>
    <t>Parliament is not consulted before the President declares war or launches military operations. The presidencial decision comes into effect immediately upon its adoption. The President is obliged to submit this decision to the parliament within 48 hours for approval. The Parliament  has the obligation to adopt or refuse presidential decision on declaration of war or on launching of military operations. The decision loses its legal force if the parliament refuses to approve it.The situation in Georgia is exactly the same as in Ukraine and Moldova.</t>
  </si>
  <si>
    <t xml:space="preserve">Yes, According to Articles 55 and 81 of RA Constitution "Upon the recommendation of the President of Republic the National Assembly shall: resolves on declaring war and proclaiming peace. In the event when convening a sitting of the National Assembly is impossible, the President of Republic shall solve the issue of declaring war".  </t>
  </si>
  <si>
    <t>In accordance with Article 85 of the Consitution of Ukraine, the Parliament appoints the Minister of Defence nominated by the President. Minister of Interior is nominated to the Parliament by the prime minister. In accordance with Article 106, the President is the Commander-in-Chief of the armed forces and appoints the leadership of the Armed Forces of Ukraine and other military formations (no consultations with the parliament are foreseen in this case).</t>
  </si>
  <si>
    <t>No. It is not requred by law. Exception - the Director of the Security and Intelligence Service is proposed by President but appointed by Parliament.</t>
  </si>
  <si>
    <t>No, in practice the Parliament acts as a rubber stamp institution only.</t>
  </si>
  <si>
    <t>Not by the law. The candidates for Ministers of Defence and Interior are selected by the candidate Prime Minister, who propose a composition of the Government to the Parliament to gain a vote of confidence. Once the Government gets the vote of confidence, the Prime Minister can change up to 5 ministers in the cabinet without consulting the Parliament. Only if the initial composition of the Government is renewed by one third but not less than 5 members of the Government, the President of Georgia shall present a composition of the Government to Parliament for giving a vote of confidence within one week. The situation in Georgia  is exactly the same as in Ukraine and Moldova.</t>
  </si>
  <si>
    <t xml:space="preserve"> According to the Constitution, the President is the Commander-in-Chief of the armed forces, and therefore co-ordinates the operations of the government bodies in the area of defence, appoints to and dismisses from office the Highest Command of the armed and paramilitary forces. In terms of appointing members of the government, the President shall appoint to and dismiss from office the members of the Government upon the recommendation of the Prime Minister (the latter appointed in consultation with the Parliament). The prime minister proposes, and the president appoints.</t>
  </si>
  <si>
    <t>No. Parliament is not consulted by the President in making appointments to highest ranks of security and armed forces. The President is free to make appointments alone. The law doesn't consider the details of that issue.</t>
  </si>
  <si>
    <t>Are all political parties, including opposition, represented in the parliamentary oversight bodies?  Yes/No</t>
  </si>
  <si>
    <t>Yes. All political parties are represented in parliamentary oversight bodies</t>
  </si>
  <si>
    <t>Yes.  It is requred by Law on Parliament Internal Regulation.</t>
  </si>
  <si>
    <t>No, opposition parties are not represented in the parliament.</t>
  </si>
  <si>
    <t xml:space="preserve">Yes. Representation of the parliamentary parties in the committees and investigation or other temporary commissions is guaranteed by the Rules of Regulation of the Parliament. </t>
  </si>
  <si>
    <t>Yes, and an MP can be a member of two or more Standing committes.</t>
  </si>
  <si>
    <t xml:space="preserve">No
Majority of deputies are representatives of YAP (New Azerbaijan Party). But there are not officially any oversight bodies. There are few members from the "pocket opposition" in the parliament and they are usually represented in different committees and commissions. </t>
  </si>
  <si>
    <t>Do all parliamentarians have unrestricted access to classified information? Yes/No</t>
  </si>
  <si>
    <t>Yes. In accordance with article 27 of the Law on State Secrets, the members of the parliament have access to all levels of state secrets upon signing written commitment to preserve state secrets.</t>
  </si>
  <si>
    <t xml:space="preserve">Yes. According to the Law on State Secrets, all parliamentarians have unrestricted access to classified information during their mandate. </t>
  </si>
  <si>
    <t xml:space="preserve">No, only restricted number of MPs. According to the Law on Trust Group, a special trust group shall be created from MPs, which shall have access to the classified information. The Group shall consist of 5 members, 2 of which are not members of the majority. </t>
  </si>
  <si>
    <t>No, according to the law on RA Law "On State and Official Secrets" an MP, as well as any other citizen, should apply to an authorised official in order to have access to classified information and get a written permission with the procedure established by the RA Government.</t>
  </si>
  <si>
    <t xml:space="preserve">No. Research shows that very few parliamentarians have right to get some some kind of classified information. But no deputies have unrestricted and intensive access to classified information. But according to the amendment to the Law on State Secrets adopted in 2008, the rules on the permission for the parliamentarians to work with the State Secrets was simplified.   </t>
  </si>
  <si>
    <t xml:space="preserve">The management institutions report to the Parliament once a year. The minutes of the sessions are available for general public. Additionally, there are mechanisms for obtaining some information on implementation of policies such as deputy requests and so on. </t>
  </si>
  <si>
    <t xml:space="preserve">Yes. All ministries report if requested. The Parliament decides if report is open or closed. Intelligence and Security Service's annual report is required by law and is closed for public or mass-media. </t>
  </si>
  <si>
    <t>No. However, the procedure is envisaged by the law.</t>
  </si>
  <si>
    <t xml:space="preserve">The government is responsible to repor  to the Parliament annually, and agencies are responsible to report to the parliament on the request of the MPs. The written reports are available to the public in the case of Freedom of Information request; </t>
  </si>
  <si>
    <t>According to the Government Activities regulation, the RA Government reports on yearly basis to the Parliament. This includes reports from all the Ministries and agencies. The report of Finance ministry is made public during Parliamentary session. The other ministries report to the Government and after they hold briefings for media.</t>
  </si>
  <si>
    <t>No. They report very rarely and the reports are not usually made public.</t>
  </si>
  <si>
    <t>Yes, he/she has the competence in accordance with  procedures that have been described by the Law of Ukraine "On the Ukrainian Parliament Commissioner for Human Rights".</t>
  </si>
  <si>
    <t>There is no Ombudsman in Belarus.</t>
  </si>
  <si>
    <t xml:space="preserve">No, the Ombudsman does not have competence to undertake investigations; however, he has the right to have unrestricted access to those detained/arrested claiming to be the victims of abuse of power by law enforcers. </t>
  </si>
  <si>
    <t xml:space="preserve">Yes, According to the RA Law on RA Human Rights Defender, but these are more inquiries, not investigations. Site visits-yes.  </t>
  </si>
  <si>
    <t>Yes
Ombudsman has the right to investigate and site visit in cases of human rights abuse by security and law enforcement bodies. The officials from Ombudsman visit jails to meet political prisoners who suffered by activities of law-enforcement forces. But these investigations and visits and the statements as a result of these activities are not accepted by society seriously. Most declarations of Ombudsman carry the character of recommendations.
The ombudsman office either hides actual number of such violation cases in its reports or denies the most serious facts of violations as the institute is not working independently.</t>
  </si>
  <si>
    <t>The Ombudsman reports annually to the Parliament. All annual reports are published on the official website of the Ombudsman (note: the Ombudsman is authorised to examine particular cases of human rights abuse).</t>
  </si>
  <si>
    <t>Yes, The Ombudsman reports annually to the Parliament on human rights conditions in the country. All annual reports are published on the official website of the Ombudsman Also, the Ombudsman is authorised to report to parliament with the special report on specific areas of human rights abuses.</t>
  </si>
  <si>
    <t>Yes (http://www.ombuds.am/en)</t>
  </si>
  <si>
    <t>The annual report of Ombudsman includes some statistics about violations. But most declarations of Ombudsman carry the character of recommendations.</t>
  </si>
  <si>
    <t>1.7.3.3</t>
  </si>
  <si>
    <t>Yes, there are the Department of press and mass media responsible for providing public with information.</t>
  </si>
  <si>
    <t>Yes, there is a dedicated unit responsible for public and media relations at Ministry of Defence.</t>
  </si>
  <si>
    <t>Department of Information and Public Affairs</t>
  </si>
  <si>
    <t>Yes. The Press Service. Responds to media about information about Armed Forces. According to the Law on access to information that was adopted in 2005, all Governmental Bodies were given assignment to create their own web-page within a year aiming to disseminate their information. The Ministry of Defence created its web-page in 2012.  In June of 2014, this website was renewed. Online complaints and other online services are active and useful.</t>
  </si>
  <si>
    <t>Yes, the Ministry of Interior has the Department for documentary support (Secretariat) and Directorate for Public Relations that are responsible for public information and mass-media relations issues.</t>
  </si>
  <si>
    <t>Yes, there is a dedicated unit responsible for public and media relations at Ministry of Justice.</t>
  </si>
  <si>
    <t>Department of Public Relations and Information (in both Police and Ministry of Justice).</t>
  </si>
  <si>
    <t>Yes. The Press Service. It responds to media about information in Ministry of Internal Affairs and Ministry of Justice. Ministry of Interior is one of the first governmental bodies that created its web-page, as well as online complaints and other online services are active and useful.</t>
  </si>
  <si>
    <t>Yes, in accordance with the Order № 231, dated 14 June 2011, of the Head of the Security Service’s Main Department, there is the unit that is responsible for access to public information.</t>
  </si>
  <si>
    <t>Yes, There is a unit established responsible for public and media relations in the Ministry of Interior.</t>
  </si>
  <si>
    <t>Press Center (There is a dedicated unit, which in reality serves to protect the agency from public and media).</t>
  </si>
  <si>
    <t>Yes. The Press Service. Responds to media about information in Ministry of National Security. Online complaints are active and useful.</t>
  </si>
  <si>
    <t>Yes, except for the information on operational decisions and budget. The general budget figures can be found on the parliament's web-site, though.</t>
  </si>
  <si>
    <t>Partially, nothing on budget.</t>
  </si>
  <si>
    <t xml:space="preserve">Yes, information about the structure, competences and budget of the Ministry is available on the website. </t>
  </si>
  <si>
    <t>Yes-structure, Yes-competences, No-budget, Yes-operational decisions (http://www.mil.am)</t>
  </si>
  <si>
    <t>www.mod.gov.az There is not information about structure, competences, budget and operational decisions of Ministry of Defence.</t>
  </si>
  <si>
    <t>Yes, except for the information on operational decisions and budget. The general budget figures can be found on the parliament's web-site, though. Besides Minister of Interior is very active and open to communication via social networks.</t>
  </si>
  <si>
    <t>Yes - overall structure, competences and budget of the Ministry .</t>
  </si>
  <si>
    <t xml:space="preserve">Yes for all in Ministry of Justice- (moj.am) and for Police (police.am). </t>
  </si>
  <si>
    <t>http://www.mia.gov.az There is information about structure, competences. But no information related to budget and decisions.
http://www.justice.gov.az/ There is information about structure, competences and sometimes about operational decisions. But there is not information about budget of Ministry of Justice.</t>
  </si>
  <si>
    <t xml:space="preserve">Yes, except for the information on operational decisions and budget. The general budget figures can be found on the parliament's web-site, though. </t>
  </si>
  <si>
    <t>Partially.  Yes, for information on competences and budget. No, for information on structure and operational decisions.</t>
  </si>
  <si>
    <t>Partially, nothing on budget and operational decisions.</t>
  </si>
  <si>
    <t xml:space="preserve">The Intelligence and Security Agency forms part of the Ministry of Internal Affairs. However, information about their structure, competences and budget are not available on the website. </t>
  </si>
  <si>
    <t>Formal-structure No-budget, No-operational decisions (http://www.sns.am)</t>
  </si>
  <si>
    <t>www.mns.gov.az There is not any information about structure, competences, budget and operational decisions of Ministry of Security in this site. But there is published part of the document of "Regulations of Ministry of National Security". This indicates the duties of the Ministry of National Security.</t>
  </si>
  <si>
    <t>Yes. General information on the budget is available at MoD web-site and also is available to the citizens except for details (there are no specification for branches (Army, Air Force, Navy) of military services).</t>
  </si>
  <si>
    <t>Only the overall budget, more detailed information is difficult to find.</t>
  </si>
  <si>
    <t xml:space="preserve"> Yes, if the information is not categorized as a state secret. The media, interested citizens, NGOs should submit FOI requests to the Ministry. No detailed information provided.</t>
  </si>
  <si>
    <t>The only figure published regarding defence is the total amount. The distribution is secret.</t>
  </si>
  <si>
    <t>Citizens can get information only about general figure of military expenses. There is no information about details of military budget. For instance citizens cannot get information about expenses  directed to salaries and meals of servicemen.</t>
  </si>
  <si>
    <t>For other kind of information the procedure is regulated  by the RA Law " On FOI". One should apply for information. The Law prescribes the dates within which the institution should provide information or indicate the source of it, if it is not under its competency. Usually they provide information or an NGO or media applies to the court. Several civil society organisations and media, e.g. the Freedom of information centre (foi.am), Journalists' club "Asparez" (asparez.am),  hetq.am usually track their inquiries.</t>
  </si>
  <si>
    <t>No
Some security and law-enforcement shared their monthly, quartely and annual reports about their activities. But there is not any exact legislation which regulate regular public reporting of law-enforcement actors yet.  According to IPAP document with NATO military structures must prefer to practice regular public reporting about their activities. And Azerbaijan must prepare special document with will strengthen connection between military structures and society. But this document has not been prepared by officials.</t>
  </si>
  <si>
    <t>Yes, in the form of news articles (webpages, TV, newspapers); the top-ranking officials are open to media and share the information on activities, objectives and problems.</t>
  </si>
  <si>
    <t>The Ministry of Defence usually holds meetings/presentations about its activities, problems and objectives in the field of its competence.</t>
  </si>
  <si>
    <t>No effective public reporting on the existing issues within the army. The existing forms of publicity about the activities in the mentioned field (e.g. through broadcasting weekly programmes on the army on the TV, etc) cannot be considered as a valid form of public reporting.</t>
  </si>
  <si>
    <t>The Press-service of MoD tries to inform society about daily situation in frontline relations with international organisations and different states on military issues. 
But MoD doesn't report information about reforms, problems and objectives in the field of its competence. There is not serious public reporting by MoD about army reform, particularly adaption to NATO standards. MoD prefers to not give information about problems, especially deaths in army.</t>
  </si>
  <si>
    <t xml:space="preserve">Ministry of Interior usually makes information publicly available about its activities. </t>
  </si>
  <si>
    <t>Limited effective public reporting on the existing issues within the army. The existing forms of publicity about the activities in the mentioned field cannot be considered as a valid form of public reporting.</t>
  </si>
  <si>
    <t xml:space="preserve">MIA tries to inform society about criminal events and the activity of police to prevent to these kind of problems. But MIA prefers not to inform society about internal problems. Years ago there was big problem in MIA, related with bandit group, but officials of MIA were not willing to give detailed information about events.
The officials from Ministry of Justice prefer to inform media about positive side of reform, objectives and activities of its representatives. But it is difficult to find information connected with problematic issues, about which society would be informed by officials of Ministry of Justice. </t>
  </si>
  <si>
    <t>Yes, however inertia is stronger in the Security Service compared with MoD and MoI, and top-ranking officials seldom share information on challenges and problems.</t>
  </si>
  <si>
    <t>No public reporting.</t>
  </si>
  <si>
    <t>Ministry of National Security is one of the more closed state organisations in Azerbaijan. The officials of this organisation prefer to not give information about their activities, problems and objectives in the field of its competence. The society could get information from MNS only when they will decide to inform people. MNS prefers to inform the people about their operations against threats to the state.</t>
  </si>
  <si>
    <t>Do the security and law enforcement actors publicise statistics and cases on human rights violations by law-enforcement and security personnel? Yes/No. Please specify for:</t>
  </si>
  <si>
    <t>No. Information about violations is made public mostly as the outcome of media investigations or relevant NGO reporting.</t>
  </si>
  <si>
    <t xml:space="preserve">Not proactively </t>
  </si>
  <si>
    <t>There were no analogous statistics published by MoD in recent years.</t>
  </si>
  <si>
    <t>There were no analogous statistics published by MIA and MoJ in recent years.</t>
  </si>
  <si>
    <t>There were no analogous statistics which published by Ministry of National Security in recent years.</t>
  </si>
  <si>
    <t>1.7.3.4.</t>
  </si>
  <si>
    <t>Are civil society organisations and media able to obtain unrestricted information from the security and law enforcement institutions about their regulations, activities, budget etc? Yes/No. Please specify for:</t>
  </si>
  <si>
    <t xml:space="preserve">Yes, they are able to obtain this information in accordance with the Law of Ukraine “On access to public information”. However most often the provided information is generalised and might be lacking details. </t>
  </si>
  <si>
    <t>Yes. According to the information by IDFI (a Georgian NGO working specifically on FOI issues), the Ministry of Defence has provided requested information in 91.6% of cases. The research covers period from October, 2013 to March, 2014.</t>
  </si>
  <si>
    <t>They can obtain information, but not unrestricted. Access to regulations is open. As for the budget and the activities of the Defence Ministry: these are not easily accessible to the media or the civil society for most part.</t>
  </si>
  <si>
    <t>Civil society organisations are not able to obtain any information about problems from MoD. Because MoD doesn't inform civil society organisations about their activities. They base non-disclosure on the war with Armenia and the need not to damage preparation of Armed Forces.</t>
  </si>
  <si>
    <t>Yes, they are able to obtain this information in accordance with the Law of Ukraine “On access to public information”. However most often the provided information is generalised and might be lacking details.</t>
  </si>
  <si>
    <t>According to the law, civil Society organisations and media can get Information about regulation, activities, budget (proactively available on the website), etc. from the Ministry of Interior by filing corresponding FOI Requests. However, according to IDFI report (see above), MIA has provided information only in 30.5 % of cases. In addition, the regulation of the General Inspectorate of the MIA is a secret document (according to MIA) and is not disclosed even to the Public Defender of Georgia.</t>
  </si>
  <si>
    <t>They can obtain infromation but not unrestricted. Access to regulations is open. The Justice Ministry is accessible for the media and the civil society, though specific issues/areas (such as the penitentiary) are rather closed in terms of access to information. The police is accessible for the media/the civil society only to a certain extent.  In co-operation with the Ministry of Justice, a special Penitentiary Board has been established which has unrestircted access to penitentiary institutions.</t>
  </si>
  <si>
    <t>The NGOs could get some information about regulations and activities of MIA and MoJ, but not about budget and its spending.</t>
  </si>
  <si>
    <t xml:space="preserve">Yes, they are able to obtain this information in accordance with the Law of Ukraine “On access to public information”. However most often the provided information is generalised and might be lacking details </t>
  </si>
  <si>
    <t>Yes, partially.</t>
  </si>
  <si>
    <t xml:space="preserve">No. Regulations of specific departments of MIA fulfilling the functions of intelligence and security are not publicly available. </t>
  </si>
  <si>
    <t xml:space="preserve">Only regulations are accessible. </t>
  </si>
  <si>
    <t>It is difficult to get a little information from MNS. In most cases officials from MNS prefer to not give information to civil society organisations.</t>
  </si>
  <si>
    <t>Yes. Under Yanukovich regime (in particular at the end of 2013) intimidation and persecution of civil society leaders and media representatives was usual practice</t>
  </si>
  <si>
    <t>Yes, there are many such instances</t>
  </si>
  <si>
    <t>Yes. The problem has been particularly evident before the parliamentary elections in October 2012. After the parliamentary elections in 2012, an isolated case has been reported, when video recording containing scenes of private life of a journalist has become public. Later on, the deputy minister of MIA has been charged with disclosing the private information.</t>
  </si>
  <si>
    <t>Yes
During recent years many civil society organisations and mass-media have undertaken research into human rights violations and corruption within security and law enforcement bodies. But they have been intimidated or persecuted bu officials from security and law enforcement bodies. For instance, the Ministry of Defence brought an action against  some newspapers, which investigated the facts of corruption and human rights violations in army. Some journalists were threatened by officials of MoD for their articles about problem in army building.</t>
  </si>
  <si>
    <t>Yes. Civil Council under the MoD exists. However, up until 2014 the activities of the Council were formal. The Council had no influence and was composed of GONGOs.</t>
  </si>
  <si>
    <t>Partially. Irregular consultations, non-institutionalised formats.</t>
  </si>
  <si>
    <t>Ministry of Defence does not provide institutionalised framework for consultations with civil society organisations on security policies and reform, but they hold regular consultations with civil society organisations and independent experts on socurity policies and reforms.</t>
  </si>
  <si>
    <t>They hold consultations on an irregular basis, and these are not institutionalised. There is a Public Council to the Ministry of Defence, but this serves more the minister.</t>
  </si>
  <si>
    <t>The officials from Ministry of Defence don't hold any consultations with civil society organisations on security policies and reform.</t>
  </si>
  <si>
    <t>Yes. Civil Council under the MoI exists and since it includes human rights organisations it is very active and commited to participate in consultations with the MoI and its reforming.</t>
  </si>
  <si>
    <t>Yes. Regular consultations in institutionalised formats.</t>
  </si>
  <si>
    <t>No, but there is a decorative public consultative council.</t>
  </si>
  <si>
    <t xml:space="preserve">There is no institutionalised format. </t>
  </si>
  <si>
    <t>They do not hold consulations with civil society organisations on a regular basis. Usually they send their representatives to NGOs discussions mostly as passive observers, or sometimes to argue with them from the position of not the public interest, but of their agency.</t>
  </si>
  <si>
    <t xml:space="preserve">The officials from Ministry of Internal Affairs don't hold regular consultations with civil society organisations on security policies and reform.
But Ministry of Justice is different. İn 2005, a special agreement was signed between NGOs and Ministry of Justice called "Mutual Understanding Memorandum". Then a special Working Group was created to control the situation in prisons. The Working Group has been ineffective in practice. </t>
  </si>
  <si>
    <t>Yes, but Civil Council under Security Service includes mostly civil servants or representatives of state institutions whereas civil component within the council is immensely weak.</t>
  </si>
  <si>
    <t>The officials from Ministry of National Security don't hold any consultations with civil society organisations on security policies and reform.</t>
  </si>
  <si>
    <t>Yes, they have possibilities to participate in hearings on functioning and abuses by security and law enforcement forces in the standing committees of the parliament but their participation is not an obligatory demand for appropriate committees of the Parliament.</t>
  </si>
  <si>
    <t xml:space="preserve">No. Usually such issues are considered 'sensisitve' and hearings are declared 'closed' at the request of committees or heads of security institutions. </t>
  </si>
  <si>
    <t>No, such hearings do not take place.</t>
  </si>
  <si>
    <t xml:space="preserve">There have been no cases of hearings on functioning and abuses by security and law enforcement forces in the parliament. However, a number of CSOs have been involved in the determination of the list of political prisoners who have been released by the Parliament after change of the government in October, 2012. The elaboration of the list was to some extent related to the recognition of malfunctioning of the justice system under the previous authorities. </t>
  </si>
  <si>
    <t>In the reporting period there have been no parliamentary hearings on abuses by the security forces or the law enforcement that the civil society might attend.</t>
  </si>
  <si>
    <t>Yes. The members have unrestricted access to places of detention in accordance with the amendments of the legislation dated October 2012, although the State budget does not provide necessary costs to cover the visits to the places of detention.</t>
  </si>
  <si>
    <t>Yes. However, there have been isolated cases when NPM members have been prevented from exercising their functions effectively.</t>
  </si>
  <si>
    <t>Yes, the members of National Preventive Mechanism, which is the Omudsman of RA, have unrestricted access to places of detention.</t>
  </si>
  <si>
    <t>Yes. Ombudsman office as a government-friendly institution has its staff easily accessing the prisons. Civil society organisations have to get permission by corresponding bodies. Sometimes it is easy to visit prisons. But it is more difficult to get any permission to visit to detention cells within the military units of Ministery of Defence and the detention cells under the Ministry of National Security.</t>
  </si>
  <si>
    <t>Yes. Civil society organisations and human rights NGOs are represented in National Preventive Mechanism.</t>
  </si>
  <si>
    <t xml:space="preserve">Yes, but in the capacity of individual experts. In 2013, a pool of 40 individual experts from civil society has been created, who form the part of NPM.  </t>
  </si>
  <si>
    <t>Yes.The mandate provided by Ombudsman allows the civil society representatives unrestricted acces to closed institutions.</t>
  </si>
  <si>
    <t>No. Independent civil society is poorly represented. It is mainly filled with pro-governmental NGOs. There is a Public Oversight Council of NGOs on Penitentiary Service under the MoJ which also works on prevention of ill-treatment and torture in penitentiary facilities. But its work is not effective, seriously dependent, and the reports produced are confidential and not public.</t>
  </si>
  <si>
    <t>MARKET ECONOMY and DCFTA</t>
  </si>
  <si>
    <t xml:space="preserve">Starting a business. WB Doing Business Report 2014 </t>
  </si>
  <si>
    <t>Linear transformation. benchmarks defined by EBRD Transition Countries (Best = Armenia 6; Worst = Jordan 174  )</t>
  </si>
  <si>
    <t>Linear transformation. benchmarks defined by EBRD Transition Countries (Best = Geo 2  ; Worst = BIH 37)</t>
  </si>
  <si>
    <t>Linear transformation. benchmarks defined by EBRD Transition Countries (Best = Arm,Geo 2   ; Worst = BIH 11)</t>
  </si>
  <si>
    <t xml:space="preserve"> (Best = SLO 0; Worst = TJK 25.6)</t>
  </si>
  <si>
    <t>Linear transformation. benchmarks defined by EBRD Transition Countries (Best = BLR, GEO, ARM, AZE etc. 0; Worst = Slo 44.1)</t>
  </si>
  <si>
    <t xml:space="preserve">Resolving insolvency, WB Doing Business Report 2014 </t>
  </si>
  <si>
    <t>Linear transformation, benchmarks defined by EBRD Transition Countries (Best = Poland 37; Worst = Ukr 162)</t>
  </si>
  <si>
    <t>Linear transformation, benchmarks defined by EBRD Transition Countries (Best = Pol 54.8; Worst = Ukr 8.2)</t>
  </si>
  <si>
    <t>Linear transformation, benchmarks defined by EBRD Transition Countries (Best = KAZ 1.5; Worst = Kyrg, Slovak 4.0)</t>
  </si>
  <si>
    <t>Linear transformation, benchmarks defined by EBRD Transition Countries (Best = SLO 4; Worst = UKR 42)</t>
  </si>
  <si>
    <t>Paying taxes, WB Doing Business Report 2014</t>
  </si>
  <si>
    <t>Linear transformation, benchmarks defined by EBRD Transition Countries (Best = Kaz 18; Worst = Tjk 178)</t>
  </si>
  <si>
    <t>Linear transformation, benchmarks defined by EBRD Transition Countries (Best = EST 81; Worst = Bulg 454)</t>
  </si>
  <si>
    <t>Linear transformation, benchmarks defined by EBRD Transition Countries (Best = Geo 5; Worst = Tjk 69)</t>
  </si>
  <si>
    <t>Linear transformation, benchmarks defined by EBRD Transition Countries (Best = Macedonia 8; Worst = Uzv 99)</t>
  </si>
  <si>
    <t xml:space="preserve">Contract enforcement, WB Doing Business Report 2014 </t>
  </si>
  <si>
    <t>Linear transformation, benchmarks defined by EBRD Transition Countries (Best = Bel 13 ; Worst = Montenegro 136 )</t>
  </si>
  <si>
    <t>Linear transformation, benchmarks defined by EBRD Transition Countries (Best = Latvia 27 ; Worst = Montenegro 49)</t>
  </si>
  <si>
    <t>Linear transformation, benchmarks defined by EBRD Transition Countries (Best = Uzb 195  ; Worst = Slo 1270)</t>
  </si>
  <si>
    <t>Linear transformation, benchmarks defined by EBRD Transition Countries(Best = Slo 12,7; Worst = UKR 43.8)</t>
  </si>
  <si>
    <t>Enterprises, EBRD Transition Indicators 2013</t>
  </si>
  <si>
    <t>Markets and trade, EBRD Transition Indicators 2013</t>
  </si>
  <si>
    <t>Linear transformation, benchmarks defined by best and worst performing EBRD transition countries (rated 4.33 and 2.67, respectively)</t>
  </si>
  <si>
    <t>Linear transformation, benchmarks defined by best and worst performing EBRD transition countries (rated 4.33 and 1.67, respectively)</t>
  </si>
  <si>
    <t>Linear transformation, benchmarks defined by best and worst performing EBRD transition countries (rated 3.67 and 1.67, respectively)</t>
  </si>
  <si>
    <t xml:space="preserve">Effectiveness of Anti monopoly policy. The Global Competitiveness Report 2013-2014, World Economic Forum </t>
  </si>
  <si>
    <t>Linear transformation, benchmarks defined by EBRD Transition Countries  (Best = Turkey, Est 4.6;  Worst=Serbia  3,0 )</t>
  </si>
  <si>
    <t>Burden of Customs procedures. The Global Competitiveness Report, 2013-2014 World Economic Forum</t>
  </si>
  <si>
    <t xml:space="preserve">Linear transformation, benchmarks defined by EBRD Transition Countries (Best =Georgia, Est 5.3;  Worst= Ukraine 3.0) </t>
  </si>
  <si>
    <t xml:space="preserve">Tax burden on GDP. 2014 Index of Economic Freedom .http://www.heritage.org </t>
  </si>
  <si>
    <t>Linear transformation, benchmarks defined by EBRD Transition Countries (Best = Bosnia 38,5; Worst = Az 12,8)</t>
  </si>
  <si>
    <t>2.2.</t>
  </si>
  <si>
    <t>Corporate sectors, EBRD Transition Indicators 2013</t>
  </si>
  <si>
    <t>Linear transformation, benchmarks defined by best and worst performing EBRD transition countries (rated 4.33 and 1, respectively)</t>
  </si>
  <si>
    <t>Energy, EBRD Transition Indicators 2013</t>
  </si>
  <si>
    <t>Linear transformation, benchmarks defined by best and worst performing EBRD transition countries (rated 3.33 and 1, respectively)</t>
  </si>
  <si>
    <t>Infrastructure, EBRD Transition Indicators 2013</t>
  </si>
  <si>
    <t>Linear transformation, benchmarks defined by best and worst performing EBRD transition countries (rated 3.67 and 1, respectively)</t>
  </si>
  <si>
    <t>Financial sectors, EBRD Transition Indicators 2013</t>
  </si>
  <si>
    <t>2.3.</t>
  </si>
  <si>
    <t xml:space="preserve">Yes. Number of laws on protection of national producers exist. </t>
  </si>
  <si>
    <t>Yes. Partly regulated by the Customs Union with Russian Federation and KAZ</t>
  </si>
  <si>
    <t>No, but government prepared draft law and the draft is passing through legislative processes</t>
  </si>
  <si>
    <t>Yes, interministerial commission on international trade</t>
  </si>
  <si>
    <t>No (The investigation of unfair trade practices can be performed by department of "Trade policies" of the Ministry of Economy)</t>
  </si>
  <si>
    <t>Does your country participate in WTO TBT and ISO? Yes/No</t>
  </si>
  <si>
    <t>Yes/Yes</t>
  </si>
  <si>
    <t>No/Yes</t>
  </si>
  <si>
    <t>Has your country officially concluded ACAA with the EU? Yes/No</t>
  </si>
  <si>
    <t>Yes within DCFTA</t>
  </si>
  <si>
    <t>No, in process of negotiation</t>
  </si>
  <si>
    <t xml:space="preserve">Is your national market surveillance authority compatible with EU requirements? Yes/No                     (Requirements to institutions set out in Decision No.768/2008/EC of the European Parliament and of the Council of 9 July 2008 on a common framework for the marketing of products, and repealing Council Decision 93/465/EEC (OJ L 218, 13.8.2008, p. 82–128) and Regulation (EC) No 765/2008 of the European Parliament and of the Council of 9 July 2008 setting out the requirements for accreditation and market surveillance relating to the marketing of products and repealing Regulation (EEC) No 339/93 (OJ L 218, 13.8.2008, p. 30–47). </t>
  </si>
  <si>
    <t xml:space="preserve"> Despite formal adoption of new legislation, domestic authorities are still not reformed</t>
  </si>
  <si>
    <t>No (in process of adjustment to EU requirements)</t>
  </si>
  <si>
    <t xml:space="preserve">No, But new draft  Law on Technical Regulations lays down EU requirements for market surveillance </t>
  </si>
  <si>
    <t>Is your national market surveillance legislation compatible with EU requirements? Yes/No                    (Substantive legal requirements, set out in legal acts mentioned in the footnote above)</t>
  </si>
  <si>
    <t>Yes. Implementation concerns remain high</t>
  </si>
  <si>
    <t>No ( in process of adjustment to EU requirements)</t>
  </si>
  <si>
    <t>No, but it is a positive development that there is a draft Law on Technical Regulation including relevant provisions and a draft Law on General Product Safety on the basis of EU relevant Directive. Neither law has been adopted yet.</t>
  </si>
  <si>
    <t>How many New Approach Directives have been implemented by your country? Number of directives                                                List of directives could be found at http://ec.europa.eu/enterprise/policies/european-standards/harmonised-standards/#h2-1 (section on harmonised legislation for products (directives or regulations which provide for CE marking) or http://www.newapproach.org/Directives/DirectiveList.asp</t>
  </si>
  <si>
    <t>26 Directives -1; 0 - 0</t>
  </si>
  <si>
    <t>0, but government is considering to adopt some of those directives as technical regulations</t>
  </si>
  <si>
    <t xml:space="preserve">0, But draft Law on General Product Safety has been prepared on the basis of EU Directive on General Product Safety </t>
  </si>
  <si>
    <t>Yes (New law on standardisation was adopted on 5 June 2014)</t>
  </si>
  <si>
    <t xml:space="preserve">Yes ( according to law for  caseses of  maintaining public order or  protection of consumers some standartization is obligatory) </t>
  </si>
  <si>
    <t>No. Standards can be valuntary and mandatory according to exsisting legislation. But, currently standards includes saftey requirments and thus some of them are mandatory. But new Law on Technical Regulation is drafted which will make all standards valuntary</t>
  </si>
  <si>
    <t>Do producers have the right to apply the EU and international standards (CEN, CENELEC, ISO ) for the purpose of selling products outside? Yes/No</t>
  </si>
  <si>
    <t>Partially yes, because the system has been created for both, but active participation has not begun.</t>
  </si>
  <si>
    <t>Do the EU and your country mutually recognise equivalence of requirements applied to any sector or product? Yes/No</t>
  </si>
  <si>
    <t>Yes. Poultry since Jan 2013</t>
  </si>
  <si>
    <t>What is the number of national establishments in the EU list of establishments having right to export to the EU products of animal origin? Number of establishments                The list could be found at http://ec.europa.eu/food/food/biosafety/establishments/third_country/index_en.htm</t>
  </si>
  <si>
    <t>Linear transformation, best is EaP best, worst is 0</t>
  </si>
  <si>
    <t>177 (97 of which are storages)</t>
  </si>
  <si>
    <t>26 (7 for the collection or handling of animal by-products, 19 for processing plants)</t>
  </si>
  <si>
    <t>Does the EU in official opinions of DG SANCO or other authorities recognise that your national food safety authority/authorities is/are compatible with EU requirements?  Yes/No                                               The answers could be found in the reports on inspections made in countries and placed on EC web page.</t>
  </si>
  <si>
    <t>Does the EU in official opinions of DG SANCO or other authorities recognise compatibility of general national food safety legislation with EU requirements?  Yes/No        The answers could be found in the reports on inspections made in countries and placed on EC web page.</t>
  </si>
  <si>
    <t>Yes, but the rule mentioning HACCP is open-ended and de facto unimplementable. Necessary amendments are elaborated but not adopted yet.</t>
  </si>
  <si>
    <t>Yes, the main rules integrated in the Law of the Republic of Belarus № 217-3 dated 29 June 2003</t>
  </si>
  <si>
    <t xml:space="preserve">Yes, the HACCP related provisions of the Food Safety Law entered into force on 16 May 2014. The application is partial as it involves only those companies determined by the Governmental Decree, which is not issued yet.   </t>
  </si>
  <si>
    <t xml:space="preserve">No (same as previous year). Only for live non-farmed crayfish and for cooked and/or frozen non-farmed crayfish </t>
  </si>
  <si>
    <t>Yes, Newly adopted law on food safety allows to do it</t>
  </si>
  <si>
    <t xml:space="preserve">2.3.3. </t>
  </si>
  <si>
    <t>Is your country a member of the World Customs Organisation? Yes/No</t>
  </si>
  <si>
    <t xml:space="preserve">Is the Framework of Standards to Secure and Facilitate Global Trade ratified by your country?  Yes/No </t>
  </si>
  <si>
    <t xml:space="preserve">Is the Istanbul Convention on temporary admission ratified by your country?  Yes/No </t>
  </si>
  <si>
    <t xml:space="preserve">Is the HS Convention ratified by your country?  Yes/No </t>
  </si>
  <si>
    <t xml:space="preserve">Is the UN TIR Convention ratified by your country?  Yes/No </t>
  </si>
  <si>
    <t xml:space="preserve">Is the 1982 Convention on harmonisation of frontier controls of goods ratified by your country?  Yes/No </t>
  </si>
  <si>
    <t>Signed in July 2013, not ratified</t>
  </si>
  <si>
    <t xml:space="preserve">Does your government carry out assessments of its customs authority according to the EC Customs Blueprints?  Yes/No </t>
  </si>
  <si>
    <t>Yes, it was made within framework of programme of approximation</t>
  </si>
  <si>
    <t xml:space="preserve">Has there been any official declaration of intentions (legislation or governmental decrees) to implement EC Customs Blueprints?  Yes/No </t>
  </si>
  <si>
    <t xml:space="preserve">Yes (there are points in Policy Matrix from Roadmap for improving competitiveness in Moldova approved by Government )   </t>
  </si>
  <si>
    <t>Number of economic activities that require licensing. Number</t>
  </si>
  <si>
    <t xml:space="preserve"> 41. (didn't change, however Ukraine intends to limit number of licensed activties to 9, therefore good progress could be made next year)</t>
  </si>
  <si>
    <t>Number of economic activities that could be provided only by nationals. Number</t>
  </si>
  <si>
    <t>1-0, No such activities is positive and should be scored 1</t>
  </si>
  <si>
    <t xml:space="preserve">Does the national legislation allow national undertakings to use international financial reporting standards for the purpose of national accounting??  Yes/No </t>
  </si>
  <si>
    <t xml:space="preserve">Yes. National Accounting Standards area also based on International Accounting Standards </t>
  </si>
  <si>
    <t>Yes. National commission on communications is functionally indepndent.</t>
  </si>
  <si>
    <t>Yes  (National Regulatory Agency for Electronic Communications and Information Technology)</t>
  </si>
  <si>
    <t xml:space="preserve">No, But government plan and took commitment under WTO negotiations to create such authority </t>
  </si>
  <si>
    <t xml:space="preserve">Does your country have legislation that defines rules on access and interconnection between networks of electronic communication operators?  Yes/No </t>
  </si>
  <si>
    <t xml:space="preserve">Yes, Article 12 of the Law on Telecommunications nad internal regulation of Ministry of Communication and High Telecommunication define rules of interconnection </t>
  </si>
  <si>
    <t xml:space="preserve"> Banking services</t>
  </si>
  <si>
    <t>Yes. National Bank of Moldova</t>
  </si>
  <si>
    <t xml:space="preserve"> Insurance services and Investments in transferable securities</t>
  </si>
  <si>
    <t>Yes. National Commision of Financial Market</t>
  </si>
  <si>
    <t xml:space="preserve">Did the government adopt a strategy or a roadmap which provide for the implementation of the Basel Committee's “Core Principle for Effective Banking Supervision”?  Yes/No </t>
  </si>
  <si>
    <t xml:space="preserve">Yes, several legal acts are based on those core principles mean they are being applied </t>
  </si>
  <si>
    <t xml:space="preserve">Did the government adopt a strategy or a roadmap which provide for the implementation of the International Association of Insurance Supervisors' “Insurance Core Principles”? Yes/No </t>
  </si>
  <si>
    <t>Yes, adopted (need to be reviewed)</t>
  </si>
  <si>
    <t>Yes, several legal acts are based on those core principles means they are being aplied</t>
  </si>
  <si>
    <t xml:space="preserve">2.3.5. </t>
  </si>
  <si>
    <t>Yes, foreigners cannot acquire agricultural land in Ukraine.</t>
  </si>
  <si>
    <t>Yes (foreigners have no right to purchase land for agricultural purposes)</t>
  </si>
  <si>
    <t>Yes, private property of land is restricted</t>
  </si>
  <si>
    <t xml:space="preserve">No. The moratorium on selling agricultural land to foreign citizens introduced in 2013 was lifted in 2014.  </t>
  </si>
  <si>
    <t xml:space="preserve">Yes, foreigners cannot buy either land or real estate, they can only rent the land </t>
  </si>
  <si>
    <t>No. there is no limitation for acquisition of real estate by foreigners</t>
  </si>
  <si>
    <t>No, no restrictions for real estate</t>
  </si>
  <si>
    <t xml:space="preserve">Yes. 2 - trade in derivatives </t>
  </si>
  <si>
    <t>Yes, The Law on Currency Regulation and Central Bank's Regulations defines some limitations.</t>
  </si>
  <si>
    <t>Yes, The Law on Currency Regulation and Central Bank's Regulations defines some limiiations.</t>
  </si>
  <si>
    <t>Membership in WIPO. Yes/No</t>
  </si>
  <si>
    <t xml:space="preserve">Participation in WIPO-administered treaties. Yes/No </t>
  </si>
  <si>
    <t>Yes. No progress for Ukraine. USTR decided not to impose sanctions but Ukraine is still on priority watch list</t>
  </si>
  <si>
    <t>Yes. Watch USTR 301 list (2014 Special 301 Report)</t>
  </si>
  <si>
    <t xml:space="preserve">2.3.7. </t>
  </si>
  <si>
    <t>Geographical indications                   All information on this matter is available from: 1) EU delegation officer responsible for intellectual property, 2) DG Trade representatives, or 3) national civil servant involved in negotiations with the EU or in dialogue with the EU on intellectual property.</t>
  </si>
  <si>
    <t>Is there national legislation on GIs (Georgaphical Indicators)? Yes/No</t>
  </si>
  <si>
    <t>Yes, Law of the Republic of Belarus of 17 July 2002 № 127-3 on Geographical Indications (amended in 2004)</t>
  </si>
  <si>
    <t>How many national GIs are registered (including pending registration)? Yes/No</t>
  </si>
  <si>
    <t xml:space="preserve">20. Data from the new report of the State Intellectual Property for Ukraine.  </t>
  </si>
  <si>
    <t xml:space="preserve">37 (16 geographic indications on different products plus 21 on wines are registered by "Georgian Patent") </t>
  </si>
  <si>
    <t>1 (2)</t>
  </si>
  <si>
    <t>What is the number of the EU GIs used by national producers (conflicting GIs)? Yes/No</t>
  </si>
  <si>
    <t>Linear transformation, best is 0, worst is EaP maximum</t>
  </si>
  <si>
    <t>Are national producers phasing out the use of EU GIs either voluntary or based on agreement? Yes/No, If yes – how long is the transitional period for phasing out? Number of years</t>
  </si>
  <si>
    <t>Yes. 10 years after entering into force of DCFTA</t>
  </si>
  <si>
    <t>Yes. 5 years after entering into force of specific agreement</t>
  </si>
  <si>
    <t>Yes. 5 years after entering into force of new agreeemnt</t>
  </si>
  <si>
    <t xml:space="preserve">2.3.8. </t>
  </si>
  <si>
    <t>Yes ( Competition Council)</t>
  </si>
  <si>
    <t>Yes, State Commission for the Protection of Economic Competition of Republic of Armenia.    (http://www.competition.am/?lng=2)</t>
  </si>
  <si>
    <t>No, it is under Ministry of Economy and Industry. But, there are inergovernmental discussions to increase authorities of competition body.</t>
  </si>
  <si>
    <t xml:space="preserve">Yes. Law on state aid 1 July 2014 № 1555-VII authorised this power </t>
  </si>
  <si>
    <t>Is your national substantive legislation on competition compatible with the EU law (Articles 101 and 102 of the Treaty on functioning of the European Union )? Yes/No</t>
  </si>
  <si>
    <t>Partially yes</t>
  </si>
  <si>
    <t>Yes/ No</t>
  </si>
  <si>
    <t>Is there legislation on control and prohibition of state aid (Article 108 of the Treaty on functioning of the European Union)? Yes/No</t>
  </si>
  <si>
    <t xml:space="preserve">Yes. Law on state aid 1 July 2014 № 1555-VII </t>
  </si>
  <si>
    <t>Has an inventory of state aid for goods been prepared by national authorities (as an obligation within WTO)? Yes/No</t>
  </si>
  <si>
    <t>SECTORAL APPROXIMATION</t>
  </si>
  <si>
    <t>TOTAL SECTORAL DIMENSION</t>
  </si>
  <si>
    <t>3.1.</t>
  </si>
  <si>
    <t>3.1.1.</t>
  </si>
  <si>
    <t>Yes,  2013</t>
  </si>
  <si>
    <t>No, since the Action Plan does not exist</t>
  </si>
  <si>
    <t>Yes, under the MFA</t>
  </si>
  <si>
    <t>Yes, the Law on Information, Informatisation and protection of information (2009), which does not fully comply with the EU standards. Insignificant amendments were made to the Law on information, informatisation and data protection in January 2014. However, what concerns data protection, only marginal attention is given to this area in the law. Thus the protection of personal data remains largely underdeveloped in the national legislation.</t>
  </si>
  <si>
    <t xml:space="preserve">Yes, The law on Personal Data Protection (PDP) entered into force in May 2012. The provisions of Chapter VII on Administrative liability entered into force in January 2013 and certain provisions relating to the powers of the PDP Inspector towards private sector will enter into force in 2016. </t>
  </si>
  <si>
    <t xml:space="preserve">There are concerns regarding this law and amendments are being prepared.The situation needs to be improved. The Law of the Republic of Armenia on Personal Data was adopted in 2002. The law defines the legal status of personal data, as well as general rules for obtaining, storing and processing personal data. The law complies with the principles outlined in the Council of Europe Convention on the Protection of Individuals with regard to the Automatic Processing of Personal Data as well as the relevant European Directives (European Parliament and Council Directives 2002/58/EC and 95/46/EC). </t>
  </si>
  <si>
    <t xml:space="preserve">Yes. But there are serious problems on this issue. The private sector is engaged with the government. Because of the lack of a safe economic environment, there is no data protection in practice. For example important GSM companies belong to the president's family so that such companies can easily provide personal data of opposition to government. Same as banks. </t>
  </si>
  <si>
    <t xml:space="preserve">Is there an independent supervisory authority? Yes/No </t>
  </si>
  <si>
    <t>Yes, PDP Inspector was appointed on 28 June 2013 by decree of Prime Minister, and revision of the law provisions were considered. The Inspector is independent, not subordinate to any other public official or body.</t>
  </si>
  <si>
    <t>No. The Passport and Visa Department of the RA Police (GoA adjunct body).</t>
  </si>
  <si>
    <t>The concept of the introduction of biometric passports was adopted by the President in 2010. A pilot project was announced of issuance of the biometric passports to the Belarusian seamen. However, there is neither the legal framework for the issuance of the biometric passports to the general public nor a specific Action Plan for the roll-out of the biometric passports. The issue of  biometric passports issuance is still being worked out by both the State Border Committee and the Ministry of the Interior. Deliberations over the technology of biometric passports and practical matters of their issuance are still in progress.</t>
  </si>
  <si>
    <t>Legal and institutional capacity for issuing biometric passports are in place: tThe Public Service Development Agency of the Ministry of Justice is 
the main body responsible for civil registration and issuance of identity and travel documents.The law "On Procedure for Registration of Citizens of Georgia and Foreigners Residing in Georgia, Issuance of Identity (Residence) Card and Passport of a Citizen of Georgia",  the Decree No 98 of the Minister of Justice on Approval of the rule of registration and striking off the register of citizens of Georgia and aliens residing in Georgia and the rule of issuance ID (residence) card, passport, travel passport and travel document; The Decree No 194 issued by the Minister of Justice on 5 October 2009 defines standards for security features and biometrics in passports, travel documents for stateless persons and refugees. The unified citizens’ register was created on the basis of the 2011 law “On the Unified State Register of Information”.
The PSDA provides services through its 65 regional offices.</t>
  </si>
  <si>
    <t>Mainly yes. There were shortcomings in the first period of issuing biometric passports. Several foreign embassies of Armenia are not able to provide biometric passports.</t>
  </si>
  <si>
    <t xml:space="preserve">Presidential decree, issuing application of "One passpoort - one person" practice, was issued on 17 July 2012. Not enough evidence that these passports are in line with European standards, mainly with ICAO. </t>
  </si>
  <si>
    <t>No. On 5 November 2014 the government reportedly allocated costs to procure over 600 terminals required to issue biometric passports. This means that every district in the country will have the required equipment, and the system will be up and running by end of January 2015.</t>
  </si>
  <si>
    <t>No, only a pilot project of biometric passport issuance took place.</t>
  </si>
  <si>
    <t>The process of issuance of biometric passports started in April 2010, while electronic IDs are being issued since August 2011. They are fully compliant with the ICAO standards and no major difficulties were reported. The system for biometric data recording had been developed and put into operation through all territorial services of the Public Service Development Agency.</t>
  </si>
  <si>
    <t>Yes, starting from 1 June 2012</t>
  </si>
  <si>
    <t xml:space="preserve">No. There is no progress on this issue. </t>
  </si>
  <si>
    <t>3.1.2.</t>
  </si>
  <si>
    <t>The main state agency in charge of the elaboration and implementation of the migration policy is the Ministry of Interior. Its structural units are in charge of monitoring migration, undertaking measures to prevent irregular migration (the Citizenship and Migration Department), combating human trafficking (Department on Drugs and Trafficking in Human Beings), and co-operating with foreign counterparts on readmission and other matters (Department of International Co-operation).</t>
  </si>
  <si>
    <t xml:space="preserve">The State Commission on Migration Issues (SCMI) was established as an advisory body to the government of Georgia. The main objective of the Commission is to develop national migration policy and improve management of migration processes in Georgia. The SCMI is currently developing a mechanism for monitoring migration stock and flows. </t>
  </si>
  <si>
    <t>Yes. State Migration Service of Ministry of Territorial Administration</t>
  </si>
  <si>
    <t>Yes, State Migration Service</t>
  </si>
  <si>
    <t xml:space="preserve"> </t>
  </si>
  <si>
    <t>There is no one comprehensive legal document regulating migration policy, but a number of laws and state programmes which define different migration policy aspects. The Law “On external labour migration” regulates temporary migration aspects; the Law "On Legal Status of Foreign Citizens and Stateless Persons in the Republic of Belarus" of January 4, 2010 regulates entry and stay in Belarus of the foreigners. Some aspects of migration policy are defined in the  State migration program for the years of 2006 – 2010, which have not yet been updated after 2010, and in the National Programme on the Demographic Security for the years of 2011 – 2015.</t>
  </si>
  <si>
    <t>The Migration Strategy (MS) of Georgia for 2013-2015 was adopted by the government on 15 March 2013, while its Action Plan (MS-AP) was approved by SCMI in June 2013. The SCMI is currently developing a mechanism for monitoring migration stock and flows. Creation of the mechanism is envisaged by the MS and its Action Plan.</t>
  </si>
  <si>
    <t xml:space="preserve">Yes, “Concept on the state regulation of the population migration in the Republic of Armenia”, approved on 30 December 2010, by RA Government decision. In order to ensure implementation of the Concept Paper, the “Action Plan for Implementation of the Policy Concept for the State Regulation of Migration in the Republic of Armenia in 2012-2016” wasadopted by the RA Governmental Decree # 1593 –N in November 10, 2011. </t>
  </si>
  <si>
    <t>Yes, the Law «On the granting of refugee status, subsidiary and temporary protection to foreign citizens and stateless persons within the Republic of Belarus» (2008).</t>
  </si>
  <si>
    <t>On 5 March 2014 the parliament adopted a new Law on Legal Status of Foreigners and Stateless Persons. It was published on 17 March 2014 and stipulates that the law will be enforced from 1 September 2014. The parliament of Georgia adopted the new Law “On Police” on 4 October 2013 that determines rights and duties of the police involved in fighting against illegal migration. The Ministry of Labour, Health and Social Affairs of Georgia developed the “State Strategy on Formation of Labour Market in Georgia” and “Action Plan implementing State Strategy on Formation of Labour Market in Georgia,” approved under Resolution #199 of the Government of Georgia, issued on 2 August 2013, which provides for proactive actions with regard to developing legislative framework of labour migration. On 29 May 2014 the Georgian parliament adopted amendments to the  law on rules of Issuance of Registration,  Personal identification Cards and Residents Permits of Foreigners living in Georgia and Passports for Georgian citizens 
On 10 June 2014 Georgian President issued a decree on rules regulating issuance of  asylum to Foreigners in Georgia.</t>
  </si>
  <si>
    <t>Yes. "The Law of the Republic of Armenia on Refugees and Asylum”, “The Law of the Republic of Armenia on Foreigners”, “The Law of the Republic of Armenia on State Border”, “The Law of the Republic of Armenia on border troops”, “The Law of the Republic of Armenia on the Citizenship of the Republic of Armenia”</t>
  </si>
  <si>
    <t>Yes, ratified in 2001.</t>
  </si>
  <si>
    <t xml:space="preserve">Yes, Georgia became a State Party  of 1951 UN Convention on refugees' status and its 1967 Protocol on 9 August 1999. </t>
  </si>
  <si>
    <t xml:space="preserve">Yes. Armenia is a member of 1951 UN Convention on refugees' status since 1993. The law “On Refugees and Asylum” was adopted in 2008. It is in compliance with requirements of the 1951 Geneva Convention and its Protocol. </t>
  </si>
  <si>
    <t>Law on Refugees and Humanitarian Status approved in 2011, amended in 2012, followed by enactment of three by-laws laying down procedures for granting the status of a refugee or another form of protection, regulating accommodation in reception centre and determining the rules for annual registration of asylum seekers in Georgia. According to the US State Department Report on HR Practies from 2013 – “The law provides for the granting of asylum or refugee status, and the government has established a system for providing protection to refugees.”</t>
  </si>
  <si>
    <t xml:space="preserve">Yes. According to the “Law of the Republic of Armenia on Refugees and Asylum” status of those persons in reception centre is one of an asylum seeker. </t>
  </si>
  <si>
    <t>Yes, migration profile is updated in co-operation with the IOM.</t>
  </si>
  <si>
    <t>So far, Georgia has prepared migration profiles for the years 2005-2010, and 2011-2013, which was adopted in September 2013</t>
  </si>
  <si>
    <t xml:space="preserve">No. Data collection and centralisation of database management is incomplete, which prevents effective improvement of migration flow management. But under the National  Action Plan for Implementation of the Policy Concept for the State Regulation of Migration in RA in 2012-2016 (was adopted on 10 November 2011 and approved by the Government) the collection of data on migration stocks and flows will be regulated and centralised. </t>
  </si>
  <si>
    <t xml:space="preserve">Yes, there is basic  monthly data, published on website http://www.migration.gov.az/index.php?section=012&amp;subsection=062&amp;lang=en,  but it contains basic not descriptive enough information.   </t>
  </si>
  <si>
    <t xml:space="preserve">Is there adequate infrastructure (including detention centres)? </t>
  </si>
  <si>
    <t>The exisintg infrastructure is underdeveloped. At present short-term detention isolation centres and Minsk investigative isolation centre are used for detaining irregular migrants. It was reported in June 2014 that Belarus is to set up a special detention centre for irregular migrants in cooperation with international organizations.</t>
  </si>
  <si>
    <t>Georgia is also working on creating a temporary accommodation centre for irregular migrants staying on the territory of Georgia. The architectural plans have been approved and the construction of the building is expected to commence in November 2013. The centre will accommodate up to 70 persons and special arrangements for vulnerable migrants and families will be made. A draft model of the Accommodation Centre has already been prepared.</t>
  </si>
  <si>
    <t>Yes
Temporary detention centre of illegal migrants</t>
  </si>
  <si>
    <t xml:space="preserve">3.1.3. </t>
  </si>
  <si>
    <t>No, but discussions within governmental agencies over IBM legal framework are in progress. It is expected that the IBM Strategy will be based on the EU models. In 2013 cooperation and exchange of best practices in the area of comprehensive border management took place in the framework of the the EU-funded EaP IBM FIT project.</t>
  </si>
  <si>
    <t xml:space="preserve">1) Integrated Border management Strategy was adopted in 2008, updated in 2012 with the EU support targeted 2008-2013.   2) The Action Plan was approved by the president in December 2009; 3) 3) An Interagency Council on Elaboration of State Border Management Strategy was established by the Prime Minister’s decree on 14 January 2014 to prepare a new draft of National Border Management Strategy by 1 March 2014 and submit it to the government.         4) A  new National Border Management Strategy was approved by governmental decree № 226 on 13 March 2014. Works on new Action Plan are in progress. </t>
  </si>
  <si>
    <t>Yes. Arrivals and departures to Azerbaijan and passport issues are all regulated by the law on “To depart, to arrive and passports” which was adopted on 14 June 1994. There have been 22 amendments and changes to this law since it was adopted.</t>
  </si>
  <si>
    <t>1) The Ministry of Internal Affairs and the Ministry of Finance adopted  a Joint Order #985-1187, issued on 31 December 2010, amended by  the Order #326-#612 on 8 August 2012 which specified the duties and rules of service of the staff of the Ministry of Internal Affairs and the Customs checkpoints to avoid the overlap of  the functions;  2) Joint Order #40–#61–#222 of the Minister for Justice, the Minister for Foreign Affairs and the Minister for Internal Affairs, issued on 26 February 2010, amended on 9 August 2012 by the Joint Order #142–#186–#622 of the Minister for Justice, the Minister for Foreign Affairs and the Minister for Internal Affairs, “Rules for Administrative Bodies with regard to the Use of the Data of the Public Service Development Agency and the Consular Department of the Ministry of Foreign Affairs of Georgia, also to Production and Exchange of the SAID  Data for Conducting Criminal Investigation and Operative/Search Activities.”</t>
  </si>
  <si>
    <t>Yes. According to the  law on  “To depart, to arrive and passports”, on 2001 “Exitenter” automotive information-searching system (AMAS)” was established. This system is intergovernment information database of the Ministries of National Security, defence, Internal Affairs, Foreign Affairs, Justice, Taxes, as well as State Border Service, Special State Security  Service and State Marine Service at the Ministry of Cabinet.</t>
  </si>
  <si>
    <t xml:space="preserve">Yes, the department of the ministry of Finance is authorised to provide criminal investigations in criminl metters.  </t>
  </si>
  <si>
    <t>Yes.
Criminal Code
Criminal Prosedural Code 
Code of Customs</t>
  </si>
  <si>
    <t xml:space="preserve">27% MD - 98.8% demarcated, with just remaining 9 km border with them - 8 km in the central (Transnistrian) segment and about 1 km - to the south. Practical work on the demarcation of the Ukrainian-Russian border in 2014 were not carried out. As for BEL for the purpose of demarcation of the Ukrainian-Belarusian state border, five meetings of the Joint Ukrainian-Belarusian Demarcation Commission took place (last 28-30 May 14, Gomel). The border with Belarus -   1084,2 km, Russia - 2295,04 km, Moldova -  1222 km = 4601 km. </t>
  </si>
  <si>
    <t>Length of border with Ukraine is 1222 km out of which according to Moldovan Head of Border Police all but 12 km on the perimeter of Transnistrian region are demarcated - 99% complete.</t>
  </si>
  <si>
    <t xml:space="preserve">In June 2013, Belarus and Ukraine exchanged the instruments of ratification of the bilateral border agreement dated 12 May 1997, which initiated the process of demarcation of the Belarusian-Ukranian border. External border with the EU countries has been demarcated. Border length with the EU member states: 678.8 km with LT + 172.9 km with LV + 398.6 with PL = 1250 km. Total border length is 3614 km. Therefore currently 35% of the border is demarcated. The demarcation of the border with UA has recently sarted and planned to be finished in 2020. The border with Russia is not demarcated. </t>
  </si>
  <si>
    <t>Approximately  17% length of borders are fully demarcated.       Georgia has 2154 km length border with other states ( including 315 km of sea border) and the state operates 18 actual border crossings, from which 15 have international and 3 interstate status.  Georgia has not demarcated full border length with Russia, Armenia and Azerbaijan yet. This means that only the border with Turkey is fully demarcated which is 252 km in relation to a total length of 1461 kms, according to CIA Worldfactbook. These figures are taken for calculation.</t>
  </si>
  <si>
    <t>Around 11.8 % Iran- N/A (765 km border); Georgia- 300 of 480 km; Russia- 0  out of 390 km; Turkey- 15 km. Azerbaijan-Georgia border has not been fully demarcated according to the Georgia assessment. Border land length - 2657km.</t>
  </si>
  <si>
    <t>MD - 98,8% demarkated It remains 9 km border with them - 8 km in the central (Transnistrian) segment and about 1 km - to the south. Practical work on the demarcation of the Ukrainian-Russian border in 2014 were not carried out. As for BEL for the purpose of demarcation of the Ukrainian-Belarusian state border, five meetings of the Joint Ukrainian-Belarusian Demarcation Commission took place (last 28-30.05.14, Gomel)</t>
  </si>
  <si>
    <t>3.1.4.</t>
  </si>
  <si>
    <t>Yes, enacted on 25 June 2003</t>
  </si>
  <si>
    <t>Yes, Georgia signed and ratified UN Convention on Organized Crime (signed 13 December 2005 and ratified on 5 September 2006).</t>
  </si>
  <si>
    <t>Yes. Signature-15 Nov 2001 
Ratification-1 Jul 2003</t>
  </si>
  <si>
    <t>Yes. Georgia signed  (13 Dec 2000) and ratified (2006) both Protocols, on preventing trafficking and against smuggling.</t>
  </si>
  <si>
    <t>yes,  both- 15 Nov 2001 (signature); 1 July 2003 (ratification)</t>
  </si>
  <si>
    <t>Yes, the Law "On Combating Organized Crime" (2007) regulates state action in the sphere of combatting organised crime. 
State programmes on combatting organised crime and corruption (currently the one for the years of 2013-2015 (see mvd.gov.by/sm.aspx?guid=173163 ) and on counteraction to trafficking in human beings and illegal migration, which contain a timeframe, specific objectives, activities, etc., are operational.</t>
  </si>
  <si>
    <t xml:space="preserve">In October 2013, a National Strategy on the Fight against Organised Crime for 2013-214 was approved by a governmental decree. The strategy covers a broad range of organised crimes including so-called “thieves in law”, racketeering, theft of vehicles, illegal circulation of firearms, and cybercrime. An Action Plan on Fight against Organised Crime was adopted on 4 November 2013. </t>
  </si>
  <si>
    <t>In December 2011, Armenia adopted a National Strategy to improve the effectiveness of the fight against organised crime.</t>
  </si>
  <si>
    <t xml:space="preserve">No. There is no specific strategy or action plan to fight organised crimes. </t>
  </si>
  <si>
    <t>Yes, progress in this field. On 30 June 2014 the Law "On measures against money laundering, terrorism financing and spread of weapons
of mass destruction financing" was enacted.</t>
  </si>
  <si>
    <t xml:space="preserve"> Law on Organised Crime and Racketeering (20 December 2005), law on Criminal Intelligence Activity 27 April 2010), a new Law on Police ( 4 October 2013) which will enter into force on 1 January 2014; relevant provisions of the Criminal Code and Criminal Procedure Code, providing for the criminal responsibility for being a thief-in-law, being a member of the mafia, as well as participating in a racketeering group. </t>
  </si>
  <si>
    <t>Yes. The law "On Combating Money Laundering and Terrorism Financing" entered into force on 31 August 2008. Amendments were made in the respective articles (190 and 217.1) of the RA Criminal Code. An Interagency Standing Commission on Fight Against Counterfeiting Currency, Plastic Cards, and Other Payment Instruments, Against the Money Laundering, as well as Financing Terrorism in the RA was established, and the 2010-2013 National Strategy for Combating Money Laundering and Terrorism Financing was approved on 26 March 2010 at its meeting. The new National Strategy and Action Plan for Combating Money Laundering and Terrorism Financing 2013-2015 were developed by Financial Monitoring Center (FMC) and aim at fulfilling 40 FATF recommendations referring to abovementioned issues. Those documents were adopted in late 2012.</t>
  </si>
  <si>
    <t xml:space="preserve">Yes. Law on Countering Money Laundering and Terrorism Financing. The Law was drafted under the supervision of the Council of Europe, whose recommendations were included in the text of the Law (2009). </t>
  </si>
  <si>
    <t xml:space="preserve">Yes. Council of Europe Convention on Laundering, Search, Seizure and Confiscation of the Proceeds from Crime and on the Financing of Terrorism (ETS 198) - 30/4/2002, 13/5/2004 </t>
  </si>
  <si>
    <t>Yes. Signed - 17 November 2005
Ratification - 2 June 2008   
Entered into force -1 October 2008</t>
  </si>
  <si>
    <t>Yes, progress in this field. The Convention was signed in November 2013; it became effective for Belarus since March 2014. On 19 February 2014, in order to implement accession to the Convention, the bill "On revisions and amendments to the Law of the Republic of Belarus "On counteraction against trafficking in human beings" was introduced to the parliament. The bill defines "trafficking in human beings" and "expulsion" according to the CoE Convention and introduces a 30-day term for personal deliberation over a decision to address law-enforcement agencies about alleged crime of trafficking in human beings against him or her.</t>
  </si>
  <si>
    <t xml:space="preserve">Yes. Signed: 19 October 2005    Ratified 14 March 2007   Entered into Force:  1 February 2008  </t>
  </si>
  <si>
    <t>Yes. Signed : 16 May 2005 
Ratified: 14 April 2008 
In Force: 1 August 2008</t>
  </si>
  <si>
    <t xml:space="preserve">Yes. Azerbaijan signed the CoE Convention on Action against Human Trafficking in February 2010 and ratified in June 2010. </t>
  </si>
  <si>
    <t>Yes, Adopted</t>
  </si>
  <si>
    <t>Yes, the State Programme to Counteract Trafficking in Human Beings, Illegal Migration and the Related Unlawful Acts for the years 2011-2013 is in effect.</t>
  </si>
  <si>
    <t xml:space="preserve">Yes. Since 2003, the Criminal Code of Georgia criminalises trafficking in human beings.  On 1 September 2006, in accordance of an article 10 of the Law the President establishes an Interagency Coordination Council for prevention of Human Trafficking. Another mechanism addressing protection and assistance of victims of human trafficking  was the establishment of the ‘State Fund for Protection and Assistance of Victims of Human Trafficking' in June 2006 (supported by the state budget as well as other incomes permitted by Georgian legislation). In April 2012, pursuant to the recommendation of the GRETA, the 2006 Law on the Fight against Trafficking in Human Beings and the Law on Child Victims of Trafficking in Human Beings were amended introducing, inter alia, a provision on individual risk assessment on the basis of the child's best interests. </t>
  </si>
  <si>
    <t>Yes. Already the fourth National Plan for Action to Combat Trafficking in Persons for 2013-2015 was approved by RA Government on 28 February 2013. The relevant changes were made into the national legislation and a law on “Making Amendments and Addenda into the RA Criminal Code” (HO-220-N) was adopted on 18 November 2009. The Criminal Code was amended in April 2011 in relation to combating trafficking in human beings, toughening punishment for trafficking in children and persons with mental health problems.</t>
  </si>
  <si>
    <t>Adopted</t>
  </si>
  <si>
    <t>Yes, it is in place</t>
  </si>
  <si>
    <t>Yes. On 19 July 2007 interagency Coordination Council on Fighting against Trafficking approved the rehabilitation and integration strategy of the trafficking victims. The Council prepared action instruction for protection of victims (national referral mechanism) and established rule of relevant compensation for them. Another mechanism addressing protection and assistance of victims of human trafficking  was the establishment of the ‘State Fund for Protection and Assistance of Victims of Human Trafficking' in June 2006. The State Fund for Protection and Assistance of the Victims of Human Trafficking is one of the main implementation units of this strategy.</t>
  </si>
  <si>
    <t> In 2013, the Government of Armenia developed a draft law on identification and assistance to the victims of trafficking; however, the lack of formal victim-witness protection continued to be a concern.  The Government of the Republic of Armenia adopted Decree 1385-A on 20 November 2008, 
approving the National Referral Mechanism for Victims of Trafficking in Persons. The latest National Referral Programme is for 2010-2012. But the state doesn’t provide direct assistance to victims and delegates this to non-governmental organisations.</t>
  </si>
  <si>
    <t>Yes.  "State rules for Determining the victims of trafficking" (signed in 2009 by Cabinet of Ministers). But in practice it is used very unflexibly. For example, if a person fits the criteria on the most indicators stipulated in the State Rules, state agencies say that they do not match the criteria. According to the law "On Establishing of Special Entities on Assistance to Human Trafficking Victims" (30 November 2005) victims of human trafficking get opportunity to stay in shelters, get one-time allowance (250 USD), obtain legal, mediacal psychological assistance. This is funded by Interior Ministry.</t>
  </si>
  <si>
    <t>2WL</t>
  </si>
  <si>
    <t>Tier 2</t>
  </si>
  <si>
    <t>Georgia moved from the 1st tier countries in 2012 to 2nd tier country in 2013-2014</t>
  </si>
  <si>
    <t>The State Programme of Comprehensive Responses to Abuse and Illegal Trafficking in Drugs for the period of 2009-2013 is in effect (it has not yet been updated).</t>
  </si>
  <si>
    <t>In 2011 Interagency Coordination Cuncil Combating Drug Abuse was established. In June 2013 the Council drafted the 2013 - 2015 National Drug Strategy and the accompanying Action Plan, has not been adopted officially, work is progressing.</t>
  </si>
  <si>
    <t>The National Programme on Combating Drug Addiction and Illicit Traffic in Narcotic Drugs in the Republic of Armenia in 2009-2012 was approved by the RA President’s Decree NK-162-N on 25 September 2009. But no new AP adopted or was the current prolonged in 2012 and 2013. The officials ensure that a new “National Strategy on Combating Drug Abuse and Drug Trafficking” is close to its final approval by the relevant Interagency Commission that will define the main areas of activities in combating drug problem in Armenia for the coming ten years, i.e. 2014-2024. (https://www.unodc.org/documents/commissions/CND/CND_Sessions/CND_57/HLS/Statements/Fri_14th_PM/12_Armenia_140314_pm.pdf)</t>
  </si>
  <si>
    <t>Yes. Law of the Republic of Azerbaijan on Traffic in Narcotic Drugs, Psychotropic Substances and Their Precursors. Decree of the President of the Republic of Azerbaijan on the Actions to Combat Drug Abuse and Illegal Traffic in Narcotic Drugs (adopted on August 26, 1996), relevant resolutions by the Cabinet of Ministers, as well as the MIA orders and directives.</t>
  </si>
  <si>
    <t>3.2.</t>
  </si>
  <si>
    <t xml:space="preserve">3.2.1. </t>
  </si>
  <si>
    <t>Energy community</t>
  </si>
  <si>
    <t>Membership  Yes/No</t>
  </si>
  <si>
    <t>1-0, 0.5 - observer status</t>
  </si>
  <si>
    <t>Yes, since 1 February 2011</t>
  </si>
  <si>
    <t xml:space="preserve"> Not yet. Georgia is an observer member of European energy community since 2006. There are now ongoing negotiations with the aim to join Energy Community by the end of 2014. The negotations have been postponed for
one year now for unknown reasons.</t>
  </si>
  <si>
    <t>Armenia holds an Observer status in the Energy Community since October 2011.</t>
  </si>
  <si>
    <t xml:space="preserve"> Azerbaijan signed with the EU the Memorandum of Understanding on the creation of strategic co-operation in energy sector. The main objectives of this Memorandum are the diversification of energy sources the EU, as well as development and modernisation of Azerbaijan's energy infrastructure, efficient use of energy resources and their savings, as well as the development of alternative energy.</t>
  </si>
  <si>
    <t>Implementation of commitments:</t>
  </si>
  <si>
    <t>Reform of internal gas market. Do you have national legislation adopted, which is in line with the following acquis: Directive 2003/55/EC; Regulation (EC) No 1775/2005; Directive 2004/67/EC? Yes/No</t>
  </si>
  <si>
    <t>Almost yes. The Law "On Principles of Operations on the Natural Gas Market" and subsequent secondary legislation are in place and gradually implemented, although the market opening and the NJSC "Naftogaz of Ukraine" unbundling have not been completed so far. Unbundling of the regional supply and distribution companies also did not yield significant progress. The NERC adopted more than 10 procedural acts in 2013, setting first steps to introduce RAB-regulation. The Procedure of Access and Connection to the Ukrainian Gas Transit System was amended, providing practically free and undiscriminating access to indrastructure. At the same time, the government refused to adopt a single document on the measures to safeguard security of gas supply as it argued most of the provisions are already included in the acting legislation.</t>
  </si>
  <si>
    <t>Only the Directive 2003/55/EC and partly Regulation (EC) No 1775/2005. In case of directive 2004/67/EC, a draft law has been developed.</t>
  </si>
  <si>
    <t xml:space="preserve">No ( Partial compliance - some compliance exists, but further work required) </t>
  </si>
  <si>
    <t xml:space="preserve">Yes, the gas provision in Azerbaijan is regulated under “About gas provision” law. Currently, the funds targeted for supply of population with gas is increasing year by year. There are special state programmes such as “ State programme on socio-economic development of Baku and its settlements in 2011-2013 implemented by SOCAR. </t>
  </si>
  <si>
    <t>Reform of internal electricity market. Do you have national legislation adopted, which is in line with the following acquis: Directive 2003/54/EC; Regulation (EC) No 1228/2003; Commission Decision 2006/770/EC; Directive 2005/89/EC? Yes/No</t>
  </si>
  <si>
    <t>Partially. The Law "On Principles of Operation of Electricity Market" was adopted in October 2013; however, the development of subsequent secondary legislation has been quite slow, and there was little progress in the transition period. Unbundling of electricity supply and transmission both nationwide (Ukrenergo) and locally (regional supply and distribution companies) requires adoption of a new law. The government has created a coordination group to develop necessary amendments. A number of improvements were introduced to the rules on access to cross-border electricity networks, reducing the number of complaints and enabling more competition. Start of the 22-month feasibility study on Ukraine's grid synchronization with the ENTSO-E was also a positive step forward. The Directive 2005/89/EC on security of supply is being effectively implemented.</t>
  </si>
  <si>
    <t>Only the Directive 2003/54/EC and directive 2005/89/EC. Draft of the Regulation 1228/2003 developed.</t>
  </si>
  <si>
    <t>No ( Partial compliance - to ensure compliance the significant changes in legislation required, however there is large degree compliance with 3005/89/EC). In 2012 Georgia starts implementation of large project the Georgian ELectricity Market Model 2015 that aimed to be developed in accordance with the principles of EU legislation on competitive electricity markets and movement toward the convergence.</t>
  </si>
  <si>
    <t>Some compliance exists.</t>
  </si>
  <si>
    <t>Yes, the parliament approved some national laws for Reform of internal electricity market. This field is managed law on “ about electro energy” and besides, there are   “About energetics” , “About Electric Power” ,  “About utilization of energy resources",  “About electricity and thermal station” legal documents. This sector is under state control.</t>
  </si>
  <si>
    <t>3d Energy Package:</t>
  </si>
  <si>
    <t>Common rules for the internal market in natural gas. Do you have national legislation adopted, which is in line with the Directive 2009/73/EC and the Regulation (EC) No 715/2009? Yes/No</t>
  </si>
  <si>
    <t>Not yet. The previous government of Ukraine was reluctant to form a clear position, despite the Decision 2011/02/MC-EnC of the Energy Community Ministerial Council made the 3rd Energy Package legally binding. The issue has been used as a political tool to bargain with the EU, However, it was mentioned among Ukraine's priorities as the Energy Community 2014 presidency. In March 2014, the new government indicated readiness to implement the 3rd Energy Package, and later adopted several orders and regulations on Naftogaz unbundling.</t>
  </si>
  <si>
    <t>Yes, we have common rules for the internal market in natural gas. This sector is regulated under “About establishment of Rules on appointment of general conditions of gas supply by gas distributors".</t>
  </si>
  <si>
    <t>Common rules for the internal market in electricity. Do you have national legislation adopted, which is in line with the Directive 2009/72/EC and the Regulation (EC) No 714/2009? Yes/No</t>
  </si>
  <si>
    <t>Not yet. The previous government of Ukraine was reluctant to form a clear position, despite the Decision 2011/02/MC-EnC of the Energy Community Ministerial Council made the 3rd Energy Package legally binding. The issue has been used as a political tool to bargain with the EU, However, it was mentioned among Ukraine's priorities as the Energy Community 2014 presidency. In March 2014, the new government readiness to implement the 3rd Energy Package.</t>
  </si>
  <si>
    <t xml:space="preserve">Yes, we have a common rules for the internal market in electricity. This sector  is regulated under “About establishment of the Rules on use of electric energy” </t>
  </si>
  <si>
    <t xml:space="preserve">Environment protection. Do you have national legislation adopted, which is in line with the following acquis: Directive 85/337/EEC; Directive 97/11/EC; Directive 1999/32/EC; Directive 2001/80/EC; Directive 2003/35/EC; Article 4 (2) of the Directive 79/409/EC? Yes/No </t>
  </si>
  <si>
    <t>Partially. The government has approved the Concept and the Ministry of Environment and Natural Resources has developed a draft State Program of Consecutive Reduction of Consolidated Annual Volume of Pollutants Emmission from Existing Combustion Plants by 2020, which bring Ukraine closer to compliance with the Directive 2001/80/EC, but the program is not yet adopted or published. In September 2013, the parliament adopted the draft law on improving the EIA procedures which were cancelled by the Law 3038-VI "On the regulation of urban planning", thus correcting this mistake. Also, the goverment approved the list of activitite and institutions of increased environmental risk, which complies with the annexes of the Directive 85/337/EEC. In August 2013, a new technical regulation on fuel has been adopted; although it provides for reduced content of sulphur in liquid fuels, it also postpones the introduction of Euro-4 and Euro-5 standards, and does not comply with the Directive 1999/32/EC. Other acquis in areas of wildlife protection remain either waiting approval or being drafted.</t>
  </si>
  <si>
    <t>Draft law for transposing Directive 85/337/EEC and Directive 97/11/EC exists.</t>
  </si>
  <si>
    <t>0,5 (Directive 85/337/EEC; Directive 1999/32/EC; Directive 2001/80/EC; Directive 2003/35/EC; Directive 79/409/EC - YES and Partly Yes, 97/11/EC - NO</t>
  </si>
  <si>
    <t>National legislation mostly incompliance with mentioned directives.</t>
  </si>
  <si>
    <t xml:space="preserve">Yes, we have national legislation on  “ About environmental protection” and “ About specially protected natural territories and objects” laws of Azerbaijan Republic. </t>
  </si>
  <si>
    <t>Renewable energy. Do you have national legislation adopted, which is in line with the following acquis: the Directive 2009/28/EC? Yes/No</t>
  </si>
  <si>
    <t>No. Ukraine has developed, published, but not yet adopted the National Renewable Energy Action Plan. The government is also working on approval of the action plan to implement the Directive 2009/28/EC. Despite a number of RES support schemes (see below), the government policy is not systematic: e.g. the RES targets in the draft NREAP (11% by 2020) and the updated Energy Strategy of Ukraine (12.6% by 2030) differ.</t>
  </si>
  <si>
    <t>Draft law developed, waiting for aproval by parliament.</t>
  </si>
  <si>
    <t>Partly, there are some good measures supporting RE, but still far from EU standards.</t>
  </si>
  <si>
    <t>Partly (No improvement from previous report.)</t>
  </si>
  <si>
    <t xml:space="preserve">Yes , there is some progress. The project on “Preparation of technical-economic justification for establishment of independent regulatory agency in energy field” within the frames of “ Support programme of European Union to reforms in energy field” is continued. On 1 June 2012 as a decree of President “About creation of the State Agency for Alternative and Renewable Sources of Energy within the Ministry of Industry and Energy of the Republic of Azerbaijan”. Also, president approved mid-term activities over effective usage from energy and alternative and renewable sources. </t>
  </si>
  <si>
    <t>Energy efficiency. Do you have national legislation adopted, which is in line with the following acquis: Commission Delegated Regulations (EU) No 1059/2010 to 1062/2010 and No 626/2011; Directive 96/60/EC; Directive 98/11/EC; Directive 2002/40/EC; Directive 2006/32/EC; Directive 2010/30/EU; Directive 2010/31/EU? Yes/No</t>
  </si>
  <si>
    <t>Partially. Ukraine has developed, published, but not yet adopted the National Energy Efficiency Action Plan; the document was still improved among several ministries and agencies. In August 2013, the goverment also registered a draft law "On efficient use of fuel and energy resources" (refers to the Directive 2006/32/EC) in the parliament; it was not yet considered. Implementation of the State economic programme on energy efficiency and renewables for 2010-2015 in 2013 was poor, as it didn't provide sufficient financing incentives. The draft law "On Energy Efficiency of Residential and Public Buildings" was rejected by the parliament in the second reading in October 2013; the new version is being prepared by the Ministry of Regional Development. Also, some amendments were made to the state construction standards on residential heating. In August 2013, the government updated technical regulations on energy labelling of lamps, dishwashers, washing machines, refrigerators and freezers, household electric equipment in accordance with the Directive 2010/30/EU and the new Delegated Regulations adopted in the EU. The State Agency on Energy Efficiency and Energy Saving had started the work regarding the Technical Regulations on energy labelling of televisions, household air conditioners and lamps.</t>
  </si>
  <si>
    <t>Directive 2006/32/EC - Yes; Directive 2010/30/EU - Yes; Directive 2010/31/EU - draft waiting in the parliament for aproval.</t>
  </si>
  <si>
    <t>0.5 (partly adopted, partly under consideration, but following national targets (other than 20/20/20))</t>
  </si>
  <si>
    <t>No. There is no law on energy efficiency. Statistics show that 18.4% in 2012 of the electricity is produced by hydropower plants.</t>
  </si>
  <si>
    <t>Oil. Do you have national legislation adopted, which is in line with the Directive 2009/119/EC? Yes/No</t>
  </si>
  <si>
    <t>No. Resolution of the Cabinet of Ministers No.1498 of 8 December 2009 approved the Concept for creation in Ukraine of minimum stocks of crude oil and petroleum products by 2020. There is also a respective draft law developed by the government and still being agreed among various ministries and agencies.</t>
  </si>
  <si>
    <t>No,  Georgia needs to enact legislation that mandates the formation of emergency Oil stocks, a body to own, maintan and manage the oil stocks, a body to own, maintain and manage the oil stocks and delegates and delegates power to an appropriate body to acy in case of supply dstruption, in compliance with 2009/119/EC directive</t>
  </si>
  <si>
    <t>No. Law on oil is not adopted in Azerbaijan yet. This field is basically regulated through PSA contracts and they are ratified in parliament and they are granted constitutional act status. There are “ About oil fund” and “ strategy on management of oil revenues</t>
  </si>
  <si>
    <t>Statistics. Do you have national legislation adopted, which is in line with the following acquis: Directive 2008/92/ЕС, Regulation (EC) No 1099/2008? Yes/No</t>
  </si>
  <si>
    <t>Partially. Ukraine is implementing the Regulation No. 1099/2008 as the State Statistics Service (SSS) issues energy balances by the methodology of the Eurostat and the IEA. As for the Directive 2008/92/EC, regular reporting on gas and electricity prices is not in place, as the SSS needs to establish cooperation mechanism with the NERC. In order to address the challenges, in July 2013, Ukraine adopted the Energy Statistics Action Plan with support of the relevant INOGATE program (component D).</t>
  </si>
  <si>
    <t>No (statistics are available, but no special system for energy statistics established)</t>
  </si>
  <si>
    <t>No, since 2013, there is ongoing programme of INOGATE, to adopt methodologies compatible with the EU Regulation No. 1099/2008 and conduct harmonisation with IEA/EUROSTAT requirements. the National Energy Statistics Action Plan for Georgia 2014 was developed with support of the INOGATE programme, and Assistance to the National Statistics Office of Georgia (GEOSTAT) in the compilation of annual energy balance for 2013.</t>
  </si>
  <si>
    <t>Yes, the law is ratified on statiscs and energy statistics is part of overall statistical systém.</t>
  </si>
  <si>
    <t xml:space="preserve">3.2.2. </t>
  </si>
  <si>
    <t>Other EU energy acquis implementation</t>
  </si>
  <si>
    <t>EU Emissions Trading System. Do you have national legislation adopted, which is in line with the Directive 2003/87/EC? Yes/No</t>
  </si>
  <si>
    <t>No. The establishment of the national ETS in Ukraine is still under consideration. Current co-ordination mechamisms and principles for emission trading, joint implementation projects etc was developed in 2006-2008 and updated in 2011-2012. No major changes were made in 2013.</t>
  </si>
  <si>
    <t>Not yet. Under preparation (to be adopted in 2014-2015)</t>
  </si>
  <si>
    <t>Greenhouse gas emission reduction commitments up to 2020. Do you have national legislation adopted, which is in line with the Decision No 406/2009/EC? Yes/No</t>
  </si>
  <si>
    <t>Yes. Ukraine negotiated to use emmission quotas from the first commitment period in the second one (Kyoto-2). Namely, in the second peroid, it also made commitment to reduce GHG emissions by 24% by 2020 compared with 1990.</t>
  </si>
  <si>
    <t>Yes , Moldova commited to 25% reduction of greenhouse gas emissions by 2020 according to the National Programme on Energy Efficiency 2011-2020. Moldova has not adopted separate legislation in line with Directive 406/2009.EC.</t>
  </si>
  <si>
    <t>0.5 (There is Strategy on mitigation till 2020, but national commitments are very weak, far from EU targets)</t>
  </si>
  <si>
    <t>Emission performance standards for new passenger cars. Do you have national legislation adopted, which is in line with the Regulation (EC) No 443/2009? Yes/No</t>
  </si>
  <si>
    <t>In August 2013, a new technical regulation on fuel has been adopted; although it provides for reduced content of emissions in liquid fuels, it also postpones the introduction of Euro-4 and Euro-5 standards, and does not have any reference to the Regulation No. 443/2009.</t>
  </si>
  <si>
    <t>Yes (from 1 November 2013)</t>
  </si>
  <si>
    <t>No, it is expected the technical regulation for cars will be introduced from 1 March 2015. However, the standards for emission and other technical issues is not clear at this stage.</t>
  </si>
  <si>
    <t>Yes, Azerbaijan is implementing EURO 3 standards since April 2014.</t>
  </si>
  <si>
    <t>Geological storage of carbon dioxide. Do you have national legislation adopted, which is in line with the Directive 2009/31/EC? Yes/No</t>
  </si>
  <si>
    <t>Environmental quality standards for fuels and biofuels. Do you have national legislation adopted, which is in line with the Directive 2009/30/EC? Yes/No</t>
  </si>
  <si>
    <t>No. The Law No. 4970-VI “On amendment of some laws of Ukraine regarding production and use of motor fuels containing biocomponents”, which was adopted in June 2012 and set national targets of bioethanol share, continues to be in effect - despite numerous attempts in 2013 to repeal or postpone the 5% target. The latter is in effect since 1 January 2014; however, the law is not working as Ukraine has neither the demand for mixed petroleum (significant share of vehicles are not adapted to bioethanol), nor the sufficient production facilities, nor the own composite stabilising additives. In early 2014, the Ministry of Energy and Coal Industry published the draft law “On amendment of article 2 of the Law “On alternative types of fuel”, proposing to change the schedule of introducing biocomponent fuels on the market.</t>
  </si>
  <si>
    <t>No (nevertheless our standards are quite close to the EU)</t>
  </si>
  <si>
    <t>No, since 1 January 2012 the decree of Government of Georgia 124, 2004 and 238, 2005 have been enacted on fuel quality norms. However, they do not comply with the system proposed by  2009/30/EC, and define ecological characteristcs onlyof a few components of fuel.</t>
  </si>
  <si>
    <t>RES National Targets. Do you have the relevant national legislation setting binding RES targets adopted? Yes/No</t>
  </si>
  <si>
    <t>Yes, but conflicting. The State programme of energy efficiency and RES development in 2010-2015 sets as a target 10% share of RES in primary energy balance. The RES targets in the draft NREAP is calculated as 11% in total final energy consumption by 2020. At the same time, the same target in the updated Energy Strategy of Ukraine provides for 12.6% by 2030.</t>
  </si>
  <si>
    <t>Yes. 20% by 2020 according to the National Programme for Energy Efficiency 2011-2020.</t>
  </si>
  <si>
    <t>Same as in previous report. RES in Armenia regulated by the following legislative acts: Energy Law of the Republic of Armenia, The Law of the Republic of Armenia on the Regulation Body for public Services, The Law of the Republic of Armenia on Energy Saving and Renewable Energy.</t>
  </si>
  <si>
    <t>RES Support schemes. Do you have national legislation providing for comprehensive support measures adopted? Yes/No</t>
  </si>
  <si>
    <t>Yes. Laws "On Alternative Sources of Energy", "On Alternative Types of Fuel", "On Electricity", "On Energy Saving”, "On Joint Production of Heat and Electric Energy (Cogeneration) and Utilization of the Waste Energy Potential". The Tax Code provides for several tax benefits, and the Resolution of the Cabinet of Ministers No. 444 quarantees also exemption of improts of energy saving equipment from some custom duties. The Arctile 17-1 was several times amended to improve the FiT system in Ukraine by granting state support to alternative energy sources. In July 2013, the govt resolution has created regulatory framework for guaranteeing the origin of electricity from renewable sources. Some progress has been made in the field of REs connection, as well as RES electricity transmission and distribution. However, the local content requirement - despite the NERC adopted a resolution to determine its share in RES projects - remains a serious obstacle, and the plans of new government to review the FiT for solar energy could prevent businesses from investing in Ukraine.</t>
  </si>
  <si>
    <t>Yes but the support schemes are not stimulating enough.</t>
  </si>
  <si>
    <t>Yes (increasing coefficient and other measures according to Law "On RES")</t>
  </si>
  <si>
    <t>No. The Tax Code does not provide any tax incentives for the production and use of renewable energy or power saving equipment, or for the import and operation of equipment for such production. The existing law on electricity and gas does not deal with renewable support schemes.</t>
  </si>
  <si>
    <t>The National Programme on Energy Saving and Renewable Energy of Armenia and the Energy Sector Development Strategies in the Context of Economic Development in Armenia adopted by the Government of the RA.</t>
  </si>
  <si>
    <t>RES grid system issues.Do you have national legislation guaranteeing non-discriminatory RES connection to the grid adopted? Yes/No</t>
  </si>
  <si>
    <t>Partially. The Law 5021-VI "On Amendments to Certain Legislative Acts of Ukraine on the Payment for Access to the Networks of Natural Monopolies" provides for dual financing mechanism (incentives in tariff and repayable assistance) .In late 2012 - early 2013, the NERC adopted resolution on the rules of grid access, on the payments for standard connection and on the methodology for calculating the price of non-standard connection. However, implementation of these mechanisms resulted in complaints of market participants as the grid operator(s) almost always claim the connection is not standard but specific which requires more time and cost (to develop technical conditions for connection by specific service agencies).</t>
  </si>
  <si>
    <t>Yes (connection to the grid is guaranteed for all RES suppliers).</t>
  </si>
  <si>
    <t>No. Law on electricity and gas facilitates the use of renewable energy only  by small HPPs. Electricity produced by small HPPs is subject to obligatory purchase by the System Commercial Operator at the long-term fixed tariff set by GNERWC during the investment.</t>
  </si>
  <si>
    <t>No. The draft law "On state regulation in energy sector", which has been registered in August 2013, was criticised by experts for inability to improve the independent status of the regulatory authority and never considered. Both the old and the new goverment of Ukraine misuse the practice of making "recommendations" (in fact, providing directives) for the NERC on the issues of tariffs and pricing.</t>
  </si>
  <si>
    <t>Yes, according to law, not according to practice. The practice is horrible.</t>
  </si>
  <si>
    <t>No. Regulator on energy market is not independent from Goverment. Role of energy regulator is played by Tariff Council (TC).  Chairman and members of the TC appointed by the president of the country. Chairman of the TC, usually is Minister of Economy and industry. TC members are deputy ministers. Without the consent of the President (with his staff) Tariff Council shall not decide on changes in tariff policy.</t>
  </si>
  <si>
    <t>No. Tariff and pricing policy for households and municipal heating enterprises remains a political issue as the government still uses "recommendations" (in fact, directives) for the NERC to set them, and the levels of energy prices growth by 2017 were fixed in the government resolution.</t>
  </si>
  <si>
    <t>Yes, according to law, not in practice e.g. by the end of 2012, the tariff for electricity was reduced by direct communication between State and companies.</t>
  </si>
  <si>
    <t xml:space="preserve">It is perceived to a high degree that the tariffs policymaking body is under the government's shadow control and serves the interests of high officials. Yes </t>
  </si>
  <si>
    <t xml:space="preserve">No.  tariff policy for gas,  electricity sectors are approved by Tariff Council which is chaired by the Ministry of Economy and Industry. The determination of tariffs in this sector is not economic (based not on world market prices and expenses), but rather on political and social factors (income of population). </t>
  </si>
  <si>
    <t>No. Despite the numerous statement and some progress in 2013, restructuring of the NJSC "Naftogaz of Ukraine" is still in the early stages, and there is no programme for unbundling adopted yet. According to the NERC, regional gas supply and distribution companies implemented several unbundling measures in 2013, but most of the decisions were scheduled for 2014.</t>
  </si>
  <si>
    <t>Yes, only for electricity market</t>
  </si>
  <si>
    <t>No (vertically integrated)</t>
  </si>
  <si>
    <t>Yes  (vertically integrated)</t>
  </si>
  <si>
    <t>No. This sector is under monopoly of state. So, there is no competition, because only one provider.</t>
  </si>
  <si>
    <t>Partially. As of 1 January 2014, industrial consumers, budgetary organisations and municipal heating companies have the possibility to choose gas supplier; the only unliberalised segment are the households. The law on electricity market liberalisation was adopted in October 2013; until it becomes fully implemented, yet, the number of consumers having the possibility to choose suppliers is limited to large enterprises.</t>
  </si>
  <si>
    <t>No. There is no consumers' selection option.  Consumers don’t  have right for choices in electricity supply market, and they are obliged to work only with one state company -"Azerenergy".</t>
  </si>
  <si>
    <t>Partially. The Procedure of Access and Connection to the Ukrainian Gas Transit System was amended, providing practically free and undiscriminating access to infrastructure (both main pipelines and storages). The Rules of Access of Electrical Installations to Electricity Networks were adopted in early 2013 and provide for free access to grids and payable service of grid connection; also, the NERC adopted resolutions on the payments for standard connection and on the methodology for calculating the price of non-standard connection. However, implementation of these mechanisms resulted in complaints of market participants (see the part on RES grid connection issues).</t>
  </si>
  <si>
    <t>Yes, only for electicity market</t>
  </si>
  <si>
    <t>3.2.4 .</t>
  </si>
  <si>
    <t>Energy intensity. Specify the consumption of energy per unit of GDP; Tons of oil  equivalent (toe) / GDP in '000 USD (at PPP) - IEA Key World Energy statistics 2013 (Enerdata, 2013)</t>
  </si>
  <si>
    <t>1 - EBRD best  - Albania=0.09; 0 - EBRD worst - Turkmenistan=0.58</t>
  </si>
  <si>
    <t xml:space="preserve">2 - EBRD best  - Albania=0,08; 0 - EBRD worst - Turkmenistan=0,45 </t>
  </si>
  <si>
    <t>CO2 intensity, kg CO2 per '000 USD GDP (at PPP) - IEA Key World Energy statistics 2013 (data for 2012)</t>
  </si>
  <si>
    <t>1 - EBRD best  - Albania=0.15; 0 - EBRD worst - Turkmenistan=1.45</t>
  </si>
  <si>
    <t>2014 http://www.iea.org/publications/freepublications/publication/KeyWorld2014.pdf</t>
  </si>
  <si>
    <t xml:space="preserve">1 - EBRD best  - Albania=0.15; 0 - EBRD worst - Turkmenistan=1.11  </t>
  </si>
  <si>
    <t>3.3.</t>
  </si>
  <si>
    <t>State ownership of the rail monopolist is preserved, although, it is under corporatisation.</t>
  </si>
  <si>
    <t xml:space="preserve">State ownership of the rail monopolist is preserved. However, railways companies can be privatised. </t>
  </si>
  <si>
    <t>State ownership of the rail monopolist is preserved</t>
  </si>
  <si>
    <t xml:space="preserve">State ownership of the rail monopolist is preserved. </t>
  </si>
  <si>
    <t>State ownership of the rail monopolist is preserved, although it is granted for concession to Russian Railways. However, in 2012, the Republic of Armenia signed with Dubai-based investment company, Rasia FZE, two more concession agreements for railway construction projects.</t>
  </si>
  <si>
    <t>State ownership of the rail monopolist is preserved, though it is corporatised.</t>
  </si>
  <si>
    <t>The state owns monopolies that construct and renovate major share of roads network. However, now first concession is expected to be granted.</t>
  </si>
  <si>
    <t>All roads are constructed by companies selected after tender procedure. There is no state monopoly in the sector.</t>
  </si>
  <si>
    <t>The state owns monopolies that construct and renovate national roads network. But it considers option of granting concession.</t>
  </si>
  <si>
    <t>All roads are constructed by companies selected after tender procedure. There is no state monopoly in the sector</t>
  </si>
  <si>
    <t>All sea ports are state-owned. However, newly created ports can be private.</t>
  </si>
  <si>
    <t>Ports can be granted for concession</t>
  </si>
  <si>
    <t>It is a landlocked country</t>
  </si>
  <si>
    <t>All airporst are owned by the state or municipality, though there are discrete cases of concession.</t>
  </si>
  <si>
    <t>Airports can be granted for concession</t>
  </si>
  <si>
    <t>All airports are state-owned</t>
  </si>
  <si>
    <t>All airports are state-owned, but operated by private company</t>
  </si>
  <si>
    <t>All airports are state-owned.</t>
  </si>
  <si>
    <t>Private cars owners can access to rail infrastructure</t>
  </si>
  <si>
    <t>Railways are operated only by the state company, but the government considers options of attracting private transporting companies</t>
  </si>
  <si>
    <t>Railways are operated only by the state company</t>
  </si>
  <si>
    <t>Railway is managed by  Joint Stock  Railway Company (100% owned by State) , but can be operated with participation of private companies</t>
  </si>
  <si>
    <t>Railways can be operated with participation of private companies</t>
  </si>
  <si>
    <t>Private companies can take part in tenders for roads works. However, now it works on long-term attracting of private companies</t>
  </si>
  <si>
    <t>Private companies take part in tenders for roads works</t>
  </si>
  <si>
    <t>Roads are constructed and maintained exclusively by state monopolies, but the state allowed tender procedures for private investors</t>
  </si>
  <si>
    <t>Private companies construct and maintain roads</t>
  </si>
  <si>
    <t>Private companies can provide handling services in the ports</t>
  </si>
  <si>
    <t>Private companies will be able to operate in new sea port in Baku</t>
  </si>
  <si>
    <t>Private companies can provide airport services</t>
  </si>
  <si>
    <t>Airports are state-operated</t>
  </si>
  <si>
    <t>Railways company is being reformed. Now existing structure is under revision and unbundling.</t>
  </si>
  <si>
    <t>Railways company is the united enterprise, but there different accounts for passenger and freight transportation as well as for infrastructure</t>
  </si>
  <si>
    <t>Railways company is the united enterprise</t>
  </si>
  <si>
    <t>Infrastructure, freight and passenger transportation are separate business units under the State Rail way Company (100% of State owned)</t>
  </si>
  <si>
    <t>Core railway businesses have been partially unbundled</t>
  </si>
  <si>
    <t>Ukravtodor is under refoms</t>
  </si>
  <si>
    <t>Construction and maintenance are separated from roads operation</t>
  </si>
  <si>
    <t>Roads operation and construction are not separated</t>
  </si>
  <si>
    <t>Construction and maintenance can be transferred to private companies, though governmental agency is also responsible for construction of main roads</t>
  </si>
  <si>
    <t>Roads operation and construction are separated</t>
  </si>
  <si>
    <t>Different port services are separated from infrastructure</t>
  </si>
  <si>
    <t>Port in Baku is state-operated as a united enterprise</t>
  </si>
  <si>
    <t>Different airport services are separated from infrastructure</t>
  </si>
  <si>
    <t>Airports are state-operated as a united enterprise</t>
  </si>
  <si>
    <t>There is no independent transport regulator</t>
  </si>
  <si>
    <t>National Agency of Road Transport is created, but it is not fully independent</t>
  </si>
  <si>
    <t>There is autonomous regulatory body.</t>
  </si>
  <si>
    <t>There is an autonomous regulatory body inside the Ministry responsible for air transport matters</t>
  </si>
  <si>
    <t>There is autonomous regulatory body</t>
  </si>
  <si>
    <t>There is a responsible body for all civil aviation regulatory matters that reports directly to the government</t>
  </si>
  <si>
    <t>There is a autonomous regulatory body inside the Ministry responsible for land transport safety</t>
  </si>
  <si>
    <t>There is no independent rail incidents investigating body</t>
  </si>
  <si>
    <t>The road police is responsible for incidents prevention and investigation</t>
  </si>
  <si>
    <t>There is a autonomous regulatory body inside the Ministry responsible for water transport safety</t>
  </si>
  <si>
    <t>There is no independent sea incidents investigating body</t>
  </si>
  <si>
    <t>The Coast Guard Department of Border Police is responsible for incidents prevention and investigation on the sea. 
The Ministry of Sustainable Development and economy adoptes rules for the investigation of accidents in maritime and civil aviation trasport.</t>
  </si>
  <si>
    <t>Maritime Safety Department is not autonomus but it is a part of the State Maritime Administration that is quite independent</t>
  </si>
  <si>
    <t>Independent air incidents investigating body is created</t>
  </si>
  <si>
    <t>There is no independent air incidents investigating body.    The new Aviation Code provides for the creation of such an Agency but it is pending the approval from the parliament.</t>
  </si>
  <si>
    <t>There is no independent air incidents investigating body</t>
  </si>
  <si>
    <t xml:space="preserve">  Civil Aviation and Maritime Transport Accident Incident  that does not causing high risks  is investigated by the service provider/aviation comaony  and report  if requested submitted to  the Minister of Economy and Sustainable Development</t>
  </si>
  <si>
    <t>The flight safety inspection is not an autonomous decision making authority, but the objectivity of its dealings
is assured as requested by the EU</t>
  </si>
  <si>
    <t>A special investigation commission within aviation regulatory body is created for each accident</t>
  </si>
  <si>
    <t>3.4.</t>
  </si>
  <si>
    <t>Environment and Sustainable Development</t>
  </si>
  <si>
    <t>3.4.1. Policy development and implementation</t>
  </si>
  <si>
    <t>3.4.1.1</t>
  </si>
  <si>
    <t>Is the Strategy and Action plan on National environmental policy adopted by the Parliament/ Government? Yes/ No/ Under preparation</t>
  </si>
  <si>
    <t>Yes, Strategy in 2010. NEAP in 2011, with changes in 2013</t>
  </si>
  <si>
    <t>YES. Adopted by the Government and approved by the Parliament as a part of the governmental program, new Environemntal policy is developed as separate doc and is in the Government for approval</t>
  </si>
  <si>
    <t>No (no further development of any documents on strategic level)</t>
  </si>
  <si>
    <t>Yes, 24 January 2012</t>
  </si>
  <si>
    <t>Yes  The second National Environmental Action Plan (NEAP-2) for 2008-2012 is completed. The NEAP-3 is  under preparation. NEAPs in Armenia are approved by government decision.</t>
  </si>
  <si>
    <t xml:space="preserve">Yes. Environmental issues are integrated in the development policy document “Azerbaijan 2020 – Look into the future”, adopted in December 2012. Since the endorsement of this document, MoENR has elaborated the “Action Plan on improvement of the state of environment and efficient use of natural resources 2015 – 2020”, as a new environment policy. </t>
  </si>
  <si>
    <t>it is in the law (separate chapter in Strategy), that obligatory integration should be included as amendment into framework law, but it is still in the process of enactment.</t>
  </si>
  <si>
    <t>Yes. New environmental legislation is beeing developed on the base of the EU Directives</t>
  </si>
  <si>
    <t>0.5 (only according to Law on protection of environment and its secondary legislation)</t>
  </si>
  <si>
    <t xml:space="preserve">Yes. The measures included in NEAPs reflected the integration of environmental demands in plans within other sectors. This approach is envisaged in the concept of planned new Law on Environmental Policy. The National Sustainable Development Plan included the environmental chapter.  </t>
  </si>
  <si>
    <t>Is the Action Plan on joining Shared Environmental Information System coordinatedby EEA adopted by the Government? Yes/No/Under preparation</t>
  </si>
  <si>
    <t xml:space="preserve">It was planned to be adopted in 2012 and to be prepared and adopted according to the NEAP.  Nothing was adopted. SEIS project is still running. Recent developments - following the national workshop (13-14 Nov 2013), in Ukraine it was decided to set up a national high-level, inter-agency SEIS co-ordinating body to empower inter-institutional dialogue. </t>
  </si>
  <si>
    <t>under preparation</t>
  </si>
  <si>
    <t>Yes (data available on the website of Belstat)</t>
  </si>
  <si>
    <t xml:space="preserve">While Action plan has not been formally adopted by the government, there is ongoing implementation of the Action Plan for establishment of SEIS system, including its reflection in the state budget along with establishment of the different e-tools and information exchange systems. </t>
  </si>
  <si>
    <t>Under Preparation. Armenia is involved in implementation of the EU project on ENPI-SEIS for 2010-2014, hence now the country is in the process of capacity building in the field of the Shared Environmental Information System. The first country meeting within this process was held on 7 April 2011. In Armenia the “Country Profiles” – brief information paper on the national environmental information system - has been developed.
The works on preparation of AoA Report on European Environment for the next “Environment for Europe” Ministerial Conference started on the national level.</t>
  </si>
  <si>
    <t xml:space="preserve">No. There is no concrete plan of action yet. But environmental issues are integrated in the development policy document “Azerbaijan 2020 – Look into the future”, adopted in December 2012. </t>
  </si>
  <si>
    <t>PRTR Protocol to the Aarhus Convention was ratified in 2013 (23 December 2013)</t>
  </si>
  <si>
    <t>No changes</t>
  </si>
  <si>
    <t>No changes from the list last year</t>
  </si>
  <si>
    <t>Armenia ratified the  EMEP protocol to LRTAP convention. Protocol is in force for Armenia since 21 January 2014.</t>
  </si>
  <si>
    <t>ESPOO</t>
  </si>
  <si>
    <t>Under consideration</t>
  </si>
  <si>
    <t>By the recent MoP (2011) Armenia was not decided  to be in non-compliance with Espoo convention.</t>
  </si>
  <si>
    <t xml:space="preserve">Aarhus </t>
  </si>
  <si>
    <t xml:space="preserve">case was initiated but not approved by the compliance committee of the Convention, No </t>
  </si>
  <si>
    <t>NO</t>
  </si>
  <si>
    <t>Kyoto Protocol</t>
  </si>
  <si>
    <t xml:space="preserve">no, the case was closed </t>
  </si>
  <si>
    <t>Are UNECE MEAs implementing instruments being adopted? (National laws/ underlaw acts, Implementation plans)?  Yes/No/ Under preparation</t>
  </si>
  <si>
    <t>not all</t>
  </si>
  <si>
    <t>Georgia has not developed the required National law for implementation of the Aarhus Convent</t>
  </si>
  <si>
    <t>Yes 5-years Implementation Plans adopted by RA Government. Now is implementing the plan for 2012-2016.</t>
  </si>
  <si>
    <t xml:space="preserve">Ukraine submits Annual reports that are required </t>
  </si>
  <si>
    <t>Reports for each Convention are prepared by the Ministry according to the reporting procedures of the Conventions and are published on the web-site of the Ministry. Yes.</t>
  </si>
  <si>
    <t>Georgia submits the required reports to secrtetariats of the convention</t>
  </si>
  <si>
    <t xml:space="preserve">Yes -On the national level the semiannual and annual reports are regularly submitted to the RA President office, to the RA government and RA MFA. RA regularly, in accordance with the MEAs Secretariats` demands submit the reports on implementation to the Secretariats of the MEAs. </t>
  </si>
  <si>
    <t>3.4.1.2.</t>
  </si>
  <si>
    <t>still no, elements</t>
  </si>
  <si>
    <t>Yes, but should be revised</t>
  </si>
  <si>
    <t>Yes (new version under preparation)</t>
  </si>
  <si>
    <t>Elements</t>
  </si>
  <si>
    <t xml:space="preserve">Yes but implemented partially  </t>
  </si>
  <si>
    <t>Yes State program on "Poverty Reduction and Sustainable Development in the Republic of Azerbaijan for 2008-2015"</t>
  </si>
  <si>
    <t>National Council for the Sustainable Development of Ukraine was abolished  in 2013. On  13 August 2014 the National Council for Reforms has been formed, that has one of its aims to monitor the realization of reforms in order to achieve sustainable development.</t>
  </si>
  <si>
    <t xml:space="preserve">Yes, formally </t>
  </si>
  <si>
    <t xml:space="preserve">Officially yes, in practice no. the Governmental Commission lead by Prime Minister on SD was establihsed in 2000 and  last time  updated only in  2005   however, since establishment tehre was no meeting of the commission.  </t>
  </si>
  <si>
    <t>Yes. In Armenia is functioning the National Council for Sustainable Development, headed by RA Prime Minister. The important issues related to SD are being included in the agenda of the sessions. The activities of RA NCSD are now devoted to the national actions following the Rio+20 decisions.</t>
  </si>
  <si>
    <t>Yes.  Ministry of Economy and industry of the Republic of Azerbaijan coordinates</t>
  </si>
  <si>
    <t>3.4.1.3.</t>
  </si>
  <si>
    <t>Of which ILO conventions the country is a party? Number</t>
  </si>
  <si>
    <t>no changes</t>
  </si>
  <si>
    <t>No changes (all fundamental)</t>
  </si>
  <si>
    <t xml:space="preserve"> No changes since 2002 -  16 Convention has been ratified (including all 8 fundamental conventions) and in force, 64 needs be ratified according ILO. In force: 29,52,87,88,98,100,105,111,117,122,138,142,151,163,181,182</t>
  </si>
  <si>
    <t xml:space="preserve">No, partially </t>
  </si>
  <si>
    <t>partially</t>
  </si>
  <si>
    <t>Environmental Supervisory Department under ministry of Environment and natural Rsources protection, has biodiversity Control unit</t>
  </si>
  <si>
    <t>3.4.1.4.</t>
  </si>
  <si>
    <t>Compliance with international commitments undertaken by your country in the context of the UN Framework Convention on Climate Change and Kyoto Protocol</t>
  </si>
  <si>
    <t>Were National Action Plans on climate change mitigation adopted?:  Yes/No/ Under preparation</t>
  </si>
  <si>
    <t>No (the previous one  expired in 2012, nothing new is under preparation currently)</t>
  </si>
  <si>
    <t>The National Communication for 2010 approved, has a list of the activities for mitigaton , while there is ongoing preparation of NAMA ,</t>
  </si>
  <si>
    <t xml:space="preserve">Under preparation. The draft  action plan in the field of  climate change mitigation policy is developed and discussed at the national seminar. </t>
  </si>
  <si>
    <t>Under preparation</t>
  </si>
  <si>
    <t>Were National Actions Plan on climate change adaptation adopted? Yes/No/ Under preparation</t>
  </si>
  <si>
    <t xml:space="preserve">No, only  "Plan of prioruty actions of climate change adaptation" was adopted by State Agency for Ecological Investments in 2012 and 2013  </t>
  </si>
  <si>
    <t>under preparation (developed but stil under discussion)</t>
  </si>
  <si>
    <t>No (planned for upcoming years)</t>
  </si>
  <si>
    <t xml:space="preserve"> the National Communication for 2010, has a list of the activities for adapation , while tehre is ongoing preparation of NAPA </t>
  </si>
  <si>
    <t xml:space="preserve">Yes,  the country Framework for NAMA was  submitted to the FCCC Secretary </t>
  </si>
  <si>
    <t xml:space="preserve">Are National Communications being sent regularly? Yes/No. </t>
  </si>
  <si>
    <t>Yes, in 2010</t>
  </si>
  <si>
    <t xml:space="preserve">What year was the most recent sent to FCCC Secretariat? </t>
  </si>
  <si>
    <t>The second National Communication on Climate Change was sent in 2010. Currently the third is being developed.</t>
  </si>
  <si>
    <t>Was it approved by the Convention secretariat?  Yes/No/ Under consideration</t>
  </si>
  <si>
    <t>Is there a national framework policy document (strategy, doctrine) on climate change adopted?  Yes/No/ Under preparation</t>
  </si>
  <si>
    <t>0.50</t>
  </si>
  <si>
    <t xml:space="preserve">No, but it is planned in NEAP in 2014 </t>
  </si>
  <si>
    <t xml:space="preserve">LOW EMISSIONS DEVELOPMENT STRATEGY OF THE REPUBLIC OF MOLDOVA TO THE YEAR 2020 - not approved                             NATIONAL CLIMATE CHANGE ADAPTATION STRATEGY OF THE REPUBLIC OF MOLDOVA - not approved yet </t>
  </si>
  <si>
    <t>Yes, adopted in 2013</t>
  </si>
  <si>
    <t>Elements exist</t>
  </si>
  <si>
    <t>No framework policy on climate change is adopted</t>
  </si>
  <si>
    <t>3.4.2. Resource efficiency, pressure on/ state of environment</t>
  </si>
  <si>
    <t>3.4.2.1</t>
  </si>
  <si>
    <t>18.00%</t>
  </si>
  <si>
    <t>Waste intensity: generation of industrial, hazardous and municipal waste, per GDP unit
t/mln USD</t>
  </si>
  <si>
    <t>2 461 832,9 kg/mln. USD</t>
  </si>
  <si>
    <t>263 576,6 kg/mln USD</t>
  </si>
  <si>
    <t>1 371 734 kg/mln USD</t>
  </si>
  <si>
    <t xml:space="preserve">824 427 kg/mil. USD </t>
  </si>
  <si>
    <t>668 905 kg/mil. USD</t>
  </si>
  <si>
    <t>27 882 kg/mln USD</t>
  </si>
  <si>
    <t>286 kg/per capita</t>
  </si>
  <si>
    <t>401,5 kg/per capita in urban area                                                  220 kg/per capita in rural area</t>
  </si>
  <si>
    <t>386.7</t>
  </si>
  <si>
    <t>200 kg/per capita</t>
  </si>
  <si>
    <t>150.7</t>
  </si>
  <si>
    <t>10-15% (среднее 12,5%)</t>
  </si>
  <si>
    <t>3.4.2.2</t>
  </si>
  <si>
    <t>Ratio CO2/GDP PPP, kg CO2/2005USD data for 2012</t>
  </si>
  <si>
    <t>Ratio CO2/GDP PPP = 0.21</t>
  </si>
  <si>
    <t>3,5 kg/per capita</t>
  </si>
  <si>
    <t xml:space="preserve"> 0,6 kg</t>
  </si>
  <si>
    <t>9 kg/per capita</t>
  </si>
  <si>
    <t>4,0  kg</t>
  </si>
  <si>
    <t>40.5%</t>
  </si>
  <si>
    <t>7.5%</t>
  </si>
  <si>
    <t>0.57</t>
  </si>
  <si>
    <t>4.9 kg/ha</t>
  </si>
  <si>
    <t>1.6  kg/ha</t>
  </si>
  <si>
    <t>3.5.</t>
  </si>
  <si>
    <t>Policies on education, culture, youth, Information society, media, audiovisual policies</t>
  </si>
  <si>
    <t>3.5.1.</t>
  </si>
  <si>
    <t>Education</t>
  </si>
  <si>
    <t>Yes! On 1 July 2014, Ukrainian Parliament passed a new law on higher education. The law will be enacted after the President signs it. Has he signed it? The law is based on the draft law No.1187-2 submitted in 2012 by working group headed by Mykhaylo Zhurovskyi that included representatives from universities, NGOs, expert community, student organizations, employers, etc. This draft was substantially amended and improved to incorporate new opportunities for integration with Europe in higher education. The law legalizes basic concepts and tools of the EHEA, expands university autonomy of HEIs (both administrative and financial), introduces an independent agency for quality assurance, gives equal rights to public and private universities in competing for state funding of undergraduate programs based on quality criteria, urges universities to become more transparent and accountable before the public, substantially promotes social inclusion, reduces faculty and student workload to provide room for research and independent work, makes rectors more accountable to academic community, introduces requirements for implementing anti-plagiarism policies, expands the rights of student self-governance, gives the non-for-profit legal status to all universities independently of their public or non-public nature, etc. The new law on higher education is not about small changes but about the comprehensive reform of the whole system. The main challenge will consist in implementing the reforms, their financial support, and developing mechanisms and procedures of their implementation.</t>
  </si>
  <si>
    <t>No. The new Educational Code was approved by the Government on 28 June 2014. New Educational Code was debated and adopted in the first reading by Parliament on 11 July 2014. By the end of the summer session, Parliament has to vote Education Code in the final reading.</t>
  </si>
  <si>
    <t>Code on Education (2011); not in line with EU and Bologna process standards.</t>
  </si>
  <si>
    <t xml:space="preserve">The law on higher education was adopted on 21 December 2004. The 42 amendments and additions were made in the law in  2005, 2006,2007, 2008,2009,2010, 2011, 2012, 2013, and in 2014.The last amendments were made in the law on 6 December 2013 and 7 March 2014. According to the law, higher education should be based on the principles of democracy, transparency and equal opportunities as well as full autonomy of HEI, It strives to  create a system of higher education with recognizable and easy readable qualifications, promote and increase students’ mobility to and from Europe and to make  higher education attractive for European students and students from other parts of the world.Thus the law on higher education provides mechanisms for achieving conceptual and systematic compatibility with European higher education area. </t>
  </si>
  <si>
    <t>The RA Law on “Higher and Postgraduate Professional Education” was adopted in 2004, amendments done in 07.10.2009 ,  04.02.2010; 04.02.2010; 04.02.2010; 23.06.2010; 28.10.2010; 08.02.2011; 11.05.2011; 08.12.2011; 11.05.2011; 08.12.2011; 30.04.2013; 30.09.2013; 19.05.2014; 19.05.2014; 21.06.2014. It is in line with the Bologna principles.</t>
  </si>
  <si>
    <t>Yes, Azerbaijan signed the Bologna declaration in 2005. The law on Education was adopted in 2009. Decree on higher education integrated with European education system was signed in 2008.</t>
  </si>
  <si>
    <t>New law on higher education defines 5 levels of higher education (primary, first, second, third, and research). The primary level is a short cycle and corresponds to the 5th level of NQF, while the research level resembles habilitation degree in the West and corresponds to the 9th level of NQF. Thus, Ukraine is going to keep its two doctoral degree model. The substantial change is that the "Doctor of Science" degree could now be awarded not on the basis of the dissertation thesis and published book, but on the basis of the dissertation, published book or the set of articles published in the peer-review journals. Other levels of higher education in general correspond to European system. Thus, strictly speaking, the structure of higher education in Ukraine will be the following (4+2+4). Though now the law also will allow for differentiation between academic and professional masters programs. The former will have 90-120 ECTS while the latter only 120 ECTS. From 2016 there will be a last call and enrollment for the "Specialist Degree" program. From then on onle master programmes will be offered for further graduate studies. For some areas, such as medicine, the integrated programs of 300-360 ECTS will be preserved. As to the third cycle, there was no progress in implementing the model of structured PhD programs except through pilot work of few universities. Finally, the new law introduced the requirements for the third cycle in line with European recommendations. Besides, the final decision of awarding PhD degree will be reserved now after the HEIs themselves. The national agency for QA will be in charge of accrediting the specialised university councils for awarding degrees, and will only monitor their performance. While the final decision will rest with the universities.</t>
  </si>
  <si>
    <t>In May 2005 the Republic of Moldova joined the Bologna Process and consequently in 2005 the Law on Education was amended in order to incorporate the basic Bologna Principles. As a result, a two-cycle system of higher education has been introduced in the Republic of Moldova: the first cycle - the Licentiate (with duration of studies of 3 - 4 years) and a second cycle – the Master (1-2 years). Since September 2005 the first cycle has been implemented in all national higher education institutions. In 2008 the implementation of the second cycle started.</t>
  </si>
  <si>
    <t>Formally there is a two-cycle structure of higher education (bachelor level and master level), but de facto the old soviet system remained with 5(4)-years full high education and supplementary master courses.</t>
  </si>
  <si>
    <t>Yes. The three cycle structure was introduced by the Law on Higher Education adopted on December 21, 2004. Article 46. Cycles of Higher Education 
1. The higher education shall be comprised of three cycles. The first cycle may include the teacher 
training programme. 
2. The higher education shall be comprised of the following cycles: 
a) The first cycle (Bachelor’s Program) – an educational programme covering at least 240 ECTS 
credits; 
b) The second cycle (Master’s Program) – an educational programme covering at least 180 ECTS 
credits (except for the case, envisaged by Paragraph 22
 of this Article) ; 
c) The third cycle (Doctoral Program) – an educational programme covering at least 180 ECTS 
credits. Georgia fully implemented three-cycle degree structure compliant with the Bologna Process,  The Lisbon Recognition Convention has been ratified by Georgia and has been implemented three-cycle degree structure compliant with the Bologna Process, PhD degree, obtained in EU countries is recognized in Georgia without any additional preconditions (for details please see “State of Play of the Bologna Process in the Tempus Partner Countries” pages 17-20, map 3; pages 53-55, map 21;http://eacea.ec.europa.eu/tempus/tools/documents/issue09_Bologna_state_play_120720_en.pdf). Procedures of recognition are regulated by the Decree of the Minister for Higher Education and Science # 98/N (1.10.2010; full version:http://eqe.ge/uploads/LawsRegulaions/ENG/98Recognition_EN.pdf) and implemented by the National Center for Educational Quality Enhancement (www.eqe.ge). For details please see http://eqe.ge/eng/service/recognition/foreign_recognition.</t>
  </si>
  <si>
    <t>Three-cycle structure pilot program launched in 1992 in Yerevan State Engineering University, then in 1994 in Yerevan state University. After Bologna process started in Armenia in 2005, the structure started being implemented in all universities. The exception is Slavonic University, with five years diploma. In 2004 all Armenian universities terminated admission of the five year diploma based structure, and by the law the five year diploma degree is announced equivalent to M.A.</t>
  </si>
  <si>
    <t>Three-cycle structure was launched in 2009, after updating of Law on education. In compliance with the new Law on Education, adopted in 2009, the third cycle of higher education in Azerbaijan comprises two levels. On completion of the 1st level which follows after second cycle of higher education the PhD degree is awarded.
Doctoral studies for PhD can be conducted in the form of full-time study-3years, part-time study - 4years and independent research- 4years. On completion of PhD studies and defending thesis a student can continue studies for Dr of Science degree. Studies at this level last 4 years for full-time study, 5 years for part-time study or independent
research.See the report http://www.ehea.info/Uploads/National%20reports/Azerbaijan.pdf</t>
  </si>
  <si>
    <t>The new law on higher education finally legalizes ECTS system and urges universities to introduce it in a correct and unified way. Hopefully, it will lead to abolishing the complicated usage of three evaluations scales mentioned in the previous report and stay with ECTS system. There was no progress with respect to introducing ECTS into non-formal education with further recognition of its results within formal system of education.</t>
  </si>
  <si>
    <t xml:space="preserve">Yes, In the Republic of Moldova the process of institutionalising and using the ECTS began in 2000, with Moldova State University being chosen as a pilot institution. The compulsory implementation of the European Credit Transfer System by all higher education institutions started in 2005. In 2006 a Guide on the implementation of the Credit Transfer System was developed. </t>
  </si>
  <si>
    <t>No, because Belarus is not part of the Bologna process</t>
  </si>
  <si>
    <t>Yes, ECTS has been adopted in 2005 according to the Law of Georgia on Higher Education and is fully implemented in all accredited HEIs. Bachelor programs cannot comprise less than 240 ECTS credits whereas Master programs comprise 120 ECTS and doctoral programs 180 ECTS</t>
  </si>
  <si>
    <t>In 2002 the pilot implementation project started in Yerevan State Engineering University. By RA Government decision dated to 2005, Implementation of European Credit Transfer System became obligatory for all universities. Starting from 2008 all educational programmes in Armenia have been based on ECTS</t>
  </si>
  <si>
    <t>Yes, ECTS was launched in 2010.</t>
  </si>
  <si>
    <t>No. Only some universities issue DS on students' request. With the new law on higher education DS according to European standards becomes an inseparable part of the university diploma. All universities will be required to issue it. The question remains open about the mechanism of preparing and issuing DS -- whether it will be the ministry or universities themselves.</t>
  </si>
  <si>
    <t>Yes, In 2002, the Ministry of Education from the Republic of Moldova introduced DS. Currently DS is issued in the vast majority of study programmes automatically and free of charge, in the language of instruction and English, to every graduate of the Licentiate and Master Programmes.</t>
  </si>
  <si>
    <t>No, because Belarus is not a part of the Bologna process</t>
  </si>
  <si>
    <t>Yes, DS is being issued free of charge to all students of accredited HEIs since 2006. It is mandatory to issue Diploma Supplement free of charge in two languages (Georgian and English) (2005 Minister’s Decree #149). DS describes the qualification in an easily understandable way and is an important tool of students’ mobility within the education system as well as job market.</t>
  </si>
  <si>
    <t>DS was approved by the RA Government decision 23.11.2007 # 1412-N. DS started being issued since 2007.</t>
  </si>
  <si>
    <t>Yes, Diploma Supplement started being issued since 2010.</t>
  </si>
  <si>
    <t>Yes. The NQF was adopted in November 2011. But there was no significant progress both in accomplishing the ministry's Action Plan for implementation of the National Framework for Qualifications and in introducing any changes on the operational level. The system of recognition is still administered by the ministry of education and science. It refers to universities for expert analysis and recommendations but reserves the final decision. The process of the so-called nostrification of PhD degrees earned abroad remained cumbersome and bureaucratic forcing people to defend their dissertations for the second time. Now with the new law on higher education universities will be given a right to take final decision on the correspondence of foreign academic degrees if the person applies for further studies or academic position at this university.</t>
  </si>
  <si>
    <t>National Qualifications Framework of the Republic of Moldova and the National Qualifications Framework for higher education for 145 areas of professional training have been approved by the Minister of Education with order no. 934 of 29 December 2010. During 2011, it was drafted 45 remaining specialties in the National Qualifications Framework in the fields of professional training in higher education and it was drafted the implementation methodology of the National Qualifications Framework.</t>
  </si>
  <si>
    <t>There is no NQF in Belarus. According to the Ministry of Education, they will introduce an  experimental NQF in some years.</t>
  </si>
  <si>
    <t>Yes. NQF has been developed on the basis of EQF and adopted in December 2010 encompassing all study fields existing in the country. The NQF is making qualifications issued by higher education institutions understandable in European Higher Education Area. The main international legal text that aims to facilitate the recognition of qualifications Lisbon Recognition Convention was ratified by the Parliament of Georgia in 1999.  Mutual qualification recognition is responsibility of National Centre for Education Quality Enhancement (Accreditation Centre).   http://eqe.ge/eng/education/national_qualifications_framework</t>
  </si>
  <si>
    <t xml:space="preserve"> In 2011 RA Government ratified “National Education Qualifications Framework of the RA” consisting of 8 levels. (Decision #332, 2011).  On November 22, 2012 the regulation on “Granting Educational qualification” was adopted by RA government. On 11 April 1997, the Republic of Armenia has ratified the Lisbon Convention1 on the Recognition of Qualifications Concerning Higher Education in the European Region. Recognition practice-Stage of Implementation-After the establishment of ArmENIC it became the sole authority for recognition. The HEIs are also eligible for recognition in case a potential student with foreign qualification applies to continue his/her study. Steps envisaged- Monitor how the recognition procedures are implemented in HEIs, - Organise short trainings on recognition procedures and criteria, - Regular update of information, Period for the implementation- 2007-2010   http://armenic.am/?laid=1&amp;com=module&amp;module=menu&amp;id=98. </t>
  </si>
  <si>
    <t>Yes, NQF was adopted in 2007. However, there is no any information about the implementation.</t>
  </si>
  <si>
    <t>I do not know about any trainings that would prepare people for unified approach to the recogntion of qualifications. It seems that this kind of work happens not by referring to NQFs and comparing them but to the content and structure of curricula.</t>
  </si>
  <si>
    <t>N/app</t>
  </si>
  <si>
    <t xml:space="preserve">The meaning is not clear. The answer from the previous year - Mutual qualification recognition is responsibility of National Centre for Education Quality Enhancement (Accreditation Centre).  The NQF has been adopted formally and the implementation has started. Redesigning the study programmes is ongoing and the process is close to completion. http://eacea.ec.europa.eu/tempus/participating_countries/overview/georgia_tempus_country_fiche_final.pdf </t>
  </si>
  <si>
    <t>Qualifications levels: Elementary Education;  Basic Education; Craftsman; Secondary Education; Specialist; Bachelor; Master;  Researcher (Scientific Degree Candidate of Science)</t>
  </si>
  <si>
    <t>In 2013, we could have observed several manipulations of the ministry of education and science with the process of rector's elections and appointment. The most striking case was Ivan Franko Lviv National University which could not have conducted elections of the rector for almost a year. Several universities were subjected to political pressure on by the ministry which was using their need to amend their statutes and was postponing its approval of these statutes. There were also manipulations of the ministry with state funding when less loyal universities were punished by the reduction in the funding. Fortunately, the new law on higher education approves of more autonomy to universities. On the one hand, it safeguards broader autonomy for all universities, and on the other, differentiates between "normal", "national" and "research" universities with offering even more autonomy to national and research universities. At the same time, universities will be required to be as transparent as possible. Besides the requirement to publish the results of self-evaluation reports and accreditation decisions, university budgets, etc., HEIs will be forced to introduce anti-plagiarism policies, including the on-line publication of the dissertation theses before their defense. The final examination for geeting a degree could be audio- or video-recorded. HEIs are urged to include employers' representatives into the examination committees. All of this together could become a powerful tool for fighting corruption in higher education area. At the same time, independent surveys show that many rectors and academic communities are poorly prepared for these changes and do not always associate autonomy with responsibility and public accountability (http://www.cedos.org.ua/system/attachments/files/000/000/035/original/zvit.pdf?1394040016).</t>
  </si>
  <si>
    <t>The new law creates a special national agency for quality assurance in higher education, which will authorize the opening of new programs for all degrees. It will be independent from the Ministry of Education and its top staff will represent different university stakeholders (according to the quota principle) including faculty, students, employers, academies of sciences. No ministry's employee, no rector or vice-rector are allowed to become the members of the agency. The members are going to be chosen collegially at the conferences of the respective stakeholders. The agency will enforce minimal requirements for the learning process according to ministry-approved standards. Thus, the law creates a balanced system where the ministry develops standards, the non-governmental agency gives permission to open programs, and universities, having met the minimal requirements, compete to boost the quality of what they offer. According to the law, quality should be a major factor in such competition because universities will be required to implement internal monitoring of the quality of the education they offer and regularly publish their results. Now licence will be valid for 10 years while initial accreditation for the program will be given for 5 years and any consecutive accreditation will be for 10 years. The accreditation of the HEI as a whole will be replaced by the approval of the internal QA system. It must be also emphasized that students will be given more rights according to new legislation. Thus, university authorities will be required to consult student self-governence before expelling a student, before appointing vice-deans or vice-rectors, before approving the academic code of practice and code of living in the dormitories. The students representation in the rector's election is set at 15% level.</t>
  </si>
  <si>
    <t>No relevant change from 2013. The reorganization and ending of activity for universities is proposed by the Senate and approved by the Government of the Republic of Moldova. Universities are administrated by university senates, headed by rectors; Faculties – by faculty councils, headed by deans; Departments – headed by the chairs.</t>
  </si>
  <si>
    <t>24% (according to data in "White book" of Public Bologna Committee)</t>
  </si>
  <si>
    <t xml:space="preserve">Yes. Academic Council makes decision concerning education and research, Council of Representatives, comprising up to the 30% from students, deals with administrative and financial issues.  Within the structure of higher education institutions autonomy of faculty is guaranteed as well. Faculty Council elects a dean, Council of Representatives elects head of administration (who has to be approved by the Council of Regents), and Academic Council elects the Rector. This was the first precedent that higher education institutions were given a right to elect their academic and administrative leadership. </t>
  </si>
  <si>
    <t>Several universities have some automony due to their status of private institutions.  It is not true for state universities.</t>
  </si>
  <si>
    <t xml:space="preserve">Organization of the activity can be initiated by the university and confirmed by the Ministry of Education. </t>
  </si>
  <si>
    <t>The new law gives rights to universities to resolve many issues concerning the structure and content of their academic programs. For example, state accreditation of academic programs will be optional. HEIs will have a right to apply for accreditation to the independent QA agencies and issue their own diplomas. Besides the main program, a student will be also allowed to follow another academic track and thus get a double-degree diploma. The new law also introduces a reform for the standards of academic programs making them less detailed and grounding them on the comptetences-based and learning outcomes approach. It will be up to each and every university to develop a curriculum that will reflect the content of the standards in a peculiar way fitting the preferences of the university and the context of its work. There will not be identical curricula! Students will be given a right to choose at will up to 25% of their curriculum. The faculty teaching workload will be reduced from 900 to 600 hours a year, thus providing more opportunity for research work. ECTS credit will be changed from 36 to 30 hours with the aim to reduce work in the class and give students more time for their independent work. This also makes possible the quality restructuring of programs – needless courses or subjects that echo one another will disappear. The national and research institutes will be able to design and launch pilote and interdisciplinary programs.</t>
  </si>
  <si>
    <t>No relevant change from 2013. Universities have the right to organize, perform and improve the teaching and research, to define which specializations are to be offered, to develop curricula and analytical programs in conformity with the national educational standards, to organize admission and enroll students, recruit and promote the academic/Non-academic staff, to set up evaluation criteria for academic and research activity, to award academic titles, to elect by vote the administrative and governing bodies, to solve social problems of students, to find additional sources of financing, to establish cooperation with universities, research centres and other institutions from the Republic of Moldova and from abroad</t>
  </si>
  <si>
    <t>10% (according to data in "White book" of Public Bologna Committee)</t>
  </si>
  <si>
    <t>Yes. Curriculum development is fully under the responsibility of the HEIs, according to the principle of academic freedom. New study programmes must be approved according to the internal procedures of the HEI. The structure of curricula and proportion of compulsory and elective subjects are defined by programme leaders at the HEI. The same is true for the research activity of universities.</t>
  </si>
  <si>
    <t>Although it is declared some independence, but it is more formal.</t>
  </si>
  <si>
    <t xml:space="preserve">The universities are dependent from the Ministry of Education and the university programmes are confirmed by the ministry. </t>
  </si>
  <si>
    <t>The new law guarantees financial autonomy. Thus, it legalizes endowments for universities, reduces the number of customs and taxes on their activities and allows state universities to manage their own money rather than the state treasury. The latter will make university life much easier – because of the lack of state funds currently the Treasury may delay some payments to state universities for a month or even more. The law also requires the administration to publish on-line approved budgets for a university and its projects, information on property, data concerning the distribution of wages and other documents. Private universities, can get now a non-for-profit legal status with the right for revenue generating activity. Until now, they were treated a business enterprise and were taxed for their profit. It means that some taxes will be canceled or reduced and the profit will be reinvested into the university's development. The law also declares that state funding could be available both for state and private HEI depending on quality of their work. This opens up the possibility to compete for state funds. The mechanisms and criteria of such a competition are not clearly yet defined. The law mentions the principle of state grants to top high school graduates who will be selected according to the results of the process of the state-administred external independent evaluation. This way of state funding will be enacted from 2016. The national and research universities will be able to J21allocate up to 10% and 25% respectively of their regular budget to research (as against average 1-2%).</t>
  </si>
  <si>
    <t xml:space="preserve">No relevant change from 2013. The main source of financing for the state higher education institutions is the state budget, with budget allocations depending on the number of students. Budgetary financing covers only salaries, stipends and constructions. The universities can also get donations and income from other related activities, such as training, research activities, rental of their spaces and equipment, etc. Fees paid by the students who study on a contract base constitute the most significant income of the universities. </t>
  </si>
  <si>
    <t>26.5% (according to data in "White book" of Public Bologna Committee)</t>
  </si>
  <si>
    <t>Partially. Financial autonomy of public higher educational institutions is restrictedc and financial autonomy is fully granted for private HEIs. Due to 2011 amendments to the Law on Higher Education, that public HEIs need approval of newly created Regent’s Council .  The Council of Regents is formed by the representantives of Goverment of Georgia. for their budget as well as decisions on the disposal of university-owned immovable assets. The draft law on amendment on the law of higher education institutions was intiated in 2013. The objective of draft law was to abolis Council of Regents at Higher educational Institutions and cancel the financial restrictions of higher educational institutions. However, the Parliament of Georgia did not adopt above mentioned draft law. The amendments were made in Law on Higher Education on September 6, 2013 by the Parliament of Georgia. The law defines the range of salaries of high administrative staff of higher educational institutions. These amendments can also be seen as restriction of financial autonomy of public higher educational institutions of Georgia.</t>
  </si>
  <si>
    <t>Middle</t>
  </si>
  <si>
    <t>Not for the state universities, their main source of funding is state.</t>
  </si>
  <si>
    <t>Ukrainian universities will be authorized for the final recognition of foreign diplomas and degrees. Professors with foreign degrees will become equal in the rights with their Ukrainian colleagues. Universities will be able to establish full and guest courses with foreign professors. Importantly, this will be welcomed by Ukrainians who refused to return to their homeland because their foreign degrees needed to be reconfirmed. Rectors'/deans'/chairs' terms at all universities will be five years and one person can be a rector/dean/chair for a maximum of two terms. The procedure of withdrawal from the post of rector has been simplified, meaning rectors will have to take into account the opinion of the university community. Rector is no more a head of the academic council by default. The head must be chosen by the members of the council themselves. Research universities will be able to make final decisions in concurring academic titles of proffesors and docents to their faculty without looking for approval of the ministry.</t>
  </si>
  <si>
    <t>No relevant change from 2013. Once every five years all teaching positions are declared vacant and must be occupied on a competitive basis. The qualifications needed to access these categories are set out in the regulation which governs access to the main categories of academic staff. After passing the selection procedure, a candidate can sign a contract for a 5-year period. Precarious social-ecoNomic conditions in the Republic of Moldova caused a mass migration of the academic staff and as a result caused the deficit of qualified teachers and professors in Moldova. However, despite the deficiencies, the universities can hire academic staff.</t>
  </si>
  <si>
    <t>25% (according to data in "White book" of Public Bologna Committee)</t>
  </si>
  <si>
    <t xml:space="preserve">Yes. The rules for filling academic posts are the same for public and private HEIs. An academic post may be filled only on the basis of an open competition based on the principles of transparent, equal and fair competition. The date and conditions of competition are made public in accordance with the procedures prescribed by Georgian legislation and the HEI’s charter, besides the rules set by law, the HEI may define additional conditions for the selection of academic staff. </t>
  </si>
  <si>
    <t>The universities can hire academic and administrative staff independently.</t>
  </si>
  <si>
    <t>Equal access to Higher education (EIE, university entry ex-ms, essays) Indicate and describe the system</t>
  </si>
  <si>
    <t>In 2014, new leadership of the ministry of education and science reduced the weight of the GPA from high school diploma for the overall position at the entrance to university. Instead of 200 points, it now has 60 points. This was done to provide more equal and transparent access to higher educaion. The new law on higher education finally legalized the system of the external independent evaluation as a main tool for access to undergraduate programs in HEIs. The GPA according to the high school diploma will not be allowed to stand for more than 10% of the final grade for university entrance. The bonus for special kinds of success during secondary education (like having awards in national competitions, etc.) will not be allowed to stand for more than 5% of the final grade. All access to graduate and post-graduate programs will be administered through the system of university exams. The law allows for change of educational profile during the transition from undergraduate to graduate studies provided that the student passes additional exams that can demonstrate his/her ability to master the studies in the new area.</t>
  </si>
  <si>
    <t>No relevant change from 2013. The Ministry of Education establishes the admission rules. Admission to the first cycle is on the basis of marks obtained at the secondary education final exams. Candidates can apply for admission to 3 specialties, finally choosing one. Admissions regulations provide some facilities for certain categories of disadvantaged candidates (up to 15 percent of the total number of candidates in the budget financing admission plan). Admission requirements for the second cycle are determined by the state and university admission regulations. Admission to vocational programmes in Moldova is on the basis of a gymnasium diploma, secondary education diploma or Bachelor degree, depending on the level of vocational education.</t>
  </si>
  <si>
    <t>Enrollment for the first level of higher education (Specialists’ Diploma) is on a competitive basis and depends on the results of the entrance exams (in the form of centralized testing) and grade average of the school leaving certificate.</t>
  </si>
  <si>
    <t>The several important policy changes has implemented from 2005 for equal access to higher Education, specifically: (1) The State takes the responsibility for the admission of students to the first cycle higher education through creating the centralized, objective system and ensuring the principles of equity and meritocracy. A special unit – a legal entity of public law – the National Examination Centre – has been established to implement the Unified National Admission Examinations since 2005. The Examination Centre provides the education system with reliable and objective tools for assessing knowledge and abilities of students. Since 2009 unified master’s exams are held as well. All future MA students have to take GRE. Next stage is examination in specialty, which will be administered by the universities. New model for financing MA studies is based on priority subjects. Students compete for places at public or private HEIs determined by the National Centre for Education Quality Enhancement; (2) The "Quota system" for ethnic minorities in higher education of Georgia was i ntroduced in 2009. Ministry of Education and Science decided to introduce the affirmative action for national minorities. Specifically, the amendment of November 19 of 2009 to the Law on Higher Education, defined the number of national minority students to pass the training program in Georgian language. It also defined that the education institutions, which are to admit the students based on the results of the general skills tests only (administered in Azerbaijani, Armenian, Ossetian and Abkhazian languages), must allocate 5-5% for such admissions for Armenian and Azerbaijani students, and 1-1% for Ossetian and Abkhazian students, from total 100% number of the students to admit, as defined by the National Centre for Education Accreditation (Article 52.51). Also, considering the number of the entrants registered by the same year, to be admitted based only on the results of the general skills tests administered in Azerbaijani and Armenian languages, it is possible to re-arrange the percentage shares/allocations within their totals, in case of such decision by the higher education institution, and with the relevant approval from the Ministry of Education and Science. However the same rule about the Ossetian and Abkhazian languages went  into effect only from 2012-2013 academic year (Article 90.2). The mentioned national minority admission system is temporary, and will stay in effect only until 2018- 2019 academic year (Article 90.2). The details information on quota system can be found on the following link:http://cciir.ge/upload/multi/geo/1392189300_PUB1_ENG_edited_%E1%83%91%E1%83%9D%E1%83%9A%E1%83%9D%20%E1%83%93%E1%83%90%E1%83%A1%E1%83%90%E1%83%91%E1%83%94%E1%83%AD%E1%83%93%E1%83%98%202014_edited_03.02.2014_edited.pdf;                     (3)     Financial aid and grants are provided for socially vulnerable groups under the special social program. According the law on Higher Education in special cases, the government provides the social programs for financially underprivileged students (Articles 6.1C and 52.8). The Goverment of Georgia allocated 1,118,208.0 GEL for 2012-2013 academic year and  2,520,000.0 GEL for 2013-2014 academic year;         (4) Following the decree N 79/N issued on June 24, 2013, State provides funding to the 17 state priority programs of higher education. Approximately 10 milion GEL is allocated for the program and education at these 17 educational program at public higher educational institutions of georgia is free of charge for students.</t>
  </si>
  <si>
    <t>Equal, despite corruption within the system. The information providing tools are weak, awareness is even weaker. No coordinating body for beneficiary search. In order to ensure access to quality education for all since 2007 the Ministryof Scinece and Education of RA starts to implement new strategic action line aiming to establish high school system in Armenia.</t>
  </si>
  <si>
    <t>All pupils have equal access to the higher education. The State Commission on Student Enrollment conduct unified and transparent entrance exams to the colleges and universitites.</t>
  </si>
  <si>
    <t>International students in your country (university level), 2013-2014: Number of students / Per total number of students</t>
  </si>
  <si>
    <t>The total number of students in all HEIs (I-IV levels of accreditation) in Ukraine in 2013-2014 amounts to 2 052 000 people. International students make more than 69 000 people from 146 countries which is 3,36% of all student population.</t>
  </si>
  <si>
    <t>According to the Moldovan Bureau of Statistics in 2013-2014, the ratio is 2138/97285 (university and MA, excluding PhD) which is 2.198 %. 8.7% At the beginning of the school year 2013 - 2014 the number of foreign students was 2100 people, with 5.4% more than the previous school year.</t>
  </si>
  <si>
    <t>More than 13,000 (3.3% Per total number of students) (BELSTAT data)</t>
  </si>
  <si>
    <t>There are 3420 international students in Georgia. 2297 study at state higher educational institution of Georgia and 1123 are enrolled at private HEIs of Georgia. International students consists of 2,9 % of total student population. There are 117 700 student enrolled in higher education institions of Georgia and 2420 are international students  Data is retrives from the web-site of Department of Statistics of Georgia from the web-site: http://geostat.ge/?action=page&amp;p_id=205&amp;lang=geo</t>
  </si>
  <si>
    <t>The number of international Non- armenian sudents for 2012-2013 academic year is 2725 (of total students of 95 300).      2.85%</t>
  </si>
  <si>
    <t>According to the information on the website of the Ministry of Education, the number of foreign students in Azerbaijan were 4961 3.5%. 2663 of them were the citizens of Turkey.  http://www.edu.gov.az/view.php?lang=az&amp;menu=412&amp;page=5</t>
  </si>
  <si>
    <t>In general, foreign students enjoy equal rights. Moreover, the introduction of Integrated Sate Electronic Database for Education somewhat simplified the process of their application for formal studies in Ukraine. Now students can apply on-line and get on-line the necessary invitation for applying for the student visa. But there are still some exceptions. For example, foreign students must pay tuition fee but it is entirely unclear how it is calculated and justified. There are still only few academic programs in English. The Ukrainian universities are also not well prepared to make their academic offer to foreign exchange students in a way that could be understandable for their native universities. This complicates the recognition of foreign students mobilities.</t>
  </si>
  <si>
    <t>Equal rights.</t>
  </si>
  <si>
    <t>Foreign students have more rights than Belarusian students. For example, foreign students have a priority when choosing dormitories. Also usually professors impose lower requirements for foreign students. But there are few opportunities to study in English.</t>
  </si>
  <si>
    <t>The policy is not restrictive. Even more, special funds are allocated for study programs for foreigners at Bachelor and Masters level. Government of Georgia allocated 200 000,0 GEL to fund study of foreigners at Bachelor level (Decree of Minister of Education and Science of Georgia 150/N, September 25, 2013. The decree can be seen at the following link:http://mes.gov.ge/uploads/bakalavriati.pdf; The Goverment of Georgia allocated 45 000, 00 GEL for foreign students for studies at Masters programs (Decree of Minister of Education and Science of Georgia 149/N, September 25, 2013. The decree can be seen at the following link:http://mes.gov.ge/uploads/samagistro.pdf</t>
  </si>
  <si>
    <t xml:space="preserve"> International students enjoy equal rights and restrictions with students-citizens of Armenia. The only exception is payment for study in two universities:  students from Armenian Diaspora pay the same amount for study in all state universities, except of Yerevan State University and Yerevan State Medical University, where they pay 30% more than Armenian students. Other international students in all universities pay more than Armenian students for the same specialization, and they express complain for this.</t>
  </si>
  <si>
    <t>International students have the equal rights as the local students. Only restriction is that not all the universities provide lessons in English or in other internationally recognized languages.</t>
  </si>
  <si>
    <t>Still in progress. The new law on higher education only mentions life-long learning in passing. But the parliamentary committee on science and education works now on the new law on education where LLL is supposed to be dealt with. One of the problems is that LLL is understood very narrowly in Ukraine. It is usually defined as education after graduation and is limited by the law to aquiring a new specialty in the basic area of one's education (e.g. religious studies within philosophy), a new specialization within basic specialty (e.g. medieval history within history specialty); professional development within the same specialty and internship as geeting new experience in the field. At the moment Ukraine does not really distinguish between formal and non-formal or informal education and has no provisions for recognizing the latter within the framework of the former. The positive development is the emergence of the universities of third age and of different types of certificate non-degree programs that match and even exceed in quality and outcomes traditional programs at state universities. Ukraine is pregnant with fixing and regulating new increasingly emerging phenomenon of life-long learning.</t>
  </si>
  <si>
    <t>In progress</t>
  </si>
  <si>
    <t xml:space="preserve">In Progress. The development of National Document on Lifelong Learning" is in progress in Georgia. “Adult Education Strategy in the Context of Lifelong learning” has been developed by Adult Education Association of Georgia in 2009 and presented to the Ministry of Education and Science after series of public discussions, but not approved.The lifelong learning strategy of Georgia was developed by Caucasus University Fund  in the framework of the project funded by European Union. The document can be found on the following link: http://cu.edu.ge/images/caucasus_university/docs/cu/erasmus_mundus/LIFELONG%20LEARNING%20IN%20GEORGIA.pdf. The document was not adopted; however the Ministry of Education and Science works on Education System Strategy and lifelong learning is one of the important direction of the strategy. </t>
  </si>
  <si>
    <t>Yes, “RA Concept of lifelong learning “(2009),</t>
  </si>
  <si>
    <t xml:space="preserve"> 3.5.2.</t>
  </si>
  <si>
    <t>The ministry of culture of Ukraine is in charge of art policy, protection of cultural monuments, libraries, museums, specialized HEIs, language policies, ethnic minorities, and religious affairs. The main national document on cultural policy in a law on culture. The latest amendment to the law was introduced in spring 2014. Recently, the ministry prepared and presented for public discussion the draft of the Conception of State and church Relations in Ukraine.</t>
  </si>
  <si>
    <t>No. But now currently under preparation is the Code of Culture, and one article of the draft stipulates that the president should initiate a national document on cultural policy.</t>
  </si>
  <si>
    <t>In prpgress. The Ministry of Culture and Monument protection of Georgia dveloped concept of cultural policy in 2013. (Available on the web-site: http://www.culture.ge/01.pdf. The cultural policy document is planned to be developed and adopted by the Goverment of Georgia in January, 2015</t>
  </si>
  <si>
    <t>The basic law ‘On the Fundamentals of Cultural Legislation’ was passed in 2002 and since then more specific legislation has been passed including on mandatory copying of documentation (2005), on non-material heritage (2009) and on libraries (2012). Draft laws being developed include those related to Theatre, National Film, Museums etc.</t>
  </si>
  <si>
    <t>The legislation on Culture was adopted in December 2012 and began implementation since February 2013 by the relevant Decree of the President of Azerbaijan Republic.</t>
  </si>
  <si>
    <t>Yes, the National Report on Cultural Policy in Ukraine of CoE (2007). The report was translated into Ukrainian and is available on-line (mincult.kmu.gov.ua/mincult/doccatalog/document?id=95770).</t>
  </si>
  <si>
    <t>Belarus is not in the CoE.</t>
  </si>
  <si>
    <t>ANALYTICAL BASE-LINE REPORT ON THE CULTURE SECTOR AND CULTURAL POLICY OF THE REPUBLIC OF ARMENIA- Studies and Diagnostics on Cultural Policies of the Eastern Partnership Countries. August 2012 (revised January 2013)</t>
  </si>
  <si>
    <t>Ratified. Here is a translation: http://zakon4.rada.gov.ua/laws/show/952_008</t>
  </si>
  <si>
    <t>Ratified</t>
  </si>
  <si>
    <t>Launched in 2008</t>
  </si>
  <si>
    <t>Acceded on 27/02/2007; Ratified in 2009</t>
  </si>
  <si>
    <t>The Convention was ratified in 2009.</t>
  </si>
  <si>
    <t>3.5.3.</t>
  </si>
  <si>
    <t>Yes. The Declaration „About general principles of state youth policy in Ukraine” was  adopted in 1992 and amended in 2006 (http://zakon4.rada.gov.ua/laws/show/2859-12). The Law „On promotion of social development of youth in Ukraine” was adopted in 1993 and the latest amendment was done in 2013 (http://zakon4.rada.gov.ua/laws/show/2998-12)</t>
  </si>
  <si>
    <t>Yes,  policy document was developed in 2013 and was adopted by the Goverment of Georgia on March 28, 2014  The policy document can be downloaded from the following web-site: : http://msy.gov.ge/files/veko/2014%20weli/marti/_%E1%83%A1%E1%83%90%E1%83%AE%E1%83%94%E1%83%9A%E1%83%9B%E1%83%AC%E1%83%98%E1%83%A4%E1%83%9D_%E1%83%90%E1%83%AE%E1%83%90%E1%83%9A%E1%83%92%E1%83%90%E1%83%96%E1%83%A0%E1%83%93%E1%83%A3%E1%83%9A%E1%83%98_%E1%83%9E%E1%83%9D%E1%83%9A%E1%83%98%E1%83%A2%E1%83%98%E1%83%99%E1%83%90.pdf</t>
  </si>
  <si>
    <t>The 2013-17 Strategy for the State Youth Policy of the Republic of Armenia (2012) builds on the Conception of State Youth Policy (1998) and presents specific outputs, funding and implementation dates. The 2012 strategy is based on research studies including theNational Youth Report of Armenia (2011) and Aspirations and Expectations of the Youth of Armenia(2012) by UNDP. Previous youth strategies include the Youth Policy Strategies of 2005-2007 and 2008-2012.</t>
  </si>
  <si>
    <t>The State Program on "Azerbaijan Youth in 2011-2015" was adopted on July 2011.</t>
  </si>
  <si>
    <t>Yes. Report on "Youth in Ukraine. Research on Youth Sector: Challenges and Perspectives". UNDP in Ukraine, 2006 (www.logincee.org/file/12744/library) and report by E.Libanova "Youth and Youth Policy in Ukraine: Socio-Demographic Aspects", Institute of Demography and Society Research at the Academy of Sciences of Ukraine, 2010. (http://www.unfpa.org.ua/files/articles/1/73/Youth%20and%20Youth%20Policy%20-%20Demo%20Aspects%20(UA).pdf)</t>
  </si>
  <si>
    <t>Yes. The national research is conducted by Ministry of Youth and Sport of Georgia and National Centre of Children and Youth</t>
  </si>
  <si>
    <t>Yes .“National Youth Report of Armenia” Yerevan 2011, Ministry of Culture and Youth Affairs of the Republic of Armenia</t>
  </si>
  <si>
    <t>Yes. National Law on volunteering activities (19.04.2011)</t>
  </si>
  <si>
    <t>In Progress. The draft law on volunteering was developed by Civil Society İnstitute and was not adopted by the Parliament of Georgia in 2013. However, it was initiated in the Parliament of Georgia on March 25 2014 by The Judicial Committee of Parliament. The draft law can be downloaded from the following web-site: http://parliament.ge/ge/law/1300/3374</t>
  </si>
  <si>
    <t>The draft law on volunteering were put into circulation by the Armenian Ministry of Labor and Social Issues in 2008. In 2010 the draft was of terminated due to the absent of a cumulative point on its several provisions among respective ministries (http://www.mlsa.am/home/links.php?menu_id=77&amp;child_id=545&amp;id_link=513).</t>
  </si>
  <si>
    <t>Yes, National Law on Voluntarism was adopted in 2009.</t>
  </si>
  <si>
    <t>Yes. Besides, Ukraine had a program on youth employment which consisted in social protection of youth by granting the first employment after university or college graduation. The state organizations were supposed to reserve 5% of the number of vacancies for employing youth. In April 2013, this program was cancelled.</t>
  </si>
  <si>
    <t>Legislation on Youth Policy was adopted in 04/2002. The amendments were made in 05/2007 by the Parliament.</t>
  </si>
  <si>
    <t xml:space="preserve">3.5.4. </t>
  </si>
  <si>
    <t>Information society, media, audiovisual policies</t>
  </si>
  <si>
    <t>EU model of ICT regulations: Adopted / Not adopted / in progress</t>
  </si>
  <si>
    <t xml:space="preserve"> In progress . w.rciproject.com/itprofiles_files/ICT_Country_Profile_Ukraine_2013_1.0.pdf</t>
  </si>
  <si>
    <t>Not adopted</t>
  </si>
  <si>
    <t>No. Concept of E-Society development in RA 2010-2012 (approved February 2010) touches the adoption of EU model in e-society different shperes (http://www.edrc.am/images/National_Strategies/Industrial/e-society.pdf).</t>
  </si>
  <si>
    <t>In progress. Large companies that implemented this. Microsoft Ukraine Partners in Learning community partners with the Ministry of Education, Microsoft Ukraine launches the "Your Step to Safer Internet" contest.</t>
  </si>
  <si>
    <t>Implemented. Armenia joined Safer Internet pan-European initiative since 2009. Activities have been coordinated by Media Education centre with support of Microsoft Corporation, ISOC Armenia, World Vision in 2009 and in 2010. Armenian Safer Internet Day Committee has been established.</t>
  </si>
  <si>
    <t>STANDARDIZATION</t>
  </si>
  <si>
    <t xml:space="preserve">data 2012-April 2013 </t>
  </si>
  <si>
    <t>Elections (national level)</t>
  </si>
  <si>
    <t>Last early parliamentary elections were held on November 28, 2010, while the last local elections - on June 5/19, 2011.</t>
  </si>
  <si>
    <t>1-0, 0,5 - difference between free airtime and news coverage</t>
  </si>
  <si>
    <t>Yes. Each party has the right to publish its election programme in state-owned newspapers Holos Ukrainy, Uriadovyi Courier, and in one regional printed media in every region of Ukraine. Each party and MP candidate is provided with free airtime on state TV and radio channels (for each party: 60 minutes on national public television, 60 minutes on national public radio, 20 minutes on regional TV channels in every region, and 20 minutes on regional radio channels in every region; for each MP candidate: 20 minutes on regional TV channel and 20 minutes on regional radio channel in the respective region). Nevertheless, in the 2012 parliamentary elections the OSCE/ODIHR monitoring results demonstrated that the state-owned Pershyi Natsionalnyi displayed a clear bias in favor of the ruling Party of Regions, devoting 48% of its campaign coverage to the Party of Regions, while devoting only 13 % to United Opposition Batkivshchyna. Some 97% of of the Party of Regions' coverage was in positive tone, while 17% of the United Opposition-Batkivshchyna was negative.</t>
  </si>
  <si>
    <t xml:space="preserve"> Yes.  The Electoral Code (2010 version-art.64¹) stipulated that state-owned media should provide free airtime to all election candidates in a fair and non-discriminatory manner, each election candidate being provided free airtime (5 minutes on TV, 10 minutes on radio and 1 minute daily for election ads) by national broadcasters in parliamentary elections and republican referenda, and by local broadcasters in local elections and referenda. The airtime for paid election ads is granted to all election candidates at the same broadcasting hours. In addition, the national media (including the state-owned one) is obliged to organise in debates with all election candidates running for parliamentary elections. However, last elections showed that not all candidates use these rights. According to the OSCE/ODIHR report for 2010 parliamentary elections "Public Radio/TV company generally respected the legal requirement to provide accurate, balanced and impartial election coverage of the contestants" (source: http://www.osce.org/odihr/75118). National observers upheld this conclusion, stating that national state-owned media have generally ensured a pluralism of opinion when covering election campaign, although the parties in power were slightly favored. (source: http://bit.ly/12MXPUG and http://bit.ly/WGgIG4). Under the amended Electoral Code (April 2011), free airtime to state-owned media is provided only during parliamentary elections and referenda, local elections and referenda being excluded from the list. Nevertheles, the local media remains obliged to organise election debates in local elections and referenda. Speaking about 2011 local elections, the OSCE/ODIHR LEOM media monitoring stated that "the national public TV Moldova 1offered a balanced coverage of the campaign in its editorial programs,  granting access not only to the four parliamentary parties, but also to other contestants, generally presenting them in a neutral tone."  (source: http://www.osce.org/odihr/elections/85409)</t>
  </si>
  <si>
    <t>No, Alternative candidates are only allowed to place their electoral programs in state media, and deliver short speaches on state-owned TV and radio (length depends of type of elections: local, parliamentary or president). State media are totally dominated by pro-governmental candidades; oppositional candidates are often presented in state-owned media in negative light.</t>
  </si>
  <si>
    <t>Yes.  The Electoral Code contains provisions  providing for the allocation of free and paid airtime to election contestants. However difference should be made between free airtime and news coverage. According to the OSCE/ODIHR report on  October 1, 2012 Parliamentary Elections ``The OSCE/ODIHR EOM media monitoring of free advertisements revealed that all advertisement blocks aired by Channel 1 and Channel 2 of GPB started and finished with UNM spots, which may have given the UNM an advantage over other contestants.`` As for news coverage according to the same report   ``The OSCE/ODIHR EOM’s media monitoring indicated that only the Georgian Public Broadcaster (GPB) provided politically balanced news coverage of the campaign. No other monitored TV channels provided balanced news coverage, contrary to their legal obligations. ``</t>
  </si>
  <si>
    <t>Yes, news programes covred all candidates equally according to local and international monitorings.  During Parlamentarian (May, 2012) and presidential (February , 2013) elections  If at the 2012 parliamentary elections balanced 
coverage was provided only during the official pre-election promotion, in February 2013 the period 
preceding it can also be assessed in the same way.</t>
  </si>
  <si>
    <t xml:space="preserve">No. This has been one of the major concerns of the OSCE ODIHR Election observation missions. in all previous elections. Government keeps tights control not only on the state-run and so-called private TV, but also the Public broadcaster.  State-owned media remain accessible only for the government's candidates, while  the opposition party candidates are always either refused or face smear campaign in state-run media outlets. </t>
  </si>
  <si>
    <t xml:space="preserve">No. However, certain campaign activities (namely, campaigning on public TV and radio channels, publication of election programs and election posters) of the contestants are financed directly from the state budget of Ukraine. </t>
  </si>
  <si>
    <t>Yes. Election candidates receive zero percent  loans from the state (art. 37 of Electoral Code).  State loans are cleared off fully or partially by the state depending on the
overall number of votes received by the election candidate in the respective district.  In addition,  the election candidates are provided free air time by state-owned TV and radio companies during election campaign (art. 64¹ of the Electoral Code).  Currently, the Law on political parties  (art.28) regulates state funding for political parties 
between elections (0,2%  of  budget revenues from the last year). The money should be allocated proportionally to  political parties, according to their parliamentary or local elections' results. Only parties that receive parliamentary mandates or a certain amount of votes in local elections are elegible to public funding. Hovwever, due to financial constraints  the public state funding was postponed until 2017 for parliamentary elections and until 2015 for local elections. In February 2013, MJ submitted a draft Law on Financing of Political Parties and Election Campaigns with a delay to the Government. According to the Action Plan for 2012-2013 for implementing the National Anti-corruption Strategy, the law should have been adopted in 2012. The new law is going: to regulate the mechanisms and conditions for private and public financing of political parties and election campaigns, to establish mechanisms for surveilance of parties and election campaigns' financing, to introduce transparent ffinancial reporting procedures and appropriate  sanctions applied for violations of law's provitions etc. The Venice Commision  made public its opinion on this draft law on March 11, 2013. (source: http://www.osce.org/odihr/elections/100077)</t>
  </si>
  <si>
    <t>Yes/No. Printing of leaflets, posters etc. and time on TV are financed from the state budget. This amount of money provided is not enough to organize a decent campaign. Private electoral funds are also allowed. Public funding for the conduct of the campaign is provided to candidates from the state budget. Candidates are allocated approximately EUR 460 to spend on printed campaign materials</t>
  </si>
  <si>
    <t>Yes. However, not all political parties are provided with public funds to finance their activities.The parties benefit from the general annual state financing, which is distributed basically in accordance with the principle of proportional equality. The pool of political parties that are entitled to public funds is provided in the Law on Political Union of Citizens. In particular, those parties that passed the 4% threshold in the last parliamentary elections or 3 % barrier in the last municipal elections are entitled to financing from the state budget. According to the  recent ammendments to the Organic Law, the political parties or their blocks have a right to take credits from  Georgian commercial banks for the campaign purposes. The total ammount of the credits shall not exceed GEL 1 mln (about EUR 460,000). According to the new Election Code, a party or block that receives more than 5% of votes at the elections, shall get the reimburcement of the campaign expenditures in the amount of up to GEL 1 mln including 300 000 GEL for expenditures of TV ads during pre-election campaigh. These funds are supposed to cover the above credits.</t>
  </si>
  <si>
    <t>No. The Parliament of Azerbaijan adopted the Law on Amendments to the Election Code on 18 June 2010. According to this new Law, the old provision that had provided public funding (about 200 Euros) for registered candidate’s campaigns was removed. Therefore, the amendments eliminated the possibility for candidates to receive state funding for their campaign and it created obstacles that disproportionately affected opposition candidates, which desperately needed government funding to cover campaign expenses. The Electoral code of Aerbaijan includes restricitcve provisions on the allocation of free airtime for elction contestants that favor only the governing party. Not all election contestants benefit of free airtime.</t>
  </si>
  <si>
    <t>Is there an independent mechanism for identifying bias in the state media and is identified bias subject to swift correction? Yes/No</t>
  </si>
  <si>
    <t>No. Based on the results of monitoring of the 2007 early parliamentary elections, the OSCE/ODIHR EOM recommended to establish independent media council with a clear mandate to oversee and control free, equal and fair access to the public broadcasters, as well as to strengthen the independence and powers of the National Broadcasting Council to increase its capacity to supervise the broadcast media in an impartial manner. Following the 2012 elections, OSCE/ODIHR recommended to introduce the rules on the coverage of candidates in their institutional roles in the news aimed to prevent broadcasters from giving them privileged treatments. These 2007 and 2012 recommendations have yet to be implemented.</t>
  </si>
  <si>
    <t>Yes. There is a practice established by independent media NGOs over last decade  of monitoring the media coverage during elections, revealing the bias in election coverage by both public and private media. However,  this mechanism is dependent on external donor funding, while the reports are only informative. The Broadcasting Coordinating Council  (BCC) closely monitors media coverage during the election campaign either and presents its findings in regular bi-weekly reports. BCC could apply sanctions or issue warnings against the broadcasters for biased coverage. The last 2010 parliamentary and 2011 local elections showed that the effectiveness of  sanctions applied by BCC is limited. The administrative sanctions enter into force usually afer election campaign, while the fines  are not  high enough  to discourage violations and  make a swift correction in broadcasters editorial policy. After 2011 local elections, OSCE/ODIHR EOM recommended the improvement of BCC enforcement mechanisms by establishing short timeframes for the adoption and entry of sanctions into force (source: http://www.osce.org/odihr/elections/85409). A local media NGO has initiated a process of drafting such amendnemts to the Electoral Code. It is noteworthy to mention that the existing legislation allows the appointment of BCC members on political criteria, a fact that raises concerns on BCC independence. A draft of amended Broadcastng Code has been elaborated by media civil organization and largely discussed with all stakeholders during 2010-2011. The draft was submitted in 2011 to the parliamentary commission on media and it is still waiting to be examined.</t>
  </si>
  <si>
    <t xml:space="preserve"> No. Under the  Electoral Code (Article 51.15) the GNCC is in charge of conduction media monitoring and  assess media compliance with the allocation of free time, maintaining equal conditions for paid time and the balance in the news programs and talk shows.  However this task was not properly fulfilled for 2012 Parliamentary Elections. According to the OSCE/ODIHR report ``The GNCC appeared insufficiently resourced to fulfill its legal obligation to conduct media monitoring.`` Moreover ``..It is not entitled to react to identified imbalances in news or talk shows. By law, such violations should be resolved by self-regulatory bodies within the respective media outlets.``  In order to fulfil this gap  the international donors like the  EU and UNDP have been carrying out the media monitoring for the local elections of 2010 and parliamentary elections of 2012.</t>
  </si>
  <si>
    <t>No.The National Committee of the TV and Radio of RA should identify bias in the public (not state) broadcast media and it is a subject to swift correction, but the Committee is not perceived to be independent: the half of its members is appointed by the President of RA, the other half is elected by the National Assembly of RA that is under the control of the President of RA and ruling party.</t>
  </si>
  <si>
    <t xml:space="preserve">No. Several independent media groups and international organizations, like OSCE/ODIHR maintained daily media monitoring of the media prior to the elections. Though the serious shortages and open bias were recorded, the authorities kept a deaf ear to consider those criticisms. </t>
  </si>
  <si>
    <t>Calibration. O.5 indicates that legislation is implemented but significant irregularities are reported.</t>
  </si>
  <si>
    <t>Yes. However, in 2012 elections international observation missions reported a number of serious irregularities, such as CEC's failure to inform potential candidates on mistakes and omissions in the registration documents filed with the CEC, abuse of administrative resources by candidates in the single-mandate election districts, widespread instances of indirect bribing the voters, incidents of violence and intimidation against MP candidates and campaign workers, hidden campaign funding by MP candidates and parties, late submission of campaign funding reports to the CEC by 2/3 of MP candidates in single-mandate districts, cases of group/proxy voting, lack of transparency in vote counting, as well as serious problems in tabulation of the election results by some District Election Commissions which resulted in impossibility to establish election results in 5 out of 225 single-mandate election districts. A mechanism is in place, represented by the Broadcasting Council (releasing regular monitroing reports during election campaign), Press Counsil and media NGOs. The Broadcasting Council is perceived as more or less indepenednt body. Themain issue is that the Broadcasting Council is not efficient in making corrections.</t>
  </si>
  <si>
    <t>Yes. The OSCE/ODIHR EOM confimed that  the 2010 parliamentary elections met most OSCE and Council of European commitments, although there were registered a number of cases of inappropiate enforcement of legal provisions (quality of voter rolls, superficial financial reporting of election candidates, establishment of polling stations abroad etc. ). As for 2011 local election,  OSCE/ODIHR LEOM  confrimed that the June 5, 2011 local elections largely met the  OSCE and Council of Europe election-related commitments, but recommeded the authorities to address the remaining legal, administrative and regulatory issues regarding the establishment of a centralised electronic voter register, revision of financial reporting mechanisms, improvement of legal provisions tackling vote buying, strengthening the capacity and quality of lower-level election bodies and officials etc.(source: http://www.osce.org/odihr/elections/85409) . National observers ascertained that administration largely followed the election legislation  in local 2011 elections,  although cases of uneven interpretations and insufficient  knowledge of legal norms regarding the registration of election candidates, the filing of financial reports by candidates, the access to voter rolls and the procedures regarding the modification of their content have been reported. However, these deficiences did not have a significant influence on the  election results. (source: Promo-lex report for 2011 elections http://www.e-democracy.md/files/elections/local2011/final-report-promo-lex-local-elections-2011-en.pdf)</t>
  </si>
  <si>
    <t>No. There is a state system of falsification. Local electoral committees are usually biased</t>
  </si>
  <si>
    <t xml:space="preserve">Partially. According to the OSCE/ODIHR report, though elections were competitive, the overall environment was
polarized and tense, characterized by some instances of violence. The state bodies tasked with the application of the electoral legislation, were not perceived as neutral and unbiased. In particular, "The new regulatory body, the State Audit Office (SAO), enjoyed wide discretionary powers, but
overall failed to apply the legal provisions in a transparent, independent, impartial and consistent
manner targeting mainly the opposition. In this regard, questions were raised that challenged due
process and the independence of the judiciary." Freedoms of association, assembly and expression were respected overall, although instances of
harassment and intimidation of party activists and supporters marred the campaign environment and
often ended with detentions or fines of mostly opposition-affiliated campaigners, contributing to an
atmosphere of distrust among contestants. The distinction between state activities and the campaign
of the ruling party was at times blurred; however, without adequate follow up either from CEC or the State Audit Service. </t>
  </si>
  <si>
    <t xml:space="preserve">According to the  Final Report of  OSCE/ODIHR Election Observation Mission during PARLIAMENTARY ELECTIONS 6 May 2012, "The 2012 parliamentary elections were the first national elections to be conducted under the 
new Electoral Code that was adopted in May 2011...The implementation of the Electoral Code fell short, both in letter and spirit, in ensuring an equal playing field for campaigning and protecting voters from undue influence". (http://www.osce.org/odihr/elections/91643) </t>
  </si>
  <si>
    <t>No. The latest  OSCE/ODIHR report on the 2010 parliamentary elections said: "Failure  to  pass  formal  instructions  on  several  key  aspects  of  the  process  led  to  uneven 
implementation  of  the  Election  Code."</t>
  </si>
  <si>
    <t>Calibration, 0,5 - legislation is good but badly implemented</t>
  </si>
  <si>
    <t>No. The 2011 Parliamentary Election Law was submitted to the parliament and passed in the first and final reading during one day; the text of the draft law and adopted law was publicly availavle only after its adoption by the parliament. The type of the electoral system for the 2012 parliamentary election (mixed or 'parallel' system) and the electoral threshold for national constituency (5% of the valid votes cast nationally) was suggested by the president of Ukraine, and the opposition parties in fact were forced to vote for the system and suggested threshold in order to allow certain provisions (aimed to improve the overall quality of the law) to appear in the final version of the law. However, the final version of the Law was supported by both ruling and opposition parties. In 2012 parliamentary elections, international election observation missions noted a number of cases when the provisions laid down in the Parliamentary Election Law were violated or poorly implemented.</t>
  </si>
  <si>
    <t xml:space="preserve">Yes. The international election observation mission confimed that  the 2010 parliamentary elections met most OSCE and Council of European commitments. The Election day procedures, including voting, counting and tabulation, were assessed 
positively by OSCE/ODIHR EOM observers, despite some procedural errors. According to OSCE/ODIHR LEOM  "The 5 June 2011 local elections largely met the  OSCE and Council of Europe election-related commitments". At the same time "Remaining legal, administrative and regulatory issues need to be further addressed in order to ensure continued forward progress" . National observers ascertained that  administration largely followed the election legislation regarding elections,  although   few cases related to technical errors have been reported.  </t>
  </si>
  <si>
    <t xml:space="preserve">Yes. Experts and even many opposition activists agree that the electoral legislation is good but it is badly implemented. According to public opinion polls a half of respondents believes that elections are free and fare (27% think differently). According to the OSCE report  of 23 Sept 2012" (http://www.osce.org/odihr/elections/98146) , 'despite some improvements, the legal framework does not adequately quarantee the conduct of elections in line with OSCE commitments and internarional standards". </t>
  </si>
  <si>
    <t xml:space="preserve">Yes. In spite some important shortcomings the electoral legislation  broadly may percieved to be legitimate. As identified by OSCE/ODIHR, though revised several times, key recommendations by OSCE/ODIHR remained unaddressed. One notable shortcoming is the disparity of the population size in single mandate constituencies, which undermines the equality of the vote. In addition, provisions remain that allow political public officials to combine campaign activities with the conduct of their official duties. Other provisions permit the use of administrative resources for campaign purposes. In addition, tailor-made amendments to the Law on Political Unions, in order to create sifnificant obstacles to the political rival, created perception that electoral legislation did not creat level playing field and lacked necessary legitimacy.  </t>
  </si>
  <si>
    <t xml:space="preserve">No. Both the  Venice Commission and OSCE /ODIHR have both  given lots of recommendations to reform the restrictive nature of the Election Code. But, never they were considered by the government.  Electoral legislation in its current form allolws the ruling party to control electoral commissions at all levels. It has a detrimental affect for the opposition party candidates to race equally in the polls. </t>
  </si>
  <si>
    <t>Calibration, 0,5 - there are shortcomings</t>
  </si>
  <si>
    <t>No. The Parliamentary Election Law failed to provide the CEC with clear guidance on how the number of districts in each region must be established, neither did it contain any requirements that districts must be contigious and that sub-regional administrative boundaries must be respected while establishing the number of districts in the regions and delimitating their boundaries. Based on the 2012 election results, the OSCE/ODIHR EOM recommended to amend the electoral law to provide for a transparent redistricting process, performed well in advance of the next parliamentary elections and based on clear, publicly announced rules, taking into account the existing administrative divisions, and historical, geographical and demographic factors.</t>
  </si>
  <si>
    <t xml:space="preserve">Yes. The electoral districts correspond to the borders of territorial- administrative units of second level of the Republic of Moldova, of the autonomous territorial unit of Gagauzia, Chisinau and Balti municipalities.  As central authorities don't control the Transnistrian region, no consituencies have been establihed for/ in this region since 1992. At the same time, no clear and transparent criteria was used for establishing the polling stations (PS) abroad outside consulates and embassies for the 2010 parliamentary elections (first time experience) . The distribution of PSs abroad did not correspond to the distribution of citizens of voting age residing . Under the Electoral Code (art.87) the seats  in Parliament are allocated according to the method of greatest remainders or the Hamilton method. The “remainder seats” are allocated on an equal basis to all parties that pass the threshold, resulting in a possible distribution of a greater number of seats to small parties. The seat allocation procedure was changed shortly before the 2010 elections , in contradition to the Venice Commision Code of Good practice in Electoral Matters and was widely perceived  as designed to benefit the parties in power.  </t>
  </si>
  <si>
    <t>No. But it's not a subject of any major dispute or critisism on the part of the opposition</t>
  </si>
  <si>
    <t xml:space="preserve">No.  The current rules for Majoritarian election have significant shortfalls. The existing system unfairly distributes mandates by election district and, on the other hand, doesn’t guarantee the proportionality between a specific party’s received votes and seats in the Parliament. Under the current system a party can achieve a constitutional majority in Parliament (two thirds of all seats) if, for example, it receives just 35% of the raw vote in the proportional system and its Majoritarian candidates win in every constituency (to win Majoritarian elections in each district a party must win more votes than any other candidate and not less than 30% of total votes participated in elections). Therefore, even when a party wins only 30‐35% of the raw vote, it can gain a constitutional majority in the legislature. According to national and international reports, the 
disparity of the population size in single mandate constituencies remains a notable long-term shortcoming that undermines the equality of 
the vote. </t>
  </si>
  <si>
    <t xml:space="preserve">Yes. Mainly the demarcation is done, but there are shortcomings concerning the accordance to the rules. </t>
  </si>
  <si>
    <t>Organization of elections</t>
  </si>
  <si>
    <t xml:space="preserve">There is a number of mechnisms in place to ensure accuracy of the data in the State Register of Voters. However, between 1 January and 19 October 2012, 57,917 multiple entries were removed from the State Register of Voters, while in the last two days before the day of election and on election day Precinct Election Commissions made 1,507 inclusions, 19,625 exclusions of voters, as well as changed personal records for 73,357 voters. These numbers demonstrate that more action is needed to ensure that information on the voters in State Register of Voters is accurate. </t>
  </si>
  <si>
    <t>The voters themselves have the possibility to check the accuracy of VLs and ask the Electoral Bureau of the polling station for its revision or update if some errors regarding their personal data are found (art.40, Electoral Code).  The voter rolls are to be made available in the premises of the polling stations, and shall be posted
on the official web site of the Central Election Commission 20 days before the election day. Nevertles, an online verification of voter rolls  on CEC website was not available during 2011 local elections, due to financial constraints.  The quality of voter lists remained an issue during both 2010 and 2011 elections, mainly due to the decentralised  procedure of compiling voter lists.  Mayors are responsible for the compilation of basic VLs, whose electronic copies are submitted to the CEC. The establishemnt of a centalised voter register was seen as a solution to increase the accuracy of voter lists and a respective provision was included in the amendend Electoral Code (2010) . Although initially planned for implementation prior to  2011 elections, the creation of this register was postponed until 2015 .</t>
  </si>
  <si>
    <t>No. There were a lot of cases registered when one person had voted several times and people were not in the register. Citation from OSCE report on existing problems in voter registration: " There is no consolidated or centralized voter list at any level above the PEC, nor are there provisions for national crosschecking to safeguard against multiple voter registrations. 
The Electoral Code does not provide for voter lists to be displayed in public places. Voter registration on election day is not in line with international good practices and, given the lack of safeguards to crosscheck voter lists, could result in multiple voter registrations"</t>
  </si>
  <si>
    <t xml:space="preserve">No.It is imperative that the voter list is permanently available on the website of a responsible agency (CEC)  and that interested individuals have the opportunity to double‐check information and request necessary changes at any time. However, the official website of the Central Election Commission and its search engine do not offer a real opportunity to monitor the voters register. It makes possible to the citizens just only to check their own presence on the list.  In oreder to revise the voter register the Voter List Verification Commission was established by law for 2012 Parliamentary Elections. This commission verified voters` list in some aspect: information about voters abroad, deceased persons and persons not living at registration addresses was more accurate than in previous elections. Nevertheless, a decision to return voters removed from registration and voters whose registration had been annulled back to the voter list, which further increased number of voters on the list  left room for  illegal manipulation with these voters on the Election Day. </t>
  </si>
  <si>
    <t>No. Although the CEC publishes the voter register, there are always complaints from the side of opposition and NGOs regarding misusage of the names of those absent from the country. That's why the NGOs demand to publish the voters lists as well, which is prohibited by the law and rejected by the authorities.</t>
  </si>
  <si>
    <t>Yes. Under the Article 48 of the Election Code, the Precinct Election Commission shall submit the voter lists for public display and for verification or update by the voters at least 35 days prior to the Election Day, and create the necessary conditions for such display and verification. 
The Central Election Commission (CEC) as the main entity worked to improve the centralized voter register. Voters’ lists per polling station were put on the CEC web site for the electorate to consult and act, as appropriate. Voters’ data were verified on line and corrected, where necessary. Local NGOs observed cases of outdated information on voter register lists, as those citizens who passed away were names still remaining on the voter lists. 
There remained a serious discrepancy between the CEC data (4.8 million registered voters as at 13 October 2010), and the State Statistics Committee (according to its own data, as at 1 January 2010, more than 6 million people eligible to vote were residing in Azerbaijan). This inconsistency was not clarified by the authorities despite of serious criticism.</t>
  </si>
  <si>
    <t>Are the criteria for registration fair and reasonable and compliant with international standards? Yes/No</t>
  </si>
  <si>
    <t>Yes. Articles 54 and 55 of the Parliamentary Election Law set forth precise list of documents which have to be submitted by political parties and MP candidates to the Central Election Commission to be registered as electoral subjects. The Law restricts the possibility of refusal of registration or cancellation of registration to formal reasons only (failure to submit all required documents, loss of Ukrainian nationality by MP candidate etc.). However, the OSCE/ODIHR EOM noted that the CEC, in line with the legal requirements, denied registration to Yulia Tymoshenko and Yuriy Lutsenko, two prominent opposition politicians, serving prison sentences following trials internationally criticized as unfair. In respect of these two candidates, the OSCE/ODIHR EOM highlighted the fact that their inability to stand for elections was in contraiction with the OSCE Copenhagen Document. In addition, many MP candidates were not registered with the CEC for minor omissions in their registration documents, which was at odds with the para 24 of the OSCE Copenhagen Document.</t>
  </si>
  <si>
    <t xml:space="preserve">Yes.  All citizens eligible to vote have the right to run for office, with the exception of non-Moldovan citizens, persons under 18 years old or under 25 years old (for mayoral posts), active 
military personnel, prisoners serving their sentence in a penitentiary and persons whose 
criminal records include crimes committed intentionally. (Electoral Code).  The registration process for the 2010 parliamentary elections  was inclusive; the CEC did not turn down any request for 
registration. As for 2011 local elections the OSCE/ODIHR LEOM reported that despite some complaints, candidates  did not express any major concerns regarding the registration process. </t>
  </si>
  <si>
    <t xml:space="preserve">Yes. But in practice these criteria are not ensured properly.. </t>
  </si>
  <si>
    <t xml:space="preserve">Yes. Criteria for registration is generally reasonable but it requires further clarification especially for the Georgian citizens residing abroad.  </t>
  </si>
  <si>
    <t xml:space="preserve">Yes, but during Presidential Elections on February 2013 there was a lawsuit to the Constitutional Court regarding the candidate registration procidure. </t>
  </si>
  <si>
    <t xml:space="preserve">No. The registration is highly politicized and further restricted  mid-2010 amednments to the Election Code. OSCE/ODIHR Election missions have routinely criticised the restrictive registration system.  </t>
  </si>
  <si>
    <t xml:space="preserve">Yes. Based on the 2012 parliamentary election results, the OSCE/ODIHR EOM came to conclusion that in the parliamentary elections candidate registration was largely inclusive and resulted in a deverse field of candidates representing a wide variety of political views. However, the OSCE/ODIHR EOM also noted some shortcomings in the registrations process, such as exlusion of two opposition leaders from the election race, denial of registration to many MP candidates on minor technical grounds, as well as underrepresentation of women among the MP candidates. </t>
  </si>
  <si>
    <t>Yes. Candidate registration process in the 2011 local elections was an inclusive one, overall. Candidates from 20 political parties, 1 
electoral bloc, as well as independents run in local elections. Both international and national observers did not report cases of denying registration, although minor procedural issues during registration process have been noted.All candidates are registered in an inclusive process, if fulfill the requirements of registration. During last 2010 parliamentary elections no candidate was denied registration.</t>
  </si>
  <si>
    <t>No. Electoral committees support pro-government candidates</t>
  </si>
  <si>
    <t>Yes. In total, 14 political parties and 2 electoral blocs comprising eight parties, as well as 2 independent majoritarian candidates contested in the Parliamentary  Elections in October 2012. According to the OSCE/ODIHR report 
``Overall, the candidate registration process was transparent and inclusive.``</t>
  </si>
  <si>
    <t>Yes. But there are other, not legal means to avoid them to apply for registration.</t>
  </si>
  <si>
    <t xml:space="preserve">No . It si a big challenge and very selective. The opposition parties are always in limbo while regsitering their candidates. Government critic amd Pro-opposition candidates and parties have been in many instances  refused from registration on ungrounded and politically-motivated basis. </t>
  </si>
  <si>
    <t xml:space="preserve">Yes. In the parliamentary elections independent candidates can be registered in the single member districts (however, in the nationwide election district only political parties can nominate candidates). To be registered as an MP candidate, a person must have the right to be elected to the parliament as well as submit to the CEC the documents prescribed by the Law. </t>
  </si>
  <si>
    <t>Yes.  For both 2010 early parliamentary and 2011 local elections. The citizens could run as independents if collect a certain number (depending on the office position they are running for) of voter support signatures,  In the  2010 early parliamentary elections, 19 electoral contestants ran as independent candidates. No independent candidate was denied registration.</t>
  </si>
  <si>
    <t>No. Their chances to be registered depend on their political loyalty.egistration of independent candidates generally depends on whether the candidate is loyal to the incumbent authorities or not. This aslo depends on the status of elections: during local and presidential elections independent candidades are more likely to be registered than during parliamentary elections. No. Legal requirements are not the top factor in determining whether a candidate is registered or not (the top factor is the authorities' non-transparent decision). However, a lot of opposition candidates are regularly registered.</t>
  </si>
  <si>
    <t>Yes. According to the amendment of 2011 the new Election Code of Georgia allows independent candidates to participate in the parliamentary elections under the majoritarian system. These candidates can be nominated by a group of 5 voters, who are requested to submit a signed list of supporting voters to the election commission (the candidates have to be supported by at least 1% of voters in the respective election district). Besides, they shall submit a bank document certifying a GEL 5,000 
(about EUR 2,300) deposit made by the majoritarian candidate. In case the candidate fails to receive at least 10% of the votes in the majoritarian elections, this amount will be transferred to the state budget.</t>
  </si>
  <si>
    <t>Yes, still the are cases of rejection of registration, but usually the reason of that remain uncertain or politically motivated.</t>
  </si>
  <si>
    <t>No. The independent candidates who criticize the government policies had ableak chance to be registered even if they fulfil all legal requirements.</t>
  </si>
  <si>
    <t xml:space="preserve">No. According to national opinion poll conducted by IFES in 2012, before the 2012 parliamentary elections more Ukrainians lack confidence in the CEC (47%) than have confidence (34%). The CEC is generally perceived as transparent. Meanwhile, impartiality of the CEC raise serious doubts, since its members are political appointees. </t>
  </si>
  <si>
    <t>According to OSCE/ODIHR LEOM, "The election administration 
performed in an overall transparent and professional manner and was perceived as impartial by 
the majority of stakeholders" during the June 5, 2011 elections. Parliamentary parties nominated members to election management bodies at all levels. Nevertheless, the main opposition party, Party of Communists, contested the political independence of Central Electoral Commission  since its composition does not represent the parliamentary majority and the 
opposition in a balanced manner.  CEC meetings were generally 
conducted in a collegial manner, and were open to the public, media and observers and broadcasted on-line. the decisionswere published on CEC website.  International observers concluded that CEC operated also in a transparent and impartial manner and generally enjoyed the confidence of political parties in the 2010 parliamentary elections, The level of confidence in electoral bodies at the regional and local level is lower.</t>
  </si>
  <si>
    <t>No. The head of the comission even publicly declares that she is a "president's person"</t>
  </si>
  <si>
    <t>No. According to the OSCE/ODIHR report ``Activities The election administration enjoyed a high level of confidence and managed the preparations for the elections in a professional manner. ..The CEC operated efficiently and transparently, holding frequent meetings that were open to observers, party representatives and media... ``  However the fact that on each level of the election commissions the ruling party has majority (six experts + one ruling party representative) to influence each and every decision undermines the work of Election Administration as impartial and objective institution. The Election Commissions are influenced by  political parties which is connected to conflict of interests. While  the Central Election Commission and its subordinate agencies expressed certain readiness for consideration of complaints filed over alleged violations during pre-election campaigning,  the readiness was hardly there on the Election Day and in consideration of complaints during post-election period. These complaints were frequently not upheld for being unfounded. In terms of transparency media was particularly concerned by restrictions on video and photo shooting adopted by the CEC several days before the elections. These new regulations were unsubstantiated and violated the right to photo and video shooting without interference in election processes. Adoption of the act was well beyond the purview of the CEC.</t>
  </si>
  <si>
    <t>No, after Presidential Elections on February 2013 there was a case when Armenian CEC chairman was even  publicly "awarded" by youth activists the title of "Honored artist".</t>
  </si>
  <si>
    <t>No. Central Election Commission (CEC) operates under strict government surveillance, with always producing reports and issuing rules favoring the ruling party. The CEC takes most important decisions affecting the electoral process, such as the registration of candidates. The Constituency election commissions and presinct election commisions are all headed by the ruling party representatives, who are de-facto appointed to guarantee the the vote outcome favouring the government. There is a widespread belief among opposition and civil society groups that President Aliyev is using the CEC to organize unfair elections that will allow his government to stay in power.</t>
  </si>
  <si>
    <t xml:space="preserve">Yes. In the parliamentary elections, the names of the parties  appear on the ballot paper for voting in the nationwide constituency according to the order determined by lot. The names of MP candidates registered in a single member constituency appear on the ballot paper in alphabetical order of the candidates' surnames. </t>
  </si>
  <si>
    <t>Yes.The design and the text of the electoral ballot is approved by the Central Electoral Commission. Electoral contestants are listed on a ballot in the order determined by lots’ results drawn daily  by competent election administration body. (art. 48 of Eletoral Code)</t>
  </si>
  <si>
    <t xml:space="preserve">Yes. The ballot designs as well as method of voting are determined by rules and regulations and are not arbitrary </t>
  </si>
  <si>
    <t xml:space="preserve">Yes. There has not been any serious concern on that, though the few shortages include the ballots with the absence of emblem of party nominating its candidate, ballots with white-black color, ballots in Latin alphabet among old people knowing only Cyrillic, particular in villages and other shortages create obstacles during the voting.    </t>
  </si>
  <si>
    <t xml:space="preserve">Yes. However, in 2012 OSCE/ODIHR EOM reported tension and unrest in 2% of election precincts, as well as isolated cases of voter intimidation, proxy and multiple voting, group voting at 5% of election precincts observed, while at 6% of the election precincts observed not all voters marked their ballot papers in secret. According to the OSCE/ODIHR EOM, in 12% of the election precincts observed web cameras were placed in a way that they could compromise the secrecy of voting. IFES observers also reported that accessibility of polling stations for disabled voters was uniformly weak. </t>
  </si>
  <si>
    <t>Yes. However, most of polling stations  did not provide access to people with disabilities. The voting is less secure and accesible  for voters residing in the Transnistrian region who should move to the special polling stations in neighboring villages under the control of constitutional authorities, to cast their vote. Usually, the access to special polling stations is obstructed by the Transnistrian border guards, which strengthen the border control on Election Day, recording all people crossing the border and checking more rigorously their IDs.  In the second round of 2011 local elections, CEC decision to remove the curtains from polling booths affected the secrecy of voting. Althougth the Supreme Court annuled the decision on the evening before Election Day, not all polling stations were informed of this decision, and there were reported cases when the secrecy of the vote was compromised. Besides, the national and international observers reported that a number of polling stations were not adequately arranged, with premises that were too small  and with insufficient numbers of polling booths.</t>
  </si>
  <si>
    <t>Yes. While OSCE/ODIHR observers assess voting as generally well organized and  evaluated the process positively in 93 per cent of polling stations,  process in 7 per cent of polling stations were assessed negatively where number of violations did not contribute to the secrecy of voting. According to the OSCE/ODIHR report ``The process was assessed more negatively in rural areas (9 per cent) compared to urban areas (5 per cent)...  OSCE/ODIHR observers noted that voters did not always mark their ballots in secret and observed group-voting in five per cent of polling stations observed. Some inconsistency in the use and checking of ink, which is envisaged as a safeguard against multiple voting, was reported from seven per cent of polling stations observed. In order to be valid, a ballot paper must contain the signature of the issuing PEC member and the PEC stamp on the reverse. ``</t>
  </si>
  <si>
    <t>Yes by the law, but most of the polling stations are not accessable for people with dissabilities, and some are not secure .</t>
  </si>
  <si>
    <t xml:space="preserve">No. In many cases, authorities and law enforcement officials, and government-orchestrated sportsmen  directly interfere and intimate voters in order to make them to vote for pro-government candidate. It continues to breach the secrecy of the vote. There has not been any serious challenge in the accessibility of the polling station. As to the security of the polling, the cameras installed in polling station were reportedly used to scare the vulnerable groups in the regions in order to avoid them voting the opposition candidates. </t>
  </si>
  <si>
    <t>Yes. The procedures for printing the ballot papers, for distribution of the ballot papers to the election commissions, as well as for voting are rather detailed, that can be viewed as additional mechanism for prevention of electoral fraud. Yet, in practice a number of  instances of fraud were reported in 2012 parliamentary elections.</t>
  </si>
  <si>
    <t>Yes. According to the Electoral legislation, the voters who exercised their vote, are applied a stamp on the ID card annex or on the documents on which the voter votes. This procedure reduces the possibility of multiple voting. 
The premises where ballots are stored before the Election Day are guarded by the police. Only the chairperson of respective district electoral council or polling station electoral bureau, accompanied by at least two other members of the council or bureau, shall have access to them during this period.
The large number of domestic and international observers deployed during the last election campaigns  also plays a role in reducing the election fraud.
The Electoral Code provides a criminal penalty provision for multiple voting and stuffing ballot boxes (Art. 70).</t>
  </si>
  <si>
    <t>No. There are many cases when local electoral committees themselves folsified voting.</t>
  </si>
  <si>
    <t>No. Legal provisions on the resolution of election disputes are ambiguous and would benefit from further clarification. There is frequently a lack of understanding of procedural provisions regulating complaints and appeals, both among complainants and election commissions. It mostly comes on the possibility for parallel complaints. Moreover the deadline for the consideration of appeals by election commissions is too short for an effective review and redress.  Decisions of District Election Commissions (DEC) are not always provided to complainants in writing immediately upon their adoption and seldom include legal reasoning, which effectively deprive complainants of their right to seek timely legal redress.   Generally ``The complaints and appeal process was observed to be characterized by efficiency, well-reasoned decisions and a high degree of transparency``- according to the OSCE/ODIHR report.</t>
  </si>
  <si>
    <t>Yes, there are systems, but in many cases they are or misused or are not effective. E.g. the ink of stamp in the voted person's passport dissapears almost immediately after voting. http://ombuds.am/en/library/library/page/101/type/3</t>
  </si>
  <si>
    <t xml:space="preserve">No. The existing few mechanisms for avoiding vote fraud remained on the paper and not used in practice.  There was even at least one case when a human rights defender (Vidadi Iskandarov, who was aknowledged by Amnesty International as a prisoner of conscience) was arrested after he  submitted documented violations and falsifications in several polling station.  </t>
  </si>
  <si>
    <t>Yes. Vote buying is precluded mainly through the possibility of observation of elections (including voting and ballot counting) by the observers, as well as through the provisions of the Criminal Code of Ukraine which envisage criminal liability for illegal usage of the ballot papers. However, in 2012 the OSCE/ODIHR EOM detected isolated cases of explicit vote buying on election day.</t>
  </si>
  <si>
    <t xml:space="preserve">According to the Electoral Code (art.38) , the election candidates are prohibited to use public means and goods (administrative resources) in election campaign, to offer voters money or gifts, and to distribute goods free of charge, including humanitarian aid or other charity. However, the Code does not have a clear penalty provision for vote buying. At the same time, the offering of electoral gifts by all electoral contestants is a common phenomenon in elections and no electoral contestant has been penalized for this so far. During the June 5, 2011 local elections, national observers have reported a high number of  cases of electoral gifts distribution to voters by candidates . The CEC subsequently asked the Ministry of Interior (MoI) to investigate the matter. No candidate was sanctioned.  In December 2011 a special provision on corruption of voters was added to the Penal Code (art. 181`), that entered into force in February 2012. According to this provision the offenders could be sanctioned with up to 3 years of imprisonment for bribing voters. In February 2013, the Parliament adopted in first lecture new amendments to the art.181' aimed to extend the number of goods falling under the category of electoral gift and to tighten sanctions for vote buying (1 to 5 years of imprisonment or a fine in amount of 200 to 500 conventional units, and interdiction to hold certain positions or to practice certain activities for a term up to 3 years). </t>
  </si>
  <si>
    <t xml:space="preserve">No. But vote buying is illigal according to law. </t>
  </si>
  <si>
    <t xml:space="preserve">Yes, but the system should be improved. Though under the Electoral Code, a political party or candidate could be de-registered if fact of vote-buying is proved by the court, the system is totally ineffective. In practice, none of the cases of vote buying identified by the political parties and non-governmental organizations and brought to the attention of the election administration and courts have been effectively examined or followed up. Article on vote buying was considerably amended in December 2011 and in May 2012 following a civil society campaign, the implementation of the provision in the Criminal Code on vote buying, was last amended. However According to the OSCE/ODIHR report ``..it remains unclear as the current wording has yet to be tested and interpreted in court.`` Also articles of votebuying in Election and Criminal Codes should be harmonized.
 </t>
  </si>
  <si>
    <t>Yes, but in the practice it never happens, and there were no cases of provement of vote buynig.</t>
  </si>
  <si>
    <t>No.  Even though it is forbidden under the law, it continues to be widespread tactic for the incumbent regime during all elections. All administrative resources are always used by the authorities for vote buying, very often through intimidation and financial incentives. There is no  political will at all within the government to prevent vote buying and tempering the electoral process.</t>
  </si>
  <si>
    <t>Yes. In 2012, the OSCE/ODIHR EOM assessed voting process positively in 96% of election precincts observed, while the cases of voter intimidation were rare.</t>
  </si>
  <si>
    <t>Yes. In the local elections of June 5, 2011, both national and international observers reported isolated cases of intimidation. The findings of the quick vote conducted in the June 5, 2011 local elections (10% of all polling stations)  by a local NGO (Promo-Lex) showed that in the 13 % of  the observed polling stations there were reported cases of violence and intimidation towards voters. However, these were singular cases which did not affect the results.</t>
  </si>
  <si>
    <t>No. Authorities can achieve needed results of elections by total control of electoral committees.</t>
  </si>
  <si>
    <t xml:space="preserve">Partially. There are mechanisms in to preclude fraudulent voting. In particular, application of special ink, voting only with ID cards/passports, signature required once a voter receives a ballot paper. However, these mechanisms in some instances are not effective. In particular, according to the OSCE/ODIHR report, "Some inconsistency in the use and checking of ink, which is envisaged as a safeguard against multiple voting, was reported from seven per cent of polling stations observed. . . Voter identification (ID) procedures were generally followed. In eight per cent of polling stations observed individuals were turned away as their names were not on the voter list. In a further five per cent of polling stations voters were turned away because of lack of proper ID." </t>
  </si>
  <si>
    <t xml:space="preserve">Despite the local NGOs and intenational organizations report on intimidation, still no charges have been brought for that . http://www.osce.org/odihr/elections/99931 </t>
  </si>
  <si>
    <t>No. The systematic pressure and intimidation are routinely applied to by the authorities to get the desired result in the elections. It has a chilling effect on the voters, who mostly are vulnerable groups. People living in the fear of climate are afraid to challenge such pressures, as they could face the bad consequences, like being dismissed from job, interrogated or being detained.</t>
  </si>
  <si>
    <t>Yes. The procedure for registration of both domestic and international observers is rather simple. For the 2012 parliamentary elections, the CEC registered election observers from 68 national NGOs, 28 foreign states and 35 international organizations.</t>
  </si>
  <si>
    <t>Yes. The registration procedure for both domestic and international observers involves the submittion of a request letter from the organisation that propose the observer,  a copy of its ID or passport, a copy of NGOs registration dcertificate, and  photo for an international observers.  The refusal to register observers must be justified and can be appealed according to hierarchical competence, and later – in the law court (art. 63, Electoral Code).  No observer was refused accreditation in both  2010 parliamentary and 2011 local elections. For the 2010 early parliamentary elections 3,214 observers (domestic and international) were accredited, and for the July 5, 2011 local elections - 146 international and  1010 domestic observers .</t>
  </si>
  <si>
    <t>Yes, there is such desire but it is not fully satisfied. Polling committees often dismiss observers and make barriers for observation.  Four short-term observers from OSCE participating States, including two parliamentarians, were declared unwelcome by the Ministry of Foreign Affairs. The OSCE/ODIHR conveyed their strong disapproval of such treatment to the authorities.</t>
  </si>
  <si>
    <t xml:space="preserve">Yes. In most cases, NGOs or journalists willing to observe elections can freely register as an observer either with the Central or District Election Commissions. However in some cases problems with regard to the  independent and neutral election monitoring were identified during 2012 Parliamentary Elections. </t>
  </si>
  <si>
    <t xml:space="preserve">Mostly yes, but there are cases, when the observers were intimidated or even dismissed from the polling stations. "the OSCE/ODIHR EOM was informed that candidate proxies and accreditedobservers had attempted to file more complaints but had encountered obstruction from PECs, 
including refusal to record irregularitiesin theirjournals orto receive an official complaint." http://www.osce.org/odihr/elections/99931 </t>
  </si>
  <si>
    <t xml:space="preserve">No. It becomes extremely difficult for the critical NGOs or individuals to get registered for election observation.  In some cases some groups manage to get regsitered for observation, but overall the situation with observation is not satisfactory at all. / There were even number of cases when the international NGOs were banned from observation of the Parliamentary elections as they were refused by the CEC to be registered. </t>
  </si>
  <si>
    <t>The OSCE/ODIHR EOM assessed vote counting positively in 89% election precincts observed. The list of detected irregularities includes instances of violations of the legally prescribed procedures for vote counting and compiling the vote counting protocols, interference of unauthorized persons in the work of the Precinct Election Commissions, obstruction to observation of vote counting.</t>
  </si>
  <si>
    <t>Yes. he Quick Count and Parallel Vote Tabulation processes were couducted in for the  June 5, 2011 local elections too, but on a limited area (only in the 3 cities -Chicinău,  Bălci and Comrat- 10% of all polling stations). The  parallel vote count largely confirmed the official election results. Although national observers reported some discrepancies in counting protocols, they could not influence the final election results. (source: http://www.e-democracy.md/files/elections/local2011/pr-promo-lex-local-elections-06-06-2011-en.pdf) A parallel vote tabulation operation (PVT) and a qualitative and quantitative quick count of votes (Quick Count) conducted by a domestic NGO (Promo-LEX) during the 2010 early parliamentary elections have also largely confirmed the official election results. The OSCE/ODIHR EOM made also an overall positively assessment to the vote count at polling stations in 2010 elections.</t>
  </si>
  <si>
    <t>No, the count is assessed as bad. Observers have little possibility to observe counting procedure.</t>
  </si>
  <si>
    <t>No. According to the OSCE/ODIHR report ``..observers evaluated the counting process less positively than voting, with a negative assessment given in almost one sixth of polling stations observed (25 out of 159 polling stations).``</t>
  </si>
  <si>
    <t>No, this is one of the most dispuatable parts of elections.</t>
  </si>
  <si>
    <t>No. International observers have always found serious irregularities related with the accuracy of the counting. Tampering the tabulation and counting process, the inflated vote outcome, ballot box stuffing and other serious procedural errors have been one of the major concerns by the international observers in all past elections. EU statement on 2008 Presidential elections said “.. shortcomings were observed on election day, in particular during the crucial phase of the vote count and tabulation”</t>
  </si>
  <si>
    <t>1-0, 0,5 indicates thatobservers are limited</t>
  </si>
  <si>
    <t>Yes. MP candidates, authorized representatives of political parties, MP candidates' proxies as well as observers from political parties, MP candidates and NGOs (no more than 1 observer per each party/MP candidate/NGO) are allowed to observe the count.</t>
  </si>
  <si>
    <t>Yes. Under the Electoral Code (art. 55), the representatives of election candidates (parties, blocs, independent canditates), national and international observers,  and media are allowed to observe the count. During the last parliamentary  (November 28, 2010) and local elections ( 5/19 June, 2011)  only few cases related to the imposibility of election candidates' representatives to observe the count were reported by both international and local observers. (source: http://www.e-democracy.md/en/elections/parliamentary/2010/monitoring/, and http://www.e-democracy.md/en/elections/local/2011/monitoring/)</t>
  </si>
  <si>
    <t>Yes. But observers are limited in their possibility to observe the count, so that it makes open fraud possible</t>
  </si>
  <si>
    <t xml:space="preserve">Yes. Under the Electoral Code (Article 67.2), the representatives of the political parties or candidates are allowed to observe the count. </t>
  </si>
  <si>
    <t xml:space="preserve">Yes, the parties and candidates are allowed to observe, but only delegated. </t>
  </si>
  <si>
    <t xml:space="preserve">Yes. Political parties and candidates have their observers present in PECs. However., there become cases, mainly in the regiosn, where sometimes the opposition observers were forced to leave the polling station during the counting process by police or government-orchestrated sportsmen./ There were number of cases in 2010 parliamentary elections when the opposition (Musavat, Popular Front) observers were not allowed to observe the count. </t>
  </si>
  <si>
    <t>No. In 2012 parliamentary elections the CEC processed complaints in a timely manner but with limited or no debate during its official sessions, which, according to the OSCE/ODIHR EOM, negatively affected the transparency of the process. In addition, the limited factual information or legal reasoning of many CEC resolutions on complaints put into question their justification, while a formalistic and at times contradictory approach left the aggrieved parties without due consideration of their claims, contrary to OSCE commitments. A small number of complaints were also filed with the District Election Commissions, which mostly rejected them on formal grounds, demonstrating in general an excessively formalistic approach. OSCE/ODIHR EOM also noted that a significant number of court decisions on election-related complaints demonstrated inconsistent, unsound or narrow interpretations of the law, while lawsuits were dismissed on sometimes questionable grounds of lack of evidence or inadmissible evidence.</t>
  </si>
  <si>
    <t xml:space="preserve">Yes. The 2010 and 2011 amendments to the Electoral Code introduced a new procedure for filling complains and appeals, stipulating that decisions of election bodies must first be appealed to a higher election body before a complainant can go to court, or that the complainant could lodge an appeal against election bodies ' decisions directly to court on election day. The new appeal procedure was less known for stakeholders (candidates, courts, lower-level election bodies )  which led to a number of procedural errors and delays in considering appeals and complaints during the 2011 local elections. Nevertheless,  the LEOM ascertained that CEC reviewed complaints in an open and transparent manner, and its decisions were generally well reasoned and in line with legislation. With some exceptions, the court judgments appeared also well reasoned and based on legal provisions in place. (source: http://www.e-democracy.md/files/elections/local2011/final-report-osce-local-elections-2011-en.pdf). In the June 5, 2011 elections, the CEC received 74 complaints and appeals in total, most of them filed by parliamentary parties and independent candidates.  During the 2010 parliamentary elections, the CEC received 80 complaints in total and issued 42 decisions on 44 complaints.  </t>
  </si>
  <si>
    <t>Mechanisms to review complaints and appeals continue to not provide an effective remedy. In many cases the review of complaints was marked by an inconsistent and formalistic application of the law, often at the expense of the right to a fair hearing and the principle of proportionality.
While complaints against decisions of election commissions can be lodged with higher commissions, only limited types of decisions can be appealed to courts. These include decisions on the appointment of PEC and DEC members, omissions in the voter lists, as well as CEC decisions denying candidate registration and invalidating the elections.  In the majority of cases, no relief is available to stakeholders if their rights are infringed during the electoral process. The CEC decision that announces the final results cannot be appealed to the courts.</t>
  </si>
  <si>
    <t xml:space="preserve">No. 1. Election Administration is not free for political influence. 2. The potential for a parallel complaints system  remained to challenge PEC certain election day decisions or actions either to DECs or courts may create uncertainty for complainants.3. Timeframes for consideration and appealing  complaints should be reviewed. There are two ways of appealing electoral violations, either through election administration or common courts. Election Administration, that is not perceived to be free for political influence, did not enjoy the trust as impartial and non-partisan institution to deal with complaints. In addition, serious concerns remained as regards independence of the judiciary that was not seen as adjudicating election disputes without bias. </t>
  </si>
  <si>
    <t>The appeal system is appropriate by the Law, but in reality it is not perceived to be impartial and non-partisan.</t>
  </si>
  <si>
    <t>No. The existing appeal system is totally biased and impotent. In practice the system is totally controlled by the presidential office</t>
  </si>
  <si>
    <t>Do election observation organizations confirm that the elections were without serious problems? Yes/No</t>
  </si>
  <si>
    <t>No. OSCE/ODIHR EOM stressed that some legal provisions and/or the practice of their implementation appeared at odds with international standards. The same conclusion was shared by domestic election monitoring organizations (OPORA, CVU) and international observation missions (CANADEM, ENEMO etc.)</t>
  </si>
  <si>
    <t>Yes. For  the local 2011 elections OSCE/ODIHR LEOM stated that "The June 5, 2011 local elections largely met the  OSCE and Council of Europe election-related 
commitments. The elections were conducted in a calm environment, conducive to a competitive campaign, and offered voters a genuine choice." National observers (Promo-Lex) reported that the 2011 local general elections were adequately prepared and were marked by a high level of voter participation and a fierce competition among candidates. Although multiple deficiencies have been recorded during the election campaign, mainly due to the actions undertaken by the majority of the involved actors, these deficiences did not significantly influence the election results (http://www.e-democracy.md/files/elections/local2011/final-report-promo-lex-local-elections-2011-en.pdf)</t>
  </si>
  <si>
    <t>No. In 2012 after Parliamentary elections independent observers organizations and ODIHR mission reported that the elections were not free.</t>
  </si>
  <si>
    <t>No. Election Observer organizations agree that the environment was polarized and tense, characterized by the frequent use of harsh rhetoric and instances of violence. Instead of dibating on party programs the campaign often centred on the advantages of incumbency on the one hand and private financial assets on the other.</t>
  </si>
  <si>
    <t>No. Mostly international organizations and gongo-s confirm that there were serious problems, which didn’t influence on the results. But local independnet and pro-oppositional organisations confirm serious problems that influenced the results highly.</t>
  </si>
  <si>
    <t>No. International and local organizations have always found serious irregularities. Of course, the Russia's 'CIS Election observation Mission' is the only group that claim the elections were held free and fair. Only several GONGOs have always stated that the elections were held free and fair</t>
  </si>
  <si>
    <t>3.48%. In the most recent 2009-2010 presidential elections, the winner, Victor Yanukovych, received in his support 12,481,266 votes (48.95%), the second presidential candidate, Yulia Tymoshenko – 11,593,357 votes (45.47%).</t>
  </si>
  <si>
    <t xml:space="preserve"> Until March 2012, the Parliament repeatedly failed to elect the president. In the March 16, 2012 presidential elections, only one candidate was nominated who was elected as president with 62 votes.</t>
  </si>
  <si>
    <t>Lukashenko - 79, 67%; Andrei Sannikov - 2,43%; difference: 77, 24%.  Elections 2012 were organised according to majority system; it is very difficult to indicate difference between vote shares, bacause there were a lot of independent candidates, some opposition candidates ran not as party candidates but as independent; so there was a wide spectrum of difference in %.</t>
  </si>
  <si>
    <t>Saakashvili: 53.47%; Gachechiladze: 25.69% difference:27,78%</t>
  </si>
  <si>
    <t xml:space="preserve">Vote differential: 21.89% . Most recent presidential elections were held in 18 February, 2013. The winner Serzh Sargsyan got 861155 votes (58.64%), the best-performing rival Raffi Hovhanissyan- 539691(36.75%)  </t>
  </si>
  <si>
    <t xml:space="preserve">The last presidential elections were on 15 October 2008. The vote difference that time made 85.9%. The winner – President Ilham Aliyev - had received 88.73% of votes, while the best-performing rival 2.86%. </t>
  </si>
  <si>
    <t xml:space="preserve">4.46%. The Party of Regions, which was the ruling and the strongest party at the time of the 2012 parliamentary elections, received in the nationwide election district 30% (6,116,746) of the votes, while the main opposition party Batkivshchyna was supported by 25.54% (5,209,090 votes) of the voters. </t>
  </si>
  <si>
    <t>9, 92. The November 28, 2010 early parliamentary election results: Party of Communists of the Republic of Moldova (PCRM) – 39.34%; Liberal Democratic Party of Moldova (PLDM) – 29.42%; Democratic Party of Moldova (PDM) – 12.7%; Liberal Party (PL) – 9.96%</t>
  </si>
  <si>
    <t>Belarus has majority system vote. There is no opposition in the Parliament. There is no ruling party as well.</t>
  </si>
  <si>
    <t>Difference:14.63 %         Bidzina Ivanishvili - Georgian Dream (54.97%)          United National Movement - More Benefits to People (40.34%)</t>
  </si>
  <si>
    <t>13.9%. During most recent legislative elections in 5 May, 2012  the strongest party- Republican Party of Armenia received 466 440 votes (44.02%). The main opposition "Prosperous Armenia" party  received 454 673 votes (30.12%).</t>
  </si>
  <si>
    <t xml:space="preserve"> The recent parliamentary elections were held on 7 November 2010. Parliamentary elections are conducted under a majoritarian system.The elections saw the incumbent YAP party getting 71 seats, while traditional main opposition parties none.  </t>
  </si>
  <si>
    <t>Freedom of the Press: 2013 Index value/Freedom House (Rating) http://www.freedomhouse.org/sites/default/files/Global%20and%20regional%20tables.pdf</t>
  </si>
  <si>
    <t>Press Freedom Index: 2013 Index value /Reporters without borders/ (Note)</t>
  </si>
  <si>
    <t>Linear transformation, benchmarks defined by best and worst performing EBRD transition country; best = 9,26 (Estonia), worst = 79,14 (Turkmenistan)</t>
  </si>
  <si>
    <t xml:space="preserve"> To what extent can individuals form and join independent political or civic groups? Score Bertelsmann Transformation Index 2012 </t>
  </si>
  <si>
    <t>To what extent can these groups operate and assemble freely? Civil Society sub-score from Nations in Transit 2013 http://www.freedomhouse.org/sites/default/files/2012%20%20NIT%20Tables.pdf</t>
  </si>
  <si>
    <t xml:space="preserve">Linear transformation, benchmarks defined by best and worst performing EBRD transition country; best = 1.75 (Estonia etc.), worst = 7 (Turkmenistan, Uzbekistan) </t>
  </si>
  <si>
    <t>Associational and organizational rights: Freedom House, Freedom in the World 2013, Subscore http://www.freedomhouse.org/report/freedom-world-aggregate-and-subcategory-scores</t>
  </si>
  <si>
    <t>Linear transformation, benchmarks defined by best and worst performing EBRD transition country; best = 12 (Estonia etc.), worst = 0 (Turkmenistan)</t>
  </si>
  <si>
    <t>Personal autonomy and individual rights (Freedom House, Freedom in the World 2013, subscore) http://www.freedomhouse.org/report/freedom-world-aggregate-and-subcategory-scores</t>
  </si>
  <si>
    <t>Linear transformation, benchmarks defined by best and worst performing EBRD transition countries; best = Estonia, Slovakia (14) worst = Turkmenistan, Uzbekistan (3)</t>
  </si>
  <si>
    <t>Freedom of expression and believe (Freedom House, Freedom in the World 2013, subscore) http://www.freedomhouse.org/report/freedom-world-aggregate-and-subcategory-scores</t>
  </si>
  <si>
    <t>Linear transformation, benchmarks defined by best and worst performing EBRD transition countries; best = Estonia, Lithuania, Slovakia (16) worst = Uzbekistan (1)</t>
  </si>
  <si>
    <t>Physical integrity rights index, 2010 data (Cingranelli and Richards Dataset, www.humanrightsdata.org)</t>
  </si>
  <si>
    <t>Linear transformation, benchmarks defined by best and worst performing EBRD transition countries, best = Slovenia (8), worst = Belarus (2)</t>
  </si>
  <si>
    <t xml:space="preserve">To what extent are civil rights guaranteed and protected, and to what extent can citizens seek redress for violations of these rights? Bertelsmann Transformation Index 2012 </t>
  </si>
  <si>
    <t>Linear transformation, benchmarks defined by best and worst performing EBRD transition countries; best = Estonia (10), worst = Turkmenistan (1)</t>
  </si>
  <si>
    <t>Yes in 1999</t>
  </si>
  <si>
    <t xml:space="preserve">Yes, the system operats from January, 2013 but it is still limited to criminal cases only. Funds available are not sufficient for the whole year. Civil legal aid is schedualed for 2014-2017 but most probably will be futher delayed. </t>
  </si>
  <si>
    <t xml:space="preserve">Yes. The National Legal Aid Council has adopted clear procedures for those need/request legal aid both in criminal and civil cases. The Legal Aid Council has more branchesand has an well-developed web page (http://www.cnajgs.md/). It contain also the lists of documents needed when a legal aid is requested, the list of lawyers for urgent services, the list of lawyers in juveniles cases, etc. </t>
  </si>
  <si>
    <t>Yes, but it's efficiency is questionable</t>
  </si>
  <si>
    <t xml:space="preserve">Yes, the system of free legal aid was established in 2007. The Legal Aid Service offers free legal aid, including court representation to socially vulnerable free of charge in criminal cases. Legal consultations are available in criminal, civil and administrative law.  </t>
  </si>
  <si>
    <t xml:space="preserve">Yes, partly. There is a system, but not that efficient. Free of charge legal aid (it is stipulated by the Constitution, art. 20), including for people with limited financial means. The list of attorneys at www.advocates.am </t>
  </si>
  <si>
    <t>No. The court  services, including th elegal aid are very  inadequate. The Court  system itself is highly corrupted and ineffective.</t>
  </si>
  <si>
    <t>Did you country ratify the European Convention for the Prevention of Torture and Inhuman or Degrading Treatment or Punishment?)  - Yes/No</t>
  </si>
  <si>
    <t>Yes. Armenia ratified the European Convention for the Prevention of Torture and Inhuman or Degrading Treatment or Punishment  on 18/06/2002.. A delegation of the Council of Europe's Committee for the Prevention of Torture and Inhuman or Degrading Treatment or Punishment (CPT) carried out an ad hoc visit to Armenia from 5 to 7 December 2011.</t>
  </si>
  <si>
    <t>Did your country request the publication of the latest European Committee for Prevention of Torture (CPT) reports (2010-2011)? - Yes/No        http://www.cpt.coe.int/en/states.htm</t>
  </si>
  <si>
    <t xml:space="preserve">Yes. http://www.cpt.coe.int/en/states/ukr.htm </t>
  </si>
  <si>
    <t>Yes. http://www.cpt.coe.int/en/states/mda.htm</t>
  </si>
  <si>
    <t>Yes, all 5 reports out of 5  were published http://www.cpt.coe.int/en/states/geo.htm</t>
  </si>
  <si>
    <t>Yes. CPT visited Armenia from 10 to 21 May 2010[1]  and from 5 to 7 December 2011[2]. The Armenian Government has requested the publication of those reports and of its responses.  http://www.cpt.coe.int/en/states/arm.htm</t>
  </si>
  <si>
    <t>No. So far, the latest 2008 report is public</t>
  </si>
  <si>
    <t>Yes. The Ombudsman Office is defined as NPM.</t>
  </si>
  <si>
    <t xml:space="preserve">Moldova has ratified also the OPCAT in 2006 and set up the National Preventive Mechanism on Torture in 2008. </t>
  </si>
  <si>
    <t xml:space="preserve">Yes, ratified in 2005. In June, 2010, the Department of Public International Law of the Ministry of Justice, which serves as a Secretariat for the Interagency Council against Torture, presented to the Council a final report on the implementation of 2008-2009 Action Plan against torture. </t>
  </si>
  <si>
    <t xml:space="preserve">Yes, ratified in 14/09/2006.. In June, 2010, the Department of Public International Law of the Ministry of Justice, which serves as a Secretariat for the Interagency Council against Torture, presented to the Council a final report on the implementation of 2008-2009 Action Plan against torture. </t>
  </si>
  <si>
    <t>Yes, in 2008</t>
  </si>
  <si>
    <t>Yes.  The Ombudsman + model has been selected. NGO's are accepted for visits. Expert Council with Ombudsman's Representative on NPM is playing a key role.</t>
  </si>
  <si>
    <t xml:space="preserve">Yes, partially. By May 2013 The Government will sent to the Parliament the new draft law according the UN Subcommittee for the Prevention of Torture from October 2012, UN Special Rapporteur on Torture from 2008. </t>
  </si>
  <si>
    <t>Yes, According to the amendments made   in the organic law of Georgia on Public Defender, The Public Defender of Georgia carries out functions of a National Preventive Mechanism, envisaged by the Optional Protocol to the United Nations Convention against Torture and Other Cruel, Inhuman or Degrading Treatment or Punishment since 2009</t>
  </si>
  <si>
    <t>Yes - Interagency Council against Torture, Action Plan on prevention of torture  . According to the “Law Of RA on the Human Rights Defender”(article 6.1) The Defender is recognized as an Independent National Preventive Mechanism provided by the Optional Protocol to the Convention against Torture and Other Cruel, Inhuman or Degrading Treatment or Punishment.</t>
  </si>
  <si>
    <t>Yes. The Ombudsman (Human Rights Commissioner) is the national preventive mechanism.  / But it is absolutely ineffective as the Ombudsman Office is highly dependent on the presidential office</t>
  </si>
  <si>
    <t>Yes.  Signed in 2001, ratified in 2005</t>
  </si>
  <si>
    <t>Yes, Armenia ratified the Protocol No. 12 to the Convention for the Protection of Human Rights and Fundamental Freedoms on 17/12/2004</t>
  </si>
  <si>
    <t>No. Azerbaijan signed it in 2003, but has not ratified yet.</t>
  </si>
  <si>
    <t>Signed but not ratified yet</t>
  </si>
  <si>
    <t xml:space="preserve">Yes, Signed- 30 Mar 2007, Ratified- 22 Sep 2010 </t>
  </si>
  <si>
    <t>Yes, Ratified, in 2009</t>
  </si>
  <si>
    <t>Signed but not ratified as of 12/4/2012</t>
  </si>
  <si>
    <t>Yes. Signed-11/5/2001, Ratification- 25/1/2002,  Entered into force- 1/5/2002</t>
  </si>
  <si>
    <t>Signed in 2001, but not ratified yet</t>
  </si>
  <si>
    <t xml:space="preserve">Yes, ratified on  22 December, 2005 </t>
  </si>
  <si>
    <t xml:space="preserve">Yes, Signed-25/7/1997, Ratified- 20/7/1998, Entered into force- 1/11/1998 </t>
  </si>
  <si>
    <t>Yes, the Law of Ukraine “On the principles of prevention and combating discrimination in Ukraine” (came into force on October 4, 2012). However, according to the EU the law does not meet European standards. Ukraine is requested to ammend it.</t>
  </si>
  <si>
    <t xml:space="preserve">Yes. Law on Ensuring Equality from 25.05.2012. </t>
  </si>
  <si>
    <t>No framework law; Howeevr, general provisions in different pieces of legislation, including Constitution; Criminal Code that makes punishable racial discrimination, infringment on the right of equality of persons; Civil Code that prohibits discrimination between spouses; Laws on High and General Education; General Administrative Code, labour code,  law on patients' rights, etc.</t>
  </si>
  <si>
    <t>No. The protection against discrimination is regulated by the Constitution and by the following statutory laws: "The Law on Citizenship of RA",  “The Law on the Rights of a Child”, “On the profession of Advocate”, “ “On NGOs”, “On Advertisement”,   “On Protection and Use of Immovable Monuments of History and Culture and Historical Environment”, "On Education", “On Television and Radio”, "On Provision of Healthcare and Health Services to the Public", "The Family Code", "The Labor Code", "The Criminal Code", "The Criminal Procedure Code",  "The Law on Protection of Economic Competition", "The RA Law on State Pensions", "the RA Law on Administrative Violations", "the Law on [Political] Parties.</t>
  </si>
  <si>
    <t>General provisions in different pieces of legislation, including Constitution; Criminal Code that makes punishable racial discrimination, infringment on the right of equality of persons; Civil Code that prohibits discrimination between spouses; Laws on High and General Education; General Administrative Code, Labour Code, law on patients' rights, etc.</t>
  </si>
  <si>
    <t>Calibration, 0,5 indicates  general principle responsibility</t>
  </si>
  <si>
    <t>Constitution of Georgia provides a general principle on the equality before the law (Art. 14) and equality of citizens of Georgia in social, cultural, economic and political life irrespective of their national, ethnic or religious belonging (Art. 38).</t>
  </si>
  <si>
    <t>Yes, Article 14.1 of the Constitution</t>
  </si>
  <si>
    <t>Yes (Art 161)</t>
  </si>
  <si>
    <t>Yes. Art. 176 Criminal Code in new version and in force as from 08.02.2013</t>
  </si>
  <si>
    <t xml:space="preserve">Criminal Code makes it criminally punishable infringment on the equality of human beings (Art. 142); Racial Discrimination (Art. 142*); Infringment of the rights of the persons with special needs (Art. 142**); commission of cerian crimes on the ground of racial, national, religius or ethnic intolerance is considered to be an aggrevating circumstance   </t>
  </si>
  <si>
    <t>Yes. The Criminal Code of RA Article 6.</t>
  </si>
  <si>
    <t>Yes  (Penal Code provisions include acts against discrimination (Azerbaijan 1 Sept. 2000, Art. 109), racial discrimination (ibid., Art. 111), infringement of citizens' equality (ibid., Art. 154), and incitement of national, racial or religious hostility (ibid., Art. 283), as well as stiffer sentencing for murder whose motive is based on "national, racial [or] religious hatred or enmity" (ibid., Art. 120.2.12))</t>
  </si>
  <si>
    <t>The Civil Code prohibuts any discrimination in family relationships between a wife and a husband (Article 1153)</t>
  </si>
  <si>
    <t>No. In October 2006, Azerbaijan passed a law on gender equality, which defines gender-based discrimination as any distinction, exclusion or restriction exercised on the basis of gender, including sexual harassment, but this does not concern the Civil Code</t>
  </si>
  <si>
    <t xml:space="preserve">Calibration, 0,5 indicates that only on provided public services </t>
  </si>
  <si>
    <t xml:space="preserve">Yes (art. 260),  but only on provided public services </t>
  </si>
  <si>
    <t>The General Administrative Code of Georgia enshrines the general principle of equality befire law and prohibits discrimination (Art. 4); The Code of Administrative Offences provides for a general principle of equality of parties irrespective of nationa, ethnic origin or other grounds (Art. 233)</t>
  </si>
  <si>
    <t>The Labour Code prohibits discrimination in labour relationships (Art.2)</t>
  </si>
  <si>
    <t>Yes (The Labour Code prohibits discrimination based on various characteristics, including race and nationality (ibid. 1 Feb. 1999, Chap. I, Sec. 16).)</t>
  </si>
  <si>
    <t>Yes, (Art. 8 of the Law of Ukraine “On Adverticement”)</t>
  </si>
  <si>
    <t xml:space="preserve">Rather “no”, unless we consider price discrimination and legislation against economic monopolies under this section. </t>
  </si>
  <si>
    <t>Yes, (Art/ 3 of the Law of Ukraine «On Education”)</t>
  </si>
  <si>
    <t xml:space="preserve">The Law on High Education obliges state to ensure elimination of discrimination in high education on any ground (Art. 3); The Law on General Education enshrines a right of a pupil, parents, teachers and their unions to excerise the rights provided by the Law without discrimination on any ground. </t>
  </si>
  <si>
    <t>Is the list of protected grounds contained in the law  open or close (open list means that apart from the list it also says 'and other grounds' thus leaving the space for potentially other categories; close list meant that only the listed grounds are protected.): Open/Close   Here, please specify which of the laws mentioned in the previous question contain an open list and which contain a closed one unless they uniformly contain either of the two types.</t>
  </si>
  <si>
    <t>All of the above mentioned laws are open</t>
  </si>
  <si>
    <t>Close list: Constitution, Electoral Code, Execution Code, Law on migration of labour force, Law on blood donation and transfusion of blood, Law on child rights, Law on health care, labour Coude, law on education,  Civil procedure code, etc
Open list:Criminal Code, Criminal Procedure Code, Code on Administrative offenses, Law on the statute of the criminal investigator, Law on courts organization etc. most legislation metions the equality as a principle.</t>
  </si>
  <si>
    <t>Constitution - open, Criminal Code - open, Labour Code - close, Law governing economic activities - close</t>
  </si>
  <si>
    <t>1. Constitution -  close; 2. Criminal Code - open; 3. Civil Code - open; 4. General Administrative Code - declaratory principle on the prohibition of "discriminatory measures"; Code of Administrative Offences - open; 5. Labour Code - finishes with "political or other opinion" (not "other ground"); 6. Law on High Education - open; Law on General Education - does not list grounds, but prohibits discrimination in general terms; 7. Law on patient's rights - closed.</t>
  </si>
  <si>
    <t>The Constitution, the Labor Law and the Law on Education contain an open list. The Criminal Code and the Law governing free economic activities contain a close ("Law on Protection of Economic Competition" - the antimonopoly provisions under art 7 stipulating prohibition against discriminatory prices and against direct and indirect enforcement of other conditions ).</t>
  </si>
  <si>
    <t xml:space="preserve"> Open list: The Constitution, Criminal Code, Labour Code; Law governing economic activities, provision of goods and services  Close  list: Law on migration</t>
  </si>
  <si>
    <t xml:space="preserve">a. Yes - Constitution and the Criminal Code </t>
  </si>
  <si>
    <t>b. Yes - Constitution and the Criminal Code</t>
  </si>
  <si>
    <t>c. Yes - Criminal Code; No - Constitution</t>
  </si>
  <si>
    <t>Yes, the Labor Code of the RA which clearly provides for protection on the grounds of citizenship (art. 3)</t>
  </si>
  <si>
    <t>d. Yes (Constitution; Criminal Code)</t>
  </si>
  <si>
    <t>e. Yes (Criminal Code); No (Constitution)</t>
  </si>
  <si>
    <t>Yes, The Law Nr. 121  of 25.05.2012 “On insuring equality” specify non discrimination on the base of sexual orientation in the labour relations.</t>
  </si>
  <si>
    <t>f. Yes (Criminal Code, law on patients' rights); No (Constitution)</t>
  </si>
  <si>
    <t>h. Yes (the Criminal Code); No (Constitution)</t>
  </si>
  <si>
    <t>l. Yes (Constitution, Amendments to the Criminal Code)</t>
  </si>
  <si>
    <t>j. Yes (Constitution; the Criminal Code)</t>
  </si>
  <si>
    <t>k. Yes (Constitution; the Criminal Code)</t>
  </si>
  <si>
    <t>l. Yes (Constitution; the Criminal Code)</t>
  </si>
  <si>
    <t>m. Yes - Criminal Code; Constitution - not explicitly</t>
  </si>
  <si>
    <t>Yes, the Labor Code of the RA  clearly provides for protection on the grounds of family status (art. 3)</t>
  </si>
  <si>
    <t>n. Yes (Constitution; Criminal Code)</t>
  </si>
  <si>
    <t>o. No (Constitution; Criminal Code)</t>
  </si>
  <si>
    <t>p. Yes (Criminal Code, Art. 142)</t>
  </si>
  <si>
    <t>Yes, the Labor Code of the RA  clearly provides for protection on the grounds of political party, trade union or public organization membership (art. 3)</t>
  </si>
  <si>
    <t>q. No (Constitution; Criminal Code)</t>
  </si>
  <si>
    <t>r. Yes, (Law on patients' rights, Art. 6 and 31; Law on protection of health, Arts. 4 and 6)</t>
  </si>
  <si>
    <t xml:space="preserve">Calibration, 0,5 indicates that is the fact that the defiinition is available in one law out of many;  1 if there is framework documents </t>
  </si>
  <si>
    <t>Yes (definition of discrimination given in Labour Code, Art. 2 is extensive, unlike provisions in other laws)</t>
  </si>
  <si>
    <t>Yes (Criminal Code of Georgia)</t>
  </si>
  <si>
    <t xml:space="preserve">Calibration, 0,5 indicates that partially. </t>
  </si>
  <si>
    <t>Yes, the Article 1 of the Lawof Ukraine  “On the principles of prevention and combating discrimination in Ukraine”</t>
  </si>
  <si>
    <t>Yes, but there is no clear definition of discrimination</t>
  </si>
  <si>
    <t>Yes (Criminal Code of Georgian, Article 142 - infringment of equality of persons, 142 (1) - racial discrimination and 142(2) - discrimination against disabled persons)</t>
  </si>
  <si>
    <t xml:space="preserve">Yes, For example, all the norms in the Criminal Code that deal with discrimination are considered as acts of direct discrimination since, as a general rule under criminal law, for a conduct to be classifed as a criminal act, it is necessary to show the existance of a motive (or an intention) of the offender to commit such act and the motive in such cases can be only direct (the "subjective" aspect of the crime the absence of which decriminilizes the act). There are some other articles under which indirect intention is sufficient to classify an action as a criminal offense, for example, the article 143 § 1 of the Criminal Code </t>
  </si>
  <si>
    <t>Yes, but  there is no  definition of discrimination</t>
  </si>
  <si>
    <t>There is no clear definition of discrimination</t>
  </si>
  <si>
    <t>Yes (Criminal code of Georgia, Art. 142(1)</t>
  </si>
  <si>
    <t>No, most of the anti discriminatory articles under Criminal Code provides sanctions for direct discrimination whereas some articles provide sanctions even for indirect interference</t>
  </si>
  <si>
    <t>There is no  definition of discrimination</t>
  </si>
  <si>
    <t>Calibration, 0,5 indicates that partially</t>
  </si>
  <si>
    <t>Yes, The article in the Criminal Code provides for a liability for sexual harassment, in some cases (for ex. for immoral acts or forced sexual harassment) however the responsibility for these type of harassment are inadequate (up to 3 years of imprisonment only).</t>
  </si>
  <si>
    <t>d. Victimization</t>
  </si>
  <si>
    <t>Yes, The notion is defined in the Law Nr. 121  of 25.05.2012 “On insuring equality” but is not de facto used in the legislation</t>
  </si>
  <si>
    <t>Yes, the article 1 of the Law of Ukraine “On the principles of prevention and combating discrimination in Ukraine”</t>
  </si>
  <si>
    <t>Yes, partially (Art 142(1) of the Criminal Code of Georgia contains prohibition of incitement to enmity on racial, national/ethnic grounds)</t>
  </si>
  <si>
    <t>Yes, partially</t>
  </si>
  <si>
    <t>To a limited extend, the Law of Ukraine “Onthe principles of prevention and combating discrimination in Ukraine” does not cover assumend discrimination, though  definition of discrimination provided in Art 14 of the Law of Ukraine "On combating propagation of HIV-related diseases and legal and social status of persons that live with HIV" provides for protection against assumed discrimination but with limited application - on the grounds of HIV status or membership of groups of higher risks of contraction</t>
  </si>
  <si>
    <t xml:space="preserve">Only in specific sphares (Law on protection of health , Articles 4 and 6 prohibit discrimination of detainees and  prisoners in health care system; Law on HIV, Art 5 defines protection of HIV infected persons from discrimination as one of the priorities of  state policy) </t>
  </si>
  <si>
    <t xml:space="preserve">No,  the Law of Ukraine «On the principals of prevention and  and combating discrimination in Ukraine” does not provide explicitly protection from the multiple discrimination, though Art 14 of the Law of Ukraine "On combating propagation of HIV-related diseases and legal and social status of persons that live with HIV" provides for protection against assumed discrimination but with limited application - on the grounds of HIV status or membership of groups of higher risks of contraction </t>
  </si>
  <si>
    <t>a. Yes</t>
  </si>
  <si>
    <t>b. No (there is no explicit provision; provisions usually refer to "human beings" rather than "persons")</t>
  </si>
  <si>
    <t xml:space="preserve">Yes. The protection does not cover the LGBT. Moreover, recently (30 april 2013) the Gagauz-Yeri administrative authonomy has adopted a local law that allow the employers to refuse to admit at work a declared LGBT. Up to date the State Chancellery did't officially react yet if they will contect this law. </t>
  </si>
  <si>
    <t>a. Yes (Labour Code , Art. 2, while it gives extensive definition of discrimination, the law does not provide liability for such an action )</t>
  </si>
  <si>
    <t>b. Yes (Laws on High Education and General Education)</t>
  </si>
  <si>
    <t>Yes, but de facto this does not often happen</t>
  </si>
  <si>
    <t>c. No</t>
  </si>
  <si>
    <t>Calibration, 0,5 indicates that mostly in theory</t>
  </si>
  <si>
    <t xml:space="preserve">Yes, but de facto this does not often happen.  The law protects persons also in helthcare. </t>
  </si>
  <si>
    <t>d. Yes (Law on protection of Health - general prohibition of discrimination on any ground - closed list; Law on patients' rights)</t>
  </si>
  <si>
    <t>e. Yes</t>
  </si>
  <si>
    <t xml:space="preserve">Law on Gender Equality - prohibits discrimination on the ground of sex in most spheres of social life; </t>
  </si>
  <si>
    <t>Yes.  Azerbaijan has a penalty-enhancement statute for crimes motivated by racial, national, or religious hatred (Criminal Code Article 61).  The Constitution of Azerbaijan guarantees equality and rights for all citizens; Article 25 specifically prohibits any restriction of these rights on the grounds of gender. Principles contained in the Employment Code, the Penal Code and the Marriage and Family Code all stem from the Constitution, thereby further sanctioning equal rights and freedoms for men and women.</t>
  </si>
  <si>
    <t xml:space="preserve">Affirmartive actions measures are provisioned for in the framework anti-discrimination law as well as in the specific laws concerning equality for women and men, disability (the new redaction even includes the notion of reasonable accommodation), and the law on national minorities. Cause afirmative actions provided by law are not always provided at police levels and are not granted when it comes to reality, i.e. when loking at the law on people with disabilities and positive action measures connected within the law and provided on paper, we clearly see that in practice they all are absent </t>
  </si>
  <si>
    <t xml:space="preserve">Probably such measures are most obvious in the access to education, and access to health; also so some extent in the labour relations. </t>
  </si>
  <si>
    <t>a. One specialized equality body</t>
  </si>
  <si>
    <t>Yes. Non-discrimination Council</t>
  </si>
  <si>
    <t>b. Several specialized equality bodies</t>
  </si>
  <si>
    <t>b. 1. Inter-agency Council on Tolerence and National Integration (Council); 2. Council on Gender Equality; 3. Tolerance Centre at the PDO</t>
  </si>
  <si>
    <t>c. An HR institution with a broad mandate (e.g. Ombud)</t>
  </si>
  <si>
    <t>Yes. 1 out of 4 ombudsmen are specialized onn non-discrimination issues</t>
  </si>
  <si>
    <t>c.  Public Defeder's Office (PDO)</t>
  </si>
  <si>
    <t xml:space="preserve">Yes, the Ombudsman institution. </t>
  </si>
  <si>
    <t>d. Yes, Inter-agency Council</t>
  </si>
  <si>
    <t>If there is a specialized equality body, does it have the powers to (Yes/No):</t>
  </si>
  <si>
    <t xml:space="preserve">b. Yes, the Public Defender issues recommendations to different public bodies </t>
  </si>
  <si>
    <t>Yes, partially (Note: only in cases when victims are not able to do it themselves, i.e. owing to poor health, disability, etc.)</t>
  </si>
  <si>
    <t>d. The Public Defender can take legal action only to the Constitutional Court</t>
  </si>
  <si>
    <t xml:space="preserve">No. Not because it is prohibited but is not used. </t>
  </si>
  <si>
    <t>e. Yes - PDO; No - Council</t>
  </si>
  <si>
    <t>f. No</t>
  </si>
  <si>
    <t>Yes. However, almost in all cases of politically motivated discriminations, there happens no single investigation results. Neither the Ombudsman institution nor the power Ministers ever did any successful investigation in political discrmination cases.</t>
  </si>
  <si>
    <t xml:space="preserve">g. Yes, conducts research - PDO, Council, Gender Equality Council </t>
  </si>
  <si>
    <t>Yes, According to the Law Nr. 121  of 25.05.2012 “On insuring equality” the Council has the right to "initiate proposals to modify the legislation in the field of nondiscrimination"</t>
  </si>
  <si>
    <t xml:space="preserve">h. No, can only submit legislative proposal - PDO; Council; Geder Equality Council </t>
  </si>
  <si>
    <t>Have there been court decisions on cases of discrimination, including hate crime and hate speech, in 2012? Yes/No</t>
  </si>
  <si>
    <t>No (accurate information has to be obtained from common courts)</t>
  </si>
  <si>
    <t xml:space="preserve">Yes, Constitutional Court decision no. 792  on age discrmination;
Constitutional Court decision no. 881 on differential treatment which amounts to discrimination of the treatment lacks objective grounds and legitimate aim;
Criminal Case no. ԵՄԴ/0060/01/11 where the defendant was convicted under 143 § 1 of the Criminal Code (Direct or indirect breach of human rights and freedoms of citizens, for reasons of race, sex, language, religion, political or other views, social origin, property or other statuses", etc. -- in this case religioun views);
Criminal Case no. ԵԿԴ/0253/01/11 where the defendant was charged under 226 (2)(1) - incitement of national, racial or religious hatred by mass media -- and convicted by the trial court to imprisonment but subsequently acquitted by the appeal court. 
  </t>
  </si>
  <si>
    <t xml:space="preserve">a. Yes - PDO; No - Council, (it is composed of heads of state agencies), No - Gender Equality Council (it is itself created within a political body, the Parliament) </t>
  </si>
  <si>
    <t xml:space="preserve">b. Yes (PDO - receives preliminary confirmed funding from the state budget and donor organizations); </t>
  </si>
  <si>
    <t xml:space="preserve"> Number of women – MPs in the national Parliament   = Gender Empowerment Measure? % of the total Number (February 2013).  http://www.ipu.org/wmn-e/arc/classif010213.htm</t>
  </si>
  <si>
    <t>Linear transformation, benchmarks defined by best and worst performing EBRD transition countries, Serbia best = 33,2%, Hungary worst = 8,8 % (as February 2013)</t>
  </si>
  <si>
    <t>9.4 % (42 female MPs; parliament - 445 members)</t>
  </si>
  <si>
    <t>19.8% (20 female MPs; parliament - 101 members)</t>
  </si>
  <si>
    <t>26.6 % (29 female MPs; parliament - 109 members)</t>
  </si>
  <si>
    <t>12% (18 female MPs; parliament - 150 members)</t>
  </si>
  <si>
    <t>10.7 % (14 female MPs; parliament - 131 members)</t>
  </si>
  <si>
    <t>Number of women in ministerial positions = % of the total Number (December 2012)</t>
  </si>
  <si>
    <t>12,5% (3 women out of 24 ministers)</t>
  </si>
  <si>
    <t>9,52%(2 women out of 21 ministers)</t>
  </si>
  <si>
    <t>4,2%(1 women out of 24 ministers)</t>
  </si>
  <si>
    <t>15,8% (3 women out of 19 ministers)</t>
  </si>
  <si>
    <t xml:space="preserve">11 % (2 positions out of 18) </t>
  </si>
  <si>
    <t xml:space="preserve">Women's share of annual income: Proportion of male income vs. female income      </t>
  </si>
  <si>
    <t>High income =1, Upper Middle=0,75, Lower Middle=0,25, Low income =0</t>
  </si>
  <si>
    <t>Lower middle income (and 62% - Female labor force participation)</t>
  </si>
  <si>
    <t>Lower middle income (and 53% - Female labor force participation)</t>
  </si>
  <si>
    <t>Upper middle income (and 68% - Female labor force participation)</t>
  </si>
  <si>
    <t>Lower middle income (and 59% - Female labor force participation)</t>
  </si>
  <si>
    <t>Lower middle income (and  69% - Female labor force participation)</t>
  </si>
  <si>
    <t>Upper middle income (and 65% - Female labor force participation)</t>
  </si>
  <si>
    <t>Appointment, promotion and dismissal</t>
  </si>
  <si>
    <t>Are judges appointed based on objective criteria (such as the passage of an exam, performance in law school, other training, experience, professionalism, and reputation in the legal community)? Yes/No</t>
  </si>
  <si>
    <t>Yes, partially. To become a judge, a person must pass two difficult exams. Starting in February 2013, initial training of future judges was introduced. However, decisions on transfers of judges (both horizontal and vertical) are non-transparent and do not follow any objective criteria. The law does not specify any such criteria, nor does it require a competition. In 2012, this allowed to bypass results of the qualification exams, and several newly appointed judges with low scores were transferred from a provincial court to the capital.</t>
  </si>
  <si>
    <t>Yes, partially. SCM recently has adoptetd several rules for judges appointment: (i) the Rules on the criteria, indicators and procedure of the evaluation of judges performance; (ii) Procedure rules for nomination the investigative judges, (iii) Rules on the criteria, indicators and procedure of the evaluation of judges performance. When analysing some of appointments made by SCM during the 2013, it seems that candidated with a lower marks are nominated for judges. SCM does not argue on its decision. SCM has adopted a Registry of candidates for appointment and promotion. It is too early to evaluate the impact of adopted rules while the SCM's boards has not organized exames for candidated as to evaluate or to have an opinion how the new adopted rules are applied.One of several subjects for persons with experience in certain legal professions which candidate for the possition of judge refer to the ECHR.</t>
  </si>
  <si>
    <t xml:space="preserve">No, they are appointed by the President. The main criterion is loyalty. </t>
  </si>
  <si>
    <t>Yes. Law on Common Courts of Georgia sets compulsory qualifications and criteria candidates should meet. More detailed norms on criteria are defined by the Rule on Selection of judges which is adopted by the High Council of Justice. According to this rule, the following criteria are taken into account during the evaluation of canditate: examination results, performance at the High School of Justice, professional and moral reputation, ability to assess issues freely and impartially, professional work experience, and physical health. Some parts of the criteria are deemed to be more subjective and difficult to assess. Transparency of the process evaluation and making decision by the HCoJ are of concerns of local NGOs.</t>
  </si>
  <si>
    <t>No, Judges are nominated on the basis of both objective criteria (such as passing a qualification examination) and subjective and unspecified criteria relating to interviews of candidates. The President of RA retains the right to accept or reject nominees without specifying any reason for doing so.The President appoints judges to the courts of general jurisdiction, specialized courts, courts of appeal, and the Court of Cassation upon the recommendation of the COJ, as well as four members of the Constitutional Court.</t>
  </si>
  <si>
    <t xml:space="preserve">No. Judges appointed by executive power, more precisely by President. Main criteria for appointment is loyalty to the government. </t>
  </si>
  <si>
    <t>Calibration, 0,5 - weak improvement system</t>
  </si>
  <si>
    <t>No. Regarding the election of judges to higher courts, the new 2010 Law “On the Judiciary and Status of Judges”, as earlier, does not define any objective criteria, except for work experience as a judge. Moreover, there are no provisions on any competition in order to be recommended for a vacant position.</t>
  </si>
  <si>
    <t xml:space="preserve">Yes, partially. SCM recently has adoptetd several rules for judges carrier. For administrative possitions, where developed criteria reffering to managements skills. </t>
  </si>
  <si>
    <t>Generally no, main criterion is loyalty to the authorities</t>
  </si>
  <si>
    <t>No. Though the High Council of Justice is obliged under the law to evaluate the rule of advancment, as well as the criteria, it has not been done so yet. Therefore, it is not obvious what are the criteria for advancment of judges. Also, no separet analysis has been done on advancment yet.</t>
  </si>
  <si>
    <t>No. Judicial advancement is based on both specific criteria, which are, however, difficult to apply in an objective manner, and unspecified criteria resulting from the process of  interviewing candidates. The RA President’s right to accept or reject nominees without specifying any reasons for the decision continues unchanged.</t>
  </si>
  <si>
    <t>Yes. But by law. In practice judges advanced on the basis of loyality to teh government.</t>
  </si>
  <si>
    <t>Calibration, 0,5 - the process is not transparent</t>
  </si>
  <si>
    <t>No. Problems that exist with removal of judges are clearly identified in the ECHR decision in the case of "Olexander Volkov vs. Ukraine" (January 9, 2012). ECHR found the lack of an independent body to make decisions on these grounds, as well as the lack of legal clarity in the grounds and procedures for removal of judges from office.</t>
  </si>
  <si>
    <t xml:space="preserve">Yes. It is a clear procedure and based only on specified provisions for a judge to be punished. At the moment Ministry of Justeice and SCM are developing the draft Law on Judges’ Disciplinary Liability. </t>
  </si>
  <si>
    <t xml:space="preserve"> No. The President can impose any
disciplinary penalty on any judge. There is no  public and legally defined
procedure of examination of such decisions.</t>
  </si>
  <si>
    <t>Yes. Grounds for removal of judges are defined by the Law on Common Courts of Georgia. Apart from that, the Law on Disciplinary Proceedings against Judges considers the grounds for initiating disciplinary process. Some of the grounds was deemed to be vague and based on NGOs long-termn advocacy campaign they were opted out from the law (in 2012). Transparency of disciplinary proceedings has been a major concern of  local NGOs, as the whole process was confidential. Though the amendments were adopted in 2012, which determines that the decisions of Disciplinary Collegium and Disciplinary Plenum should be uploaded on the official web-page.</t>
  </si>
  <si>
    <t>Yes. According to the  Court Code Articles 153 to 167.</t>
  </si>
  <si>
    <t>No. Judges are unguarded on this issue. According to the Constitution, when judges commit a crime, the President of the Republic of Azerbaijan, on the basis of the conclusions of the Supreme Court, may address the parliament with the purpose of removing the judges from office.  Venice Commission criticized this regulation, in context of constitutional court judges, that it should be serious crime instead of crime. (See. Venice Commission, Opinion on the Draft Law on the Constitutional Court of the Republic of Azerbaijan, CDL-INF (96)10 Strasbourg, 1996)</t>
  </si>
  <si>
    <t xml:space="preserve">No. After judicial reform in 2010, judges have become more cautious in matters affecting the political and business interests of representatives of political power. </t>
  </si>
  <si>
    <t xml:space="preserve">Yes, partially. SCM has adopted several decisions to claim the influence the case outcome through complaints against the judge.  Court presidents in country site still have influence while distribute the casese when the automatic system is not functional. </t>
  </si>
  <si>
    <t>No, there is so called "telephone law" when judges are influenced by senior judges and Presidential Administration</t>
  </si>
  <si>
    <t>No. Civil cases are largely free from influence by the executive power. Prevalence of corruption has decreased in many instances, but with the introduction of plea bargaining, some forms of corruption have been institutionalized. However, in administrative and criminal cases, improper influence by the executive branch, High Council of Justice and senior judges still exist. Official statistics of the first part of 2012, in regard to granting motions of prosecution or number of guilty verdicts as well as the significantly low level of success motions of the defense demonstrated it well.  After the Parliamentary election (October 2012) we can say that court is not under the pressure of prosecution or government. the new authorities (Prosecution's office) could not exert pressure on judicial branch. However, the recent reform of the High council of Justice made it evident that judges are still under undue influence frm senior judges.</t>
  </si>
  <si>
    <t>No. Even improper influence and corruption in the judiciary have become less pervasive, both unquestionably still persist.According to the U.S. State Department, “despite structural changes initiated in 2006 that still continue and have resulted in a somewhat greater independence, courts remained subject to political pressure from the executive branch, and judicial corruption was a serious problem.”</t>
  </si>
  <si>
    <t xml:space="preserve">No. Judicial branch  functioning as executer of the political decisions of the Presidential Administration. / In non-politicized cases judicial decisions are also based on instructions by the presidential office or other high ranks of executive power and corrupted interests </t>
  </si>
  <si>
    <t xml:space="preserve">Yes, partially. Lobbying for financing is based on personal contacts, but not on legal mechanisms. Funds allocated to the judicial branch are administered by the State Court Administration, which is accountable to the Council of Judges of Ukraine. The higher specialized courts, the Supreme Court and the Constitutional Court of Ukraine also administer their own funds. </t>
  </si>
  <si>
    <t xml:space="preserve">Yes, parially. The SCM is intitle to develop the draft the budget for court needs. In the same time, Department of the Court adminsitration under Ministr of Justice is drafting its own draft law. Both institutions are lobbying and adovcacing for their draft documents before Ministry of Finance. SCM has the right to accept comments provided by Ministry of Finance. Usually the recommendations are taken into account. SCM hasn't the political support to manage itself the budget even when an allocated sum of money wehere not spent. At the moment Ministry of Justice and SCM developed a draft law the Department of Court administration to be tranfered under the SCM. </t>
  </si>
  <si>
    <t xml:space="preserve">No. Only through informal mechanisms. </t>
  </si>
  <si>
    <t xml:space="preserve">Yes. Draft of the part of finances of the Judicary in the state budget is submitted by the HCoJ to the government. Moreover, the reduction of the current costs of the judiciary may occur only with the consent of the HCoJ. The Supreme Court and the Constitutional Court,  prepare their own budget requests and control the expenditure of funds allocated to them. </t>
  </si>
  <si>
    <t xml:space="preserve">Yes. According to the  Court Code Article 64. </t>
  </si>
  <si>
    <t xml:space="preserve">No. Judicial system is financed by state budget. And this provide an opportunity to government to affect judicial system. For instance, there is a 84 million AZN expenditure under the name of “Expenditures in other categories” in Judiciary, law enforcement and Prosecution  section of the Azerbaijan State    Budget for 2013.  A presidential election will be held in Azerbaijan in 2013. It means that government may use this amount of money in illegal awarding of the justice sector personnel in this critique election year.  </t>
  </si>
  <si>
    <t>No. Judges are not sufficiently protected from attacks. In addition to examples given from previous years, it should be mentioned that in 2012 there was an especially gruesome murder of a local court judge, along with his family, in Kharkiv. The crime remains unsolved. No visible measures to prevent such incidents from happening in the future apprea to have been taken.</t>
  </si>
  <si>
    <t>Yes. However there are few complaints addressed by judges on such cases to the Supreme Counsil of Magistarcy. It is difficult to assess if there are sufficient resources for that as there are no complaints on such threats; most probably the corruptibility of the system creates sufficient "protection".</t>
  </si>
  <si>
    <t>Yes. The creation of a court marshal service to maintain order and protect courthouses has brought about significant improvements in judicial security. Another advance is the installation of metal detectors in many courts. However, it is felt that the marshals need more training, and a training program is being planned.</t>
  </si>
  <si>
    <t>Yes by the Law and "maybe yes" in the practice, as we don't have reported cases of attacks or assaults on judges.</t>
  </si>
  <si>
    <t>Yes, by law. For instance, according to the Courts and Judges Act, throughout the entire term of their office, judges shall be entitled to keep, carry and use for the prescribed purpose the service weapon in cases and order provided by legislation; if necessary, their security shall provided.</t>
  </si>
  <si>
    <t>Yes. Following the completion of initial 5-year appointment as a judge, judges are elected permanently by the Parliament. A judge who is elected permanently may remain in office until the age of 65. Other grounds for removal of judges are defined by the Constitution.
But, the Venice Commission has many times drawn attention to the fact that a 5-year period of the first appointment violates the principle of irremovability of judges, but the correction of this situation requires amending the Constitution. A draft of such amendments has been developed by the President's Administration and passed on to the Venice Commission.</t>
  </si>
  <si>
    <t>Yes. The procedure applies to all judges, not only to  senior level judges. The innitial term is 5 years. Next stage is examiantion of judge performance by the Supreme Council of Magistracy that decide to propose the candidate to the President until retirement age. The presidend has to motivate if he refused the candidate. If SCM will propose the second time, this decision is mandatory for the president. However, each judge have to pass a evaluation/exams once in 3 years. The removal grouunds are provided by law.</t>
  </si>
  <si>
    <t xml:space="preserve">Yes, according to the Law on Courts and Judges, a judge is appointed for 5-years term. The term can be prolonged for another 5 years or without time limit. </t>
  </si>
  <si>
    <t>Yes. Before entry into force of the  Constitutional amendment on life tenure of judges, the fixed term of office is 10 year. Mandatory retirement age is 65 year. According to the Constitutional provision which determines the life time appointment, judges to be appointed permanently might have to undergo a three year probation period – provision heavily criticized by the Venice Commission.</t>
  </si>
  <si>
    <t>Yes, Judges of courts and members of the Constitutional Court have guaranteed tenure until disciplinary process is used to dismiss judges arbitrarily, thereby undermining judicial tenure in On the recommendation of the Council Of Justice, the President of Armenia appoints and dismisses judges and chairmen of the courts of general jurisdiction, specialized courts, courts of appeal, and the Court of Cassation (including the Chairman and Chamber Chairmen of the Court of Cassation). These judges have guaranteed tenure and serve until the retirement age of 65, subject to dismissal for a grave disciplinary offense or repeated offenses incompatible with a judicial position.practice. The President of Armenia appoints four members of the Constitutional Court, and the National Assembly, on the recommendation of its Chairman, appoints the other five members. They serve until the age of 65, subject to removal only as prescribed by the Constitution and the law. Also on the recommendation of its Chairman, the National Assembly appoints the Chairman of the onstitutional Court from among the members of the Court, within 30 days after the position becomes vacant. If the National Assembly fails to do so, the President may appoint the Chairman from among the Court’s members.</t>
  </si>
  <si>
    <t xml:space="preserve">Yes. Judges are appointed for the term of five years. During this term judges should take training course at least once a year. At the end of this period their activity would be evaluated. If the evaluation does not reveal any professional shortcoming, the mandate of the judge is extended until the age of retirement of 65, by proposal of the Judicial-Legal Council. If the evaluation reveals professional shortcoming, the mandate of the judge is not extended. </t>
  </si>
  <si>
    <t xml:space="preserve">Yes. In mid 2012 was adopted a law that exclude the immunity in cases of corruption. The law was contested before the Constitutional Court. </t>
  </si>
  <si>
    <t>Yes, Judges have immunity from prosecution, detention and search. They could only be prosecuted with the consent of authority that appointed them</t>
  </si>
  <si>
    <t xml:space="preserve">Yes. Under the law, judges are free from making any kind of report on the case they were adjudicating. Therefore they are enjoying the functional immunity.      </t>
  </si>
  <si>
    <t>Yes, Judges have immunity for actions taken in their official capacity, as well as considerable immunity for actions unrelated to the performance of their official duties. Such immunity is generally respected in practice.   During 2012, no judge was deprived from his/her immunity.</t>
  </si>
  <si>
    <t>Yes. Judges are not responsible for the damage sustained by the participant of the process or a person participating in the case due to the court mistake, at the cost of his private property. This damage shall be reimbursed by the state in cases and order provided the law.</t>
  </si>
  <si>
    <t>No. A determinative role in making decisions on appointment, career and removal of judges belongs to the Higher Qualification Commission of Judges and the Higher Council of Justice. 
By law, the Higher Qualification Commission of Judges consists of 11 members: 6 judges elected by the Congress of Judges of Ukraine. However, even such a composition failed to prevent de facto subordination of this body to the Presidential Administration. This is evidenced in a number of decisions made by this body in 2012. Also, the Higher Council of Justice, according to the Constitution, includes only 3 out of 20 members elected by the Congress of Judges of Ukraine, plus the Head of Supreme Court ex officio. The Venice Commission has given numerous warnings to Ukraine that such composition does not meet European standards. ECHR in the case "Olexander Volkov vs. Ukraine" acknowledged that the existing composition of the Higher Council of Justice violates requirements concerning independence of such a body.</t>
  </si>
  <si>
    <t xml:space="preserve">Yes. Ammendments to the law on SCM from 05.07.2012 increased the number of judges to 7 (6 judges and 1 chief justice) out of 12 members. The new componence will be selected in October-November 2013. </t>
  </si>
  <si>
    <t>No, The President appoints judges to the courts of general jurisdiction, specialized courts, courts of appeal, and the Court of Cassation, as well as six members of the Constitutional Court.</t>
  </si>
  <si>
    <t>Yes. The High Council of Justice (HCOJ) as an independent agency of the judicial branch is directly responsible for appointing and dismissing judges and other career matters. HCoJ is composed of 15 members, more than half of which (9 members) are acting judges. The rest of HCoJ members are appointed by the presindent (2 members) and Parliament (4 members). The rule of electing judges at the HCoJ has been a major concern of several actors. After Parliamentary elections  2012 the draft law was initiated at the parliament, which aims to make the rule of the compostion of the HCoJ more democratic and legitimate, in order to ensure the high participation of the judges of the Conference in election process of their representatives at the HCoJ. According the opinion of Venice Commission the amendments "will bring this law closer to European standards".</t>
  </si>
  <si>
    <t xml:space="preserve">No, The President appoints judges to the courts of general jurisdiction, specialized courts, courts of appeal, and the Court of Cassation upon the recommendation of the COJ, as well as four members of the Constitutional Court.The COJ has 13 voting members: nine judges elected by secret ballot for five-year terms by the General Meeting of Judges; two legal scholars appointed by the President; and two legal scholars elected by the National Assembly. In other words - the President can accept or reject the canditates without any explanation on that. </t>
  </si>
  <si>
    <t>No. 1st instance court judges, even though chairman of the courts, are directly appointed by the President. Constitutional, Supreme and court of appeal judges are also appointed upon advice of the President, by parliament. So the executive power plays key role on appointment of judges. And also majority of members of Legal-Judicial Council are appointed by the executive power, the Minister of Justice is also chairman of the LJC.</t>
  </si>
  <si>
    <t>Yes, partially. From 1996, a Constitutional Court is functioning in Ukraine, which is authorized to review the constitutionality of the acts of Parliament, President, and Government, as well as to perform some other functions. Unconstitutional acts lose effect from the date of the decision of the Constitutional Court. However, the lawmakers do not always adhere to the demands by the Constitutional Court to fill certain gaps in the legal framework. The Constitutional Court does not have any leverage to correct this situation. Moreover, during the last years the Constitutional Court has become highly politically dependent, and even started contradicting some of its earlier decisions.</t>
  </si>
  <si>
    <t xml:space="preserve">Yes, partially. In 2012 Constitutional Court has adopted 12 decisions out of which 3 decisions were not executed, 1 was not executed in time. During 2012 Constitutional Court has sent 7 notifications to the Parliament and received no answer on its. </t>
  </si>
  <si>
    <t xml:space="preserve">Yes, the Constitutional Court has such power. But in reality decisions of the Constitutional Coaurt never contradict presidential decrees (that have equal legal power with laws) of other legislation put forward by the Presidential Administration. De jure yes, de facto no. </t>
  </si>
  <si>
    <t xml:space="preserve">Yes. Constitutional Court of Georgia is the judicial organ, which has an authority to determine the constitutionality of acts. Common Courts have no authority to discuss on this issue. The enforcment of the decisions are less problematic, though in limited cases parliament tried to put similar norms in the legislation, which already had been declared unconstitutional.   </t>
  </si>
  <si>
    <t>Yes, The Constitutional Court has the power to determine the constitutionality of laws and other normative acts, and its decisions are generally implemented. In 2005, the Constitution was amended to expand access to the Constitutional Court, including allowing individuals to bringcases directly to the Constitutional Court, and many have done so. The cumbersome procedures for courts to raise constitutional issues were simplified by allowing them direct access to the Constitutional Court, but few courts have availed themselves of the opportunity to do so. But independent assesments conclude that a large number of the Court's decisions have not been enforced yet.</t>
  </si>
  <si>
    <t>Yes. Centralized model of constitutional review is implemented in Azerbaijan.   Generally Constitutional Court decisions applied by lower courts.</t>
  </si>
  <si>
    <t>Yes, partially. To review administrative acts, Ukraine has created a system of administrative courts and introduced administrative justice. In 2010, administrative courts received a power to impose huge penalties on an official who did not report on the implementation of a court’s decision or did not comply with it. Half of this penalty is collected to the State Budget, while the other half is given to a person who won the court case. The constitutionality of the President’s and the Government’s acts can be reviewed by the Constitutional Court. Lately, however, administrative courts, as a result of their dependence, have modified their activities towards protecting the interests of the state, rather than of private persons. Insufficient competencies of the Higher Administrative Court of Ukraine to restore a person's rights violated by top government authorities were also pointed out by the ECHR in its decision of "Olexander Volkov vs. Ukraine".</t>
  </si>
  <si>
    <t xml:space="preserve">Yes. Moldova has no specialized administrative courts. However, all the official documents can be contested to court. Constitutionality of President's, Government's of Parliament's act can e contested before Constitutional Court. </t>
  </si>
  <si>
    <t>Yes. The judiciary has the power to review acts by state bodies and compel them to act where a legal duty to act exists. Under the Constitution, everyone who has suffered damages as a result of actions by government or self-governance bodies, or their officials, has the right to obtain complete compensation from the state through the court proceedings. The General Administrative Code governs the review of decisions of administrative agencies. An interested party may file an administrative complaint with the agency that issued the decision against it, or if the chief official of the agency issued the decision, the party may file a complaint with a higher administrative agency</t>
  </si>
  <si>
    <t xml:space="preserve">Yes, The judiciary has the power to review administrative acts and to compel the government to act when a legal duty to do so exists. In the past, however, courts had been reluctant to use this power. Establishment of the Administrative Court effective January 1, 2008, with a newly enacted Administrative Procedure Code, may do much to improve judicial oversight of administrative practice. It is, however, too soon to assess the impact of these changes. Judicial acts are enforced by a separate agency within the executive and the effectiveness of this institution is questionable in many respects </t>
  </si>
  <si>
    <t>Yes. Judicial proceeding of cases on administrative disputes held by administrative-economic courts and administrative-economic collegiums. Administrative disputes are  considered by administrative-economic courts as a court of first instance. But actions concerning the disputes  on  1) political parties, 1) mass media organs and 3) normative acts are  considered by administrative-economic collegiums of the courts of appellate instance of the Republic of Azerbaijan as a court of 1st instance.</t>
  </si>
  <si>
    <t>Yes, partially. According to the Constitution of Ukraine, jurisdiction of the courts extends to all legal disputes. However, it is difficult for a person to protect his right in the courts of general jurisdiction if they are violated by an unconstitutional act of the President or Government, because individuals do not have the right to apply to the Constitutional Court directly in these instances. There are also instances when the courts of different specializations simultaneously refuse to accept certain cases to review, on the grounds that these cases must be heard by a court of different specialization. Also, individuals do not have the right to receive compensation of damages caused by an unconstitutional legal act. Mechanisms for compensation of damages caused as a result of delays in judicial proceedings are similarly lacking.</t>
  </si>
  <si>
    <t>No. Ultimate jurisdiction in such cases de facto belongs to the President</t>
  </si>
  <si>
    <t>Yes. Under the Constitution everyone has a right to refer to the court and seek remedy for violation of his/her civil rights and liberties.</t>
  </si>
  <si>
    <t>Yes. The judiciary has exclusive jurisdiction over cases involving civil rights and liberties. Although serious human rights violations continue, courts in Armenia are beginning to pay increasing attention to the requirements of the European Convention on Human Rights.</t>
  </si>
  <si>
    <t xml:space="preserve">No. Actually, according to the Azerbaijan Constitution individuals have a right to directly complaint  to the Constitutional Courts. But the ECHR pointed aout that complaint to the Constitutional Court was not one of the remedies to be exhausted prior to lodging an application with the Court. Specifically, the Constitutional Court lacked adequate accessibility because, in order to exercise a right of individual petition before the Constitutional Court, individuals were required on a domestic level to have had recourse to another remedy (additional cassation procedure before the Plenum of the Supreme Court) which was ineffective within the meaning of Article 35 § 1 of the Convention (see Ismayilov v. Azerbaijan, no. 4439/04, §§ 39-40, 17 January 2008).  </t>
  </si>
  <si>
    <t>Do judges have adequate subpoena, contempt, and/or enforcement powers, which are utilized, and these powers are respected and supported by other branches of government? Yes/No</t>
  </si>
  <si>
    <t>Yes.  Judges have a power to impose fines for contempt of court. They also have certain control powers over the enforcement of court judgments, but they do not exercise these powers on their own initiative; there must be a petition by an interested party. Only administrative justice system since 2010 provides an opportunity to impose fines for failure to comply with a court decision by an administrative body – either by a court on its own initiative or by a petition from a person who won the case. In different types of proceedings, courts have the power to issue decisions on forcibly bringing to court of a person who ignores summons by a court.</t>
  </si>
  <si>
    <t>Yes. Judges subpoena, summoning, are mandatory for each person and/or institution (public or private). The law gives the right to a judge to apply fines to officials disconsider its orders.  Moreover, during 2012 were opened several dsciplinary procedures against judges who did't react and obliged the participants to be present at court hearings (mostly prosecutors, lawyers)</t>
  </si>
  <si>
    <t xml:space="preserve">No, in Belarus all branches of power are highly centralized. Executive branch can interfere judiciary. </t>
  </si>
  <si>
    <t>Yes. Judges generally have adequate subpoena and contempt powers in both criminal and civil cases. Criminal judgments are always enforced, and monetary claims against the government are satisfied, though not always immediately. However, judges do not have authority over enforcement of civil judgments</t>
  </si>
  <si>
    <t>Yes by the Law, Judges have adequate subpoena and contempt powers. However, when parties or witnesses fail to appear in response to a summons, judges often postpone trials, causing delays. Judges have no authority over enforcement of judgments, which is the responsibility of the Department for Compulsory Execution of Judicial Acts in the Ministry of Justice.  The enforcement of judicial acts is up to a specialized agency within the Ministry of Justice and the effectiveness of judicial acts' enforcement largely depends on the mode of inter-agency interaction between courts and the Justice Ministry. The effectiveness of this department’s performance is a serious issue that got a negative assessment by the Human Rights Defender in his Annual Report on Human Rights in Armenia in 2012. It was particularly mentioned that the Department for Compulsory Execution of Judicial Acts violates the time frames of enforcement of judicial acts and often fails implementation of its obligations.</t>
  </si>
  <si>
    <t xml:space="preserve">Yes. Both criminal, civil and administartive procedural code provide authority to the judges to imply such kind of powers and those are respected and executed by other branches of government. But in highly politicized cases other branches are reluctant to execute interim decisions of judges. For instance, in case of prominent journalist Avaz Zeynalli, court decision on subpoena of the former MP Guler Ahmadova was not carried out by police. </t>
  </si>
  <si>
    <t>Yes.  Court decisions can only be reviewed by courts through appellate and cassation proceedings, as well as certain other court procedures, exclusively upon a petition by participants of the proceedings. Sometimes disciplinary bodies (Higher Qualification Commission of Judges, Higher Council of Justice) attempt to evaluate court decisions, but they do not have the right to amend or repeal court decisions. Not infrequently, judges can be subjected to disciplinary sanctions for issued decisions, if a disciplinary body sees certain abuses.</t>
  </si>
  <si>
    <t xml:space="preserve">Yes. Even a disciplinary procedure is innitiated based on illegal or unlawful decision, a judge can be only warned. The time limit is one year after the decision was issued at the national level or  ECHR decision . </t>
  </si>
  <si>
    <t>No. The executive can influence judicial decisions</t>
  </si>
  <si>
    <t xml:space="preserve">Yes. By law and in practice, judicial decisions are reversed only through the judicial appellate process.The Judicial Code has introduced a number of potentially significant changes, such as limiting access to the Court of Cassation to enable it to ensure the uniform application of the law. </t>
  </si>
  <si>
    <t xml:space="preserve">No. Specially pardon authority misused by president. Presidential pardon particularly on political prisoners is used for bargaining with West, or as to make humanist image of president. With the result of that presidential pardon functioning as “negative judgment” in practice. </t>
  </si>
  <si>
    <t xml:space="preserve"> Are judges assigned to cases by an objective method (alternative to random case assignment), such as lottery, or according to their specific areas of expertise). May they be removed only for good cause, such as a conflict of interest or an unduly heavy workload? Yes/No</t>
  </si>
  <si>
    <t>Yes, automatic distribution of cases is provided by law. But in practice, sometimes this system is bypassed through introduction of a narrow specialization for individual judges.</t>
  </si>
  <si>
    <t xml:space="preserve">Yes, parially. The random distribution of cases are mandatory. However, due to the luck of IT specialist or prompt reaction from internet providers, SCM stated many times when courts are using manual distribution of casesc. SCM hs innitiated several of disciplinary procedures againt court presidend of deputy on this cases. Also, the lack of random distribution of cases are evident after the report of the Judge's inspection is developed. Judges with partial work time have the same number of cases as the other judges. </t>
  </si>
  <si>
    <t>No. For instance, for come political cases only very loyal judges are assigned.</t>
  </si>
  <si>
    <t xml:space="preserve">Yes. By the law distribution of the cases are based on the principle of ordinary number, which means distribution of the cases in accordance to the registration of the case and order among judges. The later is decided by the chair of court based on the rule which is defined in the law on "Distribution of the cases and transfer of the responsibility on other judge in the common court system". Though sometimes in practice, there are questions whether the case assignment took place in the right way. This questions are inspired by fact that in specific, mostly interesting cases, decisions are made by the same group of judges.       </t>
  </si>
  <si>
    <t>No, Cases are often assigned on a territorial or other random basis. Still court chairmen reportedly assign important cases with a view to securing the desired result.</t>
  </si>
  <si>
    <t>No. According to the Instruction on Clerical Work of Courts in Azerbaijan Republic, 2011, cases are randomly distributed among judges. Yes ,
occasionally judges removed as result of objection or requests to withdraw.</t>
  </si>
  <si>
    <t>Yes, partially. In 2012, a framework Law "On Rules of Ethical Conduct", governing all professional ethics codes, was adopted and extends to judges. In February 2013, the Congress of Judges adopted a fully revised version of the Code of Judicial Ethics. However, its provisions are duplicative of existing legislation in many respects, while at the same time failing to provide answers to a lot of practical questions. Judicial ethics trainings are being conducted; however, they are not practical in nature.</t>
  </si>
  <si>
    <t xml:space="preserve">Yes. The code of ethics is an copy-paste of the law on judges statute developed in a different manner. It seems that the content of Code of ethics is studied at national Institute of Justice and subjects to the candidates from legal professions. </t>
  </si>
  <si>
    <t>Yes, a code of ethics exist but judges are not required to receive training concerning this code</t>
  </si>
  <si>
    <t xml:space="preserve">Yes. Judicial code of ethics exist, which is a separate course during the initial training session for judges. There is no such separate course in continuous training programme. Apart from that the separate law on  ex parte communication exists, which defines sanctions for unlawful communication with judges. </t>
  </si>
  <si>
    <t>Yes,The Judicial Code includes a chapter on Rules of Judicial Conduct, and the AJRA(Association of Judges of the Republic of Armenia) and the CCC (Council of Court Chairmen) have adopted a Code of Judicial Conduct. These, together with other legal norms, address major issues such as conflicts of interest, ex parte communications, and political activity by judges. It is unclear, however, to what extent these ethical rules actually affect the conduct of judges.</t>
  </si>
  <si>
    <t xml:space="preserve">Yes. The Code approved by the decision of the Judicial –Legal Council  on June 22, 2007 addresses  stated issues. But it is not mandatory to receive  trainings concerning this code. </t>
  </si>
  <si>
    <t>Yes. According to the new 2010 Law “On Judiciary and Status of Judges”, anyone can apply to the Higher Qualification Commission of Judges (disciplinary body for judges of local and appellate courts) with a complaint (application) on improper conduct of a judge. A member of the Higher Council of Justice may initiate disciplinary liability of judges of the Supreme Court or higher specialized court, based on the results of inspection of reports (Law “On the Higher Council of Justice”)</t>
  </si>
  <si>
    <t xml:space="preserve">Yes. Any interested person can write complaint against judges conduct. However, an NGO can not contest the Disciplinary Board or SCM decision when the complainter is not agree, even the law says any interested person can contest these decisions. </t>
  </si>
  <si>
    <t>Yes, according to Civil Procedure Code any citizen can submit complaint concerning judicial misconduct to a higher court.</t>
  </si>
  <si>
    <t xml:space="preserve">Yes. High Council of Justice has a competence of initiation of disciplinary proceedings against judges in the disciplinary board. For this reason, HCoJ has authority to receive complaints, to carry out initial verification on the case and to decide wether to refer the case to the disciplinary board or not. Until April 2012 the whole process of disciplinary proceedings was confidential. Therefore even the complainant was not allowed to get information about the results of the case. After the amendments  in 2012, the part of the disciplinary proceedings became available for public and the relevant bodies became obliged to upload their decisions on the web-site. </t>
  </si>
  <si>
    <t>Yes. Provisions in the Judicial Code resolve some of the uncertainty that had surrounded procedures for filing complaints of judicial misconduct. It is too soon to assess how effective those procedures will be.</t>
  </si>
  <si>
    <t>No. Because, according to article  112 of the Judges and Courts Act, 1997, natural and legal persons may apply to the Judicial-Legal Council, only in case if they possess information concerning offences related to corruption.</t>
  </si>
  <si>
    <t xml:space="preserve">Yes, partially.  According to the Law “On Judiciary and Status of Judges” and procedural codes, hearings of all cases are open, except when considering the case in a closed session. In most local courts, a person can get inside the building upon presentation of a passport to the guard and stating the reason for visiting the court. Despite the legal requirements, in some appellate courts, and in all higher courts and the Supreme Court, the guards do not allow entrance into the courtrooms people who are not trial participants. </t>
  </si>
  <si>
    <t>Yes, partialy. Most courts need additional offices (155 more) and additional courtrooms (142 more). It is hard when a case is examined in 6 sq. meters in judge's office with 1 court clerk, 8 participants, translator, etc. In such cases media presence is imposible. With the donor support, this year were already bought the recording equipment for each jugde and equipment for new court rooms. There is a trend in some courts the private guards do not allow entrance into the courtrooms people who are not trial participants.</t>
  </si>
  <si>
    <t xml:space="preserve">Yes, but with some exceptions. Court can decide to close the process. E.g. some trials against opposition activists, military officials  and officers of law enforcement were organised behind closed doors. </t>
  </si>
  <si>
    <t xml:space="preserve">Yes. Constitution of Georgia as well as the Organic Law on Common Courts establish the principle of openness of court hearings. Though since 2007 until the end of 2012 media was banned from photographing or video recording court proceedings. Audio recording was allowed based on consent of the judge. Therefore audio recording was significantly restricted as well.  In 2013 amendments were presented at the parliament, in order to make court rooms open for media ande recording. Courtrooms are generally open to the public, but as the monitoring reveals sometimes the court fails to provide adequate spacing, as some processes take place in a nonadequately small  court rooms.  </t>
  </si>
  <si>
    <t>Yes, Courtroom proceedings are generally open to the public and the media, however, they can be closed for all or part of a trial “in the interests of morals, public order, national security, protection of the private life of the participants, or if the administration of justice so require[s].”</t>
  </si>
  <si>
    <t xml:space="preserve">No. But in Azerbaijan practice creates an impression that proceedings are open to the public. It is debated. First of all, according to Azerbaijan’s domestic legislation (Instruction on Clerical Work of Courts in Azerbaijan Republic, 2011),  first instance courts does not have obligation for providing in advance public announcement of the date and time of hearings in administrative  and civil cases. This is the violation of public hearing in legislative base. In practice generally its hard for ordinary citizens to observe common cases. But in a cases of significant interest to NGOs, human right activist and etc., NGO representatives are allowed to attend to the hearings. So this makes illusion that right to public hearing observed in Azerbaijan. </t>
  </si>
  <si>
    <t>Are judicial decisions published and are records of courtroom proceedings made available to the public? Yes/No</t>
  </si>
  <si>
    <t>Yes, partially. Texts of most court decisions are to be included in the electronic register of court decisions (http://reyestr.court.gov.ua), which is open to the public and free of charge. In practice, some courts do not yet provide their decisions to the register. Nevertheless, with the launch of the registry, it has become an important source of information about the courts’ activity, even though the legislature narrowed the range of decisions that should be included in the registry, through recent amendments to law.
As for the recording of court proceedings,  there is a mandatory audio recording of trials. But CD recordings of the trial can be provided only to persons who are participants of the proceedings. However, everyone has the right to use a personal recorder in any open trial.</t>
  </si>
  <si>
    <t>Yes, partially. The decisions of the SCJ are accessible when using external search option (e.g. Google.com). The decision of court of appeals and district courts are placed partialy. Judges are not responsible for placecement on court's web page. The audio reconrind is mandatory for courts. However, recording system in 25 courts does not audio record hearings while in 19 courts the system is sometimes used and in 6 it is always used. The courts that always record hearings are Balti Court of Appeals, Cahul Court of Appeals, Comrat Court of Appeals, Comrat District Court, Criuleni District Court and Drochia District Court (Assessment report of the Courts of law in the Republic of Moldova developed within the USAID Rule of Law Institutional Strengthening Program (ROLISP))</t>
  </si>
  <si>
    <t>Yes. The Constitutional Court, the Supreme Court and Supreme Econimic Court publish their decisions in journals and their web-sites. Other courts do not publish their secision and ther proceedings were not available for the public.</t>
  </si>
  <si>
    <t>Yes. The Supreme Court and the Constitutional Court publish their decisions on their respective websites. However, in recent years it has become particularly difficult to get copies of the court decisions from first instance and appellate courts that are reluctant to provide information referring to the personal information of the parties to the dispute (in some case personal information of administrative bodies) and heavy caseload</t>
  </si>
  <si>
    <t>Yes, all judicial decisions are published in frames of the Judicial reform state program- http://www.datalex.am/.</t>
  </si>
  <si>
    <t>No. Relevant issues on this subject are  laid out by the  Rules on Pronouncement of Act of State and Local Authorities through e-information systems, adopted by presidential decree on 16 February 2011, come into force 1 January 2012 for state bodies, will come into force for local authorities on 1 January 2014. According to this Rules 1st instance court judgments should be pronounced within 10 days after rendering. But in practice 1st instance court judgments are not published.  Related to records of courtroom proceedings, there is no legislative base to make such records available to public. So that in some cases records are fabricated by judges.</t>
  </si>
  <si>
    <t>Yes, partially. At the moment judges benefit of functional immunity. The law amendments from 2012 (Law no. 153 from 06.07.2012, tentered into force in the same day) allows the General Prosecutor to innitiate a criminal case  (on the grounds of passive corruption and influence peddling art. 324 and 326 Criminal Code), when is not needed the prior approval from SCM. the Supreme Court of Justice contested these provision to the Constitutional Court. The procedures are not developed enough to insure the accountability of judges for the their illegal activities, but also for their misconduct or for violation of the Ethic Code of judges</t>
  </si>
  <si>
    <t>No. Judges enjoy considerable immunities and can be punished only if they are disloyal to the regime.</t>
  </si>
  <si>
    <t>Yes, there are effective procedures to hold judges accountable for illegal activities</t>
  </si>
  <si>
    <t xml:space="preserve">Not really,  the standard of immunity granted to judges by the law is very high and that it certainly outweighs the legal means for subjecting judges to liability. </t>
  </si>
  <si>
    <t>Yes. But by law. Practically, JLC reluctant to examine complaint about judges. Important nuance, sometimes JLC uses these complaints as a sword of Damocles against  judges who begins to be disloyal to the regime./ The corruption system also gives a practcal leverage to the executive power to keep the judges handy for political needs</t>
  </si>
  <si>
    <t>Policy formulation and coordination</t>
  </si>
  <si>
    <t>Does the legislative procedure provide for mandatory consultations with the public opinion, e.g. civil society organisations, stakeholders at the stage of preparatory works, before the draft law or secondary legislative act is due to be adopted by the Council of Ministers (or Prime Minister, or Minister)? Does the Government issue green books for a public deliberations before starting the work on draft law? Are public hearings practiced with a participation of representatives of the Government? Yes/No</t>
  </si>
  <si>
    <t>Yes, the legislation envisages mandatory consultation with stakeholders within decision making process. Usually, public hearings are held  only if proposed  changes in legislation are seriuos and profound. They involve the representatives of relevant ministry/agency who are tasked to inform the public about new state policy. Govn’t of Ukraine developed and issued several green and white books on pilot basis as training instruments (mainly within projects financed by international donors and TA agencies ). However, within Ukrainian legislation (Regulation of the Cabinet of Ministers of Ukraine) there is no obligation to do it. The Regulation provides for obligatory memorandum/assumptions of the bill before drafting of the law itself starts.</t>
  </si>
  <si>
    <t xml:space="preserve">There are several laws regulating the consultation with the public opinion, such as the Law on the transparency in the decision making process, adopted on 13th of November 2008, the Law for the adoption of the Regulation of the Moldovan Parliament (no. 796/1996), the law on the legislative acts (no. 780/2001), the Parliament’s decision no. 373/2005 for the approval of the Conception for the cooperation of the Parliament with the civil society organizations, and many other acts. Nevertheless, the practice of conducting public consultations differs from case to case and from one public institution to another. Many times the public consultations are performed only at a later stages when the draft law or bill is already prepared and is more complicated to introduce serious changes in case they arise. Another deficiency is related to the publication of the draft laws or normative acts on the websites of the public institutions. They are published with delays, or sometimes they are not published at all. It is difficult to track a draft law during the whole lifecycle and or at least during the decision making process. Therefore, it is recommended the creation of a unified portal where the draft normative acts and draft decisions would be published. This system should allow for submission of electronic comments and contributions. In many cases the consultation process has more a formal character. It is because the author of the draft normative acts are not obliged to motivate the rejection of the collected proposals. In the other hand, in the case of some important acts, where their elaboration and adoption was supported by some international donors, there were organized extensive public consultations (as it was the case of the new Strategy on Decentralization, or the Action Plan for an Open Government, etc.). The public hearing are normally practiced at the level of local government, while at central level the drafts are usually consulted within different working groups created alongside the respective institutions. An important role since 2010 has the National Participation Council (a group of 30 NGO's selected by the government which President is attending all the Government meetings) which is closely supervising the transparency of the public decision-making process. </t>
  </si>
  <si>
    <t>In general, the legislative procedure doesn’t stipulate mandatory consultations with the public explicitly. But some laws (“On environmental protection”, “On state ecological expertise”) stipulate that general public should be provided with possibility to influence decisions concerning the environment through public hearings and providing all information about a draft law preparation. In practice public hearings and other forms of consultations with the public opinion are rare; they are organized only under public opinion pressure when it comes to really important issues (e.g. building of atomic power plant in Belarus).</t>
  </si>
  <si>
    <t>No. There is no mandatory consultation with the public in any form for the government’s legislative acts. There are no green books or policy papers issued by the government to inform the process and involve the public. Generally there are no public hearings either mandated or in practice for legislative initiatives.</t>
  </si>
  <si>
    <t xml:space="preserve">No, consultation with the public are not mandatory at any stage of law-making.  Parliamentary Standing committees shall organize at least one parliamentary hearing during each regular session on issues concerning the spheres reserved to them by the Law on Rules of Procedure of the National Assembly. The law doesn’t specify the framework of invitees. The list of invitees shall be approved by the decision of the Committee. Actually parliamentary committees organize hearings on draft laws and invites civil society organizations to take part in it. The Government don’t issue green books for a public deliberation but the Government issues annual program in which reflected draft laws, somehow, should be developed. There isn’t any normative act requiring from the Council of Ministers to organize consultations with the public. In reality such public consultations are organized mainly submitting draft laws in the respective ministries websites. The procedure of public hearings is regulated by the Government decision #296, adopted March 25, 2010. </t>
  </si>
  <si>
    <t xml:space="preserve">Partially. there is no law on public lobbying in Azerbaijan. according to latest changes to constitution, country citizens can involve to legislation initiatives after collecting 40 thousand signatures. Currently, law projects is placed in website of Parliament and it is possible to comment via online. But there are no such approaches- green books and white books in azerbaijan. There are such documents budget for next year, 2020 development strategy, anti-corruption strategy, open government 2012-2015 action plan were published and discussed. </t>
  </si>
  <si>
    <t>If the public consultations in any form are conducted in your country, please consider to what extent they have an impact on the final content of proposals? In other words, are the results of public consultations, including opinions of experts, think tanks, NGO’s, published in any form? Does the Government inform the public opinion what amendments to drafts legislative acts are being put as a result of consultation process? Yes/No</t>
  </si>
  <si>
    <t>Yes/No, public consultations are conducted according to the procedure envisaged in Ukrainian legislation.  In practice, state power bodies examine the proposals put forward by stakeholders by preparing so-called comparative tables. But these documents as well as results of public consultations are only for internal usage. Unfortunately there are no public campaigns which release the public changes inserted into the public policy as a result of consultations. Nor there are public discussions wchich involve all interested stakeholders.</t>
  </si>
  <si>
    <t>It varies from case to case, it doesn’t have an organized and structured nature. Usually the collected opinions are generalized in table of opinions that are attached to the folder of the draft act, but the responsible institution is not obliged to make public the collected opinions and it is not motivating the rejection of the proposals. They can just ignore the proposals or the opinions, upon their discretion. The situation is slightly different in the case of some well-organized associations, such national associations of local governments, associations of different businesses, other interest groups, where depending on their strengths, the government feels obliged to take into consideration their opinion, or to find a motivation for rejecting their proposals. Overall, the government accepts recommendations from think tanks, but this is not a rule.</t>
  </si>
  <si>
    <t>There was no such research to answer this question for sure. But in most politically significant cases (like discussing of the draft Electoral Code, atomic power plant, draft law On political parties etc.) authorities ignored amendments and comments made by NGOs and think tanks. In less politically sensitive sectors national and local authorities are more responsive to civil society opinion and more cooperative with NGOs. 
The Government informs the public opinion with the result of public hearings but it is not obliged to accept suggestions and amendments proposed by NGOs and it usually doesn’t do that. Authorities also don’t explain why they are not willing to accept suggestions voiced during the hearings.</t>
  </si>
  <si>
    <t>Yes. The consultations in practice undertaken by the government is not “public” per se, rather expert working groups are created to provide input on some of government’s initiatives. These working groups usually comprise domestic non-governmental organizations and missions of international/donor organizations. Further the new government has made a commitment of consulting the Council of Europe Commission of Democracy through Law (the Venice Commission) prior to enacting major changes in justice sphere. It still remains to be seen to what extent the recommendations of the various actors will be taken into account when making final decisions. However, it should be noted that the consultation process with the civil society became more meaningful in the form of the Inter-Agency Council on Criminal justice supported by the EU.</t>
  </si>
  <si>
    <t xml:space="preserve">Overall, the impact of public in devising policies and in law-making is extremely low, although its weight has somewhat risen in the last year. The degree of the impact that the public consultations are having on policy-making also varies from sector to sector, with the most strategic areas of decision-making (including the military, security, key industries) being almost totally exempt from public’s influence. It is difficult to find such statistics but consultations have some impact on the final content of proposals. Only it is necessary to take into account that the Government don’t compromise in principle issues. 
Parliamentary hearings are published in the Parliamentary website. The Government does not publish or report about the outcome of its consultations with the public, neither it formally informs the public about the changes in its policies or draft decisions which might be affected by the consultations.   </t>
  </si>
  <si>
    <t>No, it is impossible to follow and prove it. For disclosure of law project they do not do it despite plenty proposals</t>
  </si>
  <si>
    <t>Are there effective institutional arrangements to provide strategic planning and policy formulation, to support decision-making? Yes/No</t>
  </si>
  <si>
    <t>Partially. The draft law on strategic planning system was submitted again  to the Verkhovna Rada of Ukraine for repeated second reading (Resolution #4219 dated 22 December, 2011).  The procedure and financing of strategic planning in the area of defense and military service was established  by the Resolution of the Cabinet of Ministers of Ukraine #447 dated  5th of April 2006. Moreover, different  Ministries have their own strategic planning schemes.</t>
  </si>
  <si>
    <t>Yes. In late 2012 the  State Chancellery has reorganised the  Division on policy, strategic planning and external assitance into the the General Division on policy coordination, external assitance and  central public administration reform. It has preserved strategic planning and policy formulation functions, but also assimilated the responsibilities for conducting the central public administration reform. At the ministerial level the Divisions for policy analysis, monitoring and evaluation are  fully functional.</t>
  </si>
  <si>
    <t>Yes. The Government Chancellery acts as the body coordinating strategic planning and policy formulation. No other official arrangement is provided by Georgian legislation. However it is difficult to assess how effectively the institution serves  the function of supporting decision-making.</t>
  </si>
  <si>
    <t xml:space="preserve">No, There aren`t institutional arrangements, but there are many strategic documents adopted by the Government of Armenia.  Certain institutional arrangements are devised in the legislation, particularly in the Law on Legal Acts, to provide for strategic planning, policy formulation, impact assessment, etc. (e.g. see art. 27, Law on Legal Acts). What can definitely be doubted in this respect is rather the effectiveness of such institutional arrangements, at least because these are envisaged as optional, discretionary procedures.                                          </t>
  </si>
  <si>
    <t xml:space="preserve">Relatively. Center for Strategic Studies under the President of Azerbaijan Republic has barely impact to decision making process. They are involved to preparation of strategic planning and programs relatively. The formulation of policy is under monopoly of presidential adminstration. </t>
  </si>
  <si>
    <t>Yes. The Secretariat of the Cabinet of Ministers of Ukraine, headed by the Minister - Member of the Cabinet of Ministers of Ukraine (according to the Presidential Decree dated 28th of December 2012 #766)</t>
  </si>
  <si>
    <t>Yes. The State Chancellery remains the central body supporting the cabinet of ministers</t>
  </si>
  <si>
    <t>Yes, there is an office of the council of ministers that organize day bu day work of the Council</t>
  </si>
  <si>
    <t>Yes, There is a government office supporting the council of ministers.</t>
  </si>
  <si>
    <t>Yes, presidential adminstration</t>
  </si>
  <si>
    <t>Does the government office have sufficient capacity to evaluate line ministry proposals and organize their coordinated submission to cabinet meetings? Yes/No</t>
  </si>
  <si>
    <t>Yes. There are  two units within the Secretariat responsible for an evaluation and coordination of line ministries activities in the policy making: 1. Department of Professional Expertise of Social and Labour Relations, and 2. Department for Compliance with the Rules of Procedure and Organization of the CoM meetings</t>
  </si>
  <si>
    <t>Yes.  Since late 2012 with the creation of the General Division  on policy coordination, external assitance and  central public administration reform the number of staff involved in policy evaluation has increased considerably, amounting for 16 civil servants. Formally yes, there are institutions in place, but their human  capacity is not strong and needs substantial strengthening; the level of salaries doesn't motivate young graduates to enter the public service.</t>
  </si>
  <si>
    <t>Yes, but in general these functions are fulfilled by the Presidential Administration</t>
  </si>
  <si>
    <t>Yes. There are no legal guidelines on evaluating line ministry proposals, however there is a procedure in place for presenting all the submissions and opinions to the cabinet meetings.</t>
  </si>
  <si>
    <t>Yes. The government office collected and evaluated line ministries proposals and organizes their coordinated submissions to cabinet meetings according to RA President’s 2007 July 18 Decree "On Order of the Organization of Activities of the Government and other state bodies".</t>
  </si>
  <si>
    <t>Yes, presidential adminstration have sufficient capacity to evaluate line ministry proposals and organize their coordinated submission to discussion.</t>
  </si>
  <si>
    <t>Are there bodies to coordinate cross-sectoral policies? Yes/No</t>
  </si>
  <si>
    <t xml:space="preserve">Yes. Order of Cabinet of Ministers #2017 dated 01 November, 2010, established four governmental committees to coordinate cross-sectoral policy, but during the year 2012 there were no governmental commitee meetings  </t>
  </si>
  <si>
    <t>Yes. The Presidential Administration</t>
  </si>
  <si>
    <t>No. There is no separate body for cross-sectoral policy coordination other than the government chancellery mentioned above.</t>
  </si>
  <si>
    <t xml:space="preserve">Yes. The Government of Armenia and it`s office is the main coordinating body, but The Ministry of Economy, The Ministry of Justice and The Ministry of Finance also have some role in this issue. </t>
  </si>
  <si>
    <t>Yes, under legisation this is given to Cabinet of Ministries and in reality presidential adminstration is dealing with it</t>
  </si>
  <si>
    <t xml:space="preserve">Yes. Par. 37-41 of the Regulation of the Cabinet of Ministers of Ukraine (Resolution of the CoM of Ukraine #950 dated 18 July, 2007) provides for consultations and approval of draft legal acts of the Cabinet of Ministers of Ukraine with all interested state bodies (procedure of approval, approval by silence and re-approval procedure). </t>
  </si>
  <si>
    <t>Yes, the Council of Ministers discusses all proposals.</t>
  </si>
  <si>
    <t xml:space="preserve">Yes. Procedures are regulated by the Regulation on the Organization of the Government Activity.  According to RA President’s 2007 July 18 Decree "On Order of Organization of the Activities of the Government and other state bodies". </t>
  </si>
  <si>
    <t xml:space="preserve">Yes. As a rule, the proposals of any of the ministries should be coordinated with other concerned ministries. However, in many occasion when the policy was implemented it appeared that there is low coordination between ministeries. </t>
  </si>
  <si>
    <t xml:space="preserve">Yes. According to the Ch. 8 of the Regulation of the Cabinet of Ministers of Ukraine (#950 dated 18 July, 2007) the procedure for processing policies are envisaged (elaboration of policy proposal, concept of law, concept of state programme, etc. ) </t>
  </si>
  <si>
    <t xml:space="preserve">Yes. In 2012 the Government has drafted and disccused within the Government a new Law on normative acts that will substitute the two important laws that describe, among other things, the administrative procedures for preparing, consulting and aproving public policies. With the new law all procedural drawbacks and confusions are eliminated. The draft law is pending Government approval.  </t>
  </si>
  <si>
    <t>No. There are no procedures in place in the legislation for assessing policy proposals and policy implementation.</t>
  </si>
  <si>
    <t xml:space="preserve">Yes, According to RA President’s 2007 July 18 Decree "On Order of Activities of the Government and other state bodies".                       </t>
  </si>
  <si>
    <t xml:space="preserve">According to the  Law on normative acts and other authorities of the public administration all procedures for processing policies are envisaged . </t>
  </si>
  <si>
    <t>Are there bodies for assessing the impact of government-wide policies? Yes/No</t>
  </si>
  <si>
    <t xml:space="preserve">Yes. Line ministries are responsible for an assessment of  sectoral policies. At the national level the special high level coordination body was established by the President of Ukraine - Committee on Economic Reforms and its Secretariat - Coordination Centre for Economic Reforms Implementation.  </t>
  </si>
  <si>
    <t xml:space="preserve">Yes. The policy units at the level of line ministries and State Chancellery are assessing the impact of government-wide policies.  The State Chancellery has introduced a new tool for ex-ante policy impact assessment and so far up to 50 Public Policy Proposals have been elaborated. In 2012 the State Chancellery has prepared and piloted the ex-post guide for policy evaluation that will be soon institutionalised.  </t>
  </si>
  <si>
    <t>No. But the State Control Committee monitors and assess some policies and processes if asked by the President</t>
  </si>
  <si>
    <t>No. There is no impact assessment requirement and no guidelines for this in place.</t>
  </si>
  <si>
    <t xml:space="preserve">Yes, the Government Staff of RA, according to RA President’s 2007 July 18 Decree "On Order of Organization of the Activities of the Government and other state bodies".                       </t>
  </si>
  <si>
    <t>There is no special bodies,  which is charged with assessment  of the policy making.</t>
  </si>
  <si>
    <t>Yes. At the level of central executive bodies for providing policy advice and consultation the special Public Councils are established. Some line ministries (as Ministry for Social policy and Labour, Ministry of Economic Development and Trade)  have own scientific and research institutes.</t>
  </si>
  <si>
    <t xml:space="preserve">Yes. Informational and Analytical Centre at the Presidential Administration, Analytical Institutions or departments within ministries. </t>
  </si>
  <si>
    <t xml:space="preserve">No. There are no government operated think-tanks or policy research centres. Individual ministries are to do own research and can get help from the Chancellery. </t>
  </si>
  <si>
    <t xml:space="preserve">Yes. There are institutions in the network of Academy of Science of Armenia, which provide policy advice and there are deliberative commissions attached to the ministries (it is not specifically designated to provide policy advice to the Government). Members of these commissions are public officials, representatives from NGOs and higher educational institutions. There also another bodies  (e.g. the National Center for Legislative Regulation). </t>
  </si>
  <si>
    <t>Relatively, there are strategic and analytical research centers operating in ministries. EX: SAM, Ministry of Taxes, Min.Economic Development, Min.of Labor and Social Protection Central Bank. Their numbers are very low. All of them are not specialized in policy advice field and have weak research capacity.EX:  Min.of economic development and Min.of Labor and Social Protection.</t>
  </si>
  <si>
    <t>Rather no. Evaluation of policy implementation is provided for by the Acts of Ukraine and Rules of Procedure of the Council of Ministers. But in fact, evaluations are conducted  only in a very formal way, without looking very much into substance.</t>
  </si>
  <si>
    <t>Yes. In 2012 the Government has elaborated and piloted the Ex-Post evaluation Guidebook. Line ministries are expected to utilise the guidebook for conducting further policy evaluations.</t>
  </si>
  <si>
    <t>No. There is no formal evaluation of policies in place.</t>
  </si>
  <si>
    <t>No. There is no formal evaluation of policies in place, either before or after their implementation has started.</t>
  </si>
  <si>
    <t>Yes, the procedures are regulated by RA President’s 2007 July 18 Decree "On Order of Activities of the Government and other state bodies".  The decree merely provides for evaluation of policy implementation, but does not provide detailed procedures to that effect.               .</t>
  </si>
  <si>
    <t>No, mainly executive committees are engaged in this process and therefore, assessment is considered unfair.</t>
  </si>
  <si>
    <t xml:space="preserve">No. As result of administrative reform (including optimization of state bodies structure in year 2012) the level of professionalisation of civil servants was reduced.  </t>
  </si>
  <si>
    <t>No. No significant progress in this respect.</t>
  </si>
  <si>
    <t>No. There are no designated policymaking departments. Some ministries have analytic departments, but this is not uniform and definitely not required by law. The qualifications of the staff are very difficult to assess, since there is no ready public access to the staff’s resumes. While the vacancies announced by public bodies must containe a job describtion, there are no uniform rules or guidelines on the level of detail of these describtions. Hence analysing these announcements too, would yeld very limited idea of the staff’s capacity.</t>
  </si>
  <si>
    <t>No. In general no, but there are some qualified staff members. On one hand, there are a series of institutional arrangements to ensure that the entire civil service is sufficiently qualified (requirements for higher education, competitive basis for recruitment to civil service, selection criteria, etc.). In addition, government agencies are staffed with a certain amount of specialists who have undergone quality trainings and are often graduates of world leading institutions (especially due to specifically designed educational programs such as ‘Tavitian’). Yet, overall, as a matter of fact the quality of public servants is not high on average. The Government offers comparatively unattractive employment conditions (salary, social security, etc.) and hence is in a competitive disadvantage in terms of attracting the most qualified resources in the nation.</t>
  </si>
  <si>
    <t>Relatively the staff of in Strategical Analytc Center under President Adminstration,   Central Bank and the Ministry of Taxes is much qualified</t>
  </si>
  <si>
    <t>Yes (issued in 1993). The provisions of  new Law on civil service adopted in 2011, unfortulately has been suspended in November 2012 and will come into effect only as of 1st January, 2014. The main problem is still finding the appropriate financial resources for its implementation.</t>
  </si>
  <si>
    <t>Yes, adopted in 2003</t>
  </si>
  <si>
    <t>Yes. Civil Service law has been adopted in 2001 and which is related to the central government employees. There is a separate law on Municipal Service (2004), which is related to the municipal employees. Answers of this section is related mainly Civil Service law. The law "On Public Service" adopted in May 26, 2011regulates all kinds of public services, including civil and municipal services.</t>
  </si>
  <si>
    <t xml:space="preserve">Yes/No. The new Law tries to define the scope of civil service (taking into account the list of state bodies, in which civil service position and categories of employees  covered by the Law are envisaged), and to demarcate the political and civil service positions. But in fact, some categories  assigned to civil service (for ex. patronage service) are strictly of political nature. This breaks the standars of neutral civil service . In 2012 the Special Order of NACS was issued to identify the criteria for demarcation civil service positions and employees of state bodies. </t>
  </si>
  <si>
    <t>Yes. The Law on public function and civil servants' status describes the types of civil servants and their qualification grades.</t>
  </si>
  <si>
    <t xml:space="preserve">Yes. According to the Law on civil service, 1993, the general principles of conduct of civil servants were elaborated in year 2010 by the Main Department of Civil Service of Ukraine. Law on the rule of ethical conduct issued in 2012, define key principles of behaviour  of civil servants and procedure of bringing them to responsibility for violation of these principles. </t>
  </si>
  <si>
    <t>No. there are elements of the code of conduct within the civil service law</t>
  </si>
  <si>
    <t>Yes. The general principles of civil service work are listed in Article 13 of the Code and Chapter 61, giving the general code of conduct was added to the Code in 2009. The Law on Conflict of Interests and Corruption in Civil Service provides further additions to the framework.</t>
  </si>
  <si>
    <t>Yes. The code of conduct for civil servants is adopted in 2002 by the Civil Service Council. But the 2002 Code is not in effect. Instead, following the decision of the Council of Civil Service (http://www.cscouncil.am/doc%5Ciravabanakan%5C844.pdf) respective codes of conduct are to be introduced in each state body based on regulations accepted by the ‘council of ethics’ that operate within each agency. In many agencies these councils are currently in the process of formation.</t>
  </si>
  <si>
    <t>Yes. The Law: On Rules of Ethics Conduct of Civil Servants. Comments: The Act entered into force in May, 2007.</t>
  </si>
  <si>
    <t>Is explicit political activity of civil servants prohibited by law? Yes/No</t>
  </si>
  <si>
    <t>Yes. Political neutrality is one of the basic principles of the new Law  (art.3). According to the art.12 when performing his/her official job duties, a civil servant shall have no right to take any actions that manifest his/her political views or indicate his/her personal attitude towards certain political parties. Nonetheless, no restriction has been imposed by the  Law, 2012 (similar to Law 1993) on civil servant to be  a member of political party .  Art. 8 of the Law on the rule of ethical conduct envisages as well politically impartiality of civil servants, avoiding demonstrations in any form their own political beliefs or opinions.</t>
  </si>
  <si>
    <t>Yes. According to the article 5 of the Law  on public function and civil servants’ status and the Code of conduct of civil servants the political view of the civil servant must not influence its behavior, decisions, as well as the public authorities’ policy, decisions and actions.</t>
  </si>
  <si>
    <t>Yes. The Code clearly states the non-political nature of the civil service (Article 13, para. g). Georgian legislation does not restrict civil servants’ membership in political parties. Exception to this rule are the police, military servicemen, prosecutors, judges and employees of certain organs of the Ministry of Finance (Law of Georgian on Political Unions of Citizens, Art.10), due to the nature of their work, and impartiality that is of even higher order. Party members who are appointed to these positions must relinquish their membership for the duration of their service. All civil servants are precluded from using their work for party activities (Civil Service Code Art.61). The Unified Election Code (UEC) clarifies how the two roles of impartial civil servant and a party activist may be reconciled. It states that civil servants may participate in campaign activities when not fulfilling their official duties (UEC Art. 76.1). The regulation however is minimal and full of possibilities for abuse.</t>
  </si>
  <si>
    <t xml:space="preserve">Yes. The Law on Civil Service has the following article: 20.1.6. to take part in activity of the political parties during fulfillment of service duties; However,  in practice, one should be aware of numerous cases of violation of this article. Especially officials are engaged to policy of ruling party in compulsary basis. </t>
  </si>
  <si>
    <t>No. Political appointees are the part of civil service corp under the Law 1993 (and partially, patronage positions, under the Law 2012)</t>
  </si>
  <si>
    <t>No, there are no political appointees in Belarusian government</t>
  </si>
  <si>
    <t>Yes. The law clearly distinguishes civil servants from the political appointees. Occupation of civil service positions mainly takes place in the bases of competitions. There are few exceptional cases when civil servants appointed without competition.</t>
  </si>
  <si>
    <t xml:space="preserve">İn legislative yes, in practice not. </t>
  </si>
  <si>
    <t xml:space="preserve">Yes. The issue of conflict of interest is defined by the Law of Ukraine  on Principles of prevention and combating corruption (art. 14) and Law on the rules of ethical conduct (art.15)  </t>
  </si>
  <si>
    <t>Yes. According to the article 8 of the Law on conflict of interest the conflict of interest shall be identified through:
1. Initial and periodical declaration of personal interest and immediate disclosure when a conflict of interest arises and
2. Petitions and inquiries of citizen.</t>
  </si>
  <si>
    <t>Yes. Appropriate provisions are in place in both the Civil Service Code and the Law on Conflict of Interests. Article 734 of the Code sets the general rules for conduct in case of conflict of interests, and states the civil servants may not offer or receive benefits stemming from the position in the civil service (734.1) and must declare any conflict of interests upon being appointed to a position or immediately as the conflict arises (734.2 c)). Further civil servants must publicly declare their relations (family and household members) employed at the same agency as them, and must do so annually by February 1 (734.3)</t>
  </si>
  <si>
    <t>Yes, Art. 30-31 of the Law on Public Service only concern higher-ranked officials. Article 24, point 3 of the Law on Civil Service.</t>
  </si>
  <si>
    <t>Partially. The law on conflict of interest has not yet passed by parliament. However, in some laws (eg laws on civil service and government procurement), there are some rules to prevent conflicts of interest. Also, the article 85.2 of the Constitution of Azerbaijan prohibits people working in the executive or judicial organs, or those involved in different paid activities, except for scientific or creative,  to be elected in the parliament.</t>
  </si>
  <si>
    <t xml:space="preserve">Yes. Civil Servant is prohibited to work with close relative (parent, husband, sun, daughter, brother, sister, husband’s parent, sun, daughter, brother, sister) if their service connected to the subordination or supervision of each other. Issue of the conflict of interest is the part of legistation  regulating ethical conduct and corruprion issues </t>
  </si>
  <si>
    <t>Yes. Article 5 (1-16,17) of the Law on Public Service. But it doesnt work effectively in practice. Armenia’s Human Rights Defender’s report also refers to cases of blutant violation of conlfict of interest principles (http://www.ombuds.am/main/en/9/27/2519/). There have been numerous similar cases reported in the media which caused wide public resonance.</t>
  </si>
  <si>
    <t>No. The law on conflict of interest has not yet passed by parliament. However, for example, in the law on civil service there is the following article: 27.2. Any person shall not be recruited to the civil service in the following cases: 27.2.3. in case of close or kin relationship (spouses, their parents, brothers, sisters, children) with civil servant subject to direct subordination or supervision;</t>
  </si>
  <si>
    <t xml:space="preserve">Yes/No. Civil service policy is part of Programme of economic reform of the President Ukraine for years 2010-2014. The activities within civil service sphere are elaborated on annual basis and published (with detailed deadline) in the form of Presidential Decree. But there is no public reports on activity performance (annual report is discussed only within very limited group, members of Board of NACS). In February 2012 by the Presidential Decree the Strategy of state personnel policy for years 2012-2020 was adopted, but there is no date on first year performance.  </t>
  </si>
  <si>
    <t>Yes. The State Chancellery regularly produces and disseminates information on the civil servants policy and performance. This is also included in the quarterly reports on the central public administration reform and yearly evaluation report. On a monthly basis newsletters on civil servants policy and performance are prepared and disseminated to civil servants, country development partners and NGOs.</t>
  </si>
  <si>
    <t>No. There is no separate and official civil service policy in place. The reform of the system has been discussed for over a decade; however no progress seems to have been achieved in reconciling two diametrically opposed views on how the service should be organized in principle . There is no designated body to monitor the performance of civil service. The Civil Service Bureau is an advisory body to the President of Georgia, a coordinating unit tasked with drawing up the strategy of reform and facilitating admission to the civil service and introduction of electronic governance.There is no effective system of performance assessment in place, either on the individual civil servant level or the institutional level.   Transparency International Georgia (2006) Reforming the Georgian Civil Service: Grand Corporation or a Competitive Market? Available at: http://transparency.ge/sites/default/files/Reforming%20the%20Georgian%20Civil%20Service.pdf</t>
  </si>
  <si>
    <t>Yes. Civil Service council submits annual report to the Parliament of Armenia. The Law on Civil Service, Article 37 (8)</t>
  </si>
  <si>
    <t xml:space="preserve">Yes. Article 4 of the Public Service Act provides principles of public service. </t>
  </si>
  <si>
    <t>Yes. Civil servants have an access to the personnel file (osobova sprava) and are obliged to  be acquainted under signature about all changes in personnel file and own career development (responsibility of HR devision within state body)</t>
  </si>
  <si>
    <t>Yes, in practice, new ammendments of Oct. 2012 do not prohibit such access</t>
  </si>
  <si>
    <t>Yes. Civil servants may access all data containing their personal information, just like all citizens of Georgia, according to the legislation</t>
  </si>
  <si>
    <t>Yes. The law on civil service has a special article about it: 19.0.7. at the first request, to acquaint with all materials of his/her personal file, references and other documents attached therein, as well as to demand inclusion of his/her statements to the personal file</t>
  </si>
  <si>
    <t>Yes. The Law was adopted in 2010, came into force starting from the 1st January 2011</t>
  </si>
  <si>
    <t xml:space="preserve">Yes. Law nr. 17-XVI on personal data protection from 15.02.2007 </t>
  </si>
  <si>
    <t>Yes. It is a part of the Law on Information, Informatization and Data Protection (2008)</t>
  </si>
  <si>
    <t>Yes/No. Data protection legislation is part of the General Administrative Code of Georgia and in law is quite robust. The legislation recognizes and protects personal, commercial, professional and state secrets.All personal information about a citizen must be made accessible to him/her upon request, at the agency that has them. This information may not be made available to a third party, except when a written consent of the person concerned is provided. This rule is by the law applied to information requests by another state agency. The only exception is when sharing such personal data is mandated by the court as a means of obtaining evidence.Public agencies may only collect data that is necessary for functioning. Collection, analysis, storage or disseminating data on a person’s religious, sexual or ethic belonging and political and related views is prohibited.The information that may never be restricted is also provided in Article 42 and among others lists information on public safety, and structure and mandate of public institutions.The compliance with the data protection act, however, is very low, even from the side of state agencies. The Public Registry web page may be searched for people and property and this would reveal the requested person’s appeals/registration record, including the person’s identification document number, legal address and telephone number.The standards are not upheld by private companies either, with photocopies of identification documents of persons with strange/funny names have frequently gone viral in internet.</t>
  </si>
  <si>
    <t>Yes. The Article 6 (1) of RA Law on Personnel data, adopted in 2002, October 8.</t>
  </si>
  <si>
    <t>No, there is no separate data protection act. But this case is  considered in different laws and codes. / Law on Legal Protection of Databases- entered into force 14 September, 2004, N 755; Law on Information, Informatization and Protection of Information, entered into force  3 April 1998,  N 460-1G; The law on the National Archives, June, 1999; Law on Data, Data Processing and Data Protection,  entry into force in 1999</t>
  </si>
  <si>
    <t>Yes. Thus according to the new Law on civil service (2012) the position of Head of civil service has been established in every state body (higher CS position). The Head of civil service will act from 1ts January 2014 as an employer for every civil servant within the body subject to his/her responsibility. But, in practice political influence on nominations and dismissals is still very high.</t>
  </si>
  <si>
    <t>No. No progress in this respect.</t>
  </si>
  <si>
    <t>No, in practice</t>
  </si>
  <si>
    <t>No. Civil servants are legally protected from arbitrary dismissal and political interference by the Civil Service Code. They further have legal possibilities for appeal and whistle-blowing in cases of such attempts.However, the legislation also allows dismissals due to downsizing or “liquidation of the agency”. These could give the management considerable flexibility. Official appointments are often dictated by political interference. Although the Civil Service Code guarantees civil service appointments for life, government reshuffling can result in massive uncertainty. Arrival of each new minister tends to result in a major reorganization. As a general practice, the staff members are “asked” to sign a letter consenting to possible termination due to reorganization.  The latter protects the government against legal retribution and financially, as no compensation must be given. This practice was introduced after the state lost a number of cases for unlawful dismissal of employees. Subsequently, the state had to pay former employees lost salaries and reinstate them to old positions.  This practice has continued since the change of government following the 2012 Parliamentary elections. Civil society groups reported that thousands of employees, particularly at the local government level were dismissed and the dismissals were politically motivated. In keeping with the already established practices, the dismissed employees were often officially released at their own initiative .</t>
  </si>
  <si>
    <t>Yes. The Public Service Act protects state employees from politically motivated dismissals. But, in practice, in the past were not a few cases of such dismissals./ Such politically motivated dismissals happen not rarely , but neither a Public Service office, nor the court would acknowledge such cases. So, it turns out that it is very diffcult (almost not possible) to bring legal arguments on exsistence of such cases.</t>
  </si>
  <si>
    <t>Are there clearly defined institutions to develop and coordinate civil service policy? Yes/No</t>
  </si>
  <si>
    <t>Yes. According to the Law on Civil service (1993, 2012) the National Agency of Ukraine for Civil Service (NACS) is the main institution responsible for policy development and coordination of implementing actions  in this area. Whereas the Ministry of Justice is responsible for prevention against corruption within the civil service corps.</t>
  </si>
  <si>
    <t xml:space="preserve">Yes. In 2012 the Regulation on the State Chancellery from March 2011 was finally enacted. As a result, the Civil Service Division became part of the Public Central Administration Division. </t>
  </si>
  <si>
    <t xml:space="preserve">Yes. As noted above, Civil Service Bureau (CSB) is tasked with developing and coordinating civil service policy. However, as of yet, there is no clear policy identified within the government. The only information in this regard is the draft concept of civil service reform and draft of the new civil service code available on CSB web page.CSB is not perceived as having much political or technical clout and its role in policy development is to be doubted. </t>
  </si>
  <si>
    <t>Yes. In 2005 under the President of the country created a special commission on public service.</t>
  </si>
  <si>
    <t xml:space="preserve">Yes. Their competences are defined by the Law on civil service of Ukraine and relevant Statutes </t>
  </si>
  <si>
    <t>No. The CSB never commanded either much technical expertise or political clout to ensure complience. Its influence is further precluded currently, given that it is still headed by its head appointed under the old government. This suggests that the current government has not yet managed to formulate its own standing on the issue and hance has not invested in changing the institution’s capacity or really bring it to life.</t>
  </si>
  <si>
    <t>Yes. Relevant  rights and functions of the Commission on Civil Service described in the Statute of the Commission.</t>
  </si>
  <si>
    <t>Yes. In december 2012 new changes were made to the portfolio of  Minister of the Cabinet of Ministers of Ukraine (be Presidential Decree), thus  she is responsible for ensuring the effective functioning of the system of civil service.</t>
  </si>
  <si>
    <t>No. But the State Control Committee can monitor and assess some policies.</t>
  </si>
  <si>
    <t>No. CSB has no disciplinary or enforcement mechanisms and generally, is not an oversight body in either law or practice.</t>
  </si>
  <si>
    <t>No, there is no here an oversight body to ensure the fairness of civil service policies.But, according to the 31.21. Civil servant law, civil servants may appeal attestation results to the relevant executive power body during 7 working days. Relevant executive power body shall consider the complaint during 20 working days after its entrance. In practice, operate the   Appeal Commission.</t>
  </si>
  <si>
    <t>Is the ratio of all public sector employees per head of population in line with EU member states (ranging according to the European Commission data ): Yes/No</t>
  </si>
  <si>
    <t xml:space="preserve">No. The ratio is 0,7%, (total civil servants number is 279 500 as for 1st January 2011). 
 </t>
  </si>
  <si>
    <t>Yes. Ratio of employees in public administration, education, healthcare and social assistance per head of population in Moldova is 7%.</t>
  </si>
  <si>
    <t>Yes, ratio is about 4.5% (unfortunately there is no precise data)</t>
  </si>
  <si>
    <t>Yes/No. According to CSB Georgia has 1 civil servant per 52 head of population. However, the figures given by the CSB (total of 86 030 persons in the national and local government bodies) excludes the employees of the ministries of Interior and Defense, educational, cultural and religious entities funded by the state. This significantly distorts the picture and along the way shows CSB’s limited authority and capacity even as concerns data collection.  http://www.csb.gov.ge/ge/publications/statistics (last accessed on May 1, 2013)</t>
  </si>
  <si>
    <t>Yes. 6,4% in 2010 and 7.9% in 2011. According to Armenian Statistical Agency, 260.1 thousand people worked in the public sector in 2011 (no information is available for 2012) (http://www.armstat.am/file/doc/99471438.pdf) which equals  to 7.9% of the total population. 
The average for EU states is 7.7% (range: 2.7% Greece to 17.4% Sweden).</t>
  </si>
  <si>
    <t xml:space="preserve">Yes.The number of civil servants in Azerbaijan is 26,5 thousands (January 01, 2012). The number of employes in Public sector is 897,9 thousands (November 01, 2012) –  9% of population and 24,5 in  total employers. </t>
  </si>
  <si>
    <t xml:space="preserve"> No. The salary rate and structure of civil servants salaries under the Law on Civil Service (1993) are not sufficient. Remuneration provisions are going to be changed (from 1st January, 2014, according to the new Law ). The new Law stipulates the increase of basic salaries more than 2 times, and provides for calculation of the size of bonuses and allowances in reference to minimum official salary rate, but noone can predict when the renumaration system will be implement. Actually it is the milestone for enactment of new Law.</t>
  </si>
  <si>
    <t>No, civil servants are ofter underpayed</t>
  </si>
  <si>
    <t>No. The official salary ranges are not defined by any law and the actual salaries are negotiated by individual Ministers and general spending ceiling is negotiated with the Finance Ministry annually. Salaries therefore can vary considerably from ministry to ministry. Only salaries of Ministers, deputy Ministers and heads of departments are defined by a Presidential Order (#43 of 24.01.2005)In general, the salaries have significantly improved in recent years. While they may well be enough for adequate standard of living at higher levels of bureaucracy, the civil service salaries alone cannot be appropriate at lower/mid levels, where average salary is reported to be about GEL 700 (approximately USD 410) monthly.But official salaries alone do not give a full picture of civil service remuneration. Bonuses are a major part of that in Georgian civil service. Georgian legislation does not provide a clear and impartial systematic method of performance assessment that bonuses are normally associated with. Nor is the size of the bonus – absolute or relative to monthly salary, defined anywhere.Rather than being a tool for rewarding exceptional performance of employees, bonuses are difficult to tie to any indicator in practice. The trend is to give “salary additives”, often in the amount of official monthly salary, to all staff at least once a year, and usually, at the end of each quarter. However, bonuses larger than monthly salaries are not infrequent either. Beyond that, there are instances when “bonuses” are paid to certain staff every month. Since the agencies cannot pay salaries over the set amount for a given position, they tend to pay competitively only through these monthly additives. This is of course not official, but rather a verbal agreement made upon hiring. The grounds for such agreement may be varying. On one hand, it may be that civil service is attempting to recruit and sustain highly qualified stuff but on the other – it could also be favourism and corruption. The practice has continued under the current government as well, with the newly appointed Ministers handing out substantial bonuses to their staff, and themselves, just months after their appointment.</t>
  </si>
  <si>
    <t xml:space="preserve">No. Monthly average salary in public administration sector was EUR 234 in 2011, which is very low. Levels of pay vary from one agency to the other, and only few of them provide competitive salaries (Ministry of Finance, State Revenue Agency, Central Bank). Various types of additional remuneration are applied in state service: bonuses, lump sum incentives, etc. Overall overall the pay for public service is not competitive.  </t>
  </si>
  <si>
    <t>No.  At the end of 2012, the average monthly 400 pounds, the 450 is the average monthly salary of civil servants. Compared with the official cost of living is low, but the real cost of living. This becomes a cause of corruption. The possibility of corrupt income attracts people to the civil service.</t>
  </si>
  <si>
    <t>No. There are not such arrangements in terms of global, horizontal mechanism covering the whole governmental administration on central, regional and local levels. Staff planning is performed within the limits of single bodies by each institution separately on yeasrly basis (within budget arrangements).</t>
  </si>
  <si>
    <t>No, there is no clear planning arrangements.</t>
  </si>
  <si>
    <t>No. There aren`t effective planning arrangements for deployment of civil servants</t>
  </si>
  <si>
    <t>Yes. Public authorities shall submit to the State Commission on Civil service their needs in these or other employees (at least once a month). The State Commission shall organize the procedure of selection. All these procedures are governed by specific documents that are presented on the website of the commission.</t>
  </si>
  <si>
    <t>No.  The existing personnel information system ("Kartka") doesn't allow to use  it for human resource management at civil service . Within the Canadian funded project NACS made an attempt to update the personnel information system, but unfortunately  this remained only a pilot project.</t>
  </si>
  <si>
    <t>No. There is no unified database of civil service employees. Individual agencies have own HR management practices and these are not yet harmonized or centralized. Hence there is limited accountability and supervision in individual agencies.</t>
  </si>
  <si>
    <t>Yes. The list of posts by categories and types, passports of posts, list of posts of respective bodies, reserve of personnel, etc. are in place</t>
  </si>
  <si>
    <t>No, only  on-line access to management  system.</t>
  </si>
  <si>
    <t>No. NACS created a special web-service "vacancies of state executive power bodies" (http://nads.gov.ua/control/vacancy). But in practice this service doesn't work. The situation can be changed after entering into effect new Law on civil service due to the fact that all positions except those of group I should be advertised and filled in based on open competition.</t>
  </si>
  <si>
    <t>Yes. All posts must be publicly advertised and a 10 day application period is to be ensured, according to the civil service law. The advertisements must be published on the official government employment web portal administered by CSB, and may be published on the recruiting agency's official web page, however this is not a requirement. Local self-governing entities must publish their vacancies on CSB web page and their oficial gazette.</t>
  </si>
  <si>
    <t xml:space="preserve">Yes. All posts must be publicly advertised and a 10 day application period is to be ensured, according to the civil service law. The advertisements must be published on the official government employment web portal administered by CSB, and may be published on the recruiting agency's official web page, however this is not a requirement. Local self-governing entities must publish their vacancies on CSB web page and their oficial gazette. This situation has been in place with the amendments of 17.05.2011.  </t>
  </si>
  <si>
    <t>Yes. Civil Service Commission under the President of the Republic of Azerbaijan announces the competition and  interview.The process on filling of the vacancies advertized for the competition is consist of 2 stage – testing and the interview in compliance with the article 28 of the Law of the Republic of Azerbaijan “On civil service”. Any citizen of the Republic of Azerbaijan with the higher education and meeting requirements of the relevant position can participate in the competition.</t>
  </si>
  <si>
    <t>No. The Law on Civil Service (1993) and the Resolution of the Cabinet  #169 dated 15.02.2002 provide for the competition procedure in the form of exam. The New Law provides also for the conducting interviews with the candidates  in addition to the tests (typical questions for testing procedure were developed by Order of NACS dated 03.10.2012, #168), but it's impossible to assess the modalities of planned new competition procedure, because new Law was suspended till 01.01.2014.</t>
  </si>
  <si>
    <t>Yes/No. Objective assessment remains problematic, despite it being required by the legislation. The usual procedure for recruitment is an oral interview usually conducted by the head of the unit hiring. Presence of a CSB representative is usually recommended, but not required. There is no possibility of independent/outside presence at the interview or other recruiting procedures. Given the high degree of politization of the civil service and evidence of patronage and nepotism, objectiveness of the hiring process is highly doubted.</t>
  </si>
  <si>
    <t xml:space="preserve"> "No. The competition holds in two stages: testing and interview. Those participants who answered correctly at least 90 per cent of the test assignments obtain the right to participate in the second stage of the competition. The winners of the interview are considered those participants who received at least 75% of the interview`s score assignment.
The corresponding Competition Commission forwards a conclusion on the participants selected as winners as a result of the competition to the official having the jurisdiction to make appointments to the position concerned. The official appoints one of the participants selected as a winner to the  position. This procedure has subjective grounds because. Transparency International's report quotes experts who say that the Civil Service Council and the competition and attestation commissions are also subject to external pressure. This pressure is especially significant in the case of “profitable” or “privileged” positions. 
The TI report also notes that there are no clear criteria or requirements for final decisions on appointment or promotion of civil servants. This leaves room for discretionary and biased decisions by corresponding officials.http://transparency.am/publication.php?id=41 
In addition, the Law on Civil Service (Art. 12) allows to appoint civil servants without competition, and this is widely practiced. Official statistics of such appointments is available at http://new.cscouncil.am/documents/statistics/18.pdf according to which in 2012 264 civil servants have been appointed in line with this recruitment procedure. 
</t>
  </si>
  <si>
    <t>In legislative yes, but in  practice, objective assessment for recruitment observed  in first  testing stage.</t>
  </si>
  <si>
    <t>Are job descriptions prepared and utilized? Yes/No</t>
  </si>
  <si>
    <t>Yes. Art.11 Law on civil service, 1993 (art.1, 12 Law on civil service, 2012), regulates the introduction of job description for each civil servants. At the same time new Law on civil service envisages creation of job profile for each civil service positions as a background for competition, during the year 2012 all executive power bodies were created job profiles for every civil service position.</t>
  </si>
  <si>
    <t>Yes/No. Job descriptions are mandatory, however the level of detail is not prescribed in the legislation nor are there any clear guidelines. Hence, in practice the job descriptions are very general and vague.</t>
  </si>
  <si>
    <t>Yes. Job descriptions are mandatory, however in practice the job descriptions are very general and vague. In some  governmental agencies the job descriptions are missing at all</t>
  </si>
  <si>
    <t>Yes. The competition commission includes representatives of the division that is hiring civil servants and of the human resource division that check the process (Resolution of the Cabinet of Ministers #169 dated 15th February, 2002). According to the Art.20 Law on civil service of  Ukraine (2012) and new Order of NACS (05.03.2012, #43)  the competition commission may include experts in a relevant field (but on practice this procedure can be checked only starting from 1st of January 2014)</t>
  </si>
  <si>
    <t xml:space="preserve">No. The requirement is that a recruitment committee be set up for each call. The committee is staffed by the agency recruiting and may also include a representative of the CSB, but this is not required. </t>
  </si>
  <si>
    <t>No. Such evaluation by independent reviewers are not provided in legislation</t>
  </si>
  <si>
    <t>Yes, at least on procedural level. Law and secondary legistation envisages common rules for all civil servants.</t>
  </si>
  <si>
    <t xml:space="preserve">No. The minimum recruitment legislation is the same across the civil service, however, the way individual agencies chose to recruit, the strategies and personnel they employ for this is not currently regulated or streamlined. CSB’s initiative of the single recruitment/vacancy announcement portal for the civil service may ease access to the listings of the vacancies, however would certainly not amount to much change in the actual conduct of the applicant assessment. </t>
  </si>
  <si>
    <t>Yes, performance appraisal should be conducted for all civil servants (except pregnant women,
civil servants of patronage service and civil servants
appointed to the position within reporting period) every year  according to the procedure, established by the Order of Main Department of civil service # 122 dated 31 October, 2003. New procedure of performance appraisal is regulated according to art.29 of the Law on civil service, 2012 and Order of the NACS (05.03.12, #46)</t>
  </si>
  <si>
    <t>No. There is no formal and regular performance appraisal system.</t>
  </si>
  <si>
    <t>No. There is no formal or uniform performance appraisal system in place. As noted above, bonuses and salary supplements are regularly paid to most civil servants, however basis for them is unclear.</t>
  </si>
  <si>
    <t xml:space="preserve">Yes. According to Article 30-1 of the law on Public Service. </t>
  </si>
  <si>
    <t>Yes, established by legislation (new more compregensive performance appraisal system were developed under the new Law 2012, but will be introduced starting from 1st january 2014)</t>
  </si>
  <si>
    <t>The attestations are regulated by a special presidential decree #47</t>
  </si>
  <si>
    <t>Yes, art.27 of the Law, 1993, establishes the procedure for vertical and horizontal (higher rank) promotion of civil servants.  The same provisions were transferred to the New Law on civil service, 2012 (art.31) . New Law envisages the posibility of financial promotion within the same position of civil servant (increasing of the basic salary)</t>
  </si>
  <si>
    <t>Yes, according to the Law on civil service (2012)</t>
  </si>
  <si>
    <t xml:space="preserve">No. The Civil Service Code (Art. 77) only sets a very broad framework for making promotion decisions. It only specifies, that a civil servant may be up for promotion after at least 6 months of service and recommended by an assessment committee.There are no specific criteria or methodology given for the committee to do the assessment. </t>
  </si>
  <si>
    <t xml:space="preserve">Yes. The civil service vacancy posts mainly are occupied through competition. The winner of the competition is appoints in the post and receive respective rung. The uniform process and is prescribed by law.  Art 19 of the Civil Service Law requires that civil servants pass attestations at least every three years  and may be promoted based on that. However the prescribed uniform system for public employee promotion primarily rests on the criteria defining the employees’ experience within public service rather than on a substantive criteria such as qualifications, relevant skills or attestation results. </t>
  </si>
  <si>
    <t xml:space="preserve">Yes. According to Article 32 of the law on Public Service. </t>
  </si>
  <si>
    <t>No. Promotion under the Law 1993  leads to subjective approach to promotion. Neither the New Law does not provide for the defined promotion procedure (espeacially the procedure of transferring to higher position under the art. 29)</t>
  </si>
  <si>
    <t>No.  Appointment to higher positions is envisaged by law to be based on merit, and the designated systems for attestation and testing are to serve those purposes. In reality, though, we can certify that the practice falls short of being genuinely open and transparent. Person appointed in the post automatically receive respective rung.</t>
  </si>
  <si>
    <t>No. The process is not regulated in detail and its openness and  transparency. Promotion is based on merit (in some  cases) or at the request of  higher officials or their relatives, friends. There are cases and bribes.</t>
  </si>
  <si>
    <t>No. Promotion (career development)  of civil servants is rather  the results of subjective decision of line manager than established procedure. It can be changed starting from the 1st January of 2014 when the obligatory competition procedure for almost all (except group I) civil servant positions came into force</t>
  </si>
  <si>
    <t>Yes, Promotion takes place through competition and this requirement of the law is used in practice across the civil service.</t>
  </si>
  <si>
    <t>No. There is no such provision in the law</t>
  </si>
  <si>
    <t>Yes. There is a procedure for appeal envisaged in legislation (old Law on civil service and new one)</t>
  </si>
  <si>
    <t>No. There are no specific provisions regarding promotion greivances, however the internal audit units in each agency could possibly be addressed with complaints. However, these bodies lack any real independence and could not be considered as effective recourse to promotion related grievances.</t>
  </si>
  <si>
    <t>No. No significant prpgress in this respect.</t>
  </si>
  <si>
    <t>Yes/No. The basis for disciplinary procedures is provided by Articles 78 and 79 of the Civil Service Code, and include failure to perform the duties assigned, or their inadequate performance; inflicting material damage to the agency, or illicitly creating such conditions; acting against common moral rules or committing indecent acts directing at discrediting the employing agency or the civil service, irrespective of whether the act was committed in official capacity or not.Using the criterion of acting against common morality could be subject to wide interpretation, and could probably not qualify as transparent or fair.Further, given there is no clear overall assessment criteria or a streamlined performance appraisal system, the broad principles identified in the Code could be insufficient.</t>
  </si>
  <si>
    <t>Yes. The Law on Civil Service regulates disciplinary procedures in detail, but there is no information on how it works in practice</t>
  </si>
  <si>
    <t>In legislative yes.  Disciplinary proceedings are regulated by Article 25 of Law on Public Service, but in pactice not,  there is no public information on such cases.</t>
  </si>
  <si>
    <t xml:space="preserve">Yes, under the Law, 1993, the system of training, retraining and in-service training was established (art.29). The network of training institutions were developed (23 regional centres and National Academy of Public Administration with 4 branches). According to the New Law, 2012, Academy will play a key role in increaisng of level of professional cometence of CS (art.30). </t>
  </si>
  <si>
    <t>Yes. Currently the State Chancellery is preparing a Strategy on capacity building in civil service.</t>
  </si>
  <si>
    <t>Yes, but it has a limited scope and is often a sheer formality, especially in preparing new recruits.</t>
  </si>
  <si>
    <t>No. There is no training system in place, either for recruites nor for current employees. Individual agencies may have own internship/trainee programs (e.g. Office of Chief Prosecutor of Georgia), however there is no system-wide vision on this.</t>
  </si>
  <si>
    <t>Yes. There are training system and civil servants participate in-service training at least each 3 years (the Law on Civil Service, Article 20 (2). Yes. There are training system and civil servants participate in-service training at least each 3 years (the Law on Civil Service, Article 20 (2). However the system of training lacks sufficiently qualified specialists and mostly is of formal nature.</t>
  </si>
  <si>
    <t>Yes. Civil servants are participating in trainings in their ministries and by supporting some international organisation like  EU, UNDP, GIZ, WB. The law on civil service regulate additional education of civil servants by Article 22-1.</t>
  </si>
  <si>
    <t>Do the practices of selecting, appointing and promoting senior civil servants support their professionalization and depoliticisation? Yes/No</t>
  </si>
  <si>
    <t>No. There are no provisions that regulate selection, appointment and promotion of senior civil servants, neither within the Law from 1993, nor from 2012. For example, there is no obligation to conduct open competition for senior positions.</t>
  </si>
  <si>
    <t>No. Senior civil servants tend not to be exception to the overall trends in civil service appointment and promotion</t>
  </si>
  <si>
    <t>In legislative, yes.But in practice no.</t>
  </si>
  <si>
    <t>No. Some local authorities conduct survey of citizens' satisfaction (at city level) within the quality management system</t>
  </si>
  <si>
    <t xml:space="preserve">Yes. Public institutions, sometimes with the support of external partners, conduct regularly surveys on citizens' satisfaction with public services. In a more comprehensive way the Institute of Public Policies (IPP)  has prepared  a number of surveys based on Citizen Fiches.   </t>
  </si>
  <si>
    <t>Yes, such regular polls are conducted for instance by the Independent Institute of Socio-Economic and Political Studies (IISEPS)</t>
  </si>
  <si>
    <t>Yes. The state does conduct some surveys of citizen satisfaction, however these are not necessarily done consistently and consistently publicized. Whatever does become public is mostly used for PR purposes, often lacks methodological notes, making it impossible to judge the survey's representativeness and lack of bias.</t>
  </si>
  <si>
    <t>Yes. There are some surveys by different fields of public servicies done by different organizations. These surveys aren`t in regular bases and each year aren`t included all fields of public services, aren't nationwide. These are cases for 2011 and 2012. For example, Water Supply and Sewage survey done by the Customers Right Defence NGO in 2012.</t>
  </si>
  <si>
    <t>No. If there are even such surveys then they are unaccessable for civil society</t>
  </si>
  <si>
    <t>Yes. Based on the 2012 survey prepared by IPP the State Chancellery will conduct the service moderinization reform that is aiming at improving the quality and increasing the access of public services.</t>
  </si>
  <si>
    <t xml:space="preserve">The initial reform of state services in mid 2000's was based on widespread dissatisfaction with the performance. However there is no clear link between the publicized survey data and the reforms in the public service delivery. </t>
  </si>
  <si>
    <t xml:space="preserve">No. The results of such surveys somehow used to prepare reforms but not in such level that the answer will be yes. These are cases for 2011 and 2012. </t>
  </si>
  <si>
    <t>No, please see response above</t>
  </si>
  <si>
    <t xml:space="preserve">According to the Resolution of the Cabinet (dated 11.05.06 #624) all executive power bodies were obliged to introduce ISO 9001 till the end of year 2010. In the middle of 2011 Resolution repealed. For example, NACS introduce the quality management system and orginised trainings for all executive power bodies. In 2012 within implementation of EU financed project NACS started to implement pilot project re CAF </t>
  </si>
  <si>
    <t xml:space="preserve">No. Introduction of quality management frameworks implies considerable administrative effort, particularly revision of legislation. The e-Governance Center is considering the introduction of QMF, particularly of Common Assessment Framework and ISO 9000 after all necessary administrative arrangements are in place.  </t>
  </si>
  <si>
    <t>No.For 2011 and 2012.</t>
  </si>
  <si>
    <t>Despite there are some cooperation ties with international organizations there are no information on applying special standards</t>
  </si>
  <si>
    <t xml:space="preserve">Yes. According to art.8 Law On administrative service (2012), each service should be provided based on so called technological card. Techological card envisages the procedure of appeal in case service doen't match the required level of quality (Resolution of the Cabinet On Requirements to technological card of administrative service dated  30.01.13, #44) </t>
  </si>
  <si>
    <t>Yes. They can (and do it) either as a complaint to the service provider institution or to the newly created Agency of Consumers' Protection.</t>
  </si>
  <si>
    <t xml:space="preserve">Yes, there is also a possibility to submit complaints electronically </t>
  </si>
  <si>
    <t>Yes. Citizens can lodge complaints with the internal audit body at each state insitution and the body may use disciplinary sanctions against civil cervants, after an inquery.</t>
  </si>
  <si>
    <t>Yes.  For 2011 and 2012.</t>
  </si>
  <si>
    <t>Yes,  Accoring to the Law on Rules of Ethics Conduct of Civil Servants, the siticens can complaints about the behaivor civil servants  and quality of public management/</t>
  </si>
  <si>
    <t>No. According to the procedure complains are considered by the state body responsible for delivering of administrative service</t>
  </si>
  <si>
    <t xml:space="preserve">No. Many complaints are assessed by service providers and not by the Agency of Consumers' Protection or other independent bodies. </t>
  </si>
  <si>
    <t xml:space="preserve">Yes/No, Often complaints are assessed by the body which is object of the complaint, but in some important cases the State Control Committee interferes.  </t>
  </si>
  <si>
    <t>Yes/No. The internal audit units are part of the same organization that the complaint is addressed to. Although their independence is underscored in law, in practice the heads of such units are appointed by the institution's head and have no special guarantees of independence in terms of tenure or secure funding for their activities. Hence, the actual independence of such bodies is questionable.</t>
  </si>
  <si>
    <t>No. For 2011 and 2012. Such complaints assessed by the service delivery agency or respective public administration body.</t>
  </si>
  <si>
    <t>Usually such grievances are analysed by relevant departments of presidential adminstration and parliament</t>
  </si>
  <si>
    <t>Worldwide Governance Indicators, 2011 Score</t>
  </si>
  <si>
    <t>Linear transformation, benchmarks defined by EBRD transition countries; best = Slovenia (0.93), worst = Turkmenistan (-1.46)</t>
  </si>
  <si>
    <t>Transparency International, CPI 2012 score (rank) http://www.transparency.org/cpi2012/results</t>
  </si>
  <si>
    <t>Linear transformation, benchmarks defined by EBRD transition countries; best = Estonia (64, rank 32), worst = Turkmenistan, Uzbekistan (17, rank 170)</t>
  </si>
  <si>
    <t>26 (rank 144)</t>
  </si>
  <si>
    <t xml:space="preserve"> 36 (rank 94)</t>
  </si>
  <si>
    <t>31 (rank  123)</t>
  </si>
  <si>
    <t>52 (rank  51)</t>
  </si>
  <si>
    <t>34 (rank 105)</t>
  </si>
  <si>
    <t>27  (rank  139)</t>
  </si>
  <si>
    <t xml:space="preserve"> Yes. Accounting Chamber of Ukraine, the body provided by the Constitution, conducts its activity within the framework of the Law on Accounting Chamber of Ukraine</t>
  </si>
  <si>
    <t xml:space="preserve">Yes. The Court of Accounts is the supreme audit institution in the state, covering the public sector, according to the Law on the Court of Accounts, no.261-XVI from 05.12.2008 </t>
  </si>
  <si>
    <t>Yes. The State Control Committee. General Prosecutor Office</t>
  </si>
  <si>
    <t>Yes, State Audit Office of Georgia is the supreme audit institution responsible for performing audit.  Its functions and mandate are regulated by Law of Georgia on State Audit Office. The goals of the State Audit Office are: promotion of efficient and effective public spending; protection of  national wealth, property of state, autonomous republics and local (municipal) entities; improvement of management of public finances.</t>
  </si>
  <si>
    <t xml:space="preserve">Yes. The Control Chamber of Armenia is a national supreme audit institution, which is oversees the usage of the budget resources and the state and municipal property. </t>
  </si>
  <si>
    <t>Yes. In Azerbaijan there is an institution of audit of government spending. It is the Chamber of Accounts. subordinate to Parliament.</t>
  </si>
  <si>
    <t>Is the audit agency organizationally independent from the executive legislature and judicial organs? Yes/No</t>
  </si>
  <si>
    <t>Yes, The Accounting Chamber is a permanent body of control, which is formed by the Verkhovna Rada of Ukraine, subordinated and accountable to it. The Accounting Chamber operates independently of any other state bodies. (art.1 Law On Accounting Chamber)</t>
  </si>
  <si>
    <t>Yes The Accounting Chamber is a permanent body of control, which is formed by the Verkhovna Rada of Ukraine, subordinated and accountable to it. Accounting Chamber operates independently of any other state bodies. (art.1 Law On Accounting Chamber). Accounting Chamber exercise control on the basis of law, and principles of
objectivity, independence and transparency. Moreover, speacial mechanism of appointing of the Head of The Chamber, his deputies and controllers guarantee the independence of the body</t>
  </si>
  <si>
    <t>No. The executive can influence the agency. The investigation against high-rank officials has to be sanctioned by the President personally</t>
  </si>
  <si>
    <t xml:space="preserve"> Yes. Audit agency is independent body by the Law on "Control Chamber". But by the Constitution its program is approved by the National Assembly: The Control Chamber also has to report to National Assembly at least once a year. The Control  Chamber is independent from all three branches.</t>
  </si>
  <si>
    <t>.The Chamber of Accounts  is created by Parliament under the Constitution. Institutionally it is independent of the executive and only reports to the Parliament on at least annual basis. Its functions and mandate are regulated by a specific law on Chamber of Accounts. But in practice the Chamber of Accounts  is dependent on the executive (the president's administration).</t>
  </si>
  <si>
    <t xml:space="preserve">Yes. Chairman of the Accounting Chamber shall be appointed by the Verkhovna Rada of Ukraine on the submission of the Head of the Verkhovna Rada of Ukraine for 7 years with the right to appointment for a second term. Appointment of Chairman of the Accounting Chamber is conducted by secret ballot (art.10 of the Law). Candidate to  Chairman of the Accounting Chamber is appointed, if he/she received a majority of votes in the constitutional composition of the Verkhovna Rada of Ukraine </t>
  </si>
  <si>
    <t>Yes. The Law on the Court of Accounts, no.261-XVI from 05.12.2008 provides for the exhaustive grounds in which a member, including the  head of the Court of Accounts, may be removed from office (art.21 of the Law on the Court of Accounts, no.261-XVI from 05.12.2008).</t>
  </si>
  <si>
    <t>No. The head of the agency dismissed and appointed directly by the President with no accountability</t>
  </si>
  <si>
    <t>Yes, according to the Constitution of Georgia, the Auditor General can be only dismissed by the Parliament based on the impeachment procedure. In such case, violation of the Constitution, commission of high treason or other criminal offences shall be confirmed respectively by the Constitutional Court or Supreme Court of Georgia.</t>
  </si>
  <si>
    <t>Yes. The head of the Control Chamber is protected from removal by the Law on "Control Chamber". The current head of the restructured  chamber is in office since 2007 and there have been no removals so far</t>
  </si>
  <si>
    <t>Yes,  The chairman and auditors   of the Chamber  of Accounts are appointed by the Parliamentary majority for a 5 years term. The law on Chamber Accounts  protects the leadership of the Chamber of Accounts of early dismissals. However. in practice. if desired. the executive power. dismissal is possible. Comments: According to Article 5 of the Law on the Chamber of Accounts</t>
  </si>
  <si>
    <t>Yes. Members of Accounting Chamber (First deputy and Deputy Head, Chief Comptrollers and Secretary of the Accounting Chamber) shall be appointed by the Verkhovna Rada of Ukraine on the basis of recommendations of the Chairman of the Accounting Chamber by secret ballot, for 7 years, in the procedure identical to that provided for the appointment of Chairman of the Accounting Chamber.  Members of the Accounting Chamber can not
be detained, prosecuted without
consent of the Verkhovna Rada of Ukraine (art. 37 of the Law)</t>
  </si>
  <si>
    <t>Yes. The Law on the Court of Accounts, no.261-XVI from 05.12.2008 prescribes that the audit staff of the Court of Accounts enjoys  independency, stability in their position and abides only by the law and  the regulatory acts adoped by the Plennary of the Court of Accounts (collegiate leadership). The certification of the audit staff is done Plennary of the court of Accounts (art.25 of the Law). The staff is appointed on an open competition basis.</t>
  </si>
  <si>
    <t>Yes, the Auditor General appoints the whole staff of the office, including all  Deputy Auditor Generals</t>
  </si>
  <si>
    <t>Yes. The staff members of the Control Chamber are civil servants and the practices of appointing agency staff support the independency of the agency by the law. However, in practice, there are informal channels of influence on civil servants in general (clientalism, informal networking, etc) that make the overall substantive independence of the civil service questionable. This equally relates to the substantive independence of the staff of the Control Chamber.</t>
  </si>
  <si>
    <t xml:space="preserve">In legislative, there is guarantee of indepedence for  members of Chamber of Accounts. In practice,  theirs activities are  regulated by the executive. </t>
  </si>
  <si>
    <t>Yes, the Accounting Chambers is financed directly from the State Budget of Ukraine. The amount of these funds is set annually by the Verkhovna Rada of Ukraine and outlined in the State Budget of Ukraine separately. (art.38 of the Law on Accounting Chamber)</t>
  </si>
  <si>
    <t>Yes. The Court of Accounts plans its budget every 2 years and submits it to the Parliament, which approves it and than sends it to the Government to include it in the draft Law on the state budget (art.11 on the Court of Accounts, no.261-XVI from 05.12.2008).</t>
  </si>
  <si>
    <t>Yes. It is one of the best funded state agencies in Belarus</t>
  </si>
  <si>
    <t>Yes, the draft budget of the State Audit Office is elaborated by the Office itself and submitted to the Ministry of Finance by the Parliament. The Law on State Audit Office provides safeguards for the adequate funding of the Office – funding for a given year may not be less than funding allocated for the previous year and such reduction is only possible at the consent of the State Audit Office</t>
  </si>
  <si>
    <t>Yes. The Chamber of Accounts  is financed from the budget (in accordance with Article 13 of the Act).</t>
  </si>
  <si>
    <t>Yes. 
Standard defined by the Accounting Chamber: "Rules of procedure for preparing and carrying out inspections
 and enforce their results",  adopted by the Resolution of the Accounting Chamber # 28-6 dated December 27, 2004, and registered in the Ministry of Justice of Ukraine
( January 28, 2005, #115/10 395)</t>
  </si>
  <si>
    <t>Yes, but with some exclusions concerning the possibility of interferring from the side of a number of other agencies</t>
  </si>
  <si>
    <t>Yes. However, it should be noted that the audits sometimes fails to provide the high quality and objective audit.</t>
  </si>
  <si>
    <t>Yes. There are procedures. which are regulated in detail by the Law on Control Chamber (the law does define, in a rather declarative way, a series of standards to which the work of the auditors shall conform to; it also defines the rights and responsibilities of both the auditors and the entities subject to the audit, including the latter’s right to appeal and complain against the actions of the auditors). Mentioned provisions of the law and also Article 19 of the Law on Control Chamber (regulats procedures and conditions of control implementation) can be considered as conditions to ensure the quality of audits.</t>
  </si>
  <si>
    <t xml:space="preserve">No. The Chamber of Accounts has no power to add any critical comments on public expenses in its reports. Any real audit therefore is excluded from the beginning. </t>
  </si>
  <si>
    <t>Yes. The Accounting Chamber  shall submit an annual report to Verkhovna Rada of Ukraine on the overall results of  inspections, audits and examinations as well as the costs of these activities, by 1 December. Report of the Accounting Chamber, after approval by the Verkhovna Rada of Ukraine, is being published in editions of the Verkhovna Rada of Ukraine (art.35 of the Law on Accounting Chamber). Committees of the Verkhovna Rada of Ukraine can hear reports and information (messages) of
Accounting Chamber based on the results of inspections, audits and
examinations and proposed changes to legislation based on the results of such audits.</t>
  </si>
  <si>
    <t>Yes. The audit reports and the decisions on approving them taken by the Plennary of the Court of Accounts are published within 15 days in the Monitorul Oficial (Official Gazette) of the country (art.34 of the Law).</t>
  </si>
  <si>
    <t>Yes, but not concering all cases</t>
  </si>
  <si>
    <t>Yes, it does. According to the Law on State Audit Office, it can, but is not obligated to publish audit reports. We can find 24 such reports related to the audit of various entities published on the official website of the State Audit Office. Moreover, State Audit Office shall present an annual report about its activity the Parliament of Georgia and this report is public.</t>
  </si>
  <si>
    <t>The is no regular publication by Chamber of Accounts. Only, the . Annual Reports of the Chamber of Accounts and summary on review of draft and implements budget  is posted on the site/</t>
  </si>
  <si>
    <t>Yes. Parliament of Ukraine regularly, no less than twice a year, asks the relevant committee of Verkhovna Rada of Ukraine to analyse results of controlling measures executed by the Accounting Chambers (art.33 of the Law).</t>
  </si>
  <si>
    <t>Yes. The annual report of the Court of Accounts is presented and debated annualy in the Parliament (art.8 of the Law).</t>
  </si>
  <si>
    <t xml:space="preserve">Yes, the Parliament of Georgia hears the Auditor General annually and may request to conduct an audit of a specific program/institution and then hear the findings of the audit. </t>
  </si>
  <si>
    <t xml:space="preserve"> Yes.  The Control Chamber at least once a year submits a report of its audit to the Natinoal Assembly. However, the presentation of this report in the Parliament is completely nominal/formal and is not followed by debates. In practice, all the efforts of the oppositional parties in the Parliament to initiate a substantive debate over the conclusions of the Control Chamber have been countered by the Chamber’s formalistic responses, and this approach has been backed by the Parliament’s majority which has traditionally avoided subjecting these reports to any substantive scrutiny. 
</t>
  </si>
  <si>
    <t>No. Only twice  a year (during the discussion on draft and implmentation budget) a reviews of the Chamber of Accounts is presenting to the parliament and  the is no public discussion.</t>
  </si>
  <si>
    <t>Yes. According to the Law (art.29), based on the results of audits, the Accounting Chamber forwards decisions and conclusions to the executive agencies, heads of enterprises, institutions and organizations, banks and credit institutions that have been inspected. These decisions and conclusions are adopted by the Accounting Chamber, and their addresses have right to respond if they do not agree with them, and are obliged to take measures aimed at elimination of detected violations of rules and standards, damages, mismanagement and losses. In practice Not 100%, but they are trying to do this in majority cases</t>
  </si>
  <si>
    <t>Yes. The Government usually takes action on the findings and recomendations of the Court of Accounts. However, there are instances when these findings are ignored.</t>
  </si>
  <si>
    <t>Yes. There have been several cases in 2012</t>
  </si>
  <si>
    <t>Yes, in many cases.</t>
  </si>
  <si>
    <t xml:space="preserve">Yes. Concept of development of financial management and control system till the 2017 (adopted in 2005 with several amendments). </t>
  </si>
  <si>
    <t>Yes. The Government passed the Decision no.597 from 02.07.2010 on approving the Programme for the Development of the Public Financial Internal Control. Later on, a Law on Public Financial Internal Control no.229 from 23.09.2010 was passed and it came into effect 12 months later.</t>
  </si>
  <si>
    <t>The draft law on Financial Control is not pass by parliament. Despite of the department of Treasure office has the authority to monitor  and the inspection office has contol of  expenditure of budget funds in government bodies</t>
  </si>
  <si>
    <t>Yes. The action plan, specifying measures to set up the PIFC system had been adopted in the form of the Order of Cabinet of Ministers               # 1347-r dated 22 October 2008 (with changes made in year 2012)</t>
  </si>
  <si>
    <t xml:space="preserve">Yes. The Programme for the Development of the Public Financial Internal Control passed by Government Decision no.597 from 02.07.2010 contains an action plan for 2011-2013 scheduling a set of 17 measures aimed to set up and implement PIFC (Annex to the Government Decision). </t>
  </si>
  <si>
    <t>Yes, there is an action plan for the period of 2009-2013 years.</t>
  </si>
  <si>
    <t>Yes. There is an action plan for 2011-2013</t>
  </si>
  <si>
    <t>Yes, there is the the internal action plan., which is aproved by the Ministry of Finance,  but he is not publicly avialable. At the same time, action plan on Open Government  Partnership for , which was presented in 2012 and included specific action on PFMP.</t>
  </si>
  <si>
    <t>Yes. For example, special unit called: Division on internal financial control and audit was set up in the Ministry of finance of Ukraine. Every executive power body and budgetary institution has set up a special units in accordance with the Regulation of The Cabinet of Ukraine #1001. starting from the 1st January 2012 .</t>
  </si>
  <si>
    <t>Yes. The Law on Public Financial Internal Control no.229 from 23.09.2010 provides for the establishment of financial management and control working gropus in the public administration bodies (Chapter II of the Law on Public Financial Internal Control no.229 from 23.09.2010).</t>
  </si>
  <si>
    <t>Yes. According to the Belarusian legislature the elements of financial management and control system exist in all state agencies. For example, there is a psecial department in the Ministry of Finance</t>
  </si>
  <si>
    <t xml:space="preserve">Yes, according to the official website of Internal Audit Council, currently  there are 23 units of Internal Audit in Georgia, including 12 ministries (except Ministry of Justice, Ministry of Defense, Ministry of Internal Affairs and Ministry of Corrections and Legal Assistance), 5 units of internal audit  in autonomous republic of Adzharia, 5 units in autonomous republic of Abkhazia and one in administration of South Ossetia. </t>
  </si>
  <si>
    <t>No, The draft law on Financial Control is not pass by parliement.</t>
  </si>
  <si>
    <t xml:space="preserve">Yes. They have been established since January 2012. The effectiveness can be assessed in different way, but audit units can be effective and efficient only in case the leading management is interested in their results. </t>
  </si>
  <si>
    <t>Yes. Internal audit units have been established in the public administration bodies, under the direct authority of the manager of the public administration body (art.19 of the Law on Public Financial Internal Control no.229 from 23.09.2010). However, the effectiveness of the internal audit units in various entities proves uneven, so far being less effective than expected.</t>
  </si>
  <si>
    <t>Yes, the Law of Georgia on Public Internal Financial Control obligates that internal udit shall be functionally independent. However, the application of this provision in practice and real independence of internal audits raises questions and concerns</t>
  </si>
  <si>
    <t>Yes. The Parliament adopted the Law on Internal Audit. It is related to the Public Sector and there are functionally independent internal audit units by this law. But the real independeney of these units is in question. It is not clear how can the system in place be assessed as functionally independent if it is assessed, at the same time, to lack “real independence”. Functional independence of the internal audit systems is largely questionable despite the formal provision for the independence of the internal audit units.</t>
  </si>
  <si>
    <t>There is no institution  such as independent internal audit units that assess these internal control systems and report to the leading management</t>
  </si>
  <si>
    <t>Yes. The Ministry of Finance receives the reports from the internal audit units and is appointed as the authority resonsible for the development and monitoring of the PIFC policy (art.28 and 29 of the Law on Public Financial Internal Control no.229 from 23.09.2010).</t>
  </si>
  <si>
    <t xml:space="preserve">Yes, there is Internal Audit Council and Secretariat established by the Government of Georgia. Duties of the Secretariat is undertaken by the Internal Audit Harmonization Division. </t>
  </si>
  <si>
    <t>Yes. The Government and the Ministry of Finance are managing the development of PIFC</t>
  </si>
  <si>
    <t>Public procurement (please read the Guideline for this section in the  attached document)</t>
  </si>
  <si>
    <t>The Law on Public Procurement of 2010 stated that if services cost are over UAH 1 mln then procurement pattern is strictly defined by this law. Later on the amendments to the aforementioned tender law adopted in 2012 allowed public agencies to perform procurement outside the strict pattern if they spend for it money earned by these public agencies proper.</t>
  </si>
  <si>
    <t>Yes. The Law on public procurement no.96 from 13.04.2007 provides that competitive bidding is the rule applied in public procurement, whereas other forms of public procurement may be applied only in the cases given by the Law (art.33 of the Law). However, there is no such provision in the law that would size the public procurement value against the GDP.</t>
  </si>
  <si>
    <t>Yes. But bids are controlled by the executive and there is no independent institution to organize them.</t>
  </si>
  <si>
    <t xml:space="preserve">Yes, major procurements require competitive bidding unless the procurement falls under the exceptions prescribed in the legislation. The list of these exceptions is rather broad and gives the chance to avoid competitive bidding procedure in a number of fields. The procurement process is regulated by the Law of Georgia on State Procurement and by-laws adopted by the Head of the Competition and State Procurement Agency. Set procedures allow three types of procurement: Electronic Tender, Simplified Electronic Tender and Simplified Procurement.  Electronic Tender, Simplified Electronic Tender require competitive bidding. </t>
  </si>
  <si>
    <t>In legislative yes, according to article 17.1 of the law on state procurement: If supposed price for goods (works and services) is higher than minimal price set by respective executive authority. they shall be procured through open tender.  According to presidential decree dated 29.01.2002. all purchases of $ 250 mln manat (315 million USD) and above shall be effected by the tender. This is less than 0,5% GDP of the country. This requeriment  is not implemented in practice, specially during the execution of  state investment budget.</t>
  </si>
  <si>
    <t>The basic tender legislation due to the amendments of 2011 widely broadens the opportunity to apply a one-bidder procedure. For instance, one of these opportunities might be special social and economical circumstances that prevent from keeping standard procurement periods. Taking into account the fact that Ukraine is officially considered a country with economic crisis, and bureaucracy is especially burdensome here, there is a possibility that one-bidder procurement will become a basic type of procurement in Ukraine.</t>
  </si>
  <si>
    <t>Yes. (art.53 of the Law on public procurement no.96 from 13.04.2007)</t>
  </si>
  <si>
    <t xml:space="preserve">No in practice,  but officially several (at least 2) potential supplies are required </t>
  </si>
  <si>
    <t>Yes, sole source contractince (simplified tender) is limited to specific conditions. The list of these conditions is provided in the Law of Georgia on State Procurement and includes, inter alia, procurement when the supplier is the only source; when there is tight schedule etc. While the list is specified, it is rather broad and shall be reduced. Scale - 0.25</t>
  </si>
  <si>
    <t>Yes, partially. Unlike previous two laws on procurement, the current law on procurement doesn’t contain the term “sole sourcing”. Instead Article 20 of the Law defines “negotiation procedure” as one of the methods of procurement, and it provides that such method of procurement is organized either through preliminary publication of announcement on tender or without publication of such announcement. The conditions for the application of the case with no publication of tender announcement resemble to those of sole sourcing. These conditions are specific, tightly defined, including that of only source of skill or technology. However, the Point the mentioned Article, which provides that negotiation procedure without preliminary publication of announcement can also be applied, if there is urgent need to purchase a good, service or works, in practice is not always properly implemented and, as some scandalous stories revealed, some public officials interpret the “urgent need” improperly.</t>
  </si>
  <si>
    <t>Yes, this opportunity is provided for by the basic tender legislation.A participant of a procurement process can contest the results of the bid at court, as well as at the Anti-Monopoly Committee of Ukraine (as far as it is the special authorized ligitation body). In this case the claimant should pay a registration fee equivalent to EUR 500 or 1500 (depending on the type of procurement procedure). The registration fee expenses are not returned.</t>
  </si>
  <si>
    <t>Yes. Unsuccessful bidders may file a complaint, which may lead to a suspension of conclusion and/or enforcement of the contract (art.71-74 of the Law on public procurement no.96 from 13.04.2007).</t>
  </si>
  <si>
    <t>Officially yes, but they will not be provided with all necessary information</t>
  </si>
  <si>
    <t>Yes, the rules to review procurement decisions are defined in Article 23 of the Law of Georgia on State Procurement. Competition and State Procurement Agency set up an appeal and dispute resolution board to which any person or company can appeal if they suspect a violation of procurement rules. Scale - 0.75</t>
  </si>
  <si>
    <t xml:space="preserve">Yes. The rules to review or file an appeal against a procurement decision are defined in Article 23 of the Law on State Procurement. The State Procurement Agency (SPA) has set up an appeal and dispute resolution board to which any person or company can appeal if they suspect a violation of procurement rules. </t>
  </si>
  <si>
    <t xml:space="preserve">Yes. According to Article 55 of the law on state procurement (Right of lodging of complaint. </t>
  </si>
  <si>
    <t>The basic tender legislation forbids the persons who were previously condemned for corrupt bids to participate in further procurements.However, the legislation has no procedures of application of this restriction.There is no list of corrupt bidders in Ukraine.The buyers can not check the previous history of companies participating in bids as well.</t>
  </si>
  <si>
    <t>Yes. The Public Procurement Agency keeps the record of the companies prohibited to take part in public procurements. This record aims to ban participation of compromised companies for a period of 3 years (art.18 of the Law).</t>
  </si>
  <si>
    <t>No, companies convicted in bribery are not prohibited from participating in future procurement bids. Competition and State Procurement Agency keeps the Black List of companies prohibited from bidding, however, the list of acts which lead to the inclusion of the company in the Black List does not include bribery.</t>
  </si>
  <si>
    <t>The concept of criminal law, on which Armenian Criminal Code is based, does not foresee criminal liability for legal persons, among them companies. Thus, companies cannot be convicted for bribery, which is criminal offense. At the same time, Article 5 of the Law on Procurement, which defines the categories of those persons, which shall be debarred from the participation in the procurement, provides that a legal person can be debarred from the procurement, if that person’s executive officer, who represents him in the procurement procedure, has been convicted for economic crimes or crimes against state service within 3 years prior to the moment of the submission of the bid. Score – 1.00</t>
  </si>
  <si>
    <t xml:space="preserve">No. According to Article 12 of the law on state procurement. </t>
  </si>
  <si>
    <t>There is a special web-portal that announces procurement information: https://tender.me.gov.ua/EDZFrontOffice/. However, after the basic tender legislation was amended in 2012, the information about all procurements of state enterprises provided at their own expense became unavailable for citizens. In total this is over one third of all Ukrainian procurement.</t>
  </si>
  <si>
    <t>Yes, Procurement Legislation is accessible on the official website of the Competition and State Procurement Agency. www.spa.gov.ge</t>
  </si>
  <si>
    <t>Yes. Texts of public procurement law, rules  and regulations are available at site</t>
  </si>
  <si>
    <t>The information from the moment of bids announcement to the moment of selecting a winner is published at the only website. However, no information concerning implementation of the agreement in the framework of the bid held is publicized.</t>
  </si>
  <si>
    <t>Yes. Wihin 30 days since the contract is granted the Public procurement Agency has the duty to publish in the Public Procurement Bulletin an announcement regarding the granting of the public procurement contract (art.21 of the Law on public procurement no.96 from 13.04.2007).</t>
  </si>
  <si>
    <t>Yes, after the introduction of Unified Electronic System of State Procurement, all results of electronic procurement and simplified electronic procurement are accessible on the official website of Competition and State Procurement Agency. Scale - 1.00</t>
  </si>
  <si>
    <t>Yes. Article 10 of the Law on Procurement provides that, if the price of the contract exceeds one base unit of procurement (According to the Article 2 of the Law on Procurement, one basic unit of procurement is equal to 1 mln AMD, which is around 2,440 USD considering the current currency rate (1 USD ≈ 410 AMD).  ), then the Ministry of Finance, as the authorized body for public procurement, shall publish official announcement on that contract (except the cases, when the contract contains state, official or bank secrets) in its official bulletin on procurement and official web-site of public announcement of the RA (http://www.azdarar.am). By the same Article of the Law the mentioned announcement shall be published within 7 days after signing the contract. In addition, Point 4 of Article 8 of the Law on Procurement provides that, within 5 calendar days following the request, the customer is required to submit to any person the protocol of the procurement procedure or a copy of any document, which is an integral part of that protocol, except the cases when the procurement contains state, service or bank secret. Score – 0.75
The publication of procurement protocols in the www.gnumner.am is in accordance with law requirements. However, because of absence of procurement statistics one can question whether all the procurement protocols are published in the web-page. Score – 0.75</t>
  </si>
  <si>
    <t>Yes. The website of the State Agency for Government Procurement has a roster of tenders/ But on many cases the results do not present a due data about the credibility of the bidding process</t>
  </si>
  <si>
    <t>No. Under Article 111 of the Ukraine’s Constitution, the decision on the removal of the President from office through the procedure of impeachment is adopted by the Verkhovna Rada of Ukraine by no less than three-quarters majority of its constitutional composition, after the review of the case by the Constitutional Court of Ukraine, and the receipt of its opinion on the observance of the constitutional procedure of investigation and consideration of the case of impeachment, and the receipt of the opinion of the Supreme Court of Ukraine to the effect that the acts, of which the President is accused, constitute high treason or other crime.</t>
  </si>
  <si>
    <t xml:space="preserve">Yes. Under Article 89 of the Moldova's Constitution, the decision on the removal of the President needs two thirds of Member of the Parliament  </t>
  </si>
  <si>
    <t>Yes. To impeach the president the legislature needs two thirds of deputies voted in favour in the Soviet of the Republic (the upper chamber) and two thirds of deputies in the House of Representatives. But in reality  Parliament  never  takes any steps that run contrary to President, as President has the power to dissolve the Parliament.</t>
  </si>
  <si>
    <t>No. According to the Georgian Constitution (article 63, 75), the Parliament shall submit the case to the Supreme Court or Constitutional Court for a conclusion. If, by its conclusion, the Supreme Court confirms corpus delicti in the act of the President or the Constitutional Court confirms the violation of the Constitution, the Parliament is entitled to proceed with the impeachment procedure.</t>
  </si>
  <si>
    <t xml:space="preserve">NO. The President may be impeached for state treason or other heavy crimes only in the bases of positive conclusion of the Constitutional Court. In order to obtain a conclusion on the motion of impeaching the President of Armenia from office, the National Assembly (Parliament of Armenia) shall appeal to the Constitutional Court by a resolution adopted by the majority of the MPs. The resolution to remove the President from office shall be passed by the National Assembly by a two-thirds majority vote of the total number of MPs, based on the conclusion of the Constitutional Court. In the event that the Constitutional Court concludes that there are no grounds for impeaching the President the motion shall be removed from the agenda of the National Assembly (Article 57 of the Constitution of Armenia).                                                                  </t>
  </si>
  <si>
    <t>No, The President may be dismissed from his post by decree of the Parliament taken by majority of 95 votes of deputies. But, this decree has to be signed by the Chairman of Constitutional Court. In case the Constitutional Court  fails to sign the said decree within one week, it shall not come into force. Parliament with the support of the Constitutional court can succeed in dismissal of the President.</t>
  </si>
  <si>
    <t xml:space="preserve">Does the legislature have powers of summons over executive branch officials? Do the legislatures or its committees hold regular hearings with executive branch officials? Yes/No </t>
  </si>
  <si>
    <t xml:space="preserve">Yes. At the session of the Parliament every MP has the right to present an inquiry to the Government, heads of the bodies of state power and local self-government, chief executives of any enterprises, institutions and organisations. The heads of the relevant bodies and chief executives are obliged to notify MP of the results of consideration of inquiry. The parliament is also granted the right to invite the head of the body/chief executive who replied the inquiry to participate in the discussion of his/her reply, in case when MP who presented an inquiry requested the discussion, and the parliament or at least one-fifth of all MPs supported the MP’s request for discussion.  In practice, the legislature regularly interpellates officials from the executive. In addition to the parliament, the executive branch officials may be summoned by the parliamentary committees. </t>
  </si>
  <si>
    <t>Yes. According to the article 105 of the Constution of Moldova "Government and each of its members are obliged to answer questions and interpellations raised by MPs". Government is accountable to Parliament and presents the information and documents required by it, its committees and parliamentarians.</t>
  </si>
  <si>
    <t>Yes. Under the Constitution (Article 60), “A member of the Government, an official elected, appointed or approved by the Parliament, shall be entitled and in case of request shall be obliged to attend the sittings of the Parliament, its Committee or Commission, to answer the raised questions at a sitting and submit an account of an activity. At a request such an official shall be heard by the Parliament, Committee or Commission”. Under the Rules of Procedure of the Parliament (article 221/2), "A group of ten MPs, a faction have a right to address with an inquiry a body accountable to Parliament, Government of Georgia, and a Member of Government, who have to answer this inquiry at the plenary sitting of Parliament. The inquiries are answered on the last Friday of each month’s plenary sitting during the Government Hour."</t>
  </si>
  <si>
    <t>Yes, According to the article 80 of the Constitution of Armenia “Deputies shall be entitled to ask the Government written and oral questions while the factions and deputy groups shall also be entitled to submit interpellations to the Government. During one sitting of the regular session week the Prime Minister and the Government members shall answer the Deputies’ questions.” The Government members can be regularly invited to the hearings and sessions, according to the Law on Rules Of  Procedure Of The National Assembly.</t>
  </si>
  <si>
    <t>Yes. The Parliament is entitled to conduct independent investigations of the chief executive and agencies of the executive through establishment of the temporary commissions of inquiry. However, the procedures for operations of these commissions, including the procedures for investigation, are not properly regulated in the laws.</t>
  </si>
  <si>
    <t>Yes.  Under the Rules of Procedure of the parliament of Moldova (Article 34),an Inqiery Committee can be created by the Parliament. Commission of Inquiry cites as a witness any person who has information about any fact or circumstance that serve the investigation of the case.</t>
  </si>
  <si>
    <t>de-facto, No</t>
  </si>
  <si>
    <t xml:space="preserve">Yes. Under the Rules of Procedure of the parliament of Georgia (Article 55), Temporary Investigative Commission could be created on the basis of the information of unlawful actions of the state organs or officials that threatens security of the country, its sovereignty, territorial integrity, political, economic or other interests of the country etc. However, as under the Rules of Procedure of the Parliament, the Temporary Investigative Commission could be created only with the consent of the majority of the members of the Parliament, opposition does not have the power to influence the decision of the majority. </t>
  </si>
  <si>
    <t xml:space="preserve"> Yes, According to the article 73 of the Constitution of Armenia and according to the Law on Rules Of  Procedure Of The National Assembly, NA can form committees to investigate acute issues.       Art 73 provides for the right to form ad hoc committees within the National Assembly, and yet it does not explicitly provide for investigative functions vested in these committees. In reality, a number of committees have been previously formed in the auspices of the National Assembly to perform largely investigative functions (such as the commission to investigate March 1 2008 events), yet  the legal status and the access granted to such committees is not clearly defined. 
                                                                            </t>
  </si>
  <si>
    <t xml:space="preserve">No.  Legislative organs, namely parliament is a rubber-stampt and toothless body with always under the direct political influence of the executive.  </t>
  </si>
  <si>
    <t xml:space="preserve">1-0, 0,5 - difference between law and practice. </t>
  </si>
  <si>
    <t xml:space="preserve">No. The parliament’s powers in this field are limited to defining the basic principles of national security; setting the structure, number of staff and functions of the Armed Forces, Security Service, Ministry of Interior; adoption of the national programs of reforms in the relevant field etc. The parliament may control the activities of the agencies of coercion via general mechanisms of parliamentary oversight, through the Ombudsman and Accounting Chamber, but, again, the effectiveness of such control is not very high since the parliament is not allowed to vote no confidence in the heads of the relevant agencies. </t>
  </si>
  <si>
    <t>Yes, in 2012 Parliament investigation lets to dismissal of the prosecute in general.</t>
  </si>
  <si>
    <t xml:space="preserve"> Under the Constitution, it is the President’s exclusive authority to dismiss the Ministers of Justice, Internal Affairs and the defense
However, the parliamentary interpellation right can be exercised also vis-à-vis these ministers. Besides, any member of the government can be dismissed by the Parliament based on the impeachment procedure (the final decision on this matter is made in accordance with the conclusion of the Constitutional Court or Supreme Court (see above) by the absolute majority of MPs)</t>
  </si>
  <si>
    <t xml:space="preserve">Yes by the Constitution and No in practice. The legislatore has the same power of oversight of all agencies funded by the state budget by the Constitution. Also according to the article 80 of the Constitution of Armenia Deputies are  entitled to ask the Government written and oral questions while the factions and deputy groups  also are entitled to submit interpellations to the Government. During one sitting of the regular session week the Prime Minister and the Government members are answer the Deputies’ questions..                                                                                   </t>
  </si>
  <si>
    <t xml:space="preserve">No. The power ministeries operate under the direct oversight of the executive, meaning the President. </t>
  </si>
  <si>
    <t xml:space="preserve">Does the legislature appoint the prime minister? Is the legislature able to appoint the PM against the will of the president? </t>
  </si>
  <si>
    <t>The Prime Minister is appointed by the President, whose decision on appointment requires approval by the legislature. Yet, the legislature has no right to appoint the PM against the will of the president.</t>
  </si>
  <si>
    <t xml:space="preserve">The Parliament appoints the prime-minister, but it cannot do so against the will of the President.         </t>
  </si>
  <si>
    <t>No. The President appoints the prime minister and then the House of Representatives (the lower chamber) approves the appointment</t>
  </si>
  <si>
    <t>The president has exclusive right to nominate the prime-minister's candidate and submit it along with the full composition of the Government to the Parliament. If the parliament does not declare confidence to the Government three times, the President is authorized to appoint the government (incl. the Prime Minister) without the Parliament's consent. The parliament is not in the position to appoint the Prime Minister against the will of the President</t>
  </si>
  <si>
    <t>No. The President of Armenia on the basis of the distribution of the seats in the National Assembly and consultations held with the parliamentary factions, appoints as Prime Minister the person enjoying confidence of the majority of the Deputies and if this is impossible the President of the Republic appoints as the Prime Minister the person enjoying confidence of the maximum number of the Deputies (Article 55 (4) of the Constitution of Armenia).</t>
  </si>
  <si>
    <t>No. President  submits the Parliament the nomination of a person to the post of Prime Minister for approval. The Parliament (Milli Majlis) gives its consent to the nomination to the post of a Prime Minister no later than one week after the day the nomination was presented.</t>
  </si>
  <si>
    <t>No. According to Article 106.1.10 of the Constitution of Ukraine, the ministers are appointed by the President upon proposal of the Prime Minister of Ukraine.</t>
  </si>
  <si>
    <t>No. The Parliament is entitled to vote the issue of declaration of confidence or non-confidence on the entire list of Government. In case of resignation of a member of the Government, President of the Republic shall dismiss and appoint, on the proposal of the Prime Minister, some members of the Government (Article 98 of the Constitution of Moldova).</t>
  </si>
  <si>
    <t>The Parliament does not have the right to appoint ministers; Ministers are appointed by the Prime Minister with the consent of the President. The Parliament is entitled to vote the issue of declaration of confidence or non-confidence to the government formed by the Prime Minister with the Consent of the President. The Parliament might be dissolved in case if it fails to issue confidence to the Government three times consecutively.</t>
  </si>
  <si>
    <t>No. The President of Armenia appoints to and dismisses from office the members of the Government upon the recommendation of the Prime Minister (Article 55 (4) of the Constitution of Armenia).</t>
  </si>
  <si>
    <t>Can the legislature vote no confidence in the government? Yes/No</t>
  </si>
  <si>
    <t>Yes. On the proposal of no less than one-third of its constitutional composition, the Parliament may initiate the vote of no confidence in the government and adopt resolution of no confidence in the Cabinet of Ministers by the majority of its constitutional composition. However, non-confidence in the government cannot be considered by the VR of Ukraine more than once during one regular session and within one year from the date of approval of the Government’s Program of Action</t>
  </si>
  <si>
    <t xml:space="preserve">Yes. On the proposal of no less than a quarter of MPs, the Parliament may initiate the vote of no confidence in the government and adopt resolution of no confidence in the Cabinet of Ministers by the majority of its constitutional composition. </t>
  </si>
  <si>
    <t xml:space="preserve">According to the Constitution the Parliament can,  but President has the power to prevent this by dissolving the Parliament.  </t>
  </si>
  <si>
    <t>Not really, since the procedure is complicated and the parliament risks to be dissolved; it is not in line with the principles of constitutionalism</t>
  </si>
  <si>
    <t>Yes. The legislator may express no confidence in the Government by a majority vote of the total number of the Deputies (Article 84 of the Constitution of Armenia).</t>
  </si>
  <si>
    <t>Does the executive lack the right to dissolve the legislature? Yes/No</t>
  </si>
  <si>
    <t>No. Under Article 90 of the Constitution, the President may dissolve the Parliament only in one case – when the legislature within 30 days of a single regular session fails to commence its plenary meetings.</t>
  </si>
  <si>
    <t>No. There are several situations when the President may dissolve the Parliament. First case is in accordance with Article 78 Constitution of Moldova, if after repeated elections the president is not elected,the President in-office shall dissolve the Parliament. Also, the President may dissolve the Parliament, after the consultations with parliamentary factions, if the Legislature fails to form the government or blocks the rule-taking procedure for thrre months. The President  dissolves the Parliament if the Legislature refuse to invest the Government  within 45 days after the first request and  after rejection of at least two requests for Government approval. (Article 85.1 and 85.2 of the Constitution of Moldova)</t>
  </si>
  <si>
    <t>No. It is the President’s exclusive authority to dissolve the Parliament. The President is the supreme executive authority in Georgia and he/she is authorized to dissolve the Parliament.</t>
  </si>
  <si>
    <t>No. The President of Armenia dissolves the National Assembly if the National Assembly does not give an approval to the program of the Government two times in succession within two months. The President may also dissolve the National Assembly upon the recommendation of the Chairman of the National Assembly or the Prime Minister in the following cases: a) If the National Assembly fails within three months to resolve on the draft law deemed urgent by the decision of the Government or; b) If in the course of a regular session no sittings of the National Assembly are convened for more than three months orc) If in the course of a regular session the National Assembly fails for more than three months to adopt a resolution on issues under debate (Article 74.1 of the Constitution of Armenia).</t>
  </si>
  <si>
    <t xml:space="preserve">Does the legislature approve any executive initiative on legislation? That is, does the executive lack the right to enact decrees?  Yes/No     (In other words, Does the executive (government and president) lack the right to enact laws without legislature’s approval?)   </t>
  </si>
  <si>
    <t>No. According to Art. 101 Constitution, the President may issue temporary decrees which have the power of law and may only be rejected by a two-thirds majority of parliament (both chambers, full composition)</t>
  </si>
  <si>
    <t>No. Under the Constitution of Georgia (Article 73 (1) q) ), in the exclusive cases the President may issue a decree having the force of law on tax and budgetary issues during the period between the dissolution of the Parliament and the convocation of a newly elected Parliament. It should be noted that the President - in exceptional cases - and Government can submit legislative drafts to the Parliament. Besides, it is an exclusive authority of the President to submit a draft on the quantity of the military, and it is an exclisive authority of the Government to submit the draft State Budget and draft law on structure, authority and procedures of activity of the Government (with the President's consent) to the Parliament</t>
  </si>
  <si>
    <t>No. By virtue of the Constitution, the international treaties, the laws of the Republic of Armenia, or the decrees of the President of the Republic and to ensure the implementation thereof the Government adopts decisions, which are subject to observance in the whole territory of the Republic. The Government decisions is signed by the Prime Minister (Articles 85 and 86 of the Constitution of Armenia).</t>
  </si>
  <si>
    <t>Yes. In accordance with the article 93.2 of the Constitution, the President of Moldova is entitled to return the draft law to the Parliament with his remarks. The Parliament can override the veto of the President if the Legislature  maintain the previous decision. Same number of votes is required as it was needed for the adoption of the law in first instance.</t>
  </si>
  <si>
    <t>No. The Parliament is loyal to the President. There is no need to veto its laws. All laws needed by the executive are adopted by the Parliament (often - unanimously).</t>
  </si>
  <si>
    <t>Yes/no. Under the Constitution, the President of Georgia is entitled to return the draft law to the Parliament with his remarks. The Parliament can override the veto of the President by not less than three fifths of the number of the members of the Parliament on the current nominal list. The constitutional amendment shall be deemed to be passed if it is supported by not less than two thirds of the total number of the members of the Parliament. In sum, a qualified (not simple) majority may overrule presidential veto.</t>
  </si>
  <si>
    <t xml:space="preserve">Yes -  the simple majority can override the veto of the President..   
According to the Article 55 (2) of the Constitution of RA the President of the Republic: "shall, within twenty one days of receipt, sign and promulgate, the laws passed by the National Assembly; Within this period he/she may remand the law passed by the National Assembly to the latter with objections and recommendations requesting for new deliberations. The President shall, within five days, sign and promulgate the law re-adopted by the National Assembly;".According to the Article 72 of the Constitution of RA,"Should the National Assembly decline to accept the recommendations and objections presented by the President of the Republic, it shall pass the remanded law, again with a majority vote of the number of Deputies.The National Assembly shall deliberate on a priority basis any law, which has been remanded by the President. " </t>
  </si>
  <si>
    <t>Yes. The legislature can initiate bills in all policy areas (however, draft budget law can be submitted to the Parliament only by the Cabinet of Ministers of Moldova)</t>
  </si>
  <si>
    <t>No. According to Art. 99 Constitution, draft laws the adoption of which may reduce state resources, or increase expenditures may be introduced in the House of Representatives only with the consent of the President or his assignment by the Government.</t>
  </si>
  <si>
    <t>No. The legislator is entitled to initiate bills in all policy areas except for the draft of the state budget, quantity of the military and the draft law on structure, authority and procedures of activity of the Government. Only the Government, with the consent of the president, is entitled to submit draft budget to the Parliament. In addition, a draft law which results in increase of expenditure of the State Budget of the current year, reduction of an income or taking of the new financial obligations by the State, may be adopted by the Parliament only after the consent of the Government</t>
  </si>
  <si>
    <t xml:space="preserve">Yes. The legislature does have a right to initiate bills in any policy areas therefore, the executive lacks gate keeping authority. The National Assembly upon the recommendation of the Government approves the administrative territorial division of Armenia. The Government submits the draft state budget to the National Assembly for approval (Article 82 and 89 (2) of the Constitution of Armenia). </t>
  </si>
  <si>
    <t xml:space="preserve">Yes, except drafting of state budget. In Azerbaijan, the Parliament (legislature) does not participate in the drafting stage of the budget. After the draft is prepared by the relevant state bodies under the coordination of the Ministry of Finance and delivered to the President (Executive Power), the latter submits the state budget to the Parliament (Legislature) for their review and approval. Yet, the Parliament cannot introduce ammendments. It is restricted only to confirm or refer back the budged draft for additional improvements. </t>
  </si>
  <si>
    <t xml:space="preserve">Yes. Under the Constitution, the current expenditure for the Parliament of Georgia in the State Budget comparatively to the amount of budgetary means of the previous year may be reduced only by the prior consent of the Parliament. </t>
  </si>
  <si>
    <t xml:space="preserve">Yes. The legislature approves the law on annual state budget and executive acts according to the law. The state budget is subject to the legislature’s approval (through law-making) and that overall the executive expenses shall conform to the law on state budget. Meanwhile, the definitions in the budget are often so generic that the executive enjoys a wide discretion in redistributing budgetary resources. </t>
  </si>
  <si>
    <t>Yes. The resources that finance the parliament’s internal operation are provided for by the internal budget of the Parliament, based on the State budget of Ukraine. The internal budget of the Parliament can be adopted and amended only by the legislature</t>
  </si>
  <si>
    <t>No. Finances of the legislature are under total control of the Presidential Administration</t>
  </si>
  <si>
    <t>Yes. The Chairman of the National Assembly chairs the sittings, manage its material resources and ensure its normal functioning (Article 79 of the Constitution of Armenia).</t>
  </si>
  <si>
    <t>Yes. The MPs enjoy immunity from both arrest and criminal prosecution: under Article 80 of the Constitution of Ukraine, the people’s deputies of Ukraine cannot be brought to criminal liability, detained or arrested without prior consent of the Parliament</t>
  </si>
  <si>
    <t>Yes. However, immunity can be waived with the consent of the Parliament</t>
  </si>
  <si>
    <t>No. According to Art 102 Constitution, deputies of the House of Representatives and members of the Council of the Republic do not enjoy immunity if they charged with defamation and insult.</t>
  </si>
  <si>
    <t>Yes. However, immunity can be waived with the consent of the Parliament. Exceptional case, when the member of the parliament could be detained or arrested is when he/she is caught flagrante delicto which shall immediately be notified to the Parliament. Unless the Parliament gives the consent, the arrested or detained member of the Parliament shall immediately be released</t>
  </si>
  <si>
    <t xml:space="preserve">Yes,  MP are formally immune from arrest and criminal prosecution (Article 66 of the Constitution). However, in practice, numerous MPs have been deprived of their immunity whenever there was an incumbent leadership’s will to that effect. The prosecutor’s request, in such cases, has always been a sufficient ground to deprive the MPs of immunity (the Parliament has never effectively protected its MPs against the requests for deprivation of immunity). In 2012, MP Vardan Oskanian was deprived of immunity on grounds widely believed to be politically motivated.  </t>
  </si>
  <si>
    <t>Legally yes. But there have been cases when the deputy was politically involved and critical on the regime policy that the parliament dedided upon the suspension of immunity of parliamentarian. Huseyn Abdullayev case.</t>
  </si>
  <si>
    <t>Yes. All MPs are elected  for a 4-year term</t>
  </si>
  <si>
    <t>No, a part of the upper chamber’s deputies are appointed by the president. De-facto, at least a part of members of the lower chamber are appointed ad well</t>
  </si>
  <si>
    <t>Yes. All the members of the legislature are elected. The executive does not have any authority to appoint members of the legislature</t>
  </si>
  <si>
    <t xml:space="preserve">Yes. The National Assembly is elected through a mixed majoritarian (41 Deputies) and proportional (90 Deputies) electoral systems. The executive lacks the power to appoint MPs. </t>
  </si>
  <si>
    <t>Yes, legally speaking the President or the government  does not have any authority to appoint any members of the legislature. However, as all the elections get falsified, majority of the MPs pay bribes to buy the seat or appointed by the President.</t>
  </si>
  <si>
    <t>No. All the laws on amendments to the Constitution can be vetoed by the President. The laws on amendments to specific chapters of the Constitution (namely, Chapter I “General Principles”, Chapter III “Elections and Referenda” and Chapter XIII “Amendments to the Constitution of Ukraine”) require approval by the national referendum. Besides, a draft law on amendments to the Constitution of Ukraine can be considered by the Parliament only if the Constitutional Court of Ukraine provided an opinion confirming compliance of the draft law with requirements of Articles 157 and 158 of the Constitution.</t>
  </si>
  <si>
    <t xml:space="preserve"> Parliament has the right to adopt a law on amending the Constitution at least 6 months after the initiative was submitted. Law shall be passed by a  two thirds majority. But any amendment needs  an opinion confirming compliance of the draft law with the Constitution.</t>
  </si>
  <si>
    <t>No. According to Art. 138 Constitution, amendments and supplements to the Constitution must be initiated by the President or by a referendum.</t>
  </si>
  <si>
    <t>Yes,  procedure doesn't require involvment of any other agency, but  amendments to the Constitution shall be promulgated for one month public discussion. This provision does not legally oblige the Parliament to take into account the results of the public discussion. It should be stated that the President can exercise the veto right against the constitutional changes. However, such veto can be overriden by a 2/3 majority (2/3 will be replaced by 3/4 after the presidential election of 2013)</t>
  </si>
  <si>
    <t>Yes: the treaties in the field of human rights and freedoms, general political and economic treaties, treaties related to peace, financial aid and loans to/by Ukraine, participation of Ukraine in international unions, military support to other states, the treaties containing provisions which require ratification by the parliament etc</t>
  </si>
  <si>
    <t>Yes, However, only those, that require ratification and/or provides for accession of Georgia to an international organization or intergovernmental union; is of a military character; pertains to the territorial integrity of the state or change of the state frontiers; is related to borrowing or lending loans by the state; requires a change of domestic legislation, adoption of necessary laws and acts with force of law with the view of honouring the undertaken international obligations. The Parliament shall be notified about the conclusion of other international treaties and agreements.      (Art. 65 of Constitution)</t>
  </si>
  <si>
    <t xml:space="preserve"> Yes. The National Assembly ratifies those international treaties: a) which are of political or military nature or stipulate changes of the state borders, b) which relate to human rights, freedoms and obligations, c) which stipulate financial commitments for the Republic of Armenia,d) application of which shall bring about legislative amendments or adoption of a new law, or stipulate norms contravening the laws,  e) which prescribe ratification,f) in other cases defined by law (Article 81(2) of the Constitution of Armenia). Despite the provision of a list for specific types of treaties to be approved by the Parliament, the “yes” is justified by the wide scope of issues covered by those types of treaties. 
</t>
  </si>
  <si>
    <t>Yes.  It has been the case almost during all sunctioned and unsanctioned gatherings.</t>
  </si>
  <si>
    <t>Yes (Article 72 of Constitution)</t>
  </si>
  <si>
    <t>Yes (Art. 97 Constitution)</t>
  </si>
  <si>
    <t>Yes, but unlike the presidents' authority to grant pardon (Art. 73 (1) o) of the Constitution) , Parliaments' authority of amnesty is not defined by the Constitution. Authority of Amnesty is granted by Criminal Code of Georgia;</t>
  </si>
  <si>
    <t>Yes. The governor of the central bank is appointed by the Parliament on the President’s proposa</t>
  </si>
  <si>
    <t>Only approves</t>
  </si>
  <si>
    <t>No, the president of the National Bank of Georgia is appointed by the President of Georgia from among the members of the Council of the National Bank. The members of the Council of the National Bank are elected by the Parliament upon the nomination of the President of Georgia. (Art. 96 of the Constituion)</t>
  </si>
  <si>
    <t>Yes, in two major ways: first, through appointment of half the members of the National Broadcasting Council, which regulates the activities of the broadcasting entities, including public (state-owned media); second, through development of the policy in the field of broadcasting and adoption of the relevant laws</t>
  </si>
  <si>
    <t>Yes. The Parliament can inlfluence the operation of the state-owned media through appointment of the members of the National Broadcastind Council, which regulates the activities of the broadcasting entities, including public. The Parliament appoints the members of Supervisory Board of the Public Broadcaster.</t>
  </si>
  <si>
    <t>According to the Article 28 of the "LAW OF THE REPUBLIC OF ARMENIA ON TELEVISION AND RADIO BROADCASTING", "Public Television and Radio Company is obliged to: Broadcast the programs stipulated by the RA law “Regulations of the National Assembly” according to the procedure and time defined by that law", "The National Assembly approves the regulation of the public television and Radio Company.The council of Public Television and Radio Company works out the regulations of the Public Television and Radio Company and introduces it to the government of the Republic of Armenia. The government of the Republic of Armenia presents the regulations, as a legislative initiative, to the RA National Assembly. The National Assembly of the Republic of Armenia ratifies the regulations of the Public Television and Radio Company."  According to the article 32 of the same law "The Council of Public Television and Radio Broadcasting Company provides the President of RA and the National Assembly with the annual report."  Article 35 "Each year the council of the Public TV and radio company forms the budget of the expenses of the public TV and radio company for the following year, presenting it to the government of the Republic of Armenia. The latter presents it to the RA National Assembly for confirmation." According to the article 36 "Before March 1 of each year, the Council introduces to the National Assembly a statement (including a policy and financial statement) on the previous year’s activities of the Public TV and Radio Company.The chairman of the Council presents the statement at the session of the National Assembly. The statement is discussed at the session of the National Assembly according to the procedure defined by the RA law “Regulations of the National Assembly” and is taken into account. "</t>
  </si>
  <si>
    <t xml:space="preserve">Yes. Parliament determines the amount and limits of financial aid for the state-owned media. It also  determines the appointment of new members to the board of Radio and TV Broadcasting Council. The main role of the Parliamentar in the approval of the new members of Public Radio and TV Broadcasting Council is to approve one out of the nominated 2 candidates.  </t>
  </si>
  <si>
    <t>No. Only Head of the Committees and Heads of the Fractions have a personal secretary, as well as the President and Vice-Presidents of the Parliament; Also, Parliament Staff are to render organizational, legal, documentation, informational, financial, materia-teqnical and social services to MPS</t>
  </si>
  <si>
    <t xml:space="preserve">Yes. Each legislator may have 2 personal assistances: one in the bases of work agreement and one free of charge. </t>
  </si>
  <si>
    <t>No. Only the Parliamentary Committees and Fractions have non-secretarial staff with policy expertiseas, as well as the President and Vice-Presidents of the Parliament; also, Parliamentary Staff provides research-consaltancy services to MPs.</t>
  </si>
  <si>
    <t>The law does not specify this issue, but it is possible to have such staff. One personal assistance may be a policy expert.</t>
  </si>
  <si>
    <t xml:space="preserve">How experienced are legislators? Number of MPs re-elected / total number of MPs (current legislature compare to previous). </t>
  </si>
  <si>
    <t>21/109 = 0.18</t>
  </si>
  <si>
    <t>33 from 147 MPs are  re-elected. = 0.22</t>
  </si>
  <si>
    <t>125 MPs are elected for 5 year term in the Parliament. As a result of the total falsification and fraud in elections, the parliament is comprised of crnonies of President and majority (71 MPs) of them are the members of the ruling YAP party.  Over 50 are re-elected. There is no opposition party MP in today's parliament. Most of the MP are inexperienced and notorious for corruption.  = 50/125 = 04</t>
  </si>
  <si>
    <t>Yes. Currently, the governing coalition with 58 seats in Parliament chairs 6 out of 10 permanent parliamentary commissions.</t>
  </si>
  <si>
    <t>No. There are no political groups in the parliament</t>
  </si>
  <si>
    <t>No. Candidatures on the position of Chairs of Parliamentary Committees are nominated from among the members of the Committees by the Fractions, Majority, Minority, and those MPs (consisting of at least 6 persons) who are not members of any Parliamentary Fraction.
Currently, all Committe Chairs are members of the ruling party</t>
  </si>
  <si>
    <t xml:space="preserve">No. The right to nominate a candidate from among the deputies for the position of the Chair of the Standing Committee is belonging to the Deputies (the Law on Rules of Procedure of the National Assembly, article 26(1)).  </t>
  </si>
  <si>
    <t xml:space="preserve">Yes. The membership composition of the committee must reflect the quantitative ratio of factions, deputy groups and other Deputies not included in factions or groups (the Law on Rules of Procedure of the National Assembly, Art. 25 ). </t>
  </si>
  <si>
    <t xml:space="preserve"> Speaking time in plenary sittings is allocated between the MPs regardless of their affiliation with political groups.</t>
  </si>
  <si>
    <t>There are no political groups in the parliament and there is no opposition in the parliament.</t>
  </si>
  <si>
    <t xml:space="preserve">Opposition parties receive as much speaking time as governing parties: During political debates the speaking time as allocated equally to the Majority, Minority (45 minutes each); Fractions and Speaker of the Parliament (15 minutes each) and each parliamentarian who is not a member of any Fraction (5 minutes). Each parliamentarian, irrespective of its affiliation is entitled to 5 minutes speech during plenary sessions </t>
  </si>
  <si>
    <t xml:space="preserve">Yes. Speaking time for all political groups is the same, and this means that the weight of the political groups does not matter in this case.  </t>
  </si>
  <si>
    <t>No. There is no specific or fixed formula. There were often cases when opposition parliamentarians were intentionally and arbitrarily not given speaking time</t>
  </si>
  <si>
    <t xml:space="preserve">Seat differential between governing party / coalition and main opposition party / alliance, Difference between seat shares in % points  as of February 2013  (1st chamber of parliament.). </t>
  </si>
  <si>
    <t>The Constitution and Rules of Procedure provide no distinction between opposition and governing party/coalition. In fact, opposition parties (Batkivshchyna, UDAR and Svoboda) include 177 MPs (or 39.78% of seats), while governing party of Regions - 208 MPs (or 46.74% of seats). Other MPs belong neither to opposition nor to ruling coalition. Hence, seat differential equals to 6.96%.</t>
  </si>
  <si>
    <t>Coalition has 58 seats and main oposition party has 34 seats with a difference of 24 seats. Also, there are 9 non-affliates members. The coalition shares 57,42% of total seats and the main opposition party - 37,62%. Seat differential = 19.8 pct points</t>
  </si>
  <si>
    <t>Belarus has majority system vote. There is no opposition in the Parliament</t>
  </si>
  <si>
    <t>Difference between seat shares between Coalition Georgian Dream 55% (83 persons) and UNM 43% (64 persons), Seat differential = 12 %</t>
  </si>
  <si>
    <t>In the current Parliament (from June 2012) 2 Coalition factions have 76 seats (58%) and 3 opposition factions 16 seats (12.2%) officially. One faction is announced themselfs as an alternative faction (36 seats) and 3 MPs don`t belong to any faction.  Total number of seats is 131. Seat differential = 46 %</t>
  </si>
  <si>
    <t xml:space="preserve">In 2010 parliamentary elections, the incumbent party got 71 seats out of 125, while the major opposition parties failed to get any single seat because of the massive violation and fraud. Remaining 54 seats were filled by the pocket opposition and pro-governmental parties. And the so-called "independents" (non-partisan) MPs are same of the ruling party members indeed </t>
  </si>
  <si>
    <t>Linear transformation, best = 17.9% (% of opposition bills Moldova), worst = 0 Belarus</t>
  </si>
  <si>
    <t xml:space="preserve">23  bills submitted by the opposition. Total 235 bills (around 40 as joint initiatives ). Share 12 % </t>
  </si>
  <si>
    <t>Opposition submitted 33 of bills of a total of 184 (17,9%).</t>
  </si>
  <si>
    <t>There are no deputies from the opposition in the Parliament</t>
  </si>
  <si>
    <t>During 2012 autumn session of the Parliament of Georgia, 3 bills have been submitted by  opposition, including 1 as joint initiative, from 58 bills submitted to the Parliament in total. Share=5.2 %</t>
  </si>
  <si>
    <t>28/344 (8.1%).There were  total 344 bills in the Parliament from May 2012 to March 2013. 243 bills have been submitted by the Government of Armenia and 28 by the opposition.</t>
  </si>
  <si>
    <t>In current Parliament, there are no MPs from the opposition. In previous parliaments, traditionally all the bills initiated by the opposition deputies have always been turned down or never been considered at all.</t>
  </si>
  <si>
    <t>Linear transformation, best = 0, worst = 0.35 (Czech Republic 1992-2002, cf. Kraatz, Susanne/ Steinsdorff, Silvia von (Hrsg.) Parlamente und Systemtransformation im postsozialistischen Europa, Opladen: Leske &amp; Budrich)</t>
  </si>
  <si>
    <t>78 out of 450)= 0.17</t>
  </si>
  <si>
    <t>Generally, 9 MPs left the party on whose lists they entered Parliament after the last parliamentary elections from 2010. 0,0891 - 9 of MPs (9/101=0,9) changed their group affiliation during the most recent legislative periode</t>
  </si>
  <si>
    <t>There were no such changes</t>
  </si>
  <si>
    <t>0.06 - During 2012 autumn session of the parliament 9 MPs from Minority left the group and became independent deputes; out of 150</t>
  </si>
  <si>
    <t xml:space="preserve">0.0076 - During funtioning of current Parliament (from June 2012) 1 MP had left its group affiliation, without changing it- from opposition party. The “Law on Parliament regulation” does not allow to MPs to change their group affiliation, but only to leave. Total no. of MoPs: 131. </t>
  </si>
  <si>
    <t>0 -  There has not been any change in the group affiliation in past decade. According to the Regulation of Azerbaijan Parliament, at least 25 parliamentarians should come together to establish a fraction. An unregistered deputies’ group ‘Musavat’ comprising five MPs functioned in the Parliament from 2005-2010. To have 25 parliamentarians to form a fraction is a serious barrier for establishing a fraction as compared to 125 parliamentarians. It presents obstacles to form fractions and democratize the Parliament.</t>
  </si>
  <si>
    <t xml:space="preserve">Deviation between actual aggregate expenditure and budgeted expenditure: Average % of budgeted expenditure, (2009-2011). </t>
  </si>
  <si>
    <t>N/a</t>
  </si>
  <si>
    <t>Linear transformation 0= best, 10 = worst</t>
  </si>
  <si>
    <t>0,92 (2009 – 0,86%, 2010 – 0,93%, 2011 - 0,97% (9 months of 2011)</t>
  </si>
  <si>
    <t>4,36 (2011 -  (-3,5%), 2010 - (-5,7%), 2009 - (-3,9%)</t>
  </si>
  <si>
    <t>4,59 (2008-0,43%; 2009-12,47%; 2010-0,89%). Fresher data was not available.</t>
  </si>
  <si>
    <t xml:space="preserve">4,667 (Deviation 2009- (-6.4%, 2010-(-2,3%), 2011- (-5.3%) </t>
  </si>
  <si>
    <t>4,03 (In 2008, actual expenditures amounted to 97,3% of scheduled, in 2009 - 84,7%, and in 2010 - 95,9%. Fresher data was not available. Comments: This is a "merit" of the Ministry of Finance) Forecasted expenditure for 2012,  was 12, 748 billion AZN but real expenditire was 15,397 billion AZN.
The budget expenditure will increase in 2013 by 12,1 % compared with 2012.</t>
  </si>
  <si>
    <t>These are provided in the State Budget annually. The Government is required to prepare the Document of Basic Data and Directions (BDD) annually. BDD is a medium-term expenditure framework, which shall be submitted to the Parliament along with the draft State Budget for its consideration. Unfortunately, BDD does not enjoy the status of normative act, which negatively affects its binding character and diminishes its real impact on the budgetary process</t>
  </si>
  <si>
    <t>No,  Local and international experts have repeatedly recommended the government to do so, however, the situation remains unchanged.</t>
  </si>
  <si>
    <t>Yes. The Government’s supporting documents include all of the mentioned information. Each year the Programme of economic and social development elaborated by the Ministry of Economic development and trade of Ukraine to make a macro-economic assumptiom</t>
  </si>
  <si>
    <t>Yes. All of these are public information</t>
  </si>
  <si>
    <t>No. Sometimes, these information becomes public when requested.</t>
  </si>
  <si>
    <t>Yes. According to the Art.61 of the Budget Code of Ukraine  annual report on the State Budget is  submitted by the Cabinet of Ministers of Ukraine to Verkhovna Rada of Ukraine no later than May 1 of the year following the reporting month.</t>
  </si>
  <si>
    <t>Yes.The Ministry of Finance publishes on its web-site Year-End financial statements.</t>
  </si>
  <si>
    <t>Yes. Budget execution report is delivered by the Minister of Finance to the parliament and adopted there. The document is public and available both on the MOF web page and the official legislative gazette</t>
  </si>
  <si>
    <t>Is there a law and internal regulations prescribing clearly the principle of proportionality in applying coercive powers? (Eg. In case of crowd control (also called riot control) regulations should proscribe clearly what tactics to be used, when to use lethal and non-lethal weaponry). Is there a prohibition to use lethal weapons in crowd control? If not, are the exceptions very strictly defined? Yes/No</t>
  </si>
  <si>
    <t>Calibration, 0.5 if the law not improved</t>
  </si>
  <si>
    <t>Yes, there's a law on law enforcement that regulates this. Also there is a regulation by the Ministry of Interior that regulates this. Ukrainian legislation in this respect is in line with inbternational principles.</t>
  </si>
  <si>
    <t xml:space="preserve">Yes. The LAW REGARDING RULES OF USE OF PHYSICAL FORCE, SPECIAL MEANS AND FIREARMS (nr.218 passed on 19.10.2012) clearly prescribes the principle of proportionality as well as the rules, limits and restrictions for using different means and weaponry indifferent situations by different law enforcement forces </t>
  </si>
  <si>
    <t xml:space="preserve">There is no explicit law, but the Law on militia prescribes the principle of proportionality. The Law however does not prescribe strictly when to use lethel and non-lethal weapons. Internal reguilations and training programmes also demands to follow the principle of proportionality and describes the most suitable tactics in different situations </t>
  </si>
  <si>
    <t xml:space="preserve">Law and internal regulations have not been changed since 2011. Under para.4, Article 4 of the Decree #1586  police are authorised to use special means if other measures are not practicable.At the same time, the law does not differentiate between special means according to the criteria of effectivenes in an individual case. Under para.3, Article 10 of the law on police, different special means are defined according to concrete situations, the nature of violations and the individual characteristics of offenders. This legal deficiency creates problems in terms of control and prevention of disproportionate use of force by the police and allows for a high possibility of arbitrary police action. </t>
  </si>
  <si>
    <t xml:space="preserve">THE LAW OF THE REPUBLIC OF ARMENIA ON POLICE(16.04.2001), article 32 "It shall be prohibited to employ firearms...during considerable accumulation of people when other persons may suffer from the exercise of firearms. " And the law on “ON LEGAL REGIME OF STATE OF EMERGENCY” clearly prescribes, that the conditions and limits of the use of physical force, special means, weapons and military equipment, already regulated by law are not subject to change in the state of emergency. There are also other legal acts and draft laws clearly prescribing this principle.  </t>
  </si>
  <si>
    <t>No
According to law law-enforcement forces (in the main – the Mobile Police Regiment and Internal Troop of Ministry of Internal Affairs) could used “to preserve law and order”. According to the law about the “Status of Internal Troop” (4th article) Internal Troop could used to prevent mass unrest and these time there are not any official restriction to use lethal weapons. But there is information that the administration could order to restrict using lethal weapons. But the such kind of regulations are closed for people.</t>
  </si>
  <si>
    <t>Yes,  such instances happen. In most cases militia men use guns or truncheons  (wheres international practice proscribes other (long distance) types of armes when there is a need for crowd control). As the result many injuries occur.</t>
  </si>
  <si>
    <t>No. The last registered violations reffers to 2009</t>
  </si>
  <si>
    <t>Yes, concerning all types of cases - political and non-political ones</t>
  </si>
  <si>
    <t>Yes, there have been number of cases. The most recent example of excessive use of force by special operation forces was dispersal of manifestation on 26 May, 2011, as a result of which dozens have been injured and 4 persons died. Dozens of protesters sustained severe bodily injuries as a result of using excessive force by the police during the unlawful dispersal of the rally on 3 January 2011.  Disproportionate force has been used by police officers on 15 June 2009, as a result of which dozens of peaceful protesters sustained severe bodily injuries. As a result of indiscriminate use of (by that time illegal) rubber bullets by special operation forces while dispersing crowd in front of the police headquarters in Tbilisi, two persons lost their eyes and several have been seriously injured on 6 May, 2009</t>
  </si>
  <si>
    <t xml:space="preserve">No, but the human rights activists insist, that there were cases which they consider as violation of the principle of proprtionality during crowd control. Such as, excistance of 50 policmen in 25 civil activists' march. Or when the Police cuts off the energy supply during public event in Freedom square. Or another example, when the Police doesn't allow to install a tent for a protestor in Freedom square during his hungerstrike. There have been numerous cases though when police has used excessive "preventive" measures against protesters; none of these, though, involved use of brutal force and/or weapons against large groups of protesters, if the last 3 years are taken into account.  </t>
  </si>
  <si>
    <t>Yes, but in practise such cases are investigated with a lot of obstacles</t>
  </si>
  <si>
    <t xml:space="preserve">It should be noted that Georgian legislation does not lay out any effective mechanisms for monitoring use of special means.Abuse of power is defined by Article-332-333 of Criminal Code of Georgia. </t>
  </si>
  <si>
    <t>There are units of internal investigation in law enforcement ministries, but, if there is no criminal law suit, the results of the internal investigations of abuses that affect civilians, are not provided to a person, whom the abuse occurred toward( e.g. from Police).The results of internatl investigations in National security service and Police are classified, for Ministry of Defence- partially.</t>
  </si>
  <si>
    <t>Yes.
One of the departaments of MİA is Head Office of Interrogation and Examination. Moreover there are special structure in Presidential Administration and National Parliament related with law-enforcement organs. But their reports about investigation of abuses that affect civilians are not clear and open for society yet. In fact, there was not one official who was punished in a result of such kind of investigation.</t>
  </si>
  <si>
    <t>1-0, 0,5 - partially</t>
  </si>
  <si>
    <t>Yes, there are internal control and enforcement mechanisms in police structures. MoI has the department of internal security and the section for monitoring human rights protection in activities of the MoI. At the same time, they do not work efficiently and they defend the reputation of management structure mostly until civil society raises a point for investigation of abuses that affect civilians.</t>
  </si>
  <si>
    <t xml:space="preserve">Yes. There is a special unit and a disciplinary committee within the Ministry of Internal Affairs invested with the power/task to investigate/decide upon the cases of abuse of power by MIA personnel </t>
  </si>
  <si>
    <t xml:space="preserve">Yes, there is a special unit at the Ministry of Internal Affairs - General Inspection. General Inspection has the authority to carry out internal examination of reported cases of illegal use of force or lethal weapon against civilians. However, this mechanism has not been effective in addressing the complaints of excessive use of force by police officers while dispersing demonstrations. The only measure
taken by the MIA in relation to gross human rights violations on 26 May, 2011 was disciplinary proceedings against 16 police officers; the measure that Public
Defender assessed as a necessary but not enough for addressing gross human rights violations.   </t>
  </si>
  <si>
    <t xml:space="preserve">Internal investigative unit. This Unit serves as a punishment tool for selective usage in cases, when it is nesesarry to find a scapegoat. The internal control mechanizms are not independant, are accounatble to the same state body, that's why it can't be effective. The resluts are not open to public                                                        </t>
  </si>
  <si>
    <t xml:space="preserve">Yes, there are internal control and enforcement mechanisms in the Armed Forces. The Army has the Main department of military service law-enforcement, which is responsible for internal control and enforcement. At the same time, it does not work efficiently and it defends the reputation of the army until civil society raises a point for investigation of abuses that affect civilians. However, the Army is not usually used in crowd control operations. </t>
  </si>
  <si>
    <t>Yes. The task to investigate/decide upon the cases of abuse of power by MoD personnel is attributed to an internal disciplinary committee and to the General Prosecutor Office.</t>
  </si>
  <si>
    <t>Yes, there is a General Inspection within the Ministry that examines the cases of abuse of power by military. However, the Army is not usually used in crowd control operations</t>
  </si>
  <si>
    <t xml:space="preserve">Investigative service, Military police. Military Police serves as a punishment tool for selective usage in cases, when it is nesesarry to find a scapegoat. Or when the case is too noisy to keep silence on, e.g. a death of a soldier. The internal control mechanizms are not independant, are accounatble to the same state body, that's why it can't be effective. </t>
  </si>
  <si>
    <t>Examination department under the the Ministry of defense and division of 8 regional examinations in its subordination. These units are highly corrupted and have hardly  realized any serious and effective work. In certain times, the military has been used to disperce the crowd, mainly during the large opposition protests in 2003 and 2005.</t>
  </si>
  <si>
    <t>No public data available</t>
  </si>
  <si>
    <t>The intelligence service is directly subordinated to the President of Georgia. There is no internal control mechanism established within this service. Specific intelligence agencies are operating also under the Ministries of Internal Affairs and defense</t>
  </si>
  <si>
    <t>Not availabe</t>
  </si>
  <si>
    <t>Yes, The Law on Conflict of Interest and Corruption, namely chapter V1, provides for setting up a protection scheme for whistleblowers in any public institution (including police, army, etc.)to report cases of violation of law or Code of Conduct of Public Servants; In some cases, in order to ensure the safety of whistleblower and witnesses, the procedure might be confidential</t>
  </si>
  <si>
    <t>RA Human Rights Defender</t>
  </si>
  <si>
    <t>No
There is not official confidential complaint mechanizm against illegal and discriminatory actions in law-enforcement forces. But there are internal structures which investigates the domestic problem. In same time every law-enforcement forces declared such kind of "hot lines" to gain claim and complaint. But this way is not succesfull, because there is not one fact related to punishment the officials in result of this "hot line".</t>
  </si>
  <si>
    <t>Yes, there is a telephone helpline with the number available  at the webpage of the MoI. Also, potential victims can use a letter or e-mail for contacting the Minister or meet him personally in the framework of established procedures. But it does not mean that the result of investigation would support the victim.</t>
  </si>
  <si>
    <t>Yes. It includes telephone helplines, confidential personal mailings to the Minister of Internal affairs and confidential personal audiences with the MIA leadership.</t>
  </si>
  <si>
    <t>Yes. The service of internal security</t>
  </si>
  <si>
    <t>The above general provisions from the  Law on Conflict of Interest and Corruption applies to the police.  The internal inspection body within the police is General Inspections Department of the Ministry of Internal Affairs of Georgia. One can lodge complaint before that body arguing abuse of powers by the members of the police. If complain concerns illegal actions by the representatives of General Inspection itself, then such complaint should be lodged before the Minister of Interior according to Article 20 (8) ofthe  Law on Conflict of Interest and Corruption.</t>
  </si>
  <si>
    <t>The internal security service.  This Unit serves as a punishment tool for selective usage in cases, when it is nesesarry to find a scapegoat. The internal control mechanizms are not independant, are accounatble to the same state body, that's why it can't be effective.</t>
  </si>
  <si>
    <t>There is not any official confidential complaint mechanism in MiA</t>
  </si>
  <si>
    <t>Yes, there is a telephone helpline with the number available  at the webpage of the MoD. Also, potential victims can use a letter or e-mail for contacting the Minister or meet him personally in the framework of established procedures. But it does not mean that the result of investigation would support the victim.</t>
  </si>
  <si>
    <t>Yes. It includes telephone helplines, confidential personal mailings to the Minister of Defence and confidential personal audiences with the MoD leadership.</t>
  </si>
  <si>
    <t>Yes, The above general provisions from the  Law on Conflict of Interest and Corruption applies to the army.  The internal inspection body within the Ministry of defence of Georgia is General Inspections Department. One can lodge complaint before that body arguing abuse of powers by the members of armed forces. If complaint concerns illegal actions of the representatives of General Inspection of the Ministry of Defence itself, then such complaint should be lodged before the Minister of Defence according to Article 20 (8) ofthe  Law on Conflict of Interest and Corruption.</t>
  </si>
  <si>
    <t>In Defence Ministry website the Hot line doesn't exist any more. there are several possibilities for those who serve in the army to make complains, but it serves as a punishment tool for selective usage in cases, when it is nesesarry to find a scapegoat. Or when the case is too noisy to keep silence on, e.g. a death of a soldier.The internal control mechanisms are not independant, are accounatble to the same state body, that's why it can't be effective. Such as the Public Council adjunct to the Defence ministry, which serves the Ministrie's, but not solders' or their famileis' interests.</t>
  </si>
  <si>
    <t>There is not any official confidential complaint mechanism in MoD</t>
  </si>
  <si>
    <t>Yes, there is a telephone helpline with the number available  at the webpage of the Security Service. Also, potential victims can use a letter or e-mail for contacting the Head or meet him personally in the framework of established procedures. But it does not mean that the result of investigation would support the victim.</t>
  </si>
  <si>
    <t>Yes, The above general provisions apply to the security and intelligence services</t>
  </si>
  <si>
    <t>No public data</t>
  </si>
  <si>
    <t>There is not any official confidential complaint mechanism in Ministry of National Security</t>
  </si>
  <si>
    <t>1-0, 0,5 - difference between law and practice</t>
  </si>
  <si>
    <t xml:space="preserve">Yes, it can. In accordance with article 89 the Constitution of Ukraine. In order to initiate parliamentarian investigations, it should be approved by one-third members of the Parliament of Ukraine. The investigation committee, which would be formed in accordance with the decision of the Parliament, can only recommend investigation, but the decision is not compulsory for the fulfillment. </t>
  </si>
  <si>
    <t>Parliament has such power but never uses it</t>
  </si>
  <si>
    <t xml:space="preserve">Theoretically, the parliament could create ad hoc investigatory committees; however, according to the rules of procedure of the Parliament of Georgia, the decision on the creation of the Investigatory Committees is adopted by the majority; Accordingly, the parliamentary opposition is unable to achieve creation of investigatory committees, unless the majority so decides. Despite several attempts of the opposition MPs to create an investigatory committees in order to investigate excessive use of force by law-enforcers on dispersal of demonstrations in May 2011 and November 2007, the initiatives failed. </t>
  </si>
  <si>
    <t xml:space="preserve">Yes. Parliament holds hearings in Standing Committees with invited experts, civil society representatives, etc. No hearings were organized and investigation initiatied on any cases of abuse by security and law enforcement bodies within the last 3 years, therefore the score for this question shall be revisited. We do not know to what hearings does the Respondent refer. No hearings were organized and investigations initiated on any cases of abuses by security or law enforcement bodies within the last 3 years. The only exception may relate to the ongoing effort to investigate the March 1, 2008 events which resulted in numerous casualties, but we are not sure if the current parliamentary proceedings related to the events of 2008 can be counted for the purposes of the question. </t>
  </si>
  <si>
    <t>Yes.
Parliament has the right to investigate and organise hearings on functioning and abuses by security and law enforcement forces. But it happened only in the middle of 90s last century. Minister of defense (Mammadrafi Mammadov) was called (in 1995) to parliament to get clear information about real situation in army.  Since that time there has been no any instance of the kind.</t>
  </si>
  <si>
    <t>Is the Parliament represented in the National Security (and defense) Council? Yes/No</t>
  </si>
  <si>
    <t>1-0, 0,5 - participation even without membership</t>
  </si>
  <si>
    <t>Yes, it is. In accordance with the President of Ukraine Decree № 33, dated 01/18/2013, the Chairman of the Parliament is the member of Security Council (by mutual arrangement). It is meant that the participation in Security Council meetings is not obligatory for the Chairman of the Parliament as well as the invitation for meetings could be ignored also.
The Article 107 of the Constitution of Ukraine also allows the Chairman of the Parliament to take part in Security Council meetings.</t>
  </si>
  <si>
    <t>Yes. The Chairman of the Parliament and the Chairman of the standing Committee on National Security, Defence and Public Order are members of the National Security Council.</t>
  </si>
  <si>
    <t>Yes, speakers of both chambers of Belarusian Parliament are members of the Security Council. Several MPs are closely connected with the security services including the Security Council</t>
  </si>
  <si>
    <t>It is explicitely stated in the Law on National Security Council that the Chair of the Parliament personally participates in the council meetings (even though he/she is not a member of the council). The president has the authority to invite other members of the government to NSC meetings.</t>
  </si>
  <si>
    <t xml:space="preserve">Yes. According to official information the Security Council is the
deliberative body under the President and he organizes it according to
the Article 109 (section 27) of the Constitution of the Republic of
Azerbaijan. The Chairman of the Milli Majlis (the Parliament) is a member. </t>
  </si>
  <si>
    <t>Are decisions of the National Security (and defense) Council subject to parliamentary scrutiny? Yes/No</t>
  </si>
  <si>
    <t>Mostly NO than Yes. On reasonsmentioned above, the Chairman of the Parliament  could be informed about the agenda and decisions taken by the Council. But it is not meant that the entire Parliament could be informed about this (except when it comes to declaring warsor launching military operations)</t>
  </si>
  <si>
    <t>Yes (Via members of the parliament – members of the Supreme Security Council)</t>
  </si>
  <si>
    <t>Officially yes in some cases, some decisions should be adopted by the Parliament but no problems arise during these debates</t>
  </si>
  <si>
    <t>No. Parliament is informed about the agenda and decisions taken by the Council but it is not obligatory by law. The Parliament of Georgia approves National Security Concept.</t>
  </si>
  <si>
    <t>The Parliament prior is not informed about the agenda of the RA National Security Council sittings, as they are confidential. Only the Chairman of the RA National Assembly is informed about the agenda as a Member of the RA National Security Council.
The decisions of the RA National Security Council are published after the Chairman of the Council (the President of RA) signs them.The NSC is adjacent to the president of RA and accountable only to him.</t>
  </si>
  <si>
    <t>No. The President determines the agenda and order of the discussion of
issues at the session of Security Council according to the submission
of the Head of the Office.The President presides at the sessions ofthe Security Council. The Head of the Office of the President acts as
the Secretary of the Security Council. The Head of the Office provides
the activity of the Security Council, manages the preparation of sessions.
The decision of the SC is not subject to parliamentary scrutiny and
the Parliament is not informed about the agenda and decisions bu the
Council.</t>
  </si>
  <si>
    <t>Yes, it is. In accordance with the Article 85 of the Constitution of Ukraine, the state of war declaration and launching military operations are subject to the Parliament's decision, but the President of Ukraine could make the decision about using the Armed Forces against external aggressions (the Article 106 of the Constitution of Ukraine).</t>
  </si>
  <si>
    <t>Yes. It is required by law; excepting emergency situations or aggression when the Parliament is consulted post-factum.</t>
  </si>
  <si>
    <t>Yes, according to the Constitution the Parliament adopts decision on launching military operations but no cases of such President's decision can be mentioned</t>
  </si>
  <si>
    <t>No, Parliament is not consulted before the President declares war or launches military operations. The presidencial decision comes into effect immediately upon its adoption. The President is obliged to submit this desicion to the parliament within 48 hours for approval. The Parliament  has the obligation to adopt or refuse presidential decision on declaration of war or on launching of military operations.
The decision looses its legal force if the parliament refuses to approve it.</t>
  </si>
  <si>
    <t xml:space="preserve">Yes, According to the Articles 55 and 81 of RA Constitution "Upon the recommendation of the President of Republic the National Assembly shall: resolves on declaring war and proclaiming peace. In the event when convening a sitting of the National Assembly is impossible, the President of Republic shall solve the issue of declaring war".  </t>
  </si>
  <si>
    <t>No. The Parliament is not consulted before the President declares war or
launches military operations. There is not any rule or article of law which are considered this issue. Accordance with unofficial
information the decision about military operations would be discuss in
frame of the Security Council.
This issue is regulated by the Art. 109.  The President can conclude peace agreement or start war with  a concent by the parliament. The President's decree must be reviewed and approved by the parliament within 24 hours. If parliament rejects the decree or doesn't review then the decree doesn’t enter into force. The Art. 93, 94 and 95 introduce the competencies of the parliament</t>
  </si>
  <si>
    <t>Is the Parliament consulted by the President in making appointments to highest ranks of security and armed forces? (Minister of defense, Minister of Interior, Supreme Chief of Staff, generals). Yes/No </t>
  </si>
  <si>
    <t>No, it is not. In accordance with the Article 106 of the Constitution of Ukraine, the President alone is responsible for making appointments to these positions for security and defense institutions. The Prime-minister of Ukraine nominates candidates for positions of ministers (MoD, MoI and so on) to the President of Ukraine. The President of Ukraine appoints the head of the Security Service and the head of external investigation.</t>
  </si>
  <si>
    <t>In reality, no</t>
  </si>
  <si>
    <t xml:space="preserve">Yes. President has to submit his nominee on the post of the minister of interior or defense to the parliament and the parliament adopts the candidate. For other high rank militaries, such as Chief of Staff and generals,  parliament is not involved in the appointment procedures. </t>
  </si>
  <si>
    <t>No,According to the Constitution, the President is the Commander-in-Chief of the armed forces, and therefore coordinates the operations of the government bodies in the area of defense, appoints to and dismisses from office the Highest Command of the armed and paramilitary forces.In terms of appoinitng members of the government, the President shall appoint to and dismiss from office the members of the Government upon the recommendation of the Prime Minister (the latter appointed in consultation with the Parliament)</t>
  </si>
  <si>
    <t>No. Parlament is not consulted by the President in making appointments to
highest ranks of security and armed forces. The President is free
about his appointments. The law doesn't consider the details of that
issue.</t>
  </si>
  <si>
    <t>Yes, in the Parliamentary Committee for National Security and Defense representatives of all parties can be present. Of 13 members of the Committee at the moment they are 6 members of the Party of Regions, 2 members of All-Ukrainian Union "Batkivshchyna",  Political Party "UDAR (Ukrainian Democratic Alliance for Reform) of Vitaliy Klychko" – 2, All-Ukrainian Union "Svoboda" - 1, Communist Party – 1. Volodymyr Lytvyn (Non-affiliated People's Deputies) is the Chairman.</t>
  </si>
  <si>
    <t>Yes. It is requred by Law on Parliament regulation.</t>
  </si>
  <si>
    <t>No, opposition parties are not represented in the Parliament</t>
  </si>
  <si>
    <t>Usually they are.
Representation of the parliamentary parties in the committees and investigation or other temporary commissions is guaranteed by law</t>
  </si>
  <si>
    <t>Yes, and an MP can be a member for two or more Standing committes</t>
  </si>
  <si>
    <t>No
Majority of deputies are represented YAP (New Azerbaijan Party). But there are not any officially oversight bodies. There are few members from the "pocket opposition" in the parliament and they are usually represented in different committee and commissions.</t>
  </si>
  <si>
    <t xml:space="preserve">Yes, parliamentarians of Ukraine have unrestricted access to classified information related to their obligations and duties. Other classified information could be obtained from management institutions by the MP’s inquiry, but it does not mean that he/she will receive a comprehensive and up to the point answer. </t>
  </si>
  <si>
    <t xml:space="preserve">According to the Law on Trust Group, a special trust group shall be created from MP"s, which shall have access to the classified information. The Group shall consist of 5 members, 2 of which shall be nominated by the parliamentary opposition. </t>
  </si>
  <si>
    <t>According to the law on RA Law "On State and Official Secret" an MP, as well as any other citizen, should apply to an authorized official in order to have access to classified information and get a written permission with the procedure established by the RA Government.</t>
  </si>
  <si>
    <t>No. Research shows that very little part of the parliamentarians have right to get some  some kind of classified information. But there is not any deputies who have unrestricted and intensive access to classified information. But according to the amendment to the Law on State Secrete adopted in 2008, the rules on the permission for the parliamentarians to work with the State Secrete was simplified.</t>
  </si>
  <si>
    <t>Do management institutions (Ministry of defense, Ministry of Interiors, Ministry of Justice, Intelligence and Security Agency) regularly report to the Parliament on implementation of policies? Are the reports public? Yes/No</t>
  </si>
  <si>
    <t xml:space="preserve">The management institutions report to the Parliament once a year. The minutes of the sessions are available for general public. Additionally, there are mechanisms for obtaining some information on implementation of policies such as Q&amp;A session with the Government (twice per month), deputy requests and so on. </t>
  </si>
  <si>
    <t xml:space="preserve">Yes. MoD and MIA - reports at request. The hearings are open or closed according to Parliament decision. Intelligence and Security Service annual reports are required by law and the hearings are closed for public or mass-media. </t>
  </si>
  <si>
    <t>There is no such practice of reports to the parliament. The parliament in Belarus is a decorative body; Ministers report usually to the President, not to the Parliament but officially such practice exists.</t>
  </si>
  <si>
    <t xml:space="preserve">The government is responsible to report  annually to parliament and  agencies are responsible to report to parliament on the request of the parlamentarians. The written reports are  available public information in the case of foi request; </t>
  </si>
  <si>
    <t>According to the Government Activities regulation, the RA Government reports on yearly basis to the Parliament. This includes reports from all the Ministries and agencies. The report of Finance ministry is made public during Parliamentary session. The other ministries report to the Government and after they hold briffings for media.</t>
  </si>
  <si>
    <t>No. They report very rarely and the reports are not public as usual</t>
  </si>
  <si>
    <t>Yes, he/she has the competence in accordance with  procedures that has been describes by the Law of Ukraine "On the Ukrainian Parliament Commissioner for Human Rights"</t>
  </si>
  <si>
    <t>There is no such position in Belarus</t>
  </si>
  <si>
    <t>Yes
Ombudsman has the right to investigate and site visit in cases of human rights abuse by security and law enforcement bodies. The officials from Ombudsman visit to jails to meet political prisoners who suffered by activities of law-enforcement forces. But these investigations and visits and the statements in result of these activities are not accepted by society seriously. The more declarations of Ombudsman carry the character of recommendations.
The ombudsman office either hides actual number of such violation cases in its reports or denies the most serious facts of violations as the institute is not independently working.</t>
  </si>
  <si>
    <t>Does the Ombudsperson issue public annual reports which include the situation of human rights in the security and law enforcement institutions? Yes/No</t>
  </si>
  <si>
    <t>The Ombudsman annually reports to the Parliament. All annual reports are published on the official website of the Ombudsman (note: the Ombudsman is authorized to examine particular cases of human rights abuse)</t>
  </si>
  <si>
    <t>Yes. Through annual reports to Parliament.</t>
  </si>
  <si>
    <t>Yes, The Ombudsman annually reports to the Parliament on human rights condition in the country. All annual reports are published on the official website of the Ombudsman Also, the Ombudsman is authorized to report to parliament with the special report on specific area of human rights abuses</t>
  </si>
  <si>
    <t xml:space="preserve"> The more declarations of Ombudsman carry the character of recommendations.</t>
  </si>
  <si>
    <t>Ministry of Defense</t>
  </si>
  <si>
    <t>Yes, there are the Department of press and mass midea and the Archives of MoD which are responsible for providing public with information.</t>
  </si>
  <si>
    <t>Yes, but in many cases the information is very insufficient</t>
  </si>
  <si>
    <t xml:space="preserve">Yes. The Press Service. Responder to media about information in Military Forces. According to the Law on access to information that was adopted in 2005 and all Governmental Bodies were given assignment to create their own web-page within a year aiming to disseminate their information, the Ministry of Defense created its web-page in 2012. </t>
  </si>
  <si>
    <t>Yes, the Ministry of Interior has the Department for documentary support (Secretariat) and  Deractorate for Public Relations that are responsible for public information and mass-media relations issues.</t>
  </si>
  <si>
    <t>Yes but in many cases the information is very insufficient</t>
  </si>
  <si>
    <t>Yes, there is a dedicated unit responsible fo public and media relations at Ministry of Justice.</t>
  </si>
  <si>
    <t>Yes. The Press Service. Responder to media about information in Ministry of Internal Affairs and Ministry of Justice. Ministry of Interior is one out of the first 5 governmental bodies that created its web-page, as well as online complaints and other online services are active and useful.</t>
  </si>
  <si>
    <t>Yes, in accordance with the Order № 231, dated 14.06.2011 of the Head of the Security Service’s Main Department, there is the unit that is responsible for access to public information.</t>
  </si>
  <si>
    <t>There is no independent body responsible for intelligence and security in Georgia, these functions are dealt with by the Ministry of Internal Affairs.</t>
  </si>
  <si>
    <t xml:space="preserve">Yes. The Press Service. Responder to media about information in Ministry of National Security. </t>
  </si>
  <si>
    <t xml:space="preserve">This Information is available in RA Law "On the Budget " that usually has secret parts as well. </t>
  </si>
  <si>
    <t>Mostly Yes then No. There is general information on structure and competences of MoD. Unfortunately, there is no accessible information on budget and operational decisions available on the webpage of MoD, however the general information on the budget of MoD can be obtained from Parliament’s webpage.</t>
  </si>
  <si>
    <t>Partially. No information on budget.</t>
  </si>
  <si>
    <t>Information about structure, competences and opertational decisions is available on the website of Ministry of Defence. Information about 2013 budget of Ministry of Defence is not available.</t>
  </si>
  <si>
    <t>www.mod.gov.az There are not information about structure, competences, budget and operational decisions of Ministry of defense.</t>
  </si>
  <si>
    <t>Mostly Yes then No. There is general information on structure and competences of MoI. Unfortunately, there is no accessible information on budget and operational decisions available on the webpage of MoI, however the general information on the budget of MoI can be obtained from Parliament’s webpage.</t>
  </si>
  <si>
    <t>Information about structure, competences and opertational decisions is available on the website of Ministry of Interior. Information about budget of Ministry of Interior is not available.</t>
  </si>
  <si>
    <t xml:space="preserve">Yes for all in Ministry of Justice- (moj.am) and for Police (police.am - this site was reconstracted last year). </t>
  </si>
  <si>
    <t>http://www.mia.gov.az There are information about structure, competences. But no information related budjet and decisions.
http://www.justice.gov.az/ There are information about structure, competences and sometimes about operational decisions. But there is not information about budget of Ministry of Justice.</t>
  </si>
  <si>
    <t>Mostly Yes then No. There is general information on structure and competences of the Security Service. Unfortunately, there is no accessible information on budget and operational decisions available on the webpage of SSU, however the general information on the budget of SSU can be obtained from Parliament’s webpage.</t>
  </si>
  <si>
    <t>Partially.  Yes - for state budget and competences. No - for structure and operational decisions.</t>
  </si>
  <si>
    <t>Partially. No information on budget and operational decisions.</t>
  </si>
  <si>
    <t>Information about structure and  competences is available, while informatio about budget and operational decisions is not available.</t>
  </si>
  <si>
    <t>www.mns.gov.az There are not any information about structure, competences, budget and operational decisions of Ministry of Security in this site. But there is published part of the document of "Regulations of Ministry of National Security". In this article mirrored the duties which stand in front of theMinistry of National Security.</t>
  </si>
  <si>
    <t>Yes, it is available at http://www.mil.gov.ua/. This information is related to the Ministry of defense as a whole, but it is not specified for branches (Army, Air Force, Navy) of military services.</t>
  </si>
  <si>
    <t>Very limited degree</t>
  </si>
  <si>
    <t>General information about the allocated budget to the armed forces in a particular year is open and available for citizens, while the detiled information is usually classified as state secret.</t>
  </si>
  <si>
    <t>The only figure published regarding defense, is the total amount, the distribution is secret.</t>
  </si>
  <si>
    <t>Citizens can get information only about general figure of military expences. There are not any information about details of military budget. For instance citizens cannot get information about expences which directed to salaries and meals of servicemen.</t>
  </si>
  <si>
    <t>No
There is not any exact legislation which regulate regular public reporting of law-enforcement actors yet.  According to IPAP document with NATO military structures must prefer to practice regular public reporting about their activities. And Azerbaijan must prepare special document with will strengthen connection between military structures and society. But this document has not been prepared by officials.</t>
  </si>
  <si>
    <t>Mostly Yes, in the form of news articles (webpages, TV, newspapers), but they are focused on activities and objectives rather then problems.</t>
  </si>
  <si>
    <t>No, such events are very rare. The official positions is that they do it regularly</t>
  </si>
  <si>
    <t>Ministry of Defence regularly holds meetings/presentations about its activities, problems and objectives in the field of its competence.</t>
  </si>
  <si>
    <t>For other kind of information the procedure is regulated  by the RA Law " On FOI". One should apply for information. The Law prescribes the dates within of which the institution should provide information or indictae the source of it, if it is not under its competency. Usually they provide information or an NGo or media applies to the court. Several civil society organisations and media, e.g. the Freedom of information centre (foi.am), Journatlists' club "Asparez" (asparez.am),  hetq.am usually track their inquries.</t>
  </si>
  <si>
    <t>The Press-service of MoD tries to inform society about daily situation in frontline, relations with international organizations and different states on military issues. 
But MoD doesn't report information about reforms, problems and objectives in the field of its competence. There is not serious public reporting by MoD about army reform, particularly adaption to NATO standarts. And MoD prefers to not give information about problems, specially deaths in army.</t>
  </si>
  <si>
    <t>Ministries of Interior and Justice regularly hold meetings/presentations about its activities, problems and objectives in the field of their competence.</t>
  </si>
  <si>
    <t>MIA tries to inform society about criminal events and the activity of police to prevent to this kind of problems. But MIA desn't pefer to inform society about domestic problems. Years ago there was big problem in MIA, related with bandit group, but officials of MIA was greedy to give detailed information about events.
The officials from Ministry of Justice prefer to inform media about positive side of reform, objectives and activities of its representatives. But it is difficult to face some information which connected with problematic issue, which society would be informed by officials of Ministry of Justice.</t>
  </si>
  <si>
    <t xml:space="preserve">No   </t>
  </si>
  <si>
    <t>We do not have information about public reporting activities carried out by the Intelligence and Security Agency.</t>
  </si>
  <si>
    <t>For other kind of information the procedure is regulated  by the RA Law " On FOI". One should apply for information. The Law prescribes the dates within of which the institution should provide information or indictae the source of it, if it is not under its competency. Usually they provide information or an NGo or media applies to the court. Several civil society organisations and media, e.g. the Freedom of information centre (foi.am), Journatlists' club "Asparez" (asparez.am), HCA Vanadzor, hetq.am usually track their inquries.</t>
  </si>
  <si>
    <t>Ministry of National Security is one of more closed state-organisation in Azerbaijan. The officials of this organisation prefer to not give information about their activities, problems and objectives in the field of its competence. The society could get information from MNS that time, when they will decide to inform people. MNS prefers to inform the people about their operations against somebodies who creat threat to state.</t>
  </si>
  <si>
    <t>Only the office of General Prosecutor provides such information, but the statistics is given not from the prospective of human rights’ violation, but only corruption.</t>
  </si>
  <si>
    <t>Ministry of defense</t>
  </si>
  <si>
    <t>No. Information about violations can become accessible/known to the general public only due to independent media investigations and reporting.</t>
  </si>
  <si>
    <t>No, the Ministry of Defence does not proactively publicize statistics and cases on human rights violation committed by its personnel.</t>
  </si>
  <si>
    <t>The main format is replying to the inquiries from Media, State department, according to RA Law " On FOI".</t>
  </si>
  <si>
    <t>There is not any analogous statistics which was published by MoD in last years.</t>
  </si>
  <si>
    <t>Ministry and Interior and Ministry of Justice do not proactively publicise statistics and cases on human rights violation committed by their personnel.</t>
  </si>
  <si>
    <t xml:space="preserve">The main format is replying to the inquiries from Media, State department, according to RA Law " On FOI". </t>
  </si>
  <si>
    <t>There is not any analogousstatistics which was published by MIA and MoJ in last years.</t>
  </si>
  <si>
    <t>Intelligence and Security Agency does not proactively publicize statistics and cases on human rights violation committed by its personnel.</t>
  </si>
  <si>
    <t>There is not any analogous statistics which was published by Ministre of National Security in last years.</t>
  </si>
  <si>
    <t>According to the law on RA Law "On State and Official Secret" an MP, any citizen, should apply to an authorized official in order to have access to classified information and get a written permission with the procedure established by the RA Government</t>
  </si>
  <si>
    <t>Yes, they are able to obtain this information in accordance with the Law of Ukraine “On access to public information”, dated 13.01.2011, № 2939-VI. However it does not mean that civil society organisations and media would receive comprehensive answers to their questions.</t>
  </si>
  <si>
    <t>Rarely</t>
  </si>
  <si>
    <t>Yes, but not about everything
In fact, the civil society organizations and media have a limited access to the financial information on the Ministry of defense</t>
  </si>
  <si>
    <t>They do consultations not on regular basis, and these are not institutionlized. This only due to efforts of civil socity organizsations.</t>
  </si>
  <si>
    <t>Civil society organisations are not able to obtain any information from MoD. Because MoD doesn't inform civil society organisations about their activities. They based it to war with Armenia and pretend to be not damage to preparation of Military Forces.</t>
  </si>
  <si>
    <t>Yes, Civil Society organizations and media are able to get Information about regulation, activities, budget etc from the Ministry of Interior and Ministry of Justice by filing corresponding FOI Requests.</t>
  </si>
  <si>
    <t>The NGO's could get some information about regulations and activities of MIA and MoJ, but not about budjet and its spending.</t>
  </si>
  <si>
    <t>Yes, Civil Society organizations and media are able to get Information about regulation, activities, budget etc from the Intelligence and Security Agency by filing corresponding FOI Request.</t>
  </si>
  <si>
    <t>No, or at least such instances are not known about so far.</t>
  </si>
  <si>
    <t>No, since 2009.</t>
  </si>
  <si>
    <t xml:space="preserve">Yes, there have been instances of persecution and intimidation of journalists and civil society organizations. </t>
  </si>
  <si>
    <t>Yes.Several NGOs demanded from authorities fair justice while investigating death cases in army, the head of Military police called them “granteaters”. The human rights activists insist on the same attitude toward them form the side of media that are under the government control.</t>
  </si>
  <si>
    <t>`Yes
During last years manu civil society organisations and mass-media have interested to research human rights violations and corruption within security and law enforcement bodies. But they being intimidated or persecuted bu officials from  security and law enforcement bodies. For instance Ministry of defense brought an action against  some newspapers, which investigated the facts of corruption and human rights violations in army. These court sessions are being continued yet.  Some journalists were threatened by officials of MoD for their articles about problem in army building.</t>
  </si>
  <si>
    <t>Mostly yes, there is the Civil society council (hromadska rada) under MoD. The Civil society council has regular meetings with leaderships of institution, working plans and is responsible for consultation with civil society. Relevant procedures were adopted by the Cabinet Ministries Decree № 996, dated 03.11.2010.</t>
  </si>
  <si>
    <t>YES - regular consultations. YES - institutionalised formats.</t>
  </si>
  <si>
    <t>No, but officially such consultations exist. Monitoring the public sentiments considered by the security forces as 'consultations'. Only some loyal NGOs are admitted to this process</t>
  </si>
  <si>
    <t>Ministry of Defense does not provide institutionalised framework for consultations with civil society organisations on security policies and reform, but  they hold regular consultations with civil society organizations and independent experts on socueity policies and reforms</t>
  </si>
  <si>
    <t>They do consultations not in regular basis, and these are not institutionlized. There is a Public Council to the ministry of defense, but this more serves to the minister.</t>
  </si>
  <si>
    <t>The officials from Ministry of defense don't hold any consultations with civil society organisations on security policies and reform.</t>
  </si>
  <si>
    <t>Mostly yes, there is the Civil society council (hromadska rada) under MoI. The Civil society council has regular meetings with leaderships of institution, working plans and is responsible for consultation with civil society. Relevant procedures were adopted by the Cabinet Ministries Decree № 996, dated 03.11.2010.</t>
  </si>
  <si>
    <t>No. Ministries of Interior and Justice do not provide institutionalised framework for consultations with civil society organisations on security policies and reform.</t>
  </si>
  <si>
    <t>They do consulations with civil socity organizations not on regular basis. Usually they send their representatives to NGOs discussions mostly as passive observers.</t>
  </si>
  <si>
    <t>The officials from Ministry of Internal Affairs doesn't hold regular consultations with civil society organisations on security policies and reform.
But Ministry of Justice is differ. İn 2005, there was signed a special agreement between NGOs and Ministry of Justice called "Mutual Understanding Memorandum". Then was created special Working Group to control the situation in prisons.</t>
  </si>
  <si>
    <t>Mostly yes, there is the Civil society council (hromadska rada) under the SSU. The Civil society council has regular meetings with leaderships of institution, working plans and is responsible for consultation with civil society. Relevant procedures were adopted by the Cabinet Ministries Decree № 996, dated 03.11.2010.</t>
  </si>
  <si>
    <t>YES - regular consultations. YES - institutionalised format.</t>
  </si>
  <si>
    <t>No , but officially such consultations exist. Monitoring the public sentiments considered by the security forces as 'consultations'. Only some loyal NGOs are admitted to this process</t>
  </si>
  <si>
    <t>No, Intelligence and Security Agency does not provide institutionalised framework for consultations with civil society organisations on security policies and reform.</t>
  </si>
  <si>
    <t xml:space="preserve">No. These issues are usually considered 'sensisitve' issues and hearings are declared 'closed' at the request of the committees or security institutions. </t>
  </si>
  <si>
    <t>No, the parliament does not organize such hearings</t>
  </si>
  <si>
    <t>Yes, Civil Society orgnisations do have access to hearings on functioning and abuses by security and law enforcement forces at the committees of the Parliament. However, such hearings are not usually organised by the Parliament.</t>
  </si>
  <si>
    <t>It happens not often, and in most cases the invitation initiators are international organizations.</t>
  </si>
  <si>
    <t>Yes. The members have unrestricted access to places of detention due to new law (September 2012).</t>
  </si>
  <si>
    <t xml:space="preserve"> Yes. According to the Law on Public Defender, the members of the National Preventive Mechanism under the Public Defender's Office (PDO) and authorised PDO staff have access to places of detention </t>
  </si>
  <si>
    <t>Yes, the members of National Preventive Mechanism, which is the Omudsman of RA, have unrestricted access to places of detencition.</t>
  </si>
  <si>
    <t>Yes. Ombudsman office as a government-friendly institution has its staff easily accessing the prisons. Civil society organisations have to get permission by corresponding bodies. Sometimes it is easy to visit prisons. But it is more difficult to get any permission to visit to detention cells within the military units of Ministery of defense and the detention cells under the Ministry of National Security</t>
  </si>
  <si>
    <t>Yes. There are around 55 civil society representatives now, they get membership through special system of trainings.</t>
  </si>
  <si>
    <t>The Ombudsman fullfils the function of the National Preventive Mechanism in Georgia. The civil society is not represented in the mechanism. However, representatives of the civil society can be invited by the Ombudsman to Special Prevention Group.</t>
  </si>
  <si>
    <t>Yes, according to several Memornadum signed between the Ombudsman of RA and Civil Society Organizations.The mandate provided by Ombudsman allowes the Civil society representatives have unrestricted acces to closed institutions.</t>
  </si>
  <si>
    <t xml:space="preserve">No. Independent civil society is poorly represented. It is mainly filled with pro-governmental NGOs. There is a Public Oversight Council of NGOs on Penitentiary Service under the MoJ which also works on prevention of ill-treatment and torture in penitentiary facilities. But its work is not effective, seriously dependent and the reports produced by are confidential and not public </t>
  </si>
  <si>
    <t>MARKET ECONOMY and DFCTA</t>
  </si>
  <si>
    <t xml:space="preserve">Starting a business. WB Doing Business Report 2013 </t>
  </si>
  <si>
    <t>Linear transformation. benchmarks defined by EBRD Transition Countries (Best = MAC 5; Worst = BIH 162)</t>
  </si>
  <si>
    <t>Linear transformation. benchmarks defined by EBRD Transition Countries (Best = GEO 2; Worst = BIH 55)</t>
  </si>
  <si>
    <t>Linear transformation. benchmarks defined by EBRD Transition Countries (Best = KGZ 2; Worst = BIH 12)</t>
  </si>
  <si>
    <t>Linear transformation, benchmarks defined by EBRD Transition Countries (Best = SLO 0; Worst = TJK 36.9)</t>
  </si>
  <si>
    <t>Linear transformation, benchmarks defined by EBRD Transition Countries (Best = BLR, GEO, ARM, AZE etc. 0; Worst = MNG 46.8)</t>
  </si>
  <si>
    <t xml:space="preserve">Resolving insolvency, WB Doing Business Report 2013 </t>
  </si>
  <si>
    <t>Linear transformation, benchmarks defined by EBRD Transition Countries (Best = SVK 33; Worst = ALB 183)</t>
  </si>
  <si>
    <t>Linear transformation, benchmarks defined by EBRD Transition Countries (Best = SVK 55.3; Worst = ALB 0)</t>
  </si>
  <si>
    <t>Linear transformation, benchmarks defined by EBRD Transition Countries (Best = KAZ 1.5; Worst = BLR 5.8)</t>
  </si>
  <si>
    <t xml:space="preserve">Paying taxes, WB Doing Business Report 2013 </t>
  </si>
  <si>
    <t>Linear transformation, benchmarks defined by EBRD Transition Countries (Best = EST 30; Worst = BLR 183)</t>
  </si>
  <si>
    <t>Linear transformation, benchmarks defined by EBRD Transition Countries (Best = EST 81; Worst = BLR 798)</t>
  </si>
  <si>
    <t>Linear transformation, benchmarks defined by EBRD Transition Countries (Best = Geo 4; Worst = UKR 135)</t>
  </si>
  <si>
    <t>Linear transformation, benchmarks defined by EBRD Transition Countries (Best = MAC 10.6; Worst = UZB 95.6)</t>
  </si>
  <si>
    <t xml:space="preserve">Contract enforcement, WB Doing Business Report 2013 </t>
  </si>
  <si>
    <t>Linear transformation, benchmarks defined by EBRD Transition Countries (Best = BLR 12; Worst = MNE 135)</t>
  </si>
  <si>
    <t>Linear transformation, benchmarks defined by EBRD Transition Countries (Best = LAT 27; Worst = ARM 49)</t>
  </si>
  <si>
    <t>Linear transformation, benchmarks defined by EBRD Transition Countries (Best = UZB 195; Worst = SLO 1290)</t>
  </si>
  <si>
    <t>Linear transformation, benchmarks defined by EBRD Transition Countries (Best = POL 12; Worst = UKR 41.5)</t>
  </si>
  <si>
    <t>Enterprises, EBRD Transition Indicators 2012</t>
  </si>
  <si>
    <t>Large-scale privatization</t>
  </si>
  <si>
    <t xml:space="preserve">Small-scale privatization </t>
  </si>
  <si>
    <t>Markets and trade, EBRD Transition Indicators 2012</t>
  </si>
  <si>
    <t>Rule of Law, Index of Economic Freedom 2013</t>
  </si>
  <si>
    <t>Linear transformation, benchmarks defined by EBRD Transition Countries (Best = Est 80; Worst = Turkmenistan 10)</t>
  </si>
  <si>
    <t>Freedom from Corruption</t>
  </si>
  <si>
    <t>Linear transformation, benchmarks defined by EBRD Transition Countries (Best = Est 65; Worst = Uzbekistan, Turkmenistan 16)</t>
  </si>
  <si>
    <t xml:space="preserve">Effectiveness of Anti monopoly policy. The Global Competitiveness Report 2012-2013, World Economic Forum </t>
  </si>
  <si>
    <t>Linear transformation, benchmarks defined by EBRD Transition Countries (Best = Turkey 4.7;  Worst=Serbia 2.8 )</t>
  </si>
  <si>
    <t>Burden of Customs procedures. The Global Competitiveness Report, 2012-2013 World Economic Forum</t>
  </si>
  <si>
    <t>Linear transformation, benchmarks defined by EBRD Transition Countries (Best =Georgia, Est 5.2;  Worst= Ukraine 2.8)</t>
  </si>
  <si>
    <t xml:space="preserve">Tax burden on GDP. 2013 Index of Economic Freedom .http://www.heritage.org </t>
  </si>
  <si>
    <t>Linear transformation, benchmarks defined by EBRD Transition Countries (Best = Bosnia and Herzegovina 38.5   Worst=Azerbaijan 12,4 )</t>
  </si>
  <si>
    <t>Corporate sectors, EBRD Transition Indicators 2012</t>
  </si>
  <si>
    <t>Energy, EBRD Transition Indicators 2012</t>
  </si>
  <si>
    <t>Infrastructure, EBRD Transition Indicators 2012</t>
  </si>
  <si>
    <t>Financial sectors, EBRD Transition Indicators 2012</t>
  </si>
  <si>
    <t>Trade defense instruments and technical barriers to trade</t>
  </si>
  <si>
    <t>Does your country have a national legislation on antidumping and countervailing measures? Yes/No</t>
  </si>
  <si>
    <t>Yes. Government initiated modernisation of legislation</t>
  </si>
  <si>
    <t>Yes. Number of laws on protection of national producers exist. Antidumping procedures are also regulated by the Customs Union with RF and KAZ</t>
  </si>
  <si>
    <t xml:space="preserve">No, legislation is not yet adopted.. But Draft Law on Trade Remedies is moving legislative process at Cabinet of Ministries. Draft is based on WTO Agreements and best practices </t>
  </si>
  <si>
    <t>Yes, interministerial commission on international trade.</t>
  </si>
  <si>
    <t xml:space="preserve">No. But it is considered in Draft Law to create national authority </t>
  </si>
  <si>
    <t>1-0, 0,5 – if one Yes and one No</t>
  </si>
  <si>
    <t>No, under preparation</t>
  </si>
  <si>
    <t>No. Despite formal adoption of new legislation, domestic authorities are still not reformed</t>
  </si>
  <si>
    <t>No ( in process of adjustment to EU requirments)</t>
  </si>
  <si>
    <t>No. But State Service on Anti Monopoly and Protection of Consumer Rights is making legislative and institutional reforms to be compliant with EU</t>
  </si>
  <si>
    <t xml:space="preserve">No. But Draft Law on Technical Regulation includes relevant provisions and is advanced level (at President Adminstration) of legislative process. Also Azerbaijan has prepared new Law on General Product Safety on the basis of EU relevant Directive </t>
  </si>
  <si>
    <t xml:space="preserve">0. But all EU New Approach Directives have been included to the Draft Law on Technical Regulations and once Law is adopted, government will start adoption of those directives as technical regulations. </t>
  </si>
  <si>
    <t>Is application of standards (elaborated for the purpose of standardization of industrial goods) on products voluntary in your country? Yes/No</t>
  </si>
  <si>
    <t>Do the EU and your country mutually recognize equivalence of requirements applied to any sector or product? Yes/No</t>
  </si>
  <si>
    <t>Yes. Poultry since january 2013</t>
  </si>
  <si>
    <t>19 (5 for the collection or handling of animal by-products, 14 for processing plants)</t>
  </si>
  <si>
    <t>Does the EU in official opinions of DG SANCO or other authorities recognize that your national food safety authority/authorities is/are compatible with EU requirements?  Yes/No                                               The answers could be found in the reports on inspections made in countries and placed on EC web page.</t>
  </si>
  <si>
    <t>Does the EU in official opinions of DG SANCO or other authorities recognize compatibility of general national food safety legislation with EU requirements?  Yes/No        The answers could be found in the reports on inspections made in countries and placed on EC web page.</t>
  </si>
  <si>
    <t>No. only fish producers abliged to implement HACCP norms</t>
  </si>
  <si>
    <t>NO, But amendments to the Food products law will allow this once the amendments are adopted.</t>
  </si>
  <si>
    <t xml:space="preserve">Is the 1982 Convention on harmonization of frontier controls of goods ratified by your country?  Yes/No </t>
  </si>
  <si>
    <t xml:space="preserve">Is the Revised Kyoto Convention on the simplification and harmonization of customs procedures ratified by your country?  Yes/No </t>
  </si>
  <si>
    <t xml:space="preserve">Does your government carries out assessments of its customs authority according to the EC Customs Blueprints?  Yes/No </t>
  </si>
  <si>
    <t>Yes, it was made within framework of programm of approximation</t>
  </si>
  <si>
    <t>Yes, it was madewithin framework of programm of approximation</t>
  </si>
  <si>
    <t>Yes, the main provisions of customs blue prints are inculded in 2011-2013 programm of improvement of customs and tax administrtion adopted by the President of Ra in 2011 by order N92</t>
  </si>
  <si>
    <t>Number of economic activities, which require licensing. Number</t>
  </si>
  <si>
    <t>Yes (National Regulatory Agency for Electronic Communications and Information Technology)</t>
  </si>
  <si>
    <t>No/ the responsible body on regulation on comunication area is the Public services regulatory commision</t>
  </si>
  <si>
    <t xml:space="preserve">NO. But, Azerbaijan is making amendments to the Law on Telecommunication to introduce pvisions for telecom independent regulatory body </t>
  </si>
  <si>
    <t>Yes, Article 12 of the Law on Telecommunications defines rules of interconnection.</t>
  </si>
  <si>
    <t xml:space="preserve">Yes. National Bank of Moldova </t>
  </si>
  <si>
    <t>Yes, the Central Bank of RA is regulator body for financial services.</t>
  </si>
  <si>
    <t xml:space="preserve"> Yes. National Commissiof Financial Market </t>
  </si>
  <si>
    <t xml:space="preserve">Yes. Azerbaijan is based its relevant legislation on those core principles. Therefore there is no need for adopting seprate strategy or roadmap </t>
  </si>
  <si>
    <t xml:space="preserve">Yes. Azerbaijan is based its relevant legislation on those objectives and  principles. Therefore there is no need for adopting seprate strategy or roadmap </t>
  </si>
  <si>
    <t>Yes, foreigners cannot acquire agricultural land in ukraine.</t>
  </si>
  <si>
    <t>Yes, foreigners cannot acquire the land, but can establish the legal entity and acquire by entity.</t>
  </si>
  <si>
    <t xml:space="preserve">Yes, foreigners can not buy lands, they can only lend the land </t>
  </si>
  <si>
    <t>No/ no any restrictions for real estate</t>
  </si>
  <si>
    <t xml:space="preserve">Yes. 2 - trade in derrivatives </t>
  </si>
  <si>
    <t>Yes, The Law on Currency Regulation and Central Bank's Regulations defines some limitiations.</t>
  </si>
  <si>
    <t>Yes. Priority watch list USTR 301 report</t>
  </si>
  <si>
    <t>Yes. Watch list USTR 301 list</t>
  </si>
  <si>
    <t>Yes, Law of the Republic of Belarus of July 17, 2002 № 127-3 on Geographical Indications (amended in 2004)</t>
  </si>
  <si>
    <t xml:space="preserve">Yes, The Law on Trademarks and Geographical Indications </t>
  </si>
  <si>
    <t>No data</t>
  </si>
  <si>
    <t>There is no registered Gis yet in Azerbaijan, but there are 4 request for registration</t>
  </si>
  <si>
    <t>2 (expert opinion)</t>
  </si>
  <si>
    <t>Yes (National Agency for the Protection of Competition)</t>
  </si>
  <si>
    <t xml:space="preserve">Yes.The State Commission for the Protection of Economic Competition of RA was established on January 13, 2001, and acts  pursuant to the RA Law  “On  Protection of Economic Competition” passed by the RA National Assembly on November 6, 2000. </t>
  </si>
  <si>
    <t>NO, it is under Ministry of Economic Development.</t>
  </si>
  <si>
    <t>Yes, aacording to the Law  “On  Protection of Economic Competition”, article 16.</t>
  </si>
  <si>
    <t>1-0, 0,5 – partially</t>
  </si>
  <si>
    <t xml:space="preserve">No. But new Competion Code is prepared and is at Parliament which includes some of provisions of those Articles </t>
  </si>
  <si>
    <t>Non visa dialogue</t>
  </si>
  <si>
    <t xml:space="preserve">Did you country receive a Visa liberalisation Action Plan? </t>
  </si>
  <si>
    <t>Yes, Law on protection of personal data entered into force on 1 Jan 2011. The Law "On amendments to a certain legislative Acts of Ukraine on Violation of legislation on personal Data protection" has been adopted on 02.06.2011</t>
  </si>
  <si>
    <t>Yes and No, There is Law on Information, Informatization and protection of information (2009) but it is not in line with the EU standards</t>
  </si>
  <si>
    <t xml:space="preserve">Yes,  the law on Personal Data Protection was approved on 28 December 2011. Laws are recently adopted in all states and there is no possibility to compare them. All parties have their concerns but it is impossible to determine approximation  grade, which one is more close to the EU standards.
 </t>
  </si>
  <si>
    <t>The Law of the Republic of Armenia on Personal Data was adopted in 2002. The law
defines the legal status of personal data, as well as general rules for obtaining, storing
and processing personal data.The law complies with the principles outlined in
the Council of Europe Convention on the Protection of Individuals with regard to the
Automatic Processing of Personal Data as well as the relevant European Directives
(European Parliament and Council Directives 2002/58/EC and 95/46/EC). Azerbaijan adopted the convention but it did not sign yet the additional protocol, therefore the level of data protection is still low.</t>
  </si>
  <si>
    <t>Yes, adopted on 08/07/2011, but there are deficiencies</t>
  </si>
  <si>
    <t>Law on Information, Informatization and protection of information (2009)</t>
  </si>
  <si>
    <t xml:space="preserve">Yes,  the law on Personal Data Protection was approved on 28 December 2011 </t>
  </si>
  <si>
    <t>Yes, according to the law the prime-minister is in charge to appoint head of the  supervisory authority</t>
  </si>
  <si>
    <t>No, there is no independent authority</t>
  </si>
  <si>
    <t>Yes, The Law of Ukraine "On the Unified State Register of Demographies and Documents Confirming the Citizenship of Ukraine, providing identity of special Status", came into force on Dec 6, 2012. But the general assessment of this regulatory legal act is mainly negative as some norms and provisions of this law are not in compliance to international standards in the field of human rights.</t>
  </si>
  <si>
    <t>No, but Belarus is equipped to issue biometric passports and already issues some pilot passports, however, the question that has to be answered is these are in compliance with ICAO.</t>
  </si>
  <si>
    <t>Yes, partially.The process of introducing the system of biometric passports and IDs is under way, and the legal base is mainly developed. The selection of the implementing organization is already made. Not enough evidences that these passports are in line with European standards, mainly with ICAO.</t>
  </si>
  <si>
    <t>President decree, issuing application of "One passpoort - one person" practice, was given in July 17, 2012. Not enough evidences that these passports are in line with European standards, mainly with ICAO.</t>
  </si>
  <si>
    <t>No. State migration Service drafted Action Plan which regulates the algorithm of the Unified demographic registry and process of issuing biometric passports. According to the Plan the process of testing and practical launching of this Unified Registry will take at least three years.</t>
  </si>
  <si>
    <t xml:space="preserve">No, but the pilot biometric passports are issued. </t>
  </si>
  <si>
    <t xml:space="preserve">Yes. Civil Registry Agency started issuing biometric passports from April 14, 2010.Term of validity of a passport of a citizen of Georgia is defined to be 10 years. </t>
  </si>
  <si>
    <t>Biometric passports will be in use from June 2012 in Armenia.Distribution of electronic passports and IDs will start in this period.</t>
  </si>
  <si>
    <t>No. 
According to unofficial MFA's source, new generation (biometric) passport will be produced in Azerbaijan approximately at the end of 2013-beginning 2014 while biometric ID card will be produced in Azerbaijan in 1 January 2014.</t>
  </si>
  <si>
    <t>Yes, State Migration Servise was established on December 2010</t>
  </si>
  <si>
    <t>Yes, Citizenship and Migration Department at the Ministry of Internal Affairs</t>
  </si>
  <si>
    <t xml:space="preserve">No,  in 2013 the government   is planning to establish state migration service  department at the Ministry of Interior. </t>
  </si>
  <si>
    <t>Yes,
State Migration Service (Chief - Firudin Hilal oglu Nabiyev)</t>
  </si>
  <si>
    <t>Yes/ State Migration Service (SMS). State Migration Service (SMS) is in the process of formation. In June 2009 Cabinet of Ministers adopted a regulation aimed to establish SMS as separate body within the government, but that regulation was in fact blocked by President Yushchenko. In July 2010 the new government finally abandoned SMS and returned the overall situation to the past structure (above) which was considered by experts as a step in wrong direction. Once again, on the December 9, 2010 President Yanukovych issued a Degree stipulating reestablishment of the SMS under the auspices of the Ministry of Interior</t>
  </si>
  <si>
    <t xml:space="preserve">Yes. Bureau for Migration and Asylum – a subdivision of the Ministry of Interior of the Republic of Moldova. </t>
  </si>
  <si>
    <t>Yes, Arzu Yusif Oglu Rahimov- Chief of State Migration Service</t>
  </si>
  <si>
    <t>Is there a framework document on regulation migration policy in your country? Yes/No</t>
  </si>
  <si>
    <t>Yes/ National Migration Policy Concept</t>
  </si>
  <si>
    <t>Yes. The National Migration Strategy and its Action Plan were adopted in 2011.</t>
  </si>
  <si>
    <t xml:space="preserve">Yes, Law on External Labour Migration (2006), an Law On Immigrants (1998) </t>
  </si>
  <si>
    <t>Yes, National Migration Strategy was drafted in 2012 and adopted in March 2013</t>
  </si>
  <si>
    <t>Yes-“Concept on the state regulation of the population migration in the Republic of Armenia”, approved in December 30, 2010, by RA Government decision.</t>
  </si>
  <si>
    <t>Yes. Law Of Azerbaijan Republic On Immigration. This Law defines the legal and social basis for migration
processes in the Republic of Azerbaijan and regulates the migration
relations. But it should be the concept/strategy on migration in the EU and EaP .</t>
  </si>
  <si>
    <t>Yes, relevant law enforced in August 2011 (Law № 3671-VI On Refugees and Persons Reqiring Additional or Temporary Protection)</t>
  </si>
  <si>
    <t>Yes. Laws On Refugees (1995) and On Legal Status of Foreigners and Stateless Persons (1993)</t>
  </si>
  <si>
    <t>Yes, 2012 law on refugee and humanitarian status; 2006 law on combatting human trafficking; 2005 law on legal status of aliens etc.</t>
  </si>
  <si>
    <t>Yes. Law No 270 from 18.12.2008 on Asylum in Republic of Moldova.</t>
  </si>
  <si>
    <t>Yes. Law on Legal Status of Aliens - adopted in 2005, law on Refugees - adopted in 1998,  and amended numerously since then.</t>
  </si>
  <si>
    <t>Yes, Ukraine ratified the Convention on 10 June 2002 and the Protocol on 4 April 2002</t>
  </si>
  <si>
    <t xml:space="preserve">Yes. Belarus ratified the 1951 UN Convention on refugees' status and its 1967 Protocol in 2001. </t>
  </si>
  <si>
    <t xml:space="preserve">Azerbaijan joined this treaties in 1993. Implementation of the norms of the treties are mostly referred to the local IDPs. </t>
  </si>
  <si>
    <t xml:space="preserve">Yes.  The Law of the Republic of Belarus ‘On Granting of Refugee Status, Subsidiary and Temporary Protection in the Republic of Belarus’ has entered into force since July 2009. The decision on granting asylum is made by the President. </t>
  </si>
  <si>
    <t>Yes,, 2012 law on refugee and humanitarian status</t>
  </si>
  <si>
    <t>Yes, Extended Migration Profile was developed and is put into practice http://publications.iom.int/bookstore/index.php?main_page=product_info&amp;cPath=42&amp;products_id=929</t>
  </si>
  <si>
    <t xml:space="preserve">No, it is planned that unified migration database will be launched in 2014. </t>
  </si>
  <si>
    <t xml:space="preserve">No. Data collection and centralization of database management is incomplete, which prevent from effective improvement of migration flow management. But under the National  Action Plan for Implementation of the Policy Concept for the State Regulation of Migration in RA in 2012-2016 (was adopted on 10 November 2011 and approved by the Government) the collection of data on migration stocks and flows will be regulated and centralized. </t>
  </si>
  <si>
    <t xml:space="preserve">Yes, there is basic  monthly data, published on website http://www.migration.gov.az/index.php?section=012&amp;subsection=062&amp;lang=en,  but it contains basic not descriptive enogh information.   </t>
  </si>
  <si>
    <t xml:space="preserve">Is there adequate infrastructure (including detention centers)? </t>
  </si>
  <si>
    <t>Yes, there is, but it is not perfect</t>
  </si>
  <si>
    <t>It is planned to start construction of detention centers in 2013 , with the help of EU support projects</t>
  </si>
  <si>
    <t>Yes
Temporary detention center of illegal migrants</t>
  </si>
  <si>
    <t xml:space="preserve">Yes, National Strategy on Integrated Border Management was elaborated and formally introduced in 2008. </t>
  </si>
  <si>
    <t>The Border Security and Integrated State Border Strategy of the Republic of Armenia 2011-2015 was approved by the President in November 2010. Its Action Plan was adopted in April 2011.</t>
  </si>
  <si>
    <t>Arrivals and departures to Azerbaijan and passport issues are all regulated by the law on “To 
depart, to arrive and passports” which was adopted on June 14, 1994. There have been 22 
amendments and changes to this law since it was adopted.</t>
  </si>
  <si>
    <t xml:space="preserve"> Yes,  Special Operational Procedures for all  Border Crossing Points was tested in  2012. In order to bring operations of Patrol Police and the Customs services closer to the principles of Integrated Border Management, the Joint Order of the Ministers of Internal Affairs and the Finance has been issued.</t>
  </si>
  <si>
    <t xml:space="preserve"> The “Law on State Borders of the Republic of Armenia” was adopted on 23.07.1994; Customs Code of the Republic of Armenia was adopted on July 6, 2000; The “Law on Border Guards of the RA” adopted on November 20, 2001 and the responsibility for protection of Armenian borders was entrusted to the National Security Service of Armenia; The Decision # 884 of the Government of Armenia “On Approval of Creation of the Border Management Information System (BMIS) of the RA, Regulations for its Exploitation and Establishment of the List of Users” was adopted on June 22, 2006. 
</t>
  </si>
  <si>
    <t>According to the  law on  “To 
depart, to arrive and passports”, on 2001 “Exitenter” automotive information-searching system (AMAS)” was established. This system is intergovernment information database of the Ministries of National Security, defense, Internal 
Affairs, Foreign Affairs, Justice, Taxes, as well as State Border Service, Special State Security 
Service and State Marine Service at the Ministry of Cabinet.</t>
  </si>
  <si>
    <t xml:space="preserve">Yes, department of the ministry of Finance is authorised to provide criminal investigations in criminl metters  </t>
  </si>
  <si>
    <t>Linear transformation with best (MD=60,55%) and worst (ARM=0%) performing EaP country as benchmarks</t>
  </si>
  <si>
    <t xml:space="preserve">Approximately 27% of the length of the border with third countries has been demarkated.  The border with Belarus -   1084,2 km, Russia - 2295,04 km, Moldova -  1222 km = 4601 km. The border with Moldova (1222 km) is largely demarcated but there are a few unfinished areas, especially on the Trasnistrian segment. Russian segment demarkation started in early 2012.  Segment with Belarus is not demarcated at all. </t>
  </si>
  <si>
    <t>740 km out of the 1222 km, 60,55% of border with Ukraine</t>
  </si>
  <si>
    <t>0. The borderr with third countries has been demarkated. 678,8 km with LT + 172,9 km with LV + 398,6 with PL = 1250 km. Total border length - 3614. Border demarcated - approx. 35%. http://gpk.gov.by/border/</t>
  </si>
  <si>
    <t xml:space="preserve">Approximately  17% length of borders are fully demarcated       Georgia has 2154 km length border with other states ( including 315 km of sea border) and the state operates 18 actual border crossing, from which 15 have international and 3 interstate status.  Georgia has not demarcated full border length with Russia, Armenia and Azerbaijan yet. MB: This means that only the border with Turkey is fully demarcated which is 252 km in relation to a total length of 1461 kms, according to CIA Worldfactbook. These figures are taken for calculation. </t>
  </si>
  <si>
    <t>Around 11,8 % Iran- N/A (765 km border); Georgia- 300 of 480 km; Russia- 0  out of 390 km; Turkey- 15 km. MB: Azerbaidjan-Georgia border has not been fully demarcated according to the Georgia assessment. Border land length - 2657</t>
  </si>
  <si>
    <t>Security and combating organised crime</t>
  </si>
  <si>
    <t>Yes, ratified on 04.02.2011</t>
  </si>
  <si>
    <t xml:space="preserve">Yes. Belarus has ratified The UN Convention against Transnational Organized Crime with protocols in 2003. </t>
  </si>
  <si>
    <t>Yes, Georgia signed and ratified  UN Convention on Organized Crime (signed 13 December 2005 and ratified on 5 September 2006).</t>
  </si>
  <si>
    <t>Yes.Signature-15 Nov 2001 
Ratification-1 Jul 2003</t>
  </si>
  <si>
    <t>Yes. Azerbaijan cooperated actively with Interpol and other international organisations in the implementation of UN the Convention against Trans-national Organised Crime and its relevant Protocols on trafficking and smuggling of persons, which it had ratified in 2003. In addition, it concluded intergovernmental agreements and joint memoranda on mutual legal assistance in criminal matters with neighbouring CIS countries as well as Turkey, Iran and Bulgaria, with a view to combat all types of crime following the adoption of the law on legal assistance in criminal matters in 2001</t>
  </si>
  <si>
    <t xml:space="preserve">Yes. Georgia signed  (13 Dec 2000) and ratified (2006) both Protocols, on preventing trafficking and against smaggling.
 </t>
  </si>
  <si>
    <t xml:space="preserve">Yes. Cooperation on the fight against organised crime continued with international organisations as well as with neighbouring CIS countries, Iran, Turkey and Bulgaria on the basis of earlier mutual legal assistance agreements. Some success was achieved on curbing smuggling of migrants from Iran. </t>
  </si>
  <si>
    <t>Does your country have a comprehensive strategy to fight organised crime and an action  plan containing a timeframe, specific objectives, activities, results, performance indicators and sufficient human and financial resources for its implementation?: Yes/No</t>
  </si>
  <si>
    <t>Yes, but still the action plan requires improvement for indicators and clear daedlines</t>
  </si>
  <si>
    <t xml:space="preserve"> No strategy, but new law has been introduced that deals with the fight of organized crime. On 29 December 2005 the president signed the law on “Organized Crime and Racketeering” which, according to the foreign and local experts, made fighting against transnational crime much more effective in Georgia.</t>
  </si>
  <si>
    <t xml:space="preserve">There is not Strategy and Action Plan to fight organized crime and corruption. </t>
  </si>
  <si>
    <t>No. Money laundering is criminalized. Financial institutions are obligated to monitor and report financial transactions subject to special control and take other measures to deter money laundering (ML). Two specialised agencies exercise financial intelligence responsibilities. ML offenses are investigated and prosecuted. Nevertheless, gaps and misalignments in the current legal and institutional arrangements, as well as incomplete implementation undermine the full effectiveness of the AML/CFT regime. The authorities are aware of the need to update and reshape the present AML/CFT regime and they are well advanced on a reform agenda.  They demonstrated a desire and intention to comply with international standards and have drafted a new AML Law in line with the Financial Action Task Force (FATF) recommendations</t>
  </si>
  <si>
    <t xml:space="preserve">Yes. Law of Georgia “On Facilitating the Prevention of Illicit Income legalisation (the AML Law) were adopted on March 23, 2010 and they are in orce since May 1, 2010.  </t>
  </si>
  <si>
    <t>Yes. The law "On Combating Money Laundering and Terrorism Financing" entered into force on August 31, 2008. Amendments were made in the respective articles (190 and 217.1) of the RA Criminal Code. An Interagency Standing Commission on Fight Against Counterfeiting Currency, Plastic Cards, and Other Payment Instruments, Against the Money Laundering, as well as Financing Terrorism in the RA was established, and the 2010-2013 National Strategy for Combating Money Laundering and Terrorism Financing was approved on March 26, 2010 at its meeting. The new National Strategy and Action Plan for Combating Money Laundering and Terrorism Financing 2013-2015 were developed by Financial Monitoring Center (FMC) and aim at fulfilling 40 FATF recommendations referring to abovementioned issues. Those documents were adopted in late 2012.</t>
  </si>
  <si>
    <t>No. In February 2009, the Parliament adopted anti-money laundering and financing of terrorism law whose deficiencies were subsequently commented upon by Moneyval during its 29th plenary meeting in March.</t>
  </si>
  <si>
    <t>Yes. Council of Europe Convention on Laundering, Search, Seizure and Confiscation of the Proceeds from Crime and on the Financing of Terrorism (ETS 198) - 30/4/2002, 13/5/2004  </t>
  </si>
  <si>
    <t>Yes.Signed- 17 November, 2005
Ratification -2 June, 2008   
Entered into force -1October, 2008</t>
  </si>
  <si>
    <t>Yes. As the Convention was ratified just in November 2010, there is not enough relevant information available to assess quality of its implementation (as of April 2011)</t>
  </si>
  <si>
    <t xml:space="preserve">Yes. On September 21, 2010 Verkhovna Rada ratified The Council of Europe Convention on Action against Trafficking in Human Beings. Due to the short time passed after its ratification, lack of relevant reports and national framework document, it is too early to assess the quality of its implementation. </t>
  </si>
  <si>
    <t>No. Belarus has not signed the Convention.</t>
  </si>
  <si>
    <t xml:space="preserve">Yes. Signed: 19/10/2005    Ratified 14/3/2007   Entered into Force:  1/2/2008  </t>
  </si>
  <si>
    <t>Yes.Signed : 16 May 2005 
Ratified: 14 April 2008 
In Force: 1 August 2008</t>
  </si>
  <si>
    <t xml:space="preserve">Yes. Azerbaijan signed the CoE Convention on Action against Human Trafficking in February 2010 and ratified in June 2010. Government began to the step by step implementation of the Convention. </t>
  </si>
  <si>
    <t>Yes, The Law "On Counteraction to Trafficking in Human Beings" has been adopted (20.11.2011) and signed by the President of Ukraine. The Law mostly complies to a relevant Council of Europe's Convention</t>
  </si>
  <si>
    <t xml:space="preserve">Yes. On 2 October 2010, the President signed Decree No. 518 on the State Programme to Counteract Trafficking in Human Beings, Illegal Migration and the Related Unlawful Acts for the years 2011-2013. The programme places the main emphasis on expansion of media coverage related to counteraction against trafficking in human beings, illegal migration and other unlawful acts, such as production, placement and broadcast of updated materials, social TV and other media products. </t>
  </si>
  <si>
    <t xml:space="preserve">Yes. On 1 September, 2006, in accordance of an article 10 of the Law the President establishes an Interagency Coordination Council for prevention of Human Trafficking. Another mechanism addressing protection and assistance of victims of human trafficking  was the establishment of the ‘State Fund for Protection and Assistance of Victims of Human Trafficking' in June 2006 (supported by the state budget as well as other incomes permitted by Georgian legislation). </t>
  </si>
  <si>
    <t>Yes. Already the fourth National Plan for Action to Combat Trafficking in Persons for 2013-2015 was approved by RA Government on February 28, 2013. The relevant changes were made into the national legislation and a law on “Making Amendments and Addenda into the RA Criminal Code” (HO-220-N) was adopted on November 18, 2009. The Criminal Code was amended in April 2011 in relation to combating trafficking in human beings, toughening punishment for trafficking in children and persons with mental health problems.</t>
  </si>
  <si>
    <t xml:space="preserve">Adopted. Art 144 Criminal Code and Presidential Decree On Enactment Of The
Law On Trafficking in persons. Under the National Plan of Action on Combating Human Trafficking during 2009-2013, implementation of anti-trafficking measures such as increasing work effectiveness in the area of combating trafficking, protection of victims and social rehabilitation, coordination of the existing resources, cooperation and public awareness more actively continued in the reporting year than previous years.  </t>
  </si>
  <si>
    <t>1-0, 0,5 –  under formation process</t>
  </si>
  <si>
    <t>On  August 22, 2012 the Resolution of the Cabinet of Ministers of Ukraine No. 783
 “On the Interaction of Subjects Engaged in Activities to Combat Human
 Trafficking” was adopted. The aim  of this Resolution is to establish a comprehensive
 system on providing assistance and protection to victims of human trafficking
 through establishing a mechanism of interaction between the institutions that
 conduct measures to combat human trafficking. 
Central and local authorities
 collaborated to combating trafficking in accordance with the provisions of
 resolution. According to the Resolution the Ministry of Social Policy of
 Ukraine ensures the coordination of activities of central and local executive
 bodies on combating human trafficking. Central and local authorities
 collaborate to combat human trafficking in accordance with the provisions of
 the Resolution.</t>
  </si>
  <si>
    <t>Yes, Moldova has the National Referral Mechanism in place.</t>
  </si>
  <si>
    <t xml:space="preserve">Yes, the mechanism exists, but it is not effective enough and is being strengthend now according to state program. </t>
  </si>
  <si>
    <t>There is a National Referral Program for 2010-2012. But the state doesn’t provide direct assistance to victims and delegate this cognizance to Non-governmental organizations. The state doesn’t grant the victim status.Thought the current Criminal Procedures draft code will provide more guarantees for witness protection.</t>
  </si>
  <si>
    <t>Yes, we have  "State rules for Determining the victims of trafficking"(signed in 2009 by Cabinet of Ministers). But on practice it used very unflexible. For example person fit the criteria on the most indicators stipulated in the State Rules, but state agencies says that they dot match with them. According to the law of AR "On Establishin of Special Entities on Assistance to Human Trafficking Victims "(30 November, 2005) victims of human trafficking get opportunity to stay in shelters, get one-time allowance (250 USD),obtain legal, mediacal psychological assistance. This is funded by Interior Minisrtry.</t>
  </si>
  <si>
    <t xml:space="preserve">Does your country comply with Trafficking Victims Protection Act (TVPA)’s minimum standards – tier ranking </t>
  </si>
  <si>
    <t>US Government Data - Tear Ranking, 1 is best, 2 is 0.5, 2WL is 0.3</t>
  </si>
  <si>
    <t>The government made modest progress in preventing trafficking in persons during the reporting period. It was made progress in prosecuting labor trafficking cases during the reporting period, though these efforts were overshadowed by inadequate punishments imposed on both sex and labor trafficking offenders and a lack of effort to address official complicity in human trafficking</t>
  </si>
  <si>
    <t>2WL (2012)</t>
  </si>
  <si>
    <t>First tier country</t>
  </si>
  <si>
    <t>2WL (Watch List)</t>
  </si>
  <si>
    <t xml:space="preserve">Yes. National Programme adopted in 2003, amended in 2004 and 2006. Governmental action plan for the period 2011-2015 adopted on 22.11.2010 </t>
  </si>
  <si>
    <t>Yes. The Strategy was adopted on 27 December 2010 for the period of 2011-2018 and in line with UN Conventions and European Startegy on Drugs.</t>
  </si>
  <si>
    <t>No. 2006–10 State Programme to Enhance the Fight against Crime within joint interstate programmes with CIS members and the Belarus/Russia Allied State Programme</t>
  </si>
  <si>
    <t>No. Current national legislation does not conform to UN drug conventions’ requirements and 2008-2009 drug control reform legislation still is to be developed. Anti-Narcotics  National Strategy has not adopted by the Parliament in 2007 and cosequently is not obligatory to implement. The detailed specific Anti-Drug National Action Plan is absent and problem of coordination among institutions remained.</t>
  </si>
  <si>
    <t>The National Programme on Combating Drug Addiction and Illicit Traffic in Narcotic Drugs in the Republic of Armenia in 2009-2012 was approved by the RA President’s Decree NK-162-N on September 25, 2009. But no new AP adopted or was the current prolonged in 2012</t>
  </si>
  <si>
    <t>Yes. Art 234 Criminal Code; Law of the Republic of Azerbaijan on Traffic in Narcotic Drugs, Psychotropic Substances and Their Precursors. Decree of the President of the Republic of Azerbaijan on the Actions to Combat Drug Abuse and Illegal Traffic in Narcotic Drugs (adopted on August 26, 1996), relevant resolutions by the Cabinet of Ministers, as well as the MIA orders and directives.</t>
  </si>
  <si>
    <t>Yes, full member since February 1, 2011</t>
  </si>
  <si>
    <t xml:space="preserve">Yes. 1st of May, 2010. </t>
  </si>
  <si>
    <t xml:space="preserve">Georgia is an observer member of European energy community since 2006, In January 31, 2013, Georgia submitted official  application to become the member of Energy Community </t>
  </si>
  <si>
    <t>Azerbaijan signed with the EU the Memorandum of Understanding on the creation of strategic cooperation in energy sector between the EU and Azerbaijan. The main objectives of this Memorandum are the diversification of energy sources the EU, as well as development and modernization of Azerbaijan's energy infrastructure, efficient use of energy resources and their savings, as well as the development of alternative energy.</t>
  </si>
  <si>
    <t>Almost yes. The Law "On Principles of Operations on the Natural Gas Market" started to be implemented by number of other legal acts (secondary legislation). The Ministry of Energy and Coal Industry developed 8 of these acts but only 2 were adopted (Procedure for Creation of Gas Safety Stocks, Procedure for Defining Guaranteed gas Suppliers). The NERC adopted about 26 acts of secondary legislation, laying down provisions for liberalized gas market. The NERC Resolution "On the Approval of the Procedure of Access to the Ukrainian Gas Transit System" provides for free access to indrastructure but some provisions are contradictory to the EU norms (improved in 2013). Several consumer categories can already choose suppliers (see below). However, no single document containing the set of measures to safeguard security of gas supply (according to the Directive 2004/67/EC) has been available so far.</t>
  </si>
  <si>
    <t>Only the Directive 2003/55/EC and partly Regulation (EC) No 1775/2005</t>
  </si>
  <si>
    <t xml:space="preserve">Yes, the gas provision in Azerbaijan is regulated under “About gas provision” law. Currently, the funds targeted for supply of population with gas is increasing year by year. There is special state programs such as “ State program on socio-economic development of Baku and its settlements in 2011-2013 and the only reform in this direction was combination of “ Azerigas” to SOCAR in 2009. Another reforms was allocation much finance for gas supply and increasing accountability and transparency within SOCAR. </t>
  </si>
  <si>
    <t>Partially. The draft law "On Principles of Operation of Electricity Market" was registered in the parliament on June 6, 2012 (then repeatedly registered in November 2012 after improvements were made) and provides for deep and comprehensive market reform. Adopted in the first reading in November 2012, it is generally in line with the Directive 2003/54/EC, but some of its provisions are critisized as discriminatory. The Law No.5066-VI "On Amendments to the Law "On Electricity" on Ensuring Reliable (Uniterrrupted) Electricity Supply to Consumers and Investment in Infrastructure" as well as introduction of stimulating tariff-setting are definite steps towards implementing Directive 2005/89/EC. But, subject of criticism still are the rules on access to cross-border electricity networks, which were amended in November 2012, but failed to address main problematic issues and did not prevent monopolization.</t>
  </si>
  <si>
    <t>Only the Directive 2003/54/EC</t>
  </si>
  <si>
    <t>No ( Partial compliance - to ensure compliance the significant changes in legislation required, however there is large degree compliance with 3005/89/EC). In 2012 Georgia starts implementation of large project the Georgian ELectricity Market Model 2015 that aimed to be developed in accordance with the principles of EU 
legislation on competitive electricity markets and movement toward the convergence 
of regional energy markets, as a principal requirement of the 
Eastern Partnership.</t>
  </si>
  <si>
    <t>This field is managed law on “ about electro energy” and besides, there are   “About energetics” , “About Electric Power” ,  “About utilization of energy resources",  “About electricity and thermal station” legal documents. This field is under state control.</t>
  </si>
  <si>
    <t>No. Ukraine has not formed a clear position towards the Decision 2011/02/MC-EnC of the Energy Community Ministerial Council which made 3rd Energy Package legally binding. Officially, additional conditions such as transitional periods and EU financial assistance are being claimed. In June 2012, Deputy Energy Minister V.Makukha in the letter to the EnC Secretariat mentioned that Ukraine did not support the Decision 2001/02/MC-EnC</t>
  </si>
  <si>
    <t>In progress the public consultations</t>
  </si>
  <si>
    <t>Yes, this field is regulated under “About establishment of Rules on appointment of general conditions of gas supply by gas distributors".</t>
  </si>
  <si>
    <t>No. Ukraine has not formed a clear position towards the Decision 2011/02/MC-EnC of the Energy Community Ministerial Council which made 3rd Energy Package legally binding. Officially, additional conditions such as transitional periods and EU financial assistance are being claimed. In June 2012, Deputy Energy Minister V.Makukha in the letter to the EnC Secretariat mentioned that Ukraine did not support the Decision 2001/02/MC-EnC.</t>
  </si>
  <si>
    <t xml:space="preserve">This field is regulated under “About establishment of the Rules on use of electric energy” </t>
  </si>
  <si>
    <t xml:space="preserve">Partially. The Ministry of Ecology and Natural Resources laid down methodology of emmission mesurement and implementation plan till 2018. The government also adopted the National Action Plan on Environment Protection for 2011-2015. However, other acquis in areas of wildlife protection and environment impact assessment remain either wiating approval or being drafted. In addition, the Law 3038-VI "On the regulation of urban planning" cancelled the institution of environmental expert examination (impact assesment) - a mistake which was removed only in January 2013 (thus, not considered in this Index). However, Ministry of Ecology and Natural Resources developed a draft law "On Environmental Impact Assessment" which is not yet adopted. Resolution of the Cabinet of Ministers No.771 of June 29, 2011 regulates the issues of public participation while adopting regulations, plans and activities to protect environment and resources. The Action Plan to reduce the sulfur content of certain liquid fuels was approved by the Decree of the Cabinet of Ministers No.525-r of August 1, 2012 and is the first step towards adopting state standards. </t>
  </si>
  <si>
    <t>Some of them are at project stage</t>
  </si>
  <si>
    <t>Partly</t>
  </si>
  <si>
    <t>This field is regulated under “ About environmental protection” and “ About specially protected natural territories and objects” laws of Azerbaijan Republic. 
.</t>
  </si>
  <si>
    <t>No. Ukraine has not yet published the National Renewable Energy Action Plan. Despite a number of RES support schemes (see below), the government policy is not systematic, lacking long-term targets and guarantees of origin. On the area of biofuels, the Law No.4970-VI "On amendments to some laws for production and use of motor gasoline with contents of biocomponents" sets specific targets for bioethanol share, but is does not provide mechanisms for realization.</t>
  </si>
  <si>
    <t xml:space="preserve">No, there is no law on this. Currently, project on “Preparation of technical-economic justification for establishment of independent regulatory agency in energy field” within the frames of “ Support program of European Union to reforms in energy field”. On June 01, 2012 as a decree of President “About creation of the State Agency for Alternative and Renewable Sources of Energy within the Ministry of Industry and Energy of the Republic of Azerbaijan”. Also, president approved mid-term activities over effective usage from energy and alternative and renewable sources. </t>
  </si>
  <si>
    <t>Partially. The National Energy Efficiency Action Plan was announced but not published because of the need to improve it with the EnC experts. Amendments to the State economic program on energy efficiency and renewables for 2010-2015 have set higher EE targets but didn't include additional financing and support. From September 2011 to March 2012 Ukraine was suspended from international emissions trade (Track-1 procedure) due to imperfect national recording system for GHG emissions. The laws "On Energy Audit", "On Energy Efficiency", "On Energy Balance of Ukraine", "On Regulation of Energy Saving", "On Energy Efficiency of Residential and Public Buildings" were drafted but not yet adopted. The State Agency on Energy Efficiency and Energy Saving drafted and the Cabinet of Ministers approved technical regulations on energy labelling of lamps, dishwashers, washing machines, refrigerators and freezers, electric equipment for domesticpurposes; however, they are currently reviewed after new Delegated Regulations were adopted in the EU.</t>
  </si>
  <si>
    <t>A part adopted, another part in progress</t>
  </si>
  <si>
    <t>No. There is ni law on energy efficiency. Statistics show that 18.4% of the electricity is produced by hydropower plants.</t>
  </si>
  <si>
    <t>No. Resolution of the Cabinet of Ministers No.1498 of December 8, 2009 approved the Concept for creation in Ukraine of minimum stocks of crude oil and petroleum products by 2020. There is also a respective draft law developed by the government.</t>
  </si>
  <si>
    <t>According to existing national legislation the companies are obliged to have reserve of petrolium products but the directive was not addopted</t>
  </si>
  <si>
    <t>No, Georgia needs to enact legislation that mandates the formation of emergency Oil stocks, a body to own, maintan and manage the oil stocks,  a body to own, maintain and manage the oil stocks and delegates and delegates power to an appropriate body to acy in case of supply dstruption, in compliance with 2009/119/EC directive</t>
  </si>
  <si>
    <t xml:space="preserve">No. Law on oil is not adopted in Azerbaijan yet. This field is basically regulated through PSA contracts and they are ratified in parliament and they are granted constitutional act status. There are “ About oil fund” and “ strategy on management of oil revenues. </t>
  </si>
  <si>
    <t>No. However, Ukraine signed a memorandum with the IEA on support in energy statistics, and the State Statistics Service issued the 2010 energy balance in accordance with the Eurostat and the IEA methodology. The draft law "On Energy Statistics" was registered but later withdrawn from the parliament.</t>
  </si>
  <si>
    <t xml:space="preserve">No, here is no Legislation on  energy statistics in Georgia, however, since 2013, there is ongoing program of INOGATE, to adopt methodologies compatible with the EU Regulation No. 1099/2008 and conduct harmonization with IEA/EUROSTAT requirements. </t>
  </si>
  <si>
    <t xml:space="preserve">Yes, the law is ratified on statiscs and energy statistics is part of overall statistical system </t>
  </si>
  <si>
    <t>Other the EU energy acquis implementation</t>
  </si>
  <si>
    <t>No. The Law "On Regulation of Energy Saving" which stipulates principles of Ukrainian ETS was adopted in the first reading on Oct 21, 2010 but still remains in the parliament. From September 2011 to March 2012 Ukraine was suspended from international emissions from international emissions trade (Track-1 procedure) due to imperfect national recording system for GHG emissions.</t>
  </si>
  <si>
    <t>No National legislation on voluntary markets is more or less adopted, but still doesn’t work due to a lot of mistakes inside these docs. There is no national legislation on Kyoto emissions trading due to problems with adoption of well-known  “Belarusian amendment”. Legislation on national trading system and bunkers doesn’t exist as well.</t>
  </si>
  <si>
    <t>Yes. In December 2012 Ukraine negotiated to use emmission quotas from the first commitment period in the second one (Kyoto-2). In Doha it also made commitment to reduce GHG emissions by 20% by 2020 compared to 1990. Noteworthy, however, is the temporary suspension of Ukraine from Track-1 procedure.</t>
  </si>
  <si>
    <t>Yes , Moldova commited to 25% reduction of greenhouse gas emissions by 2020 according to the National Program on Energy Efficiency 2011-2020. Moldova do not adopted separate legislation in line with Directive 406/2009.EC.</t>
  </si>
  <si>
    <t>No. Belarus follows its own commitments which are not in line with the EU’s
(5-10% to 2020)</t>
  </si>
  <si>
    <t>No. The draft law No.7524 "On the Development of Production and Consumption of Biofuels" (which provides for obligatory certification and identification procedures) was adopted by the Parliament on May 24, 2012, but on June 22 was vetoed by the President. Currently, it is still under consideration.</t>
  </si>
  <si>
    <t>No, Since January 1, 2012  there is enacted the decree of Government of Georgia 124, 2004 and 238, 2005 on  fuel quality norms, however, It do not comply with the system proposed by  2009/30/EC and also defines ecological characteristcs only few components of fuel.</t>
  </si>
  <si>
    <t>Yes, but only short-term. The State program of energy efficiency and RES development in 2010-2015 sets specific targets to be achieved: 20% lower energy intesity of GDP and 10% share of RES in primary energy balance. In the decisions of the Energy Community Ministerial Council of October 18, 2012 Ukraine obliged to achieve 11% RES share by 2020. However, there is still no specific RES target in the draft updated Energy Strategy by 2030: announced numbers include 11%, 12% and even 18% RES by 2030.</t>
  </si>
  <si>
    <t xml:space="preserve">Yes. 20% by 2020 according to the National Program for Energy Efficiency 2011-2020, </t>
  </si>
  <si>
    <t>No. Georgia currently has no special legislation in place to regulate the use of renewable energy sources.</t>
  </si>
  <si>
    <t>RES in Armenia regulated by the following legislative acts: Energy Law of the Republic of Armenia, The Law of the Republic of Armenia on the Regulation Body for public Services, The Law of the Republic of Armenia on Energy Saving and Renewable Energy</t>
  </si>
  <si>
    <t>Yes. Laws "On Alternative Sources of Energy", "On Alternative Types of Fuel", "On Electricity", "On Energy Saving”, "On Joint Production of Heat and Electric Energy (Cogeneration) and Utilization of the Waste Energy Potential". The Tax Code provides for several tax benefits, and the Resolution of the Cabinet of Ministers No. 444 quarantees also exemption of improts of energy saving equipment from some custom duties. The Laws 1220-IV and 3486-IV amending the Law "On Electricity" improved the FiT system in Ukraine by granting state support to alternative energy sources, but the Law 5485-VI (despite introducing FiT for biogas and solid waste as well as small-scale installations) created serious obstacles for investment - increasing the share of "local content" and decreasing the FiT for certain RES types.</t>
  </si>
  <si>
    <t>Yes but the support schemes are not enough stimulative</t>
  </si>
  <si>
    <t>The National Program on Energy Saving and Renewable Energy of Armenia and the Energy Sector Development Strategies in the Context of Economic Development in Armenia adopted by the Government of the RA</t>
  </si>
  <si>
    <t>Partially. The Law 5021-VI "On Amendments to Certain Legislative Acts of Ukraine on the Payment for Access to the Networks of Natural Monopolies" provides for dual financing mechanism (incentives in tariff and repayable assistance).The NERC Resolution "On the Rules of Access of Electrical Installations to Electricity Networks" was adopted in early 2013 and is not considered in this Index.</t>
  </si>
  <si>
    <t xml:space="preserve">No. Law on electricity and gas facilitates the use of renewable energy by small HPPs. Electricity produced by small HPPs is subject to obligatory purchase by the System Commercial Operator at the long-term fixed tariff set by GNERWC during the investment </t>
  </si>
  <si>
    <t>Yes. The RES grid system issues adopted by the Government of RA under the National Program on Energy Saving and Renewable Energy of Armenia</t>
  </si>
  <si>
    <t>No. The Law 3610-VI "On amendments to certain legislative acts of Ukraine on national commissions, which provide government regulation of natural monopolies in the area of communication and informatization, securities markets and financial services", adopted on July 7, 2011 clearly specifies that the regulators are accountable to the President. No further legislative changes were made.</t>
  </si>
  <si>
    <t xml:space="preserve">No. Regulator on energy market is not independent from Goverment.Role energy regulator is played by Tariff Council. TC is not an independent regulator. Chairman and members of the Tariff Council appointed by the president of the country. Chairman of the TC, usually is Minister of Economic Development. TC members are deputy ministers.
Comments: Without the consent of the President (with his staff) Tariff Council shall not decide on changes in tariff policy.
 </t>
  </si>
  <si>
    <t>No. Tariff setting for households and some industrial consumers remains a political issue as long as government uses it as leverage in loan negotiations with the IMF and the World Bank. In such conditions, only electricity tariffs were raised - by 15% (April 2011), by 72% (July 2012 - only for households which consume over 800 kWh/month).</t>
  </si>
  <si>
    <t xml:space="preserve">No.  tariffs of gas and electricity sectors is approved by Tariff Council which is chaired by the Ministry of Economic Development. The determination of tariffs in this sector is not economic ( based not on world market prices and expenses), but rather on political and social factors ( income of population). </t>
  </si>
  <si>
    <t>No. Despite the restructing of the NJSC "Naftogaz of Ukraine" officially started in December 2011, there is no program for unbundling yet.</t>
  </si>
  <si>
    <t>No. Vertical structures</t>
  </si>
  <si>
    <t>No. this sector is under monopoly of state. So, there is only one provider, not multiple and it was defined by the state</t>
  </si>
  <si>
    <t>Have the different consumers a possibility to choose suppliers in gas and electricity markets? (pull or contract-based market model) Yes/No</t>
  </si>
  <si>
    <t>Partially. Industrial consumers and budgetary organizations have the posibility to choose gas supplier, and further market liberalization provides that all customers (including households from 2015) will be qualified ones. The law on electricity market liberalization has not been adopted yet, and the number of non-regulated users remains limited (mostly large enterprises) and covers small amounts of electricity.</t>
  </si>
  <si>
    <t>No. consumers do not have right for choices in electricity supply market, and they are obliged to work only with one state company - Azerenergy</t>
  </si>
  <si>
    <t>Partially. The NERC Resolution "On the Procedure of Access to the Ukrainian Gas Transit System" was approved in 2012, but critisized for a number of discriminatory provisions. On the electricity market, of particular concern are the rules on access to cross-border grids, which were amended in November 2012, but failed to address main problematic issues and monopolization. The improved NERC Resolution "On the Rules of Access of Electrical Installations to Electricity Networks" was adopted in early 2013 and is not considered in this Index.</t>
  </si>
  <si>
    <t xml:space="preserve">No, this field is udner state control and that is why offers did not received on competititve basis. </t>
  </si>
  <si>
    <t>Energy intensity. Specify the consumption of energy per unit of GDP; Tons of oil  equivalent (toe) / GDP in '000 USD (at PPP) - IEA Key World Energy statistics 2012 (Enerdata, 2011)</t>
  </si>
  <si>
    <t xml:space="preserve">1 - EBRD best  - Albania=0,08; 0 - EBRD worst - Uzbekistan=0,73 </t>
  </si>
  <si>
    <t>0.436</t>
  </si>
  <si>
    <t>0.26</t>
  </si>
  <si>
    <t>0.23</t>
  </si>
  <si>
    <t>0.15</t>
  </si>
  <si>
    <t>0.16</t>
  </si>
  <si>
    <t>CO2 intensity, kg CO2 per '000 USD GDP (at PPP) - IEA Key World Energy statistics 2012 (data for 2010)</t>
  </si>
  <si>
    <t xml:space="preserve">1 - EBRD best  - Albania=0,15; 0 - EBRD worst - Uzbekistan=1,69  </t>
  </si>
  <si>
    <t>Higher score means less role of the state what is considered as better.</t>
  </si>
  <si>
    <t>State ownership of the rail monopolist is preserved. Though, it is under corporatization.</t>
  </si>
  <si>
    <t xml:space="preserve">State ownership of the rail monopolist is preserved. However, railways companies can be privatized. </t>
  </si>
  <si>
    <t>State ownership of the rail monopolist is preserved. Though, there is a plan to organize IPO of Georgian Railways (25% of stake)</t>
  </si>
  <si>
    <t>State ownership of the rail monopolist is preserved. Though it is granted for concession to Russian Railways. However, in 2012, the Republic of Armenia signed with Dubai-based investment company, Rasia FZE, two more concession agreements for railway construction projects.</t>
  </si>
  <si>
    <t>The state owns monopolies that construct and renovate major share of roads network</t>
  </si>
  <si>
    <t>The state owns monopolies that construct and renovate national roads network</t>
  </si>
  <si>
    <t>Private companies can take part in tenders for roads works</t>
  </si>
  <si>
    <t>Roads are constructed and maintained exclusively by state monopolies</t>
  </si>
  <si>
    <t>Infrastructure, freight and passenger transportation are separate business units</t>
  </si>
  <si>
    <t>Railways company is under reform</t>
  </si>
  <si>
    <t>There is a autonomous regulatory body inside the Ministry responsible for transport matters</t>
  </si>
  <si>
    <t>The Coast Guard Department of Border Police is responsible for incidents prevention and investigation on the sea. 
Plus, Civil Aviation and Maritime Transport Accident Incident Investigation Bureau also conducts serious maritime casualties.</t>
  </si>
  <si>
    <t xml:space="preserve">  Civil Aviation and Maritime Transport Accident Incident Investigation Bureau is under supervision of the Minister of Economy and Sustainable Development</t>
  </si>
  <si>
    <t xml:space="preserve">Yes,  Strategy on 21 Dec 2010 by the Parliament, NEAP by the Government on 25 May 2011, NEAP ammended on 1 April 2013    </t>
  </si>
  <si>
    <t>YES. Adopted by the Government and approved by the Parliament as a part of the governmental program, new Environemntal policy is started to be prepared as separate doc</t>
  </si>
  <si>
    <t>In progress Draft of National environmental policy was adopted by Ministry of Environment (not agreed with NGOs), but not by the Council of Ministers.  Этот документ так и остался внутренним документом Минприроды. Я бы оценила этот пункт как 0,5</t>
  </si>
  <si>
    <t>Yes, In  24January 2012</t>
  </si>
  <si>
    <t>The fulfilment of the second 5 years National Environmental Action Plan (NEAP-2) for 2008-2012 is completed. The works on development of the NEAP-3 started. approved by the RA government in 2008.( till 2012)</t>
  </si>
  <si>
    <t xml:space="preserve">Yes 
2008 году утверждена «Государственная Программа по устойчивому развитию и устранению бедности на 2008-2013 годы".
2012 году утверждена Концепция развития "Азербайджан-2020. Взгляд в будушее". На основе этой концепции разрабатываются новая программа по охране окружающей среды"  </t>
  </si>
  <si>
    <t xml:space="preserve">Almost Yes, integration of environment policy in normative legislation acts is envisaged by the Strategy, </t>
  </si>
  <si>
    <t>No. No policy papers on env. Integration adopted. Regulated by the Constitution and Law “About environmental protection”, but in practice – only MoE cares about. Никаких изменений</t>
  </si>
  <si>
    <t>Yes, it is reflected in environmental protection framework law, howver not implemented</t>
  </si>
  <si>
    <t xml:space="preserve">The measures, included in NEAP-2 reflected the integration of environmental demands in plans within other sectors.This approach is envisaged in the concept of planned new Law on Environmental Policy.The National Sustainable Development Plan included the environmental chapter. In Armenia the Law on environmental Expertise is adopted in 1995. Armenia is a Party to SEA protocol since 2011. </t>
  </si>
  <si>
    <t xml:space="preserve">Yes 
Закон «Об охране окружающей среды» требует проведение экологической оценки всех планов и программ по развитию. 
Разработан закон "Об ОВОС" и находится в рассмотрении Милли Маджлиса (Парламента Азербайджана) </t>
  </si>
  <si>
    <t>Is the Action Plan on joining SharedEnvironmental Information System coordinatedby EEA adopted by the Government? Yes/No/Under preparation</t>
  </si>
  <si>
    <t>No changes , still planned, SEIS project country`s report on Ukraine is available</t>
  </si>
  <si>
    <t>under preparation. Belarus joined SEIS project but still not very active никаких изменений</t>
  </si>
  <si>
    <t>No, Only Implementation plan 2012-2013 is agreed with MOE</t>
  </si>
  <si>
    <t>Armenia is in the process of capacity building in the field of the Shared Environmental Information System. The first country meeting within this process was held on 07 April 2011</t>
  </si>
  <si>
    <t>Азербайджан вовлечен в SEIS project, был проведен семинар в Баку</t>
  </si>
  <si>
    <t>same as in 2011</t>
  </si>
  <si>
    <t>see annex (same as in 2011)</t>
  </si>
  <si>
    <t xml:space="preserve">Ратифицирована Бернская конвенция Implementation Plans and Annual reports - Yes </t>
  </si>
  <si>
    <t>No Changes with list from last year</t>
  </si>
  <si>
    <t xml:space="preserve">Implementation Plans and Annual reports - YesThere is in practice to implement 5-years Action Plans on implementation of MEAs in Armenia. Such plans are approved by the governmental decision and their implementatrion is monitoring by the government. The previous (second) AP was developed for 2005-2010. In December 2011 the new Action Plan for 2012-2016 was adopted by RA government. is already developed and is in the stage of agreement.In accordance with the RA President decree, the information/report on the measures, implemented in the frames of MEAs, is beeing submitted to the Presidental office and RA MFA on biannual basis.The demand of MEAs are reflected in the national legislation. Some previously adopted laws are revised to meet the requirement of ratified MEAs. For example the demands of Espoo and Aarhus Convention are reflected in the draft new Law on ammendments to the acting RA Law on Environmental Expertise. The draft law is under agreement in the RA government. </t>
  </si>
  <si>
    <t>Implementation Plans - No 
Annual reports - Yes</t>
  </si>
  <si>
    <t>Was country decided by the MoP to be in non-compliance with main conventions and protocols with compliance mechanism? Yes/ No/ Under consideration</t>
  </si>
  <si>
    <t>the case is under review by complaint of Liuthvania concerning building of new NPP by Bilorus (March, 2012)</t>
  </si>
  <si>
    <t>yes, but the case is closed</t>
  </si>
  <si>
    <t>no Судя по всему, Беларусь не будет ратифицировать второй период обязательств Киото (это не выход из Киото, это отказ от ратификации поправки, но понятно - с экологической точки зрения негативное решение)</t>
  </si>
  <si>
    <t>Are MEAs implementing instruments being adopted? (National laws/ underlaw acts, Implementation plans)?  Yes/No/ Under preparation</t>
  </si>
  <si>
    <t xml:space="preserve">in Some cases yes, in some case not, eg. There is no national law on Aarhus implementation, but tehre is Action Plan  prepared according to schedule for Biodiversity Convention </t>
  </si>
  <si>
    <t>Only some. Information is not awailable on the web-site.</t>
  </si>
  <si>
    <t>Developemnt of each convention is based on plans preaped by Ministry for each mentioned Convention. Annual reports for each Convention is prepared by the Ministry for each Convention and is published on the web-site of the Ministry. Yes.</t>
  </si>
  <si>
    <t>Implementation Plans and Annual reports - Yes</t>
  </si>
  <si>
    <t>Depends from MEA, the reports submitted in accordinamce with reuirment of relevant secratariats</t>
  </si>
  <si>
    <t>Implementation Plans and Annual reports No</t>
  </si>
  <si>
    <t>Has a National Strategy of Sustainable Development been adopted ? Yes/No/ Under preparation</t>
  </si>
  <si>
    <t>actual strategy is Implemented through different programs and plans (drinking water, sanitation, irrigation, roads etc)</t>
  </si>
  <si>
    <t>Yes! Тут какая-то ошибка! В Беларуси есть НСУР! Периодически осуществляются попытки обновления стратегии, судя по активностям ПРООН - грядет следующая такая попытка</t>
  </si>
  <si>
    <t>Yes 
2012 году утверждена Концепция развития "Азербайджан-2020. Взгляд в будушее".
Успешно выполняются Государственные программы по "Устойчивому развитию и устранению бедности 2008-2015 годы" и "По развитию регионов на 2008-2015 годы"</t>
  </si>
  <si>
    <t>Is there an institutional mechanism for sustainable development policy coordination? Yes/No/Under establishment</t>
  </si>
  <si>
    <t>За имплементацию НСУР отвечает Минэкономики</t>
  </si>
  <si>
    <t xml:space="preserve">In theory yes since 2000. the Governmental Commission on SD was last time  updated only in  2005  . The CSD is leaded by Prime Minister namely and since that Georgia already has at least 4 Prie Ministers. </t>
  </si>
  <si>
    <t>Yes. In Armenia is functioning the National Council for Sustainable Development, headed by RA Prime Minister. The important issues related to SD are being included in the agenda of the sessions. The last session of NCSD (26 April 2013) was devoted to the national actions following the Rio+20 decisions.</t>
  </si>
  <si>
    <t>Yes 
(Cabinet Committee on Sustainable development. The Coordinator is the Ministry of Economic Development)</t>
  </si>
  <si>
    <t>Has a policy of sustainable consumption and production (under 10 Year Framework of Programmes) been adopted? Yes/No/Under preparation</t>
  </si>
  <si>
    <t>under development</t>
  </si>
  <si>
    <t>Fragmented</t>
  </si>
  <si>
    <t>Is there an EU-compatible mechanism for prevention of illegal unreported and unofficial fishery?  Yes/ No/ Under preparation</t>
  </si>
  <si>
    <t xml:space="preserve">partially, thus in 2012 some normative acts were approved by CMU and Ministry of AgriPolicy  </t>
  </si>
  <si>
    <t>yes/under preparation</t>
  </si>
  <si>
    <t>Is the Control system of legality of trade inforestry established? Yes/ No</t>
  </si>
  <si>
    <t>Да. 
Азербайджан не эхпортирует лес</t>
  </si>
  <si>
    <t>Were National Actions Plan on climate change mitigation adopted?:  Yes/No/ Under preparation</t>
  </si>
  <si>
    <t>1, 0, 0.5</t>
  </si>
  <si>
    <t>Yes (to be updated in 2011-2012) Программа на 2013-2020 год разработана и сейчас в процессе согласования. НГО лишены всякого доступа как к комментированию, так и даже к ознакомлению</t>
  </si>
  <si>
    <t xml:space="preserve">Yes The national coomunication has list of projects both for mitigation and adaptation and priority areas plans. Thefore it should be not 1, but 0.5 or 0.7 work done but not fully  </t>
  </si>
  <si>
    <t>Were National Actions Plan on climate change adaptation: adopted? Yes/No/ Under preparation</t>
  </si>
  <si>
    <t xml:space="preserve">no, instead on 12 June 2012 Order of MENR "Plan of prioruty actions of climate change adaptation" was approved  </t>
  </si>
  <si>
    <t xml:space="preserve"> Все еще не начата разработка - эта активность будет осуществляться в рамках проекта CLIMA EAST</t>
  </si>
  <si>
    <t xml:space="preserve">Not submitted formally </t>
  </si>
  <si>
    <t xml:space="preserve">Yes, ;last one has been sent in 2010. there is ongoing preparation for new one </t>
  </si>
  <si>
    <t>National Communication 3, 4 &amp; 5 –29/12/09 (revised version – 08/02/10), GHG Inventory – 2013</t>
  </si>
  <si>
    <t>31 Dec 2010 (5th NC)</t>
  </si>
  <si>
    <t>The second National Communication on Climate Change was sent in 2010</t>
  </si>
  <si>
    <t>In 2010</t>
  </si>
  <si>
    <t>under concideration</t>
  </si>
  <si>
    <t>under consideration</t>
  </si>
  <si>
    <t>Calibration 1,0, 0.5</t>
  </si>
  <si>
    <t>No, Draft Law  "Main principles of state policy in the field of prevention of climate change and adaptation to climate change" was initiated by SEIA and developed  in 2012</t>
  </si>
  <si>
    <t>submitted for adoption</t>
  </si>
  <si>
    <t xml:space="preserve"> Рассмотрение закона отложено на 2014 (ожидают результатов дополнительной трактовки Дохийской поправки к Киотскому протоколу) </t>
  </si>
  <si>
    <t>Under prepration, will be ended by 2013</t>
  </si>
  <si>
    <t>National framework policy (Strategy, Doctrine) on Climate change is being prepared but no adopted.</t>
  </si>
  <si>
    <t>3.4.2. Resource eficiency, pressure on/ state of environment</t>
  </si>
  <si>
    <t>Resources efficiency</t>
  </si>
  <si>
    <t>2459896,3 kg/mln USD</t>
  </si>
  <si>
    <t>263 576,6 kg/mln USD for 2011</t>
  </si>
  <si>
    <t>668905 kg/mil. USD</t>
  </si>
  <si>
    <t>27882 kg/mln USD</t>
  </si>
  <si>
    <t>288,9 kg/per capita</t>
  </si>
  <si>
    <t xml:space="preserve">400 kg/per capita </t>
  </si>
  <si>
    <t>408.8</t>
  </si>
  <si>
    <t>220 kg/per capita</t>
  </si>
  <si>
    <t xml:space="preserve">440 kg/per capita </t>
  </si>
  <si>
    <t>Pressure to/ state of environment</t>
  </si>
  <si>
    <t xml:space="preserve">Ratio between GHG emission reduction during last reporting period and the reduction potential, ratio </t>
  </si>
  <si>
    <t>10-13%</t>
  </si>
  <si>
    <t>3,5</t>
  </si>
  <si>
    <t>17,6% data 2011</t>
  </si>
  <si>
    <t>2,67 kg/ha</t>
  </si>
  <si>
    <t>4,9kg/ha</t>
  </si>
  <si>
    <t xml:space="preserve">0,8 kg/ha </t>
  </si>
  <si>
    <t>2,1 kg/ha</t>
  </si>
  <si>
    <t>Policy on education, culture, youth, Information society, media, audiovisual policies</t>
  </si>
  <si>
    <t xml:space="preserve">No. Current Law on Higher Education was adopted in 2002. The newest amendment to it was adopted in 2010. Now three drafts of law on Higher Education are registered in Parlament: 1) bill No.1187 submitted by deputies Kivalov, Kaletnyk and Soroka (governmental); 2) draft law No.1187-1 prepared by oppositional deputy group and submitted by deputy Viktor Baloga; 3) draft law No.1187-2 submitted by working group included reprezentatives from Universities, NGOs, experts is waiting for registration at the Parliament and headed by Mykhaylo Zgurovskyi. Active position of the parliamentary commettee for Education and Science may indicate some progress in this direction, although it does not guarantee the adoption of the law in the near future.The issue is heavily politicized by current authorities who want to maintain over-centralized system of HE. </t>
  </si>
  <si>
    <t>No. The Bologna Process was introduced in Republic of Moldova in 2005 by changes and amendments to the Law on Education no. 547 from 21.07.1995.</t>
  </si>
  <si>
    <t xml:space="preserve"> 2011 - new Code on Education</t>
  </si>
  <si>
    <t>The law on higher education was adopted in December 2004. According to the new law, higher education should be based on the principles of democracy, transparency and equal opportunities as well as full autonomy of HEIs. Thus the law on higher education provides mechanisms for achieving conceptual and systematic compatibility with European higher education area. Amendments have been made in 2005, 2007, 2008, 2011.</t>
  </si>
  <si>
    <t>The RA Law on “Higher and Postgraduate Professional Education” was adopted on 2004, ammendements done in 07.10.2009 ,  04.02.2010; 04.02.2010; 04.02.2010; 23.06.2010; 28.10.2010; 08.02.2011; 11.05.2011; 08.12.2011. It is in line with the Bologna principles.</t>
  </si>
  <si>
    <t>Yes, Azerbaijan signed the Bologna declaration (2005), adopted a Law on education (2009), Decree on higher education integrated with European education system (2008)</t>
  </si>
  <si>
    <t>Under moderate progress. According to the Law on Higher Education Ukraine has a three-level structure of higher education (incomplete, basic, and complete levels) that is combined with a three-level structure of educational degrees (Junior Specialist’s, Bachelor’s, and Specialist’s/Master’s). The National Report on Bologna Process implementation (2009-2012) mentioned that 100 % of university students are involved into 2-cycle education system and only 3% second cycle graduates eventually enter into a third cycle program. Some attempts to implement structured doctoral program were unsuccessfull. In Ukraine still exists two level doctoral degrees -  Candidate of science and Doctor of Science. The most typical way to adapt recommendations on implementation of the third is formalistic re-naming of “candidate nauk” into Doctor of Philosophy (PhD). All drafts of law on Higher education retain this take approach to reform the system of learning for scholars and researches. The procedure for awarding scientific degree in Ukraine also remains unchanged since Soviet times. Decisions rendered by specialized defense boards at universities and research institutions are not final. The final decision for awarding scientific is under competence of the Highest Attestation Commission of the Ministry of Education and Sciences.</t>
  </si>
  <si>
    <t>In May 2005 the Republic of Moldova joined the Bologna Process and consequently in 2005 the Law on Education was amended in order to incorporate the basic Bologna Principles. As a result, a two-cycle system of higher education has been introduced in the Republic of Moldova: the first cycle - the Licentiate (with duration of studies of 3 - 4 years) and a second cycle – the Master (1-2 years). Since September 2005 the first cycle has been implemented in all national higher education institutions. In 2008 the implementation of the second cycle started</t>
  </si>
  <si>
    <t>Formally there is a two-cycle structure of higher education (bachelor level and master level), but de facto the old soviet system remained with 5-years full high education and supplementary master courses which have No real value for an employer</t>
  </si>
  <si>
    <t>In 2005 according to the new Law of Georgia on Higher Education three-cycle system has been introduced and now is fully implemented in all accredited higher education institutions (HEIs). The only exception is medicine, where bachelor level has not been adopted (programmes have been developed for undergraduate and postgraduate medical education). Stages passed by the students and academic degrees received are absolutely compatible with the Bologna Process requirements. The Law on Higher Education distributes qualifications in higher education on three cycles in line with the Framework for Qualifications of the European Higher Education Area.   Recognition Convention has been ratified by Georgia (and Ukraine), but since then Georgia (in contrast to Ukraine) has fully implemented three-cycle degree structure compliant with the Bologna Process,  The Lisbon Recognition Convention has been ratified by Georgia (and Ukraine), but since then Georgia (in contrast to Ukraine) has fully implemented three-cycle degree structure compliant with the Bologna Process, PhD degree, obtained in EU countries is recognized in Georgia without any additional preconditions (for details please see “State of Play of the Bologna Process in the Tempus Partner Countries” pages 17-20, map 3; pages 53-55, map 21;http://eacea.ec.europa.eu/tempus/tools/documents/issue09_Bologna_state_play_120720_en.pdf). Procedures of recognition are regulated by the Decree of the Minister for Higher Education and Science # 98/N (1.10.2010; full version:http://eqe.ge/uploads/LawsRegulaions/ENG/98Recognition_EN.pdf) and implemented by the National Center for Educational Quality Enhancement (www.eqe.ge). For details please see http://eqe.ge/eng/service/recognition/foreign_recognition."</t>
  </si>
  <si>
    <t/>
  </si>
  <si>
    <t>Calibration, 0,5 – partially</t>
  </si>
  <si>
    <t>The pilot implementation of ECTS started in 2004-2005 in the form of the credit accumulation modular system as the basis for organizing teaching and learning. In 2009 by the Minister of Education Order ECTS and Diploma Supplement were implemented in all higher education institutions in Ukraine. But this stage did not gain legislative support and lead to the co-existence of several often-contradictory system for organizing teaching and learning. This causes the practice of “creative” application of ECTS in Ukrainian higher education. Introduction of the
ECTS grading scale did not involve abolishing the old national scale that stipulates giving grades using three scales (ECTS, old national scale, and internal HEI scale which links the former two). The issues of using ECTS in part-time
programs are also not regulated.</t>
  </si>
  <si>
    <t>Belarus is Not a part of the Bologna process</t>
  </si>
  <si>
    <t>Yes, ECTS has been adopted in 2005 according to the Law of Georgia on Higher Education and is fully implemented in all accredited HEIs. Bachelor programs cannot comprise less than 240 ECTS credits whereas Master programs comprise 120 ECTS and doctoral programs 180 ECTS.</t>
  </si>
  <si>
    <t>ECTS was launched in 2010. But implementation is uneven</t>
  </si>
  <si>
    <t>The Decree on introduction of the Diploma Supplement was adopted in April 2010. The receipt of diploma supplement is fully contingent on benevolence of the HEI administration. In some cases Supplements were produced and issued by several private education institutions according to standards of the European Commission, the Council of Europe, and UNESCO/CEPES.</t>
  </si>
  <si>
    <t>Yes, DS is being issued free of charge to all students of accredited HEIs since 2006. It is mandatory to issue UNESCO/Council of Europe Diploma Supplement free of charge in two languages (Georgian and English) (2005 Minister’s Decree #149). DS describes the qualification in an easily understandable way and is an important tool of students’ mobility within the education system as well as job market.</t>
  </si>
  <si>
    <t>Diploma Supplement  was started from 2010. It is free of charge.</t>
  </si>
  <si>
    <t>Calibration, 0,5 – works partially</t>
  </si>
  <si>
    <t xml:space="preserve">Yes. The NQF was adopted in November 2011. Government’s decision is only the basis for further development of ten sub-laws, procedures for their implementations, training of staff employed at independent centers for development of professional and qualification standards according the competences-based approach, qualification assessment (recognition) centers (including qualifications gained through formal, non-formal and informal training), segmentation of lists of fields of training and specialties into sectoral profiles, etc. In April 2012 The Ministry of Education and Science, Youth and Sport and The Ministry of Social Policy approved the common Action Plan for implementation of the National Frame of Qualifications on 2012-2015. While the National Frame of Qualifications largely repeats the Frame of European, significant differences include the following: 1) ten instead of eight qualification levels, due to the addition of the “zero” level (for preschool education) and level 9 (for doctors of science); 2) definitions of some terms and concepts (competence, communication, etc.) are not properly correlated both with the national and European education thesaurus; 3) some descriptors of the National Frame of Qualifications (knowledge, skills, communication, autonomy, and accountability) are used in the European Framework in different interpretations. </t>
  </si>
  <si>
    <t xml:space="preserve">No. Draft of the National Qualification Framework has been developed in 2008, but there is Not yet an exact timetable for NQF approval and implementation. Moldova signed international treaties on mutual recognition of diplomas with the following countries: Romania, Ukraine, Russia, and Bulgaria. </t>
  </si>
  <si>
    <t xml:space="preserve"> In 2011 RA Government ratified “National Education Qualifications Framework of the RA” consisting of 8 levels. (Decision #332, 2011), but No information on implementation .  On November 22, 2012 the regulation on “Granting Educational qualification” was adopted by RA government. On 11 April 1997, the Republic of Armenia has ratified the Lisbon Convention1 on the Recognition of Qualifications Concerning Higher Education in the European Region. Recognition practice-Stage of Implementation-After the establishment of ArmENIC it became the sole authority for recognition. The HEIs are also eligible for recognition in case a potential student with foreign qualification applies to continue his/her study. Steps envisaged- Monitor how the recognition procedures are implemented in HEIs, - Organise short trainings on recognition procedures and criteria, - Regular update of information, Period for the implementation- 2007-2010   http://armenic.am/?laid=1&amp;com=module&amp;module=menu&amp;id=98. </t>
  </si>
  <si>
    <t>Yes, but No information about implementation.. Adopted in 2007</t>
  </si>
  <si>
    <t>Independent observers argue that the approved document has a declarative character. The document does not provide for real harmonization of the national and European qualifications systems, whereas the task to introduce the frame of qualifications in the national legislation remains unresolved.</t>
  </si>
  <si>
    <t>Mutual qualification recognition is responsibility of National Centre for Education Quality Enhancement (Accreditation Centre).  The NQF has been adopted formally and the implementation has started. Redesigning the study programmes is ongoing and the process is close to completion. http://eacea.ec.europa.eu/tempus/participating_countries/overview/georgia_tempus_country_fiche_final.pdf</t>
  </si>
  <si>
    <t>N/app.  Qualifications levels: Elementary Education;  Basic Education; Craftsman; Secondary Education; Specialist; Bachelor; Master;  Researcher (Scientific Degree Candidate of Science)</t>
  </si>
  <si>
    <t>There is mechanism for implementation of stipulated by the Law principles of university autonomy. Some of the Norms contradict to other regulations (Budget Code, Land Code). The matter of autonomy is the matter of “special relations” of rectors with authorities and skills of finding of “powerful patron”. Another issue is that culture of University autonomy is not cultivated jet. There is No understanding of interrelation between autonomy and responsibility, autonomy and self-governance, autonomy, transparency and accountability. In many cases autonomy turns into rector’s unlimited power guaranteed by special relations with MOES.</t>
  </si>
  <si>
    <t xml:space="preserve">Organizational </t>
  </si>
  <si>
    <t>University can create Institutes, colleges, research centers etc., cooperate with other Universities, enterprisers etc.</t>
  </si>
  <si>
    <t>The reorganization and termination of activity for universities is proposed by the Senate and approved by the Government of the Republic of Moldova. Universities are administrated by university senates, headed by rectors; Faculties – by faculty councils, headed by deans; Departments – headed by the chairs.</t>
  </si>
  <si>
    <t>None. All universities, even private, are dependent from the Ministry of Education.</t>
  </si>
  <si>
    <t>Several universities have sojme automony due to their status of private institutions.  It is not true for state universities.</t>
  </si>
  <si>
    <t>N0 for state universities, only for private</t>
  </si>
  <si>
    <t>University can define forms of studies and provide additional education services</t>
  </si>
  <si>
    <t>Universities have the right to organize, perform and improve the teaching and research, to define which specializations are to be offered, to develop curricula and analytical programs in conformity with the national educational standards, to organize admission and enroll students, recruit and promote the academic/Non-academic staff, to set up evaluation criteria for academic and research activity, to award academic titles, to elect by vote the administrative and governing bodies, to solve social problems of students, to find additional sources of financing, to establish cooperation with universities, research centres and other institutions from the Republic of Moldova and from abroad</t>
  </si>
  <si>
    <t>None. All universities, even private, are dependent from the Ministry of Education and programmes provided by the Ministry</t>
  </si>
  <si>
    <t>For State Universities - No. The main source of financing for state universities is state budget. State budget covers salaries, students’ grants, and renovation. Income Universities receive from contract students are also controlled by the state. Private universities don't get any donations for the state so can dispose their finances.</t>
  </si>
  <si>
    <t xml:space="preserve">The main source of financing for the state higher education institutions is the state budget, with budget allocations depending on the number of students. Budgetary financing covers only salaries, stipends and constructions. The universities can also get donations and income from other related activities, such as training, research activities, rental of their spaces and equipment, etc. Fees paid by the students who study on a contract base constitute the most significant income of the universities. </t>
  </si>
  <si>
    <t>No for state universities.</t>
  </si>
  <si>
    <t xml:space="preserve">Restricted for public and fully granted for private HEIs. Due to 2011 amendments to the Law on Higher Education, legal status of public universities has been changed – majority became stately established non-commercial non-profit legal entity status (NNLE), which means that public HEIs need approval of newly created Regent’s Council for their budget as well as decisions on the disposal of university-owned immovable assets. Council of Regents approves director of a newly established endowment fund and head of administration, which is responsible to the Council. </t>
  </si>
  <si>
    <t>University can hire academic and administrative staff</t>
  </si>
  <si>
    <t>Once every five years all teaching positions are declared vacant and must be occupied on a competitive basis. The qualifications needed to access these categories are set out in the regulation which governs access to the main categories of academic staff. After passing the selection procedure, a candidate can sign a contract for a 5-year period. Precarious social-ecoNomic conditions in the Republic of Moldova caused a mass migration of the academic staff and as a result caused the deficit of qualified teachers and professors in Moldova. However, despite the deficiencies, the universities can hire academic staff.</t>
  </si>
  <si>
    <t xml:space="preserve">Partly yes. </t>
  </si>
  <si>
    <t>No for state universities, only for private</t>
  </si>
  <si>
    <t>In 2008 EIE was adopted by the government as a major condition for University admission in Ukraine. The EIE replaced traditional oral and written entrance examinations for the University level that had been major source of corruption in education deepening social inequality in the country.  In October 2011 government established new rules of entrance to high school. According to them the entrance into universities in consideration of rating mark of entrant, which consist of marks got on an EIE (certificates of EIE on three objects; not below, than 140 points are from type competitive objects), middle marks of school certificate 2008-2012 (translated in 200-scale) and additional marks are counted winners and prizewinners of the IV stage of the All-Ukrainian Olympiads and III stage of competitions scientifically research works of students-members of the Small Academy of Sciences of Ukraine as well as for for those who finish the University preparatory courses (at an entry on naturally mathematical and engineering and technology specialties). This innovation has put under the threat equal access to higher education. Admissions to junior specialist studies (on the basis of basic secondary education), master’s and postgraduate programs are conducted through institutionally-administered entrance examinations within institutions.</t>
  </si>
  <si>
    <t>The Ministry of Education establishes the admission rules. Admission to the first cycle is on the basis of marks obtained at the secondary education final exams. Candidates can apply for admission to 3 specialties, finally choosing one. Admissions regulations provide some facilities for certain categories of disadvantaged candidates (up to 15 percent of the total number of candidates in the budget financing admission plan). Admission requirements for the second cycle are determined by the state and university admission regulations. Admission to vocational programmes in Moldova is on the basis of a gymnasium diploma, secondary education diploma or Bachelor degree, depending on the level of vocational education.</t>
  </si>
  <si>
    <t xml:space="preserve">Enrollment for the first level of higher education (Specialists’ Diploma) is on a competitive basis and depends on the results of the entrance exams (in the form of centralized testing) and grade average of the school leaving certificate. Those applicants who were unsuccessful in their application for budget-financed tuition can apply for the tuition fee on a competitive basis using their available results. The enrollment for the second level of higher education (Master Degree) is on a competitive basis and depends on the results of the entrance exams. </t>
  </si>
  <si>
    <t xml:space="preserve">The State takes the responsibility for the admission of students to the first cycle higher education through creating the centralized, objective system and ensuring the principles of equity and meritocracy. A special unit – a legal entity of public law – the National Examination Centre – has been established to implement the Unified National Admission Examinations since 2005. The Examination Centre provides the education system with reliable and objective tools for assessing knowledge and abilities of students. Since 2009 unified master’s exams are held as well. All future MA students have to take GRE. Next stage is examination in specialty, which will be administered by the universities. New model for financing MA studies is based on priority subjects. Students compete for places at public or private HEIs determined by the National Centre for Education Quality Enhancement. </t>
  </si>
  <si>
    <t xml:space="preserve">Unified test entrance examination, managed by the State Students Admission Commission . </t>
  </si>
  <si>
    <t>International students in your country (university level), 2011-2013: Number of students / Per total number of students</t>
  </si>
  <si>
    <t xml:space="preserve">The analytical report of the Ministry of Education and Science of Ukraine for 2012 a figure 52,711 foreign students, studied in 2011-2012. in Ukraine (Turkmenistan - 8830, China - 4850, Azerbaijan - 4035, Nigeria - 3619 etc). Total number of students in schools I-IV accreditation levels for 2012/2013 academic year is 2,170,141 people. That is near 2.43%  from general contingent of students of higher educational establishments of all levels of accreditation and patterns of ownership </t>
  </si>
  <si>
    <t>around 0.0065 . In 2012/2013 - 649 students (Undergraduates, Masters, Doctorates) total number 100 thousands</t>
  </si>
  <si>
    <t>0,017053 (7674 students)</t>
  </si>
  <si>
    <t xml:space="preserve">0.03026 (3.026%; 3 277 international students out of the total number of 108 261 student in Georgia) Data provided by the National Center of Educational Quality Enhancement </t>
  </si>
  <si>
    <t>0.03778 The number of international Non- armenian sudents for 2011-2012 academic year is 3600, for armenians from Diaspora-4200. Total number of students 95 300 http://www.armstat.am/file/doc/99471448.pdf</t>
  </si>
  <si>
    <t>0,0215    (2012-2013   -  3046 int students http://www.visaservices.duke.edu/Open-Door-Reports-Students/2012-2013/OpenDoorsReports2012-2013.pdf  total number of students 141700   http://eacea.ec.europa.eu/tempus/participating_countries/overview/azerbaijan_tempus_country_fiche_final.pdf</t>
  </si>
  <si>
    <t xml:space="preserve">Equal rights, though foreign students cannot work in Ukraine. The biggest problems foreign students face applying for studies in Ukraine is bureaucratic proceeding and language (only few universities can provide study programs in English), money machination.  </t>
  </si>
  <si>
    <t xml:space="preserve">Equal rights. Admission to higher education institutions is based on the selection of application files. International students have to prove good kNowledge of the teaching language (Romanian, English or French). </t>
  </si>
  <si>
    <t>Not restrictive. But little opportunity to study in English</t>
  </si>
  <si>
    <t>Not restrictive</t>
  </si>
  <si>
    <t>No special policy for foreign students. Foreign students can Not study at the special assigned shools (Academy of the Ministry of National Security, Police Academy etc.)</t>
  </si>
  <si>
    <t xml:space="preserve"> The National Action Plan (approved by the President of Ukraine in March 2013) involves training before the end of 2013 the draft law on postgraduate education.. LLL concept is mentioned developed in all Drafts of Law on Higher education.  There are some regional conception of LLL . Universities of the third age are also being estableshed. </t>
  </si>
  <si>
    <t>No. “Adult Education Strategy in the Context of Lifelong learning” has been developed by Adult Education Association of Georgia in 2009 and presented to the Ministry of Education and Science after series of public discussions, but not approved.</t>
  </si>
  <si>
    <t>The National report on Life learning education was approved in 2012. In 2013 it is planned to to develop the regulation on the recognition of the results of Life learning education.</t>
  </si>
  <si>
    <t>Yes, Law on Culture (with changes dated 2012). Concept of the State targeted  programme on culture and art development of Ukrain till 2017 (public consultation in 2012).</t>
  </si>
  <si>
    <t>Yes. Law on Fundamentals of Cultural Legislation (2002).National Assembly of the Republic of Armenia, Ministry of Culture of the Republic of Armenia: State Programme for Preservation and Development of Culture. Yerevan, 2004. Ministry of Culture of the Republic of Armenia: 2008-2012 Strategy for Development of Culture. Yerevan, 2007</t>
  </si>
  <si>
    <t>Yes, the National Report on Cultural Policy in Ukraine of CoE (2007)</t>
  </si>
  <si>
    <t>National report Cultural policy in Armenia: national report, Strasbourg: Council of Europe, 2001, CC-CULT(2001)13A prov +Addendum -http://www.coe.int/t/dg4/cultureheritage/culture/Reviews/Armenia_EN.asp</t>
  </si>
  <si>
    <t>II group,  acceeded on 01/07/2008, not ratified yet</t>
  </si>
  <si>
    <t>Ratified in 2009</t>
  </si>
  <si>
    <t>Yes,  approved on 17.08.2012</t>
  </si>
  <si>
    <t>Yes. National strategy on Youth Policy and appropriate Action Plan was adopted by the government of RA on 2008 (Gov decree N39), 2009-2012 Action Plan for the Implementation of RA State Youth Policy Strategy for 2008-2012</t>
  </si>
  <si>
    <t>In progress/finalizing (for 2011-2015)</t>
  </si>
  <si>
    <t>Yes. Report "Youth in becoming the independent of Ukraine (1991-2011)", State Institute of Family and Youth Policy, 2011. ISBN 978-966-2310-05-4</t>
  </si>
  <si>
    <t>Yes, children and youth national service center</t>
  </si>
  <si>
    <t>Yes. “Youth Policy in Armenia, an international perspective”, Strasbourg 2009, Council of Europe Publishing, ISBN 978-92-871-6627-2, “National Youth Report of Armenia”, Yerevan 2008, Ministry of Culture and Youth Affairs of the Republic of Armenia, ISBN 978-99941-2-145-8</t>
  </si>
  <si>
    <t>In progress.</t>
  </si>
  <si>
    <t>National startegy for volunteering has been drafted in 2012, but not  adopted yet</t>
  </si>
  <si>
    <t>In progress. Two draft laws on volunteering have been put into circulation-first be the NGO professionals for Civil Society in 2004 and the second by the Armenian Ministry of Labor and Social Issues in 2008- a law dedicated to voluntarism has Not yet been adopted.</t>
  </si>
  <si>
    <t>Yes. National Law on voluntarism (2009)</t>
  </si>
  <si>
    <t>Yes. Starting from age 18.</t>
  </si>
  <si>
    <t>Yes. Conception of Armenian State Youth Policy Adopted by the Government of Republic of Armenia,Yerevan, 1998</t>
  </si>
  <si>
    <t>Not adopted. The Transport and Communication Ministry of RA developed and provided to the Coordination Committee of Implementation of RA Information Security Strategy (within  RA National Security Council) the draft Strategy of Program of  Development and Implementation of Audiovisual sphere  consonant to EU legislation.</t>
  </si>
  <si>
    <t xml:space="preserve">Adopted </t>
  </si>
  <si>
    <t>In progress. Although  these are mostly large companies that implement this.</t>
  </si>
  <si>
    <t xml:space="preserve">2011 data </t>
  </si>
  <si>
    <t>TOTAL APPROXIMATION 2011</t>
  </si>
  <si>
    <t>TOTAL 2011</t>
  </si>
  <si>
    <t xml:space="preserve">Yes. Each party has the right to publish its election programme in state-owned newspapers Holos Ukrainy, Uriadovyi Courier, and in one regional printed media in every region of Ukraine. Each party and MP candidate is provided with free airtime on state TV and radio channels (for each party: 60 minutes on national public television, 60 minutes on national public radio, 20 minutes on regional TV channels in every region, and 20 minutes on regional radio channels in every region; for each MP candidate: 20 minutes on regional TV channel and 20 minutes on regional radio channel in the respective region). Nevertheless, in the 2007 parliamentary election, the Government received extensive and largely positive coverage in a number of  UT 1 (state funded broadcaster) informative programs, while governmental newspaper Uriadovyi Courier devoted 65% of its coverage to the Government and 23% to the President. </t>
  </si>
  <si>
    <t xml:space="preserve"> Yes. Each electoral contestants is provided free airtime to state-owned media in parliamentary elections and republican referenda (5minutes on TV, 10 minutes on radio and 1 minute daily for electoral ads) in a fair and non-discriminatory manner. Moreover, the national media is obliged to organise public debates with all electoral contestants.According to the OSCE/ODIHR report  for 2010 parliamentary elections "Public Radio/TV company generally respected the legal requirement to provide accurate, balanced and impartial election coverage of the contestants". Under the amended Electoral Code (April 2011), the free airtime to state-owned media is provided only during parliamentary elections and referenda, the local elections and referendums being exlcluded from the list. However, the local media  media is obliged to organize public debates, whereas the national ones have the right to do so.  The public-owned TV company organised public debates for June 5, 2011 local elections and according to OSCE/ODIHR LEOM media monitoring "the national public TV Moldova 1offered a balanced coverage of the campaign in its editorial programs,  granting access not only to the four parliamentary parties, but also to other contestants, generally presenting them in a neutral tone." last parliamentary elections were held in November 28, 2010. Last general local elections were held on June 5/19, 2011.</t>
  </si>
  <si>
    <t>No, Alternative candidates are only allowed to place their electoral programs in state media, and deliver short speaches on state-owned TV and radio. State media are dominated by pro-governmental candidades</t>
  </si>
  <si>
    <t>Yes. However, difference should be made between free airtime and news coverage. The Electoral Code contains provisions governing media conduct during an election campaign, inter alia providing for the allocation of free and paid airtime to election contestants. For the news coverage while general picture during 2008 Presidential elections was quite negative. It has been improved during 2010 municipality elections, when according to the OSCE/ODIHR report “the Georgian Public Broadcaster provided an overall balanced picture of the campaign in its news”. 
However, it is important to note that the impact of the state-owned media (public broadcasters) is rather low. Thus, it cannot essentially affect the balance between the parties and candidates. The private TV broadcasters, which are broadly perceived to be affiliated with the ruling party, are heavily influencing the peformance of the political parties and candidates during the election campaign.</t>
  </si>
  <si>
    <t>Yes by Law, no in practice. Although candidates / parties are provided equitable access to state-owned media by Law, it almost never happens in practice.</t>
  </si>
  <si>
    <t>No. State-owned media remain accessible only for the government's candidates and those  favouring government policies. Opposition party candidates are always either refused or smeared in government media's coverage.</t>
  </si>
  <si>
    <t xml:space="preserve">No. Though certain campaign activities (namely, campaigning on public TV and radio channels, publication of election programs and election posters) of the contestants are financed directly from the state budget of Ukraine. </t>
  </si>
  <si>
    <t>Yes. Electoral contestants receive zero percent  loans from the state. In addition,  the electoral contestants are provided free air time by state-owned TV and radio companies during election campaign. Under ons of the Electoral Code, namely art. 37 and 64. However, these funding is only indirect and parties are not receving funding for electoral campaign and periods between elections. Currently there is a WG within the Central Electoral Commission which is working on a draft law on financing political parties.</t>
  </si>
  <si>
    <t>Yes. Printing of materials (leaflets, posters etc.) and time on TV are financed from the state budget. Of course, the amount of money provided is not enough to organize a decent campaign.</t>
  </si>
  <si>
    <t>Yes. However, not all political parties are provided with public funds to finance their activities.The parties benefit from the general annual state financing, which is distributed basically in accordance with the principle of proportional equality. The pool of political parties that are entitled to public funds is provided in the Law on Political Union of Citizens. In particular, those parties that passed the 4% threshold in the last parliamentary elections or 3 % barrier in the last municipal elections are entitled to financing from the state budget. According to the recent ammendments to the Organic Law, the political parties or their blocks have a right to take credits from  Georgian commercial banks for the campaign purposes. The total ammount of the credits shall not exceed GEL 1 mln (about EUR 460,000). According to the new Election Code, a party or block that receives more than 5% of votes at the elections, shall get the reimburcement of the campaign expenditures in the amount of up to GEL 1 mln. These funds are supposed to cover the above credits.</t>
  </si>
  <si>
    <t>No. The Parliament of Azerbaijan adopted the Law on Amendments to the Election Code on 18 June 2010. According to this new Law, the old provision that had provided public funding (about 200 Euros) for registered candidate’s campaigns was removed. Therefore, the amendments eliminated the possibility for candidates to receive state funding for their campaign and it created obstacles that disproportionately affected opposition candidates, which desperately needed government funding to cover campaign expenses.</t>
  </si>
  <si>
    <t>No. Based on the results of monitoring of the 2007 early parliamentary elections, the OSCE/ODIHR EOM recommended to establish independent media council with a clear mandate to oversee and control free, equal and fair access to the public broadcasters, as well as to strengthen the independence and powers of the National Broadcasting Council to increase its capacity to supervise the broadcast media in an impartial manner. These recommendations have yet to be implemented.</t>
  </si>
  <si>
    <t>Yes. Usually, independent media NGOs monitor the media coverage during elections, revealing the bias in election coverage by the state media as well. The monitoring reports are released every two weeks. However, the reports are only informative. The Broadcasting Coordinating Counsil  (BCC) monitors media coverage during the election campaign either and presents the findings in regular reports. Based on its internal monitoring results, BCC could apply sanctions or issue warnings against the broadcasters for biased coverage.</t>
  </si>
  <si>
    <t>No. But this bias is quite obvious</t>
  </si>
  <si>
    <t>No. Under the Electoral Code (Article 731.11) the Central Election Commission is obliged to conduct media monitoring in order to control equal allocation of free airtime, as well as the implementation of other provisions on media coverage. However, the mechanism could not be considered as independent. It should be noted that the international donors are trying to fill this gap in Georgia. EU and UNDP have been carrying out the media monitoring for the local elections of 2010 and parliamentary elections of 2012</t>
  </si>
  <si>
    <t>No. The National Committee of the TV and Radio of RA should identify bias in the public (not state) broadcast media and it is a subject to swift correction, but it never happens in practice, although bias occurs.</t>
  </si>
  <si>
    <t>No. Several independent media groups and international organizations, like OSCE/ODIHR maintained daily media monitoring of the media prior to the elections. Though the serious shortages and open bias were recorded, the authorities kept a deaf ear to consider those criticisms. In all cases, the fair criticisms and urgent requests by the media monitoring organizations have been turned down and never were considered.</t>
  </si>
  <si>
    <t>Yes. Though some legal provisions are violated or not properly enforced. In particular, some irregularities took place in the 2006 parliamentary elections - namely, late openings of polling stations, missing names on the voter lists, delayed formation of a significant number of polling election comissions, exceeding of the number of registered voters beyond the legally foreseen maximum of 2,500 voters etc.</t>
  </si>
  <si>
    <t xml:space="preserve">Yes.  According to OSCE/ODIHR LEOM  "The 5 June 2011 local elections largely met the  OSCE and Council of Europe election-related commitments". At the same time "Remaining legal, administrative and regulatory issues need to be further addressed in order to ensure continued forward progress" . National observers ascertained that  administration largely followed the election legislation regarding elections,  although   few cases related to technical errors have been reported.  </t>
  </si>
  <si>
    <t xml:space="preserve">No. There is a mechanism of election falsification. Neither parliamentary nor presidential elections do not meet OSCE criteria. </t>
  </si>
  <si>
    <t xml:space="preserve">No. OSCE/ODIHR in its final report for 2010 Municipality Elections observed that “significant shortcomings remained including deficiencies in the legal framework, its implementation, an uneven playing field, and isolated cases of election-day fraud.” </t>
  </si>
  <si>
    <t>Yes, but there are shortcomings in Law implementation. According to the OSCE/ODIHR report on the 2008 presidential elections, "The  Election  Code  provides  a  sound  basis  to  conduct  democratic  elections;  deficiencies  in 
implementation resulted primarily from a lack of sufficient will to implement legal provisions effectively and impartially."</t>
  </si>
  <si>
    <t>According to the OSCE/ODIHR report on the 2010 parliamentary elections, "failure  to  pass  formal  instructions  on  several  key  aspects  of  the  process  led  to  uneven 
implementation  of  the  Election  Code."</t>
  </si>
  <si>
    <t>No. The 2011 Parliamentary Election Law was submitted to the parliament and passed in the first and final reading during one day; the text of the draft law and adopted law was publicly availavle only after its adoption by the parliament. The type of the electoral system for the 2012 parliamentary election (mixed or 'parallel' system) and the electoral threshold for national constituency (5% of the valid votes cast nationally) was suggested by the president of Ukraine, and the opposition parties in fact were forced to vote for the system and suggested threshold in order to allow certain provisions (aimed to improve the overall quality of the law) to appear in the final version of the law. However, the final version of the Law was supported by both ruling and opposition parties.</t>
  </si>
  <si>
    <t>Yes. Even many activists agree that the electoral legislation is good but it is badly implemented.</t>
  </si>
  <si>
    <t>No. Because of the fact that electoral legislation is broadly perceived as biased, there have been several attempts by the opposition parties and authorities to jointly come up with a framework in which the most disputed areas of electoral legislation (voters’ lists, election administration, distribution of seats in the Parliament, complaints procedure, etc) would have been amended. These attempts have been supported by different actors of international community. It should be added that the new Election Code that has been adopted after political consultations in 2011 does not provide any significant improvements.</t>
  </si>
  <si>
    <t>No. In the public opinion the electroal legislation is not perceived as legitimate, it lacks public trust.</t>
  </si>
  <si>
    <t>No. The Election Code still contains inconsistencies and ambiguities. Electoral legislation has been amended several times in the past, but it still allows the ruling party to control electoral commissions at all levels. In general, as result of these the amendments to Election Code, the rules of nomination and registration of candidates became more complicated and opportunities for election campaigning were restricted. The amendments did not address longstanding recommendations from the Council of Europe Venice Commission and the OSCE ODIHR, in particular those relating to the composition of election commissions.</t>
  </si>
  <si>
    <t>0,50</t>
  </si>
  <si>
    <t xml:space="preserve">No. The new Law on Parliamentary Elections passed in 2011 fails to provide the CEC with clear guidance on how the number of districts in each region must be established, neither does it contain any requirement that districts must be contigious and that sub-regional administrative boundaries must be respected while establishing the number of districts in the regions and delimitating their boundaries. Under the Law, the number of voters in each of 225 single-mandate districts must not exceed 12% of the average number of voters in the districts. This provision, although being in line with international standards, was criticized by international experts (in particular, by IFES).The boundaries of the election distrcicts for 2012 parliamentary election were determined by the CEC on 28 April 2012. In general, the provisions of the law were respected. However, the principle of contiguity was infringed in a number of cases, while the boundaries of many districts failed to coincide with the sub-regional administrative boundaries. </t>
  </si>
  <si>
    <t>Yes, for the June 5, 2011 local elections. However, the parliamentary opposition  protested against and did not vote the  amendments to the Electoral Code, made by the parliamentary majority before the  June 5, 2011 local elections, although the amendments were recongnised as appropriate and necessary. The reason for protest: amendments were madeafter the date of elections was set and were not preceded by a consultation with  opposition.</t>
  </si>
  <si>
    <t xml:space="preserve">No.  The current rules for Majoritarian election have significant shortfalls. The existing system unfairly distributes mandates by election district and, on the other hand, doesn’t guarantee the proportionality between a specific party’s received votes and seats in the Parliament. Under the current system a party can achieve a constitutional majority in Parliament (two thirds of all seats) if, for example, it receives just 35% of the raw vote in the proportional system and its Majoritarian candidates win in every constituency (to win Majoritarian elections in each district a party must win more votes than any other candidate and not less than 30% of total votes participated in elections). Therefore, even when a party wins only 30‐35% of the raw vote, it can gain a constitutional majority in the legislature. </t>
  </si>
  <si>
    <t xml:space="preserve">Yes. Mainly the demarcation is done, but there are shortcomings concerning the accordance to the rules.                                                                      </t>
  </si>
  <si>
    <t xml:space="preserve">There is a number of mechnisms in place to ensure accuracy of the data in the Register. However, in 2010 the OSCE/ODIHR EOM pointed out that the accuracy of the voter lists is dependent on voter feedback and the quality and timely submission of data to the Register by the institutional suppliers. The latter (in particular, the bodies of the Ministry of Interior), as appeared in the 2010 presidential election, often failed to submit necessary data to the RMBs in timely manner. </t>
  </si>
  <si>
    <t xml:space="preserve">Yes. The voters themselves have also the possibility to check the accuracy of VLs and ask the Electoral Bureau of the polling station for the amendments in the VLs if some errors regarding their personal data are found. </t>
  </si>
  <si>
    <t>No. There were a lot of cases registered when one person had voted several times and people were not in the register.</t>
  </si>
  <si>
    <t>There are procedures envisaged in the Electoral Code; however, voters’ list is a constant topic of disagreement and distrust for the public. It is imperative that the voter list is permanently available on the website of a responsible agency and that interested individuals have the opportunity to double‐check information and request necessary changes at any time. However, the official website of the Central Election Commission and its search engine do not offer a real opportunity to monitor the voters register. It makes possible to the citizens just only to check their own presence on the list. Currently, voter registration data is compiled by the Central Election Commission (CEC) from the databases of numerous government agencies, which they provide in disparate and varying formats. This results in additional work for the CEC and the problem of inaccuracies as often information across these sources is contradictory. The Civil Registry provides the vast majority of the voter list data and in the recent years it has demonstrated itself as one of the most efficient government agencies in terms of data collection and management. The longer comment is available. Recently, a special commission has been established to revise the voter register. Several opposition parties are represented in the commission and its activities are lead by the representative of one of these parties. However, several influencial opposition parties (including the opposition alliance, which enjoys the strongest electoral support according to recent surveys) mistrust the commission. It should be noted that the general census of population has not been carried out for a long time in Georgia, which negatively affects the accurateness of the voter register</t>
  </si>
  <si>
    <t>Yes. Articles 54 and 55 of the new Law on Parliamentary Elections sets forth precise list of documents which have to be submitted by political parties and MP candidates to the Central Election Commission to be registered as electoral subjects. The Law restricts the possibility of refusal of registration or cancellation of registration to formal reasons only (failure to submit all required documents, loss of Ukrainian nationality by MP candidate etc.)</t>
  </si>
  <si>
    <t>Yes.  All citizens eligible to vote have the right to run for office, with the exception of active 
military personnel, prisoners serving their sentence in a penitentiary and persons whose 
criminal records include crimes committed intentionally</t>
  </si>
  <si>
    <t xml:space="preserve">Yes. But in practice these criteria do not work. </t>
  </si>
  <si>
    <t xml:space="preserve">Yes. Criteria for registration is generally reasonable but it requires further clarification (see above). </t>
  </si>
  <si>
    <t>Yes, but the implementation has shortcomings.</t>
  </si>
  <si>
    <t xml:space="preserve">No. The criteria has been further restricted since mid-2010 and been criticised by international institutions for violating international standards. </t>
  </si>
  <si>
    <t xml:space="preserve">Yes. In 2007, the OSCE/ODIHR EOM came to conclusion that in pre-term parliamentary elections registration process was inclusive overall, and took place in transparent and open environment. </t>
  </si>
  <si>
    <t>Yes. Candidate registration process in the 2011 local elections was an inclusive one, overall. Candidates from 20 political parties, 1 
electoral bloc, as well as independents run in local elections. Both international and national observers did not report cases of denying registration, although minor procedural issues during registration process have been noted.All candidates are registered in an inclusive process, if fulfill the requirements of registration. During last 2010 parliamentary elections no candidate was denied registration</t>
  </si>
  <si>
    <t xml:space="preserve">No . The registration process has always been politicised, biased and selectively applied. Pro-opposition candidates and parties have been in many instances  refused from registration on ungrounded and politically-motivated basis. </t>
  </si>
  <si>
    <t>Yes. for 2011  local elections too. The citizens could run as independents if collect a certain number (depending on position) of voter support signatures., In the  2010 early parliamentary elections, 19 electoral contestants ran as independent candidates. No independent candidate was denied registration.</t>
  </si>
  <si>
    <t>No. Registration of independent candidates generally depends on whether the candidate is loyal to the incumbent authorities or not. This aslo depends on the status of elections: during local and presidential elections independent candidades are more likely to be registered than during parliamentary elections. No. Legal requirements are not the top factor in determining whether a candidate is registered or not (the top factor is the authorities' non-transparent decision). However, a lot of opposition candidates are regularly registered.</t>
  </si>
  <si>
    <t>No, as Georgia’s electoral system precludes independent candidates to run for the elections. This rule has been severely criticized by the OSCE/ODIHR, according to which “despite some recent improvements, the UEC [Electoral Code] continues to contain a number of serious shortcomings. In contradiction with paragraph 7.5 of the OSCE Copenhagen Document, it does not allow independent candidates to contest elections.”
The situation has changed since 2011. The new Election Code allows independent candidates to participate in the parliamentary elections under the majoritarian system. These candidates can be nominated by a group of 5 voters, who are requested to submit a signed list of supporting voters to the election commission (the candidates have to be supported by at least 1% of voters in the respective election district). Besides, they shall submit a bank document certifying a GEL 5,000 
(about EUR 2,300) deposit made by the majoritarian candidate. In case the candidate fails to receive at least 10% of the votes in the majoritarian elections, this amount will be transferred to the state budget</t>
  </si>
  <si>
    <t>Yes, still the rejection of registration sometimes remain uncertain or politically motivated.</t>
  </si>
  <si>
    <t xml:space="preserve">No. According to national opinion polls conducted in 2007, before the pre-term parliamentary elections only 22.3% of the citizens felt confidence in the Central Election Commission, while 43.8% of the citizens felt complete distrust with the CEC. The CEC is generally perceived as transparent. Meanwhile, impartiality of the CEC raise serious doubts, since its members are political appointees. </t>
  </si>
  <si>
    <t>According to OSCE/ODIHR LEOM, "The election administration 
performed in an overall transparent and professional manner and was perceived as impartial by 
the majority of stakeholders" during the June 5, 2011 elections, 
 the Central Electoral Commission operated in a transparent and impartial manner and generally enjoyed the confidence of political parties. The level of confidence in electoral bodies at the regional and local level is lower.</t>
  </si>
  <si>
    <t xml:space="preserve">No. Electoral management commission is not perceived as impartial, transparent and legitimate by parties and voters. Electoral management commission is composed by a three-tiered structure consisting of the Central Election Commission (CEC), 73 District Election Commissions (DECs), and Precinct Election Commissions (PECs). on each level of the election commissions the ruling party has majority (six experts + one ruling party representative) to influence each and every decision. </t>
  </si>
  <si>
    <t xml:space="preserve">No. Although electoral legislation has been amended several times, it still allows the ruling party to control electoral commissions. Traditional opposition parties have not participated in electoral commissions since 2005. As in all previous elections, Central Election Commission (CEC) operated under strict government surveillance, with always producing reports and issuing rules favoring the ruling party. The CEC takes most important decisions affecting the electoral process, such as the registration of candidates. There is a widespread belief among opposition and civil society groups that President Aliyev is using the CEC to organize unfair elections that will allow his government to stay in power. Because the CEC is not independent, it cannot resist the constant interference in the electoral process of officials, above all from the Presidential Administration. </t>
  </si>
  <si>
    <t xml:space="preserve">Yes. In the parliamentary elections, the names of the parties  appear on the ballot paper for voting in the nationwide constituency according to as order determined by lot. The names of MP candidates registered in a single member constituency appear on the ballot paper in alphabetical order of the candidates' surnames. </t>
  </si>
  <si>
    <t>Yes.The design and the text of the electoral ballot is approved by the Central Electoral Commission. Electoral contestants are listed on a ballot in the order determined by lots’ results daily drawn by competent election administration body.</t>
  </si>
  <si>
    <t>Yes, they are not discriminatory</t>
  </si>
  <si>
    <t xml:space="preserve">The ballot designs as well as method of voting are determined by rules and regulations and are not arbitrary </t>
  </si>
  <si>
    <t xml:space="preserve">Partially so. There are number of shortages, such as the ballots with the absence of emblem of party nominating its candidate, ballots with white-black color, ballots in Latin alphabet among old people knowing only Cyrillic, particular in villages and other shortages create obstacles during the voting.    </t>
  </si>
  <si>
    <t>Yes. But in 2006 parliamentary elections the OSCE/ODIHR EOM pointed out that in many cases a large number of voters often resulted in overcrowded polling stations and infringement of the principle of secret voting. In 2007 parliamentary elections, which, in contrast to the previous elections, were not held simultaneously with local elections, the number of cases when the voters faced problems related to accessibility and secrecy of voting reduced significantly</t>
  </si>
  <si>
    <t>Yes. However, most of polling stations  did not provide access to people with disabilities. The voting is less secure and accesible  for voters residing in the Transnistrian region who should move to the special polling stations in neighboring villages under the control of constitutional authorities, to cast their vote. Usually, the access to special polling stations is obstructed by the Transnistrian border guards, which strengthen the border control on Election Day, recording all people crossing the border and checking more rigorously their IDs.</t>
  </si>
  <si>
    <t>Yes. According to OSCE/ODIHR report on the 2010 presidential elections,  "the  overall  process  was  assessed  as  ‘good’  to  ‘very 
good’ in 94 per cent of the observed polling stations, 6 per cent of ‘bad’ and ‘very bad’ assessment indicates serious flaws. International observers evaluated the transparency of the process in 11 per cent as ‘average’ to ‘very bad’."</t>
  </si>
  <si>
    <t>Yes. While OSCE/ODIHR observers assess the voting procedure as positively (92% as good or very good in Parliamentary Elections of 2008 and 96 % of good or very good in Municipality Elections), they still report number of violations that does not contribute to the secrecy of voting. During the recent local elections all polling places were surrounded by the supporters of the ruling party, who were registering the coming voters. This fact negatively affected the free nature of the elections. Unfortunately, the current legislation does not prevent such activities of the party activists. Respective regulations were removed from the Election Code several years ago.</t>
  </si>
  <si>
    <t xml:space="preserve">Mainly yes,according to the Law and in reality, but still there are polling stations that are not secure.                                                                           </t>
  </si>
  <si>
    <t>No. In many cases, authorities and law enforcement officials directly interfere and intimate voters in order to make them to vote for particular candidate. It continues to breach the secrecy of the vote. There has not been any serious challenge in the accessibility and security of the polling.</t>
  </si>
  <si>
    <t>Yes. The procedures for printing the ballot papers, for distribution of the ballot papers to the election commissions, as well as for voting are rather detailed, that can be viewed as additional mechanism for prevention of electoral fraud</t>
  </si>
  <si>
    <t>No. Legal provisions on the resolution of election disputes are ambiguous and would benefit from further clarification. There is frequently a lack of understanding of procedural provisions regulating complaints and appeals, both among complainants and election commissions. The deadline for the consideration of appeals by election commissions is too short for an effective review and redress. Decisions of District Election Commissions (DEC) are not always provided to complainants in writing immediately upon their adoption and seldom include legal reasoning, which effectively deprive complainants of their right to seek timely legal redress. Before 2011, the polling places were equiped with the so called "video eyes". However, the records were rather inaccesible for the opposition in practice. In 2011, the "video eyes" were abolished by the new Election Code.</t>
  </si>
  <si>
    <t xml:space="preserve">Yes, but their usage in practice is up to the current case </t>
  </si>
  <si>
    <t>No. The existing few mechanisms for avoiding vote fraud remained on the paper and not used in practice.</t>
  </si>
  <si>
    <t>Yes. Vote buying is precluded mainly through the possibility of observation of elections (including voting and ballot counting) by the observers, as well as through the provisions of the Criminal Code of Ukraine which envisage criminal liability for illegal usage of the ballot papers. Nevertheless, in 2007 the OSCE/ODIHR EOM detected a few cases of explicit vote buying on election day.</t>
  </si>
  <si>
    <t>According to the Electoral Code, the electoral contestants are prohibited to use public means and goods (administrative resources) in election campaign, to offer voters money or gifts, and to distribute goods free of charge, including humanitarian aid or other charity. However, the Code does not have a clear penalty provision for vote buying. At the same time, the offering of electoral gifts by all electoral contestants is a common phenomenon in elections and no electoral contestant has been penalized for this so far. During the June 5, 2011 local elections, national observers have reported a high number of  cases of electoral gifts distribution to voters by candidates . The CEC subsequently asked the Ministry of Interior (MoI) to investigate the matter. No candidate was sanctioned. However, in December 2011 a special provision on corruption of voters was added to the Penal Code (art. 181`), that entered into force in February 2012. According to this provision the offenders could be sanctioned with up to 3 years of imprisonment for bribing voters. There was no chance to test this in practice, but the legal framework now is much advanced.</t>
  </si>
  <si>
    <t>Yes, but the system is ineffective. Though under the Electoral Code, a political party or candidate could be de-registered if fact of vote-buying is proved by the court, the system is totally ineffective. In practice, none of the cases of vote buying identified by the political parties and non-governmental organizations and brought to the attention of the election administration and courts have been effectively examined or followed up. In 2011, the Parliament adopted more strict regulations on vote buying in conection with the announcement of political plans by the biollionaire Bidzina Ivanishvili. It is expected that the government will actively apply the new legal provisions against the opposition during the future elections</t>
  </si>
  <si>
    <t>Yes, but their usage in practice is up to the particular case.</t>
  </si>
  <si>
    <t xml:space="preserve">No. The lack of political will in the government make them reluctant to prevent vote buying and tempering the electoral process. Even though it is forbidden under the law, it continues to be widespread tactic for the incumbent regime during all elections. All administrative resources are always used by the authorities for vote buying, very often through intimidation and financial incentives. </t>
  </si>
  <si>
    <t>Calibration. 0.5 indicates intermediate levels of intimidation</t>
  </si>
  <si>
    <t>Yes. In 2007, circumstances in and around polling stations were rated very positively. OSCE/ODIHR EOM detected no cases of intimidation</t>
  </si>
  <si>
    <t>Yes for local elections of June 5, 2011. However, both national and international observers reported isolated cases of intimidation. The findings of the quick vote conducted in the June 5, 2011 local elections (10% of all polling stations)  by a local NGO (Promo-Lex) showed that in the 13 % of  the observed polling stations there were reported cases of violence and intimidation towards voters. However, these were singular cases which did not affect the results.</t>
  </si>
  <si>
    <t>Yes/No. Intimidation of voters, observers, political party activists and candidates is particularly widespread in regions. While during 2008 presidential and parliamentary elections intimidation of party activists often reflected in physical assault against them, during 2010 elections the strategy of the government has changed. It should be stressed that the level of intimidation of voters working in the public sector (civil servants, teachers, etc), as well as benefitiaries of the state social assistance programmes and other vulnerable groups is quite high. This fact quite heavily affects the free nature of elections</t>
  </si>
  <si>
    <t>Yes, but partially</t>
  </si>
  <si>
    <t xml:space="preserve">Yes. The procedure for registration of both domestic and international observers is rather simple. For the 2007 pre-term parliamentary elections, the CEC registered election observers from 15 national NGOs, 15 international organisations and 12 embassies. </t>
  </si>
  <si>
    <t>Yes.   For the July 5, 2011 local elections, 146 international and  1010  national observers were accredited by the Central Electoral Commission.</t>
  </si>
  <si>
    <t>Yes, there is such desire but it is not fully satisfied. Polling committees often dismiss observers and make barriers for observation</t>
  </si>
  <si>
    <t>Yes. In most cases, NGOs or journalists willing to observe elections can freely register as an observer either with the Central or District Election Commissions. However, as during 2010 Municipal, also 2008 Presidential, Parliamentary and Adjara Supreme Council Elections there have been widespread reports of observer intimidation and pressure. During 2010 Municipal Elections, though number was lower, but cases of intimidation persisted</t>
  </si>
  <si>
    <t>Mostly yes</t>
  </si>
  <si>
    <t xml:space="preserve">No. Critical NGOs or individuals have in most instances been refused from election observation.  </t>
  </si>
  <si>
    <t xml:space="preserve">Yes. In 2006 parliamentary elections, the OSCE/ODIHR observers assessed the counting process as bad or very bad in 22 percent of polling stations observed. Filling in the protocols was often a lengthy and confusing process for the members of the precinct election commissions; in a number of cases the protocols were not completed in ink, while in many commissions unauthorised persons were present. The situation improved significantly in 2007. </t>
  </si>
  <si>
    <t>Yes.The Quick Count and Parallel Vote Tabulation processes were couducted in for the  June 5, 2011 local elections too, but on a limited area (only in the 3 cities -Chișinău,  Bălți and Comrat- 10% of all polling stations). The  parallel vote count largely confirmed the official election results. The parallel vote tabulation operation (PVT) and the qualitative and quantitative quick count of votes (Quick Count) conducted by a domestic NGO (Promo-LEX) during the 2010 early parliamentary elections have largely confirmed the official election results.</t>
  </si>
  <si>
    <t xml:space="preserve">No. Counting procedure is usually assessed as bad or very bad. </t>
  </si>
  <si>
    <t>Yes. MP Candidates, authorized representatives of political parties, MP candidates' proxies as well as observers from political parties, MP candidates and NGOs (no more than 1 observer per each party/MP candidate/NGO) are allowed to observe the count.</t>
  </si>
  <si>
    <t>Yes. Under the Electoral Code (art. 55), the representatives of electoral contestants (parties, blocs, independent canditates), national and international observers,  and media are allowed to observe the count. During the last parliamentary and local elections no incident related to the imposibility of electoral contestants' representatives to obser the count was reported.</t>
  </si>
  <si>
    <t xml:space="preserve">Yes. Under the Electoral Code (Article 67.2), only the representatives of the political parties or candidates are allowed to observe the count. According to the Election Code of 2011, the commission members, observers and representatives of the media agencies accredited in respective commissions are allowed to observe the count </t>
  </si>
  <si>
    <t>Yes. Political parties and candidates have their observers present in PECs. In certain instances, the observers were forced to leave the polling station during the counting process by police. The observers of the EMDS, the largest local observation group whose registration was suspended by the Ministry of Justice through a politicized decision, are accredited as individuals.</t>
  </si>
  <si>
    <t>No. In 2006 and 2007, the administrative system of appeal, which includes territorial and Central election commissions, operated unsatisfactorily, as about half of the complaints filed with the CEC were left without consideration (since the CEC and territorial election commissions can hardly be considered as impartial bodies as they are formed by political parties/factions). The courts overall demonstrated to be capable of dealing with election related issues, but often took a rather legalistic/formalistic approach.</t>
  </si>
  <si>
    <t>Yes. In the June 5, 2011 elections, the CEC received 74 complaints and appeals in total, most of them filed by parliamentary parties and independent candidates. During the 2010 parliamentary elections, the CEC received 80 complaints in total and issued 42 decisions on 44 complaints. Local electoral bodies . The new appeal procedure was less known in the regions which led to a   procedural errors in certain cases.</t>
  </si>
  <si>
    <t>No. The courts in Belarus are not independent in their decisions.</t>
  </si>
  <si>
    <t xml:space="preserve">No. Though the procedure is set under the Law, it is not viewed or assessed as impartial and non-partisan. Under the Electoral Code, Complaints on voting procedures can be filed with the respective PEC until the closing of polls. If the PEC does not rectify the violation or does not examine the complaint, the complainant has the right to file it with the respective DEC. Complaints on counting, requests for recount and requests for invalidation can be filed either with PECs, which are obliged to forward such complaints to the DECs within 48 hours from the closing of polls, or DECs within the same deadline. </t>
  </si>
  <si>
    <t>Yes, but the usage is questionable</t>
  </si>
  <si>
    <t xml:space="preserve">No. The existing appeal system is totally biased and impotent. </t>
  </si>
  <si>
    <t xml:space="preserve">Yes. In 2007, the IEOM highlighted the fact that the 2007 pre-term elections were conducted mostly in line with international commitments and standards for democratic elections and confirmed an open and competetive environment for the conduct of election processes. This conclusion was upheld by the ENEMO. </t>
  </si>
  <si>
    <t xml:space="preserve">Yes. For  the local 2011 elections OSCE/ODIHR LEOM stated that "The 5 June local elections largely met the  OSCE and Council of Europe election-related 
commitments. The elections were conducted in a calm environment, conducive to a 
competitive campaign, and offered voters a genuine choice. Electoral contestants noted 
equitable opportunities to reach voters. Remaining legal, administrative and regulatory issues 
need to be further addressed in order to ensure continued forward progress. " </t>
  </si>
  <si>
    <t xml:space="preserve">No. In its 2010 Municipal Election Final Report, the OSCE/ODIHR stated that “The municipal elections marked evident progress towards meeting OSCE commitments and other international standards for democratic elections. However, significant shortcomings remained including deficiencies in the legal framework, its implementation, an uneven playing field, and isolated cases of election-day fraud.” The Report from 2008 Parliamentary Elections was even critical indicating the Election Observation Mission “identified a number of problems which made [the] implementation [of international standards] uneven and incomplete. </t>
  </si>
  <si>
    <t>No. International and local organizations have always found serious irregularities.</t>
  </si>
  <si>
    <t>3.48%. In the most recent presidential election, the winner, Victor Yanukovych, received in his support 12,481,266 votes (48.95%), the second presidential candidate, Yulia Tymoshenko – 11,593,357 votes (45.47%).</t>
  </si>
  <si>
    <t>N/A.  Until March 2012, the Parliament repeatedly failed to elect the president. In the March 16, 2012 presidential elections, only one candidate was nominated who was elected as president with 62 votes.</t>
  </si>
  <si>
    <t xml:space="preserve">Difference – 77,22%. A. Lukashenka – 79.65%, A. Sannikau – 2.43%, </t>
  </si>
  <si>
    <t>27.78%
Saakashvili: 53.47%; Gachechiladze: 25.69%</t>
  </si>
  <si>
    <t xml:space="preserve">Vote differential: 31.32%. Most recent presidential elections were held in 18 February, 2008. The winner Serzh Sargsyan got 862369 votes (52.82%), the best-performing rival Levon Ter-Petrosyan- 351222 (21.5%)  </t>
  </si>
  <si>
    <t xml:space="preserve">The vote difference made 85.9%. Last presidential elections were held on 15 October 2008. The winner – President Ilham Aliyev - had received 88.73% of votes, while the best-performing rival 2.86%. </t>
  </si>
  <si>
    <t>3.66%. The Party of Regions, which was the ruling and the strongest party at the time of 2007 pre-term parliamentary elections, received 34.37% (8,013,895) of the votes, while the main opposition party (“Yulia Tymoshenko Bloc”) was supported by 30.71% (7,162,193 votes) of the voters.</t>
  </si>
  <si>
    <t xml:space="preserve">Difference between UNM (59.18%) and Unified Opposition (opposition alliance - 17,73%) made up 41.45%. Christian Democrats were the third best.  </t>
  </si>
  <si>
    <t>18,78. During most recent legislative elections in 12 May, 2007  the strongest party- Republican Party of Armenia received 458 258 votes. Meanwhile three most popular opposition parties received 276 430 votes altogether .</t>
  </si>
  <si>
    <t xml:space="preserve">Parliamentary elections are conducted under a majoritarian system. The recent parliamentary elections were held on 7 November 2010. The elections saw the incumbent YAP party getting 71 seats, while traditional main opposition parties none.  </t>
  </si>
  <si>
    <t>Freedom of the Press: 2012 Index value Rating/Freedom House/ (Rating)</t>
  </si>
  <si>
    <t>Linear transformation, benchmarks defined by best and worst performing EBRD transition country; best = 18 (Estonia), worst = 96 (Turkmenistan)</t>
  </si>
  <si>
    <t>Press Freedom Index: 2011-2012 Index value /Reporters without borders/(Note)</t>
  </si>
  <si>
    <t>Linear transformation, benchmarks defined by best and worst performing EBRD transition country; best = -9.00 (Estonia), worst =   140,67 (Turkmenistan)</t>
  </si>
  <si>
    <t xml:space="preserve">To what extent can individuals form and join independent political or civic groups? To what extent can these groups operate and assemble freely? Bertelsmann Transformation Index 2012 </t>
  </si>
  <si>
    <t xml:space="preserve">To what extent can these groups operate and assemble freely? Civil Society sub-score from Nations in Transit 2012 http://www.freedomhouse.org/sites/default/files/2012%20%20NIT%20Tables.pdf </t>
  </si>
  <si>
    <t>Associational and organizational rights: Freedom House, Freedom in the World 2011, Subscore http://www.freedomhouse.org/report/freedom-world-aggregate-and-subcategory-scores</t>
  </si>
  <si>
    <t>Personal autonomy and individual rights (Freedom House, Freedom in the World 2011, subscore) http://www.freedomhouse.org/report/freedom-world-aggregate-and-subcategory-scores</t>
  </si>
  <si>
    <t>Linear transformation, benchmarks defined by best and worst performing EBRD transition countries; best = Estonia (14) worst = Turkmenistan (3)</t>
  </si>
  <si>
    <t>Linear transformation, benchmarks defined by best and worst performing EBRD transition countries, best = Slovenia (8), worst = Belarua (2)</t>
  </si>
  <si>
    <t>No. Free of charge legal aid for persons with limited financial means is provided only in criminal cases. The quality of such assistance is often inadequate, there are instances that such defenders do not file a single motion in a case assigned to them. The government pays a minimal amount for the advocates’ services. In June 2011 the law on free of charge legal aid was adopted. Yet, the system will start being implemented since 2013 and will continue until 2017.</t>
  </si>
  <si>
    <t>Yes, the state agency on legal aid was established</t>
  </si>
  <si>
    <t>No. According to the Article 20 of the RA Constitution everyone has the right to legal assistance. In cases provided for by law, legal assistance shall be provided at the expense of state funds. The institutional basis for free of charge legal assistance is the RA Chamber of Advocates, the Office of Public Defender. According to the Article 6 of the RA Law “On Bar”, the state shall guarantee legal aid in criminal cases pursuant to the procedure and in cases provided for by the RA Criminal Procedure Code, as well as pursuant to the procedure prescribed by the RA Civil Procedure Code only in the cases related to collecting maintenance payments, compensation for losses incurred as a result of mayhem or other injury to the health, as well as the death of the bread-winner. Thus, the RA legislation does not comprehensively ensure the right to access to justice through legal assistance at the expense of the state. The number of public defenders currently included in the Office of Public Defender (34) is objectively too low for providing free of charge legal assistance to the socially vulnerable groups of population, especially in the regions.</t>
  </si>
  <si>
    <t>Death penalty abolished: Yes/No</t>
  </si>
  <si>
    <t>Yes, in 2006</t>
  </si>
  <si>
    <t>Yes. 2003: Armenia abolished the death penalty for all crimes by ratifiing Protocol n.6 to the European Convention on Human Rights.</t>
  </si>
  <si>
    <t>Yes. it was abolished in 1998.</t>
  </si>
  <si>
    <t>Yes. A delegation of the Council of Europe's Committee for the Prevention of Torture and Inhuman or Degrading Treatment or Punishment (CPT) carried out an ad hoc visit to Armenia from 5 to 7 December 2011.The purpose of the visit was to review progress made in the light of the recommendations contained in the report on the CPT’s visit to Armenia in 2010, in particular as regards the treatment of prisoners sentenced to life imprisonment.</t>
  </si>
  <si>
    <t xml:space="preserve">Yes. Ukraine ratified the Optional Protocol to the Convention against Torture and other Cruel, inhuman treatment or punishment July 21, 2006. The country's commitment was to immediately establish a national preventive mechanism to prevent torture (NPM). Until now, Ukraine has not fulfilled an international obligation. </t>
  </si>
  <si>
    <t>No. Furthermore after the presidential election in 2010 tortures were reported in the detention facilities of the KGB and Interior Ministry</t>
  </si>
  <si>
    <t>Yes. Armenia ratified on 14 Sep 2006.</t>
  </si>
  <si>
    <t xml:space="preserve">Yes. In November 2010 the UN Committee against Torture expressed concern at Azerbaijan’s failure to implement the Convention against Torture in legislation and practice, including by prosecuting those responsible for torture. </t>
  </si>
  <si>
    <t xml:space="preserve">No. Decree to create a Civic commission against tortures was prepared but not signed yet. </t>
  </si>
  <si>
    <t>Yes, National Preventive Mechanism was set up in 2008.</t>
  </si>
  <si>
    <t xml:space="preserve">Yes - Interagency Council against Torture, Yes – Action Plan on prevention of torture  </t>
  </si>
  <si>
    <t>Yes. Human Rights Defender of Armenia is the national preventive mechanism.</t>
  </si>
  <si>
    <t>Yes. Following the ratification of the Optional Protocol by Azerbaijan in January 2009, President Ilham Aliyev signed a decree assigning the responsibility for Azerbaijan's National Preventive mechanism againsttorture to the Commissioner for Human Rights (Ombudsman).</t>
  </si>
  <si>
    <t>Not signed</t>
  </si>
  <si>
    <t xml:space="preserve">Signed- 30 Mar 2007, Ratified- 22 Sep 2010 </t>
  </si>
  <si>
    <t>Ratified, in 2009</t>
  </si>
  <si>
    <t>No, See Recommendations provided during Universal Periodic Review evaluation (UN mechanisms):  §73.1 Argentina ,  §76.1 Algeria</t>
  </si>
  <si>
    <t>Yes, signed but not ratified as of 12/4/2012</t>
  </si>
  <si>
    <t>Signed-11/5/2001, Ratification- 25/1/2002,  Entered into force- 1/5/2002</t>
  </si>
  <si>
    <t xml:space="preserve">Signed-25/7/1997, Ratified- 20/7/1998, Entered into force- 1/11/1998 </t>
  </si>
  <si>
    <t>Anti-discrimination legislation and policy</t>
  </si>
  <si>
    <t xml:space="preserve">No.  EU Delegation insisted Moldova to adopt the non-discrimiantion legislative framework. The adoption of the non-discrimination law is part of activities in included in the Justice Sector Reform (2011 - 2015) and National Human RIghts Action Plan (2011 - 2014). However, at the moment the main obstacle in the visa liberalization proccess with EU is the luck of non-discriminatory legal framework. Moreover, there are several recommendations under UPR review, inter alia, § 73.2, 74.5, 73.6, 73.10, 73.19, 73.21, 73.24, 73.25, 73.24, 73.55 - 73.61, 75.4 - 75.12, 75.32, 75.33, 76.4. </t>
  </si>
  <si>
    <t>No explicit law</t>
  </si>
  <si>
    <t>No framework law; Howeevr, general provisions in different pieces of legislation, including Constitution; Criminal Code that makes punishable racial discrimination, infringment on the right of equality of persons; Civil Code that prohibits discrimination between spouses; Laws on High and General Education; General Administrative Code, etc.</t>
  </si>
  <si>
    <t xml:space="preserve">No.  Azerbaijan is yet to ratify Protocol No. 12 to the European Convention on Human Rights (ECHR), which provides for a general prohibition on discrimination, the European Charter for Regional or Minority Languages, the European Convention on the Participation of Foreigners in Public Life at Local Level, the European Convention on Nationality and the Additional Protocol to the Convention on Cybercrime, concerning the criminalisation of acts of a racist and xenophobic nature committed through computer systems. The existing provisions of the Criminal Code intended to safeguard national security or to prohibit incitement of ethnic hostility are used against persons belonging to minorities and journalists presenting their points of view also remains of concern.  </t>
  </si>
  <si>
    <t>In the absence of or alongside with a basic/framework law, which of the following laws provide for protection against discrimination? Yes/No</t>
  </si>
  <si>
    <t xml:space="preserve">No. The Constitution mentions this only as a principle. </t>
  </si>
  <si>
    <t>Yes (Art 2-1 of the Labour Code of Ukraine)</t>
  </si>
  <si>
    <t xml:space="preserve">yes </t>
  </si>
  <si>
    <t>Yes (Art 3 of the Law of Ukraine "On Education")</t>
  </si>
  <si>
    <t>All of the aforementioned laws contain open lists of protected grounds</t>
  </si>
  <si>
    <t>Close list: Constitution, Electoral Code, Execution Code, Law on migration of labour force, Law on blood donation and transfusion of blood, Law on child rights, Law on health care etc
Open list:Criminal Code, Criminal Procedure Code, Code on Administrative offenses, Law on the statute of the criminal investigator, Law on courts organization etc. most legislation metions the equality as a principle.</t>
  </si>
  <si>
    <t>1. Constitution -  close; 2. Criminal Code - open; 3. Civil Code - open; 4. General Administrative Code - declaratory principle on the prohibition of "discriminatory measures"; Code of Administrative Offences - open; 5. Labour Code - finishes with "political or other opinion" (not "other ground"); 6. Law on High Education - open; Law on General Education - does not list grounds, but prohibits discrimination in general terms.</t>
  </si>
  <si>
    <t xml:space="preserve">Open list -- Constitution of RA, Labor Code, the Law on Citizenship of Armenia, the Law on the Rights of a Child, the Law on the Profession of Advocates, the Law on NGOs, the Law on Advertisement, the Criminal Code, the Criminal Procedure Code, the Law on Education, the Law on  Provision of Healthcare and Health Services to the Public, the Law on State Pensions, the Law on Administrative Violations.    Closed List -  the Law on Protection and Use of Immovable Monuments of History and Culture and Historical Environment, the Law on Radio and Television, Family Code, the Law on Protection of Economic Competition, the Law on [Political] Parties. </t>
  </si>
  <si>
    <t>The Constitution provides for equal rights without respect to gender, race, nationality or national origin, language, social status, or membership in political parties, trade unions, or other public organizations)</t>
  </si>
  <si>
    <t>Does the law explicitly provide for protection on the ground of ...?: Yes/No</t>
  </si>
  <si>
    <t xml:space="preserve">Yes - Constitution and the Criminal Code </t>
  </si>
  <si>
    <t>Yes - Constitution and the Criminal Code</t>
  </si>
  <si>
    <t>Yes - Criminal Code; No - Constitution</t>
  </si>
  <si>
    <t>d. sex/gender</t>
  </si>
  <si>
    <t>f. Yes (Criminal Code); No (Constitution)</t>
  </si>
  <si>
    <t>g. Yes  - Constitution and  the Criminal Code</t>
  </si>
  <si>
    <t>yes. By the Law nr. 278 from 27.12.2011. These changes have been made in the line with UPR recommendations and Visa facilitation process</t>
  </si>
  <si>
    <t>m. Yes (Constitution; the Criminal Code)</t>
  </si>
  <si>
    <t>n. Yes (Constitution; the Criminal Code)</t>
  </si>
  <si>
    <t>o.Yes (Constitution; the Criminal Code)</t>
  </si>
  <si>
    <t>p. Yes - Criminal Code; Constitution - not explicitly</t>
  </si>
  <si>
    <t>q. Yes (Constitution; Criminal Code)</t>
  </si>
  <si>
    <t>r. No (Constitution; Criminal Code)</t>
  </si>
  <si>
    <t>s. Yes (Criminal Code, Art. 142)</t>
  </si>
  <si>
    <t>t. No (Constitution; Criminal Code)</t>
  </si>
  <si>
    <t>Does the law define and stipulate liability for ...?</t>
  </si>
  <si>
    <t>Yes, partially (Note: definition of discrimination akin to direct discrimination is contained in the Law of Ukraine "On equal rights and opportunities for women and men", but its application is limited by the ground of sex only)</t>
  </si>
  <si>
    <t>Yes,</t>
  </si>
  <si>
    <t>Yes, but  no clear definition of discrimination</t>
  </si>
  <si>
    <t xml:space="preserve"> Yes (in relation to racial discrimination - Criminal Code, Art. 142*)</t>
  </si>
  <si>
    <t>People violating the requirements of the Present Law are liable in compliance with the legislation of the Republic of Azerbaijan.</t>
  </si>
  <si>
    <t>Yes (in relation to racial discrimination - Criminal Code, Art. 142*)</t>
  </si>
  <si>
    <t>Yes. art. 173 Criminal Code. The punishment for this is " a fine in the amount of 300 to 500 conventional units or by community service for 140 to 240 hours or by imprisonment for
up to 3 years" However, there a no convictions on this ground.</t>
  </si>
  <si>
    <t xml:space="preserve"> No </t>
  </si>
  <si>
    <t>Yes, partially (Note: Art. 161 of the Criminal Code of Ukraine contains prohibition of incitement to anmity on racial, national/ethnic and religious grounds)</t>
  </si>
  <si>
    <t xml:space="preserve">Does the law provide protection from ... </t>
  </si>
  <si>
    <t>Only to limited extent (Note: definition of discrimination provided in Art 14 of the Law of Ukraine "On combating propagation of HIV-related diseases and legal and social status of persons that live with HIV" provides for protection against assumed discrimination but with limited application - on the grounds of HIV status or membership of groups of higher risks of contraction)</t>
  </si>
  <si>
    <t xml:space="preserve"> No</t>
  </si>
  <si>
    <t xml:space="preserve">b. No </t>
  </si>
  <si>
    <t>N0</t>
  </si>
  <si>
    <t>Only to limited extent (Note: definition of discrimination provided in Art 14 of the Law of Ukraine "On combating propagation of HIV-related diseases and legal and social status of persons that live with HIV" provides for protection against multiple discrimination but with limited application - on the grounds of HIV status or membership of groups of higher risks of contraction)</t>
  </si>
  <si>
    <t>c.No</t>
  </si>
  <si>
    <t>Does the law provide protection from discrimination in the field of (Yes/No):</t>
  </si>
  <si>
    <t>a. Yes (Labour Code - declaratory principle)</t>
  </si>
  <si>
    <t xml:space="preserve">Yes, but only for emergency cases, meaning no matter whether the person has or not the medical insurance </t>
  </si>
  <si>
    <t>d. Yes (Law on protection of Health - general prohibition of discrimination on any ground - closed list)</t>
  </si>
  <si>
    <t>Yes, but de facto this does not happen</t>
  </si>
  <si>
    <t>No (No stand-alone laws)</t>
  </si>
  <si>
    <t>Calibration, 0.5 indicates that only in some spheres</t>
  </si>
  <si>
    <t>Such measures are provisioned for in the laws concerning equality for women and men, disability (the new redaction even includes the notion of reasonable accommodation), and the law on national minorities</t>
  </si>
  <si>
    <t xml:space="preserve"> Yes, because at the Moment Ministry of Justice is finalizing the draft law on non-discrimination to be send for consideration for the Government. After it, the adoptet draft law will be sent to the Parliament. Nobody can expect the final version of the adopted law.</t>
  </si>
  <si>
    <t>1. Inter-agency Council on Tolerence and National Integration (Council); 2. Council on Gender Equality; 3. Tolerance Centre at the PDO</t>
  </si>
  <si>
    <t>Yes, the ombudsman (they are four, one is specialized on child rights)</t>
  </si>
  <si>
    <t xml:space="preserve"> Public Defeder's Office (PDO)</t>
  </si>
  <si>
    <t>Yes, Ombudsman's mandate is to redress the rights and freedoms of any citizen whose rights and freedoms are violated by the government authorities. The Ombudsman has the authority to review complaints and appeals, can refer a case to the appropriate judicial authority, can recommend that disciplinary measures be taken against individuals, can demand that the Constitutional Court review or enact legislation to promote human rights and can make recommendations regarding pardons or citizenship issues. These are all legal powers, but in reality this is a person who has no special authority and in practical sense he/she never took a critical position to the state institiutions and made demands to Constititional Court or any other legislative organ.</t>
  </si>
  <si>
    <t>Yes, Inter-agency Council</t>
  </si>
  <si>
    <t xml:space="preserve">Yes. There is one agency - The State Committee for Family, Women and Children Affairs of Azerbaijan Republic  is a governmental agency within the Cabinet of Azerbaijan in charge of regulation of activities for protection of rights of women and children and overseeing activities of non-governmental organizations involved in family in Azerbaijan Republic. </t>
  </si>
  <si>
    <t>no such body</t>
  </si>
  <si>
    <t xml:space="preserve">Yes, the Public Defender issues recommendations to different public bodies </t>
  </si>
  <si>
    <t xml:space="preserve">No. Actually the law on ombudsman is not clear in this field. From pr. 2 art. 21 is not clear is if the ombudsman can innitiate a case before a court with a complaint or to innitiate a case within its institution (centre for Human Rights) as a internal procedure to investigate the complaint. </t>
  </si>
  <si>
    <t>The Public Defender can take legal action only to the Constitutional Court</t>
  </si>
  <si>
    <t>No. In Moldova such  a practice is not officilized, it is no such institution in civil procedure. HOWEVER the ombudsman can use this way as writing expert opinion, under the art. 74, 228, or art. 231 as the conclusion of the public authority of the Civil Procedure Code. The ombudsman has never used this legal right. Under the art. 117 of Civil procedure Code, these conclusions have the status of evidences in the case.</t>
  </si>
  <si>
    <t>Yes - PDO; No - Council</t>
  </si>
  <si>
    <t>Yes, the law  gives the powers to condiuct investigation, but Moldovan Ombudsman failed to do/conduct such investigations</t>
  </si>
  <si>
    <t>Yes. Azerbaijan transposes international treaties into its legislation. For instance, this allows the courts and other competent bodies to make direct reference to Article 1 of the Convention on the Elimination of All Forms of Discrimination against Women. In October 2006, Azerbaijan passed a law on gender equality, which defines gender-based discrimination as any distinction, exclusion or restriction exercised on the basis of gender, including sexual harassment.</t>
  </si>
  <si>
    <t>Yes, but they are limited only to some aspects of the discrimination issues, mostly social rights</t>
  </si>
  <si>
    <t>Does the equality body enjoy (Yes/No):</t>
  </si>
  <si>
    <t>No (de jure: Yes, de facto: No)</t>
  </si>
  <si>
    <t>To a limited extent</t>
  </si>
  <si>
    <t xml:space="preserve"> Number of women – MPs in the national Parliament   = Gender Empowerment Measure? % of the total Number (average  for 2010-11). </t>
  </si>
  <si>
    <t>Linear transformation, benchmarks defined by best and worst performing EBRD transition countries, Belarus best = 31,8%, Mongolia worst = 3,9 % (MPs 2010-2011)</t>
  </si>
  <si>
    <t>8% female MPs; parliament - 450 members</t>
  </si>
  <si>
    <t>21,8 % average (2011 - 19,8%  female MPs; 2010 - 23,8 % female MPs); parliament - 101 members</t>
  </si>
  <si>
    <t>31,8 % female MPs; parliament - 110 members (But one should remember that it was Lukashenka's "wish" to have 30% of women in the Parliament)</t>
  </si>
  <si>
    <t>6,5% female MPs; parliament - 138 members
Currently, there are 9 female members represented in the parliament</t>
  </si>
  <si>
    <t>8,8% average (2011 - 8,4%  female MPs; 2010 - 9,2 %  female MPs) parliament - 131 members</t>
  </si>
  <si>
    <t>13,7 % average (2011 - 16%  female MPs; 2010 - 11,4 %  female MPs); parliament - 125 members</t>
  </si>
  <si>
    <t>Number of women in ministerial positions = % of the total Number (December 2011)</t>
  </si>
  <si>
    <t>Women's share of annual income: Proportion of male income vs. female income</t>
  </si>
  <si>
    <t>Lower middle income (62% - Female labor force participation)</t>
  </si>
  <si>
    <t>Lower middle income (53% - Female labor force participation)</t>
  </si>
  <si>
    <t>Upper middle income (68% - Female labor force participation)</t>
  </si>
  <si>
    <t>Lower middle income (59% - Female labor force participation)</t>
  </si>
  <si>
    <t>Lower middle income (69% - Female labor force participation)</t>
  </si>
  <si>
    <t>Upper middle income (65% - Female labor force participation)</t>
  </si>
  <si>
    <t>Yes, partially. To become a judge, a person must pass two exams. The candidate with the highest grade receives recommendation for the position of judge. The first selection of judges under these rules was conducted in 2011, but given the nontransparency of the evaluation process and the existence of candidates’ complaints, it is possible to assume that the subjective factors also had impact on selection results.</t>
  </si>
  <si>
    <t xml:space="preserve">Yes, partially. Situation I. For judges that graduated the National Institute of jusdges the asnwer is YES. 
However (i) there no formal/credible and public criteria for accounting these criteria (ii) there no checklist for given marks during verbal and written exams (iii) there no clear provision for selection between candidates with the same marks or lower when apply for a vacancy (iv) the curricula at National Institute of Justice is not adapted based on court's need and national practice (v) a future judge can gratuate the National Institute of Justice at 26 years. The young judge can't be inspire credibility especially even in simple criminal cases
- Situation II. For candidates with jurdical background there is luck of procedures pn professional evaluation and marking. 
In both situation there is no open or closed list of questions to evaluation the high morality of the candidate. This criteria is a legal criteria when the candidature is evaluated. </t>
  </si>
  <si>
    <t>Yes. In particular, the High Council of Justice selects a candidate based on his/her qualification examination results, performance at the High School of Justice, professional and moral reputation, ability to assess issues freely and impartially, professional work experience, and physical health. However, subjective criteria like moral reputation, and personal features, that might play a decisive role in the selection of judges gives to the process subjective character. The selection also include one hour oral interview of candidates that was often criticized as non transparent and lacking of objective criteria for the selection of candidates.</t>
  </si>
  <si>
    <t>No, Judges are nominated on the basis of both objective criteria (such as passing a qualification examination) and subjective and unspecified criteria relating to interviews of candidates. The President retains the right to accept or reject nominees without specifying any reason for doing so.The President appoints judges to the courts of general jurisdiction, specialized courts, courts of appeal, and the Court of Cassation upon the recommendation of the COJ, as well as four members of the Constitutional Court.</t>
  </si>
  <si>
    <t>Yes, but lgislation has gaps and contradictions. It  creates artificial barriers for the establishment independent corps of judges, allows for subjective selection based on political speculations. This includes also nepotism and loyality to the government, so in reality this is not the case.</t>
  </si>
  <si>
    <t>No. Once in 3 years a judge has to pass the mandatory exams at the Qualifican Board (QB) under the Supreme Councisl of Magistracy. However: (i) QB's decissions are nor public (ii) there is no public regulation how the candidate is evaluated and what kind of competences/abilities/knowledge and/or professional attributes are cheked.
(iii) Even a judge is evaluated with a negative mark he/she have/has to pass againt the exams next 3 years. It is strange the next exams are anyway passed. in this case is no disciplinary or other measure applicable for judge - e.g. a mandatory course for next 6 months and to pass the examns in 6 months term</t>
  </si>
  <si>
    <t>Generally no, main criterion is loyalty</t>
  </si>
  <si>
    <t>No. Georgia lacks a formal system for advancement through the judicial system. The criteria for appointment of new judges also apply to the appointment of current judges to new positions. However, judges have little familiarity with how advancement decisions are made, and some suspect that the process is not objective.</t>
  </si>
  <si>
    <t>No. Judicial advancement is based on both specific criteria, which are, however, difficult to apply in an objective manner, and unspecified criteria resulting from the process of  nterviewing candidates. The President’s right to accept or reject nominees without specifying any reasons for the decision continues unchanged.</t>
  </si>
  <si>
    <t xml:space="preserve">No. In most cases Judges are not impartial in their decisions. </t>
  </si>
  <si>
    <t xml:space="preserve">No. In May 2010, Ukraine's Parliament adopted a law that specified the grounds for removing of judges from office for violating their oath. The Venice Commission very critically evaluated these changes: “the new definition includes very general concepts [...].This seems particularly dangerous because of the vague terms used and the possibility of using it as a political weapon against judges». The Venice Commission's warnings were confirmed by practice.  </t>
  </si>
  <si>
    <t xml:space="preserve">Moldovan legislation towards misconduct is clear and we have no problem. More other, some of provisions were declared as non-constitutional. However, apparently the problems:
1. The disposals of the initiation of the disciplinary procedure are not made public. Many times these disposals were revoked (15 from 65) with the reference only to the legal provisions on the right of the member of the Supreme Council of Magistracy (SCM) to revoke the disposal and having no other arguments. In 31 from 65 cases, SCM did not applied any of sanctions were proposed by the Disciplinary board for validation. In 12 from 65 cases, SCM decreased the proposed punishment by the Disciplinary Board. 
2. The privilege of four steps of contestation for judges (Disciplinary Board, SCM, Court of Appeal and Supreme Court of Justice), even in Moldova is recognized three step of contesting the decisions (the institution that issued the decision, Court of Appeal and Supreme Court of Justice). These impediments will be modified in the contest of adoption of the new law on career board for judges within the SCM during 2012. </t>
  </si>
  <si>
    <t xml:space="preserve">No, the process is not transparent. </t>
  </si>
  <si>
    <t xml:space="preserve">No. By law, the disciplinary process includes safeguards to protect the rights of judges. A number of structural changes have been made in the disciplinary process, such as the composition of the HCOJ and the Disciplinary Collegium, as well as giving the HCOJ authority to dismiss judges, rather than merely recommend that the President do so. In practice, however, the process lacks transparency, while some of the grounds for disciplining judges are ambiguous and subjective. </t>
  </si>
  <si>
    <t>Yes. According to the  Court Code Articles 157 and 160</t>
  </si>
  <si>
    <t>Yes. Taking into consideration the current campaign of anticorruption promotion, which started in April 2011, some judges have been removed from their positions. According to the Article 10.1 of the Law on Combating the Corruption, offences related to corruption shall give rise to disciplinary, civil, administrative or criminal responsibility as provided for in the legislation. Interestingly, under Article 9 of the Law on Combating the Corruption, the judges are subject only to the disciplinary liability for commissioning the offences under article 9 of the Law on Combating the Corruption. Pursuant to the Article 10.4.4 of the Law, if judges commit any of the offences referred to in Article 9 of this law, the anti-corruption organ shall inform thereof the Judicial Legal Council to take relevant disciplinary measures. In reality, there were only one or two cases of judges' dismissal. During anti-corruption campaign has been some dismissals, but neither the information on their crime nor the number of dismissed judges has been made public.</t>
  </si>
  <si>
    <t xml:space="preserve">No. In discrict courts the problem is mostly based on the luck of random distribution system and audio recording. However  (i) The Supreme Counsil of Magistracy examended few times the complaint of the judges complaints based on the request of the Prosecutor General or Director of the centre for the Combating the Economic Crimes and Corruption (ii) media related several court decission apparently were issued with political influence  </t>
  </si>
  <si>
    <t>No. Civil cases are largely free from influence by the executive power. Prevalence of corruption has decreased in many instances, but with the introduction of plea bargaining, some forms of corruption have been institutionalized. However, in administrative and criminal cases, improper influence by the executive branch, High Council of Justice, senior judges and the procuracy still exist. It should be noted that 99,8% of the accused have been found guilty by the Georgian courts in criminal proceedings in 2011, which is perceived to be a clear demonstration of domination of the prosecutor's office over the judiciary</t>
  </si>
  <si>
    <t>No. Azerbaijan had adopted the legislative acts defining the procedures on formation of the judges’ corps very much close to the deadline. These are covered in the Act on Courts and Judges and Act of Legal-Judicial Council. However the common view of the legal community with regards to those acts are as follows: these acts do not provide for establishment of independent judicial power and professional corps of judges, there is a great space within for the executive power to keep the judicial system under the control and put a pressure on it.</t>
  </si>
  <si>
    <t xml:space="preserve">Yes, partially. In 2010-2011, the Heads of the higher courts were appointed from among the judges loyal to political authorities, so they have an opportunity to lobby the interests of their courts with the government and the parliament. Such lobbying is based on personal contacts, but not on legal mechanisms. Funds allocated to the judicial branch are administered by the State Court Administration, which is accountable to the Council of Judges of Ukraine. The higher specialized courts, the Supreme Court and the Constitutional Court of Ukraine also administer their own funds. </t>
  </si>
  <si>
    <t xml:space="preserve">yes. By law - yes. The law on Supreme Counsil of Magistracy (SCM) gives the right to draft the budget of courts (except the budget of the Supreme Court of Justice) and sent it directly to the Parliament for aproval. Even the law on Supreme Counsil of Magistarcy was adopted in 1996, the SCM used this way at least once.
By practice - YES. The budget is negotiated with the Court Administartion Department within MInistry of Justice and Ministry of Finance. Only after it is approved by the SCM ans sent to the Parliament. The parliament can reduce request funds. </t>
  </si>
  <si>
    <t>Partially. The regional (city) and appellate courts have a limited ability to influence the amount of money allocated to them. The Department of Common Courts within the HCOJ has the authority to draft the budgets for these courts and to expend the funds allocated by Parliament. The Supreme Court and the Constitutional Court, on the other hand, prepare their own budget requests and control the expenditure of funds allocated to them. There have been significant increases in the amount of funding budgeted for the courts in recent years.</t>
  </si>
  <si>
    <t>No, Althought the budgeting process allows courts to influence the amount of funding allocated to them, but it doesn't happen in practice.</t>
  </si>
  <si>
    <t>No. Courts are financed from the governmental budget. State budget has an separate budget item to finance work of the Courts. The monthly salaries are paid in a general manner.</t>
  </si>
  <si>
    <t>No. Judges are not sufficiently protected from attacks. Vivid examples of this are as follows: the explosion in one of the country’s capital’s court in 2004, the murder in 2010 of a former judge of appellate court, petition by a judge of a district court in 2010 to the Council of Judges of Ukraine in connection with the pressure on her during a criminal trial, a murder in 2011 of a judge of one of the capital’s district court who presided over a number of high-profile cases. Also, in 2009, a judge of the Higher Economic Court burned in his car under mysterious circumstances</t>
  </si>
  <si>
    <t xml:space="preserve">yes. However there are few complaints addressed by judges on such cases to the Supreme Counsil of Magistarcy. </t>
  </si>
  <si>
    <t>No. Low wages in the Governmental bodies are usually cause corruption in this field. The salaries for judges have been increased since 2-3 years , but it does not cover the usual payments for court processes, costs for technical equipments. Judges are not protected individually, so they are prone to be loyal to the system.</t>
  </si>
  <si>
    <t>Yes, partially. Following the completion of initial 5-year appointment as a judge, judges are elected permanently by the Parliament. A judge who is elected permanently may remain in office until the age of 65. Other grounds for removal of judges are defined by the Constitution.
But, the Venice Commission has many times drawn attention to the fact that a 5-year period of the first appointment violates the principle of irremovability of judges, but the correction of this situation requires amending the Constitution.</t>
  </si>
  <si>
    <t>Yes. The innitial term is 5 years. Next stage is examiantion of judge performance by the Supreme Council of magistracy that decide to propose the candidate to the president until retirement age. However, each judge have to pass a evaluation/exams once in 3 years. The removal grouunds are provided by law.</t>
  </si>
  <si>
    <t>Yes. All judges are appointed for 10-year terms and, with the exception of Constitutional Court judges, have the right to be reappointed. It is believed that judges are sometimes not reappointed due to dissatisfaction with their judgments. Judicial tenures may also be cut short by the ongoing reorganization of the common courts, which can result in judges being placed on the reserve list by a nontransparent process. Life time appointment of judges of all instances (except of the Supreme Court judges) will be introduced after 2013 Presidential elections. However, judges to be appointed permanently might have to undergo a three year probation period – provision heavily criticized by the Venice Commission.</t>
  </si>
  <si>
    <t xml:space="preserve">Yes, according to the Law about Courts and Judges, Judge is elected for 5-years term. After this term can be prolonged if judge has positive recommendations. In our situation it will make sense. </t>
  </si>
  <si>
    <t xml:space="preserve">yes. The problem in Moldova that their immunity is an extensive one, even it is not related to its mandate - e.g. Administrative offences. </t>
  </si>
  <si>
    <t>Yes. According to the Constitution, Judges have broad immunity from criminal prosecution, arrest, and search, and can only be arrested, detained, or prosecuted with the consent of higher judicial authorities. Article 336 of the Criminal Code, which allowed for the criminal prosecution and imprisonment of judges for making mistakes, has been repealed. There is no provision in Georgian law for judicial immunity from civil suits.</t>
  </si>
  <si>
    <t>Yes, Judges have immunity for actions taken in their official capacity, as well as considerable immunity for actions unrelated to the performance of their official duties. Such immunity is generally respected in practice.</t>
  </si>
  <si>
    <t>Yes, except the matters when judge caught on the locus delicti</t>
  </si>
  <si>
    <t xml:space="preserve">Yes, partially. A determinative role in making decisions on appointment, career and removal of judges belongs to the Higher Qualification Commission of Judges and the Higher Council of Justice. 
By law, the Higher Qualification Commission of Judges consists of 11 members: 6 judges elected by the Congress of Judges of Ukraine. However, the Higher Council of Justice, according to the Constitution, includes only 3 out of 20 members elected by the Congress of Judges of Ukraine, plus the Head of Supreme Court ex officio. The Venice Commission has given numerous warnings to Ukraine that such composition does not meet European standards.  </t>
  </si>
  <si>
    <t>Yes, partially. From 12 members of t, 6 are judges. From these 6 mebers : one is the minister of justice, one is Prosecutor General and four proffesors selected and approved by the Parliament.</t>
  </si>
  <si>
    <t xml:space="preserve">Yes. The High Council of Justice (HCOJ), which had been an advisory body to the President of Georgia regarding judicial matters, has been reorganized as an independent agency of the judicial branch. The HCOJ is now directly responsible for appointing and dismissing judges of the regional (city) and appellate courts, instead of making recommendations concerning such decisions to the President. The HCOJ has also been restructured and expanded from 9 to 15 members, more than half of which – the Chairman of the Supreme Court and eight other common court judges – are judges. Judicial members of the HCOJ are elected by the Judicial Conference solely at the nomination of the Head of the Supreme Court thus depriving judges a right to put themselves or their peers as candidates for the position in the HCOJ. </t>
  </si>
  <si>
    <t>No, The President appoints judges to the courts of general jurisdiction, specialized courts, courts of appeal, and the Court of Cassation upon the recommendation of the COJ, as well as four members of the Constitutional Court.The COJ has 13 voting members: nine judges elected by secret ballot for five-year terms by the General Meeting of Judges; two legal scholars appointed by the President; and two legal scholars elected by the National Assembly.</t>
  </si>
  <si>
    <t>No. Judicial Council is not independent. The fact that the majority of members of Legal-Judicial Council are appointed by the executive power, the Minister of Justice is at the same time chairman of the LJC, the actual status of distribution of power within the country, Parliament not being independent and other reasons bring a lot of doubts that the establishment of corps of judges will take place in objective, fair and unbiased way. The regulations on composition and operation of the LJC contradict the provisions of the European Charter on the Status of Judges of the Council of Europe adopted in July 8-10, 1998. It states that the body dealing with selection of candidates to the position of judge, appointment, promotion to the higher position and cancellation of authority of the judge’s to implement own functions must be independent.</t>
  </si>
  <si>
    <t>Yes. From 1996, a Constitutional Court is functioning in Ukraine, which is authorized to review the constitutionality of the acts of Parliament, President, and Government, as well as to perform some other functions. Unconstitutional acts lose effect from the date of the decision of the Constitutional Court. However, the lawmakers do not always adhere to the demands by the Constitutional Court to fill certain gaps in the legal framework. The Constitutional Court does not have any leverage to correct this situation. Moreover, during the past two years the Constitutional Court is highly politically dependent .</t>
  </si>
  <si>
    <t xml:space="preserve">Yes. however,  in the annual report for 2011, of the Constitutional Court is stated that at only one from 12 Court's decissions were executed . Between 1995 - 2010, 12 court's decissions were not executed
So, the asnwer should be partially yes. </t>
  </si>
  <si>
    <t xml:space="preserve">Yes, the Constitutional Court has such power. But in reality decisions of the Constitutional Coaurt never contradict presidential decrees (that have equal legal power with laws) of other legislation put forward by the Presidential Administration </t>
  </si>
  <si>
    <t>Yes. The Constitutional Court is the sole body with the power to determine the constitutionality of legislation and official acts. Although there are contradictory opinions about the Court, many believe the Constitutional Court to be independent and effective. In recent years, the Court has issued some significant judgments, which, for the most part, have been implemented
It should be mentioned that the Constitutional Court is authorized to judge only upon constitutionality of normative acts. The Court is rather ineffective as it proclaimed only 6 decisions during the recent 2 years. Another problem is the inadequate length of procedures in the court</t>
  </si>
  <si>
    <t xml:space="preserve">Yes, Constitutional Court. This is only legally. In practice this is not the case. </t>
  </si>
  <si>
    <t>Yes. To review administrative acts, Ukraine has created a system of administrative courts and introduced administrative justice. In 2010, administrative courts received a power to impose huge penalties on an official who did not report on the implementation of a court’s decision or did not comply with it. Half of this penalty is collected to the State Budget, while the other half is given to a person who won the court case. The constitutionality of the President’s and the Government’s acts can be reviewed by the Constitutional Court.</t>
  </si>
  <si>
    <t>Yes, The judiciary has the power to review administrative acts and to compel the government to act when a legal duty to do so exists. In the past, however, courts had been reluctant to use this power. Establishment of the Administrative Court effective January 1, 2008, with a newly enacted Administrative Procedure Code, may do much to improve judicial oversight of administrative practice. It is, however, too soon to assess the impact of these changes.</t>
  </si>
  <si>
    <t>Yes. According to the Constitution of Ukraine, jurisdiction of the courts extends to all legal disputes. However, it is difficult for a person to protect his right in the courts of general jurisdiction if they are violated by an unconstitutional act of the President or Government, because individuals do not have the right to apply to the Constitutional Court directly in these instances. There are also instances when the courts of different specializations simultaneously refuse to accept certain cases to review, on the grounds that these cases must be heard by a court of different specialization.</t>
  </si>
  <si>
    <t xml:space="preserve">Yes. Although the Constitution guarantees an impressive array of civil rights and liberties, the courts interpret their role in human rights cases narrowly. Victims of civil and human rights violations reportedly feel that it would be futile to seek recourse from the courts. Georgia has ratified the European Convention on Human Rights, but the Convention generally has little influence on the decisions of lower instance courts. The Public Defender suggested that in several cases, judges disregarded relevant provisions of the Code of Administrative Offenses in order to show favoritism to supporters of the government. </t>
  </si>
  <si>
    <t xml:space="preserve">No. Complaints regarding violation of human rights can be lodged to the Constitutional Court. Constitution of the Republic of Azerbaijan </t>
  </si>
  <si>
    <t xml:space="preserve">Yes. The law give the right to a judge to apply fines and other measuers to the government bodies. </t>
  </si>
  <si>
    <t>Yes. Judges have adequate subpoena and contempt powers. However, when parties or witnesses fail to appear in response to a summons, judges often postpone trials, causing delays. Judges have no authority over enforcement of judgments, which is the responsibility of the Department for Compulsory Execution of Judicial Acts in the Ministry of Justice. Software developed for managing enforcement of judgments is expected to make the process more efficient, but inconsistencies in enforcing judgments exsist.</t>
  </si>
  <si>
    <t>No, No In Azerbaijan all branches of power are centralized. Even if Judge has subpoena, contempt or/ and enforcement powers they can be strictly interrupted in any necessity. As an example we can refer to the cases of Bakhtiyar Hajiyev and Jabbar Savalanli</t>
  </si>
  <si>
    <t xml:space="preserve">Criminal and civil procedure code state that, in some cases,  extraordinary ways to appeal against final decission can be used. </t>
  </si>
  <si>
    <t>No. The executive has significant influence on judicial decisions</t>
  </si>
  <si>
    <t>Yes. Only a court may alter or overturn another court’s judgment, and only in accordance with a procedure set by law. This guarantee is respected in practice. There are two appellate courts, in Tbilisi and Kutaisi and the Supreme Court acting as a court of cassation. In recent years, the number of cases overturned by higher courts has declined, and parties are less inclined to submit disciplinary complaints against judges in lieu of appealing unfavorable decisions</t>
  </si>
  <si>
    <t>Yes. By law and in practice, judicial decisions are reversed only through the judicial appellate process.The Judicial Code has introduced a number of potentially significant changes, such as limiting access to the Court of Cassation to enable it to ensure the uniform application of the law. It is too soon, however, to assess the impact of these changes.</t>
  </si>
  <si>
    <t xml:space="preserve">Yes, when it happens  case being returned to the lower court </t>
  </si>
  <si>
    <t xml:space="preserve">yes. However there a several cases when NGOs contested the nonusage of the random distribution of cases in court. 
Moreother, the former presidend of the Supreme Court of Justice was accused by the minister of justice avoinding the random distribution of cases. 
The judges responsable for random distribution of the cases (court president) were punished with minor santions. 
it is wellknown (unofficially of course) that corrupted judges have good cases and the others - the rest of cases, even overloaded. The Supreme Counsil of Magistracy failed many times to react on such cases. </t>
  </si>
  <si>
    <t xml:space="preserve">Yes, by law. However, while on the surface, the procedure is objective, the cause for concern is an exemption clause, according to which Court Chairperson has some discretion to assign cases if a case cannot be dealt with by a particular judges due to a caseload or ‘for any other reason.’ In relation to courts with specialized collegia, the Court Chairperson is entitled to assign a case to a judge in another collegium or ask a judge to take part in the adjudication of the case in another panel (in Courts of Appeal). The Law is silent whether or not the consent of the judges is required. </t>
  </si>
  <si>
    <t>No,Cases are often assigned on a territorial or other random basis. Still court chairmen reportedly assign important cases with a view to securing the desired result.</t>
  </si>
  <si>
    <t>No, it happens only randomly</t>
  </si>
  <si>
    <t xml:space="preserve">No. Ukraine has a Code of Professional Ethics of Judges, approved by the Congress of Judges of Ukraine in 2002, but it does not resolve most of these issues. Its provisions are too general and not regulative enough, which compels me to give a negative answer to the question. Mandatory training on judicial ethics rules has not yet been provided. </t>
  </si>
  <si>
    <t xml:space="preserve">Yes. However, the disciplinary board and Supreme Council of Magistracy  starting with 2010 reffers more to the code of ethics when a disciplinary case is examined. </t>
  </si>
  <si>
    <t>Yes. In October 2007, the Conference of Judges adopted Judicial Ethics Rules, replacing the 2001 Code of Judicial Ethics. Together with the Law on Ex Parte Communication, the Judicial Ethics Rules address major ethical issues of importance to Georgian judges. The HSOJ provides training in judicial ethics for both sitting judges and judicial candidates. Nonetheless, many are skeptical about the extent to which the Judicial Ethics Rules or the Law on Ex Parte Communication actually affect the judges’ conduct and their level of independence</t>
  </si>
  <si>
    <t xml:space="preserve">Yes, with reservations. Judges obtain undergraduate courses and trainings  every 5 years. </t>
  </si>
  <si>
    <t>Yes, to large extent. The aparatus of the Superior Council of Magistrates has not proved to be a very effective mechanism for investigating complains. In 2010 only 65 complains concerning judicial conduct have been accepted for investigation out of 2411 received, and disciplinary actions have been taken against 10 judges. Moreover, any member of the Supreme Council of Magistracy can innitiate a disciplinary procedure against a judge.</t>
  </si>
  <si>
    <t xml:space="preserve">Yes. Procedures exist for judges, lawyers, and the public to file complaints concerning judicial misconduct by common court judges. The Constitutional Court also accepts complaints concerning its judges, but it does not have a set procedure for how complaints are filed. In practice, the complaint mechanism in the common courts is being used, though most complaints submitted to the HCOJ are dismissed at an early stage in the review process. The complaint process is confidential and even if a judge is disciplinary punished on the basis of the information submitted by the applicant, the latter will not get information about that. </t>
  </si>
  <si>
    <t>No. The content of Article 112 of the Law on the Courts and Judges enabling the legal and natural persons to apply for disciplinary liability of the judges is vague and it open possibilities for abuses. JLC wrongly interprets this provision and accepts the complaints of the citizens only in one circumstance.
JLC refers to Article 112 and argues that Article 111-1 of the Law on Courts and Judges citizens can only apply to JLC is the judge has committed one of offences listed in Article 9 of the Law on Combating the Corruption. Legislation does not clearly regulate review of applications form the citizens and it is another serious problem for abuses.</t>
  </si>
  <si>
    <t>Partially, yes, because many of court hearings takepart in judge's office wich is prohibited by law. This is because many pf judges, mostryl from Chisinau municipality have no adapted offices for court hearing to be accessible incvlusing for media and public in general</t>
  </si>
  <si>
    <t xml:space="preserve">No. Since 2007, the media has been banned from recording court proceedings that negatively affected transparency and accountability within judiciary. Audio recording of the proceedings could be rejected by the judge only with justified decision; however, usually they are reluctant to give consent to audio recording. Courtroom proceedings are generally open to the public and journalists, and courtrooms are usually adequate to accommodate them. However, there have been cases when persons detained on allegedly politically motivated charges have been tried in hiding, not allowing lawyers and public to attend the hearing (events of June 15, 2009). </t>
  </si>
  <si>
    <t>Yes, with some exceptions.</t>
  </si>
  <si>
    <t xml:space="preserve">The answer is partially yes because many of court hearings take place in judge's office wich is prohibited by law. This is because many pf judges, mostryl from Chisinau municipality have no adapted offices for court hearing to be accessible including for media and public in general.
Many of cecission are not make public on court's web site as the law requires. Mostlly decission are published with big delays or not published at all. 
About the records, even audio recording is mandatory, mostly in Chisinau and "problematic courts" the reconrding is not applied. 
from a report developed by the Supreme Council of Justice, 
12 courts are using audio reconding
9 courts are usring sometimes audio recording
32 courts are NOT usig at all audio recording. 
By law audio recondinrg is mandatory. 
All courts are equiped with reconrding equipments. </t>
  </si>
  <si>
    <t>Yes, Court of Cassation judgments are published and some can be found on the judiciary’s official website, although most admissibility decisions are unpublished. Constitutional Court decisions are also published. Judgments of other courts are not yet published and have been difficult for non-parties to obtain.</t>
  </si>
  <si>
    <t>Yes (Decisions of Appeal, Constitutional and Supreme Court are being published, but behind the time)/Yes (except cases which contains national)</t>
  </si>
  <si>
    <t xml:space="preserve">No. Unfortunatly the immunity is defined in the law being too large as any of its action (evenadminsitrative offences) can not be applied. 
At the moment the Ministry of justice has an innitiative to exclude the immunity for judged in  corruption cases. </t>
  </si>
  <si>
    <t>Yes, legislation envisages the mandatory consultation with stakeholders within decision making process. Public hearings on practice are organized only in case of very radical changes in legislation (like Customs Code of Ukraine), and involves the representatives of relevant ministry/agency to inform the public about new state policy. Govn’t of Ukraine developed and issued several green and white books on pilot basis as training instruments (mainly within projects financed by international financial organizations), but within Ukrainian legislation (Regulamin of the Cabinet of Ministers of Ukraine) there is no obligation to do it.</t>
  </si>
  <si>
    <t>In general, the legislative procedure doesn’t provide for mandatory consultations with the public opinion explicitly. But some laws (“On environmental protection”, “On state ecological expertise”) stipulate that general public should be provided with possibility to influence decisions concerning the environment through public hearings and providing all information about a draft law preparation. In practice public hearings and other forms of consultations with the public opinion are rare; they are organized only under public opinion pressure when it comes to really important issues (e.g. building of atomic power plant in Belarus). 
Often NGOs initiate public hearings themselves but government officials usually refrain from participating. Some draft laws (e.g. on secret services) come through the Parliament secretly. The government doesn’t issue green books for a public deliberations.</t>
  </si>
  <si>
    <t>No. There is no mandatory public consultations before legislative enactments nor is there any adopted format for such consultation, even if it were voluntary. The only exception is the mandatory 1 month public deliberation period before enacting changes to the Constitution and adopting the Organic Law on State Symbols. But this too, has proven to be largely a formality, with little to no impact on the actual outcome. Government does not publish green papers or any other policy document before submitting drafts. Even when something of this sort did get published/adopted  there is little to no public deliberation, despite government's promises in some cases (e.g. civil service reform strategy and subsequent drafting of a new civil service code)</t>
  </si>
  <si>
    <t>Yes/No, public consultations are conducted according to the procedure envisaged in Ukrainian legislation. Unfortunately there is no public campaign which emphasis the changes in public policy and involve all interested stakeholders to public discussion. State power bodies on practice considers the proposals from stakeholders, preparing so called comparative table, but these documents as well as results of public consultation are only for internal usage.</t>
  </si>
  <si>
    <t>There was no such research to answer this question for sure. But in most politically significant cases (like discussing of the draft Electoral law, atomic power plant, draft law On political parties etc.) authorities ignored amendments and comments made by NGOs and think tanks. In less politically sensitive sectors (entrepreneurship, social sphere, combat of drugs consumption, environment etc.) central and local authorities are more responsive to civil society opinion and more cooperative with NGOs. 
The Government informs the public opinion with the result of public hearings but it is not obliged to accept suggestions and amendments proposed by NGOs and it usually doesn’t do that. Authorities also don’t explain why they are not willing to accept suggestions voiced during the hearings.</t>
  </si>
  <si>
    <t>Public input only gets reflected, once a draft is available and civil society starts to actively advocate its positions. There have been examples when such active advocacy coupled with international pressures has resulted in some positive changes (e.g. the excessively restrictive changes in the party finance related regulation is currently being reconsidered following domestic and international pressure; human rights advocates are currently lobbying to improve the situation on the government's initiative to further extend the term of administrative imprisonment to 90 days, etc. )</t>
  </si>
  <si>
    <t>It is difficult to find such statistics but consultations have some impact on the final content of proposals. Only it is necessary to take into account that the Government don’t compromise in principle issues. 
Parliamentary hearings are published in the Parliamentary website. The Government doesn’t inform the public opinion what amendments to drafts legislative acts are being put as a result of consultation process in special report but the public is somehow informed about it.</t>
  </si>
  <si>
    <t>There are some infrequent consultations, sometimes they are developed in publications, but their influence is weak. The Government doesn’t inform the public opinion what amendments to drafts legislative acts are being put as a result of consultation process.</t>
  </si>
  <si>
    <t>Partially. The draft Law On strategic planning system was sent to repeated second reading to the Verkhovna Rada of Ukraine (Resolution #4219 dated 22 December, 2011).  The procedure of organization and financing of strategic planning in defense and military sphere is approved by the Resolution of the Cabinet of Ministers of Ukraine #447 dated  5th of April 2006. Moreover, separate Ministries have thier own strategic planning.</t>
  </si>
  <si>
    <t>Yes. The State Chancellery through its division on policies, strategic planning and external assistance supports decision-making throughout the Government. At the level of public authorities divisions for policy elaboration, monitoring and evaluation were established.</t>
  </si>
  <si>
    <t>Yes. Until 2008 there was an Office of the State Minister for Reforms Coordination which was filling this role and also coordinating cross-sectoral policies.  The Government Chancellery now acts as the body coordinating strategic planning and policy formulation. In 2009 the governmental Task Force was created to provide strategic planning and policy formulation in the area of regional development. The Government of Georgia endorced the State Strategy of Regional Development in 2010. Based on the strategy, the Regional Development Councils have been created to ensure the regional development planning in each region. In general, the importance of the strategic planning is extremely underestimited in Georgia</t>
  </si>
  <si>
    <t xml:space="preserve">No, There aren`t institutional arrangements, but there are many strategic documents adopted by the Government of Armenia.                                        </t>
  </si>
  <si>
    <t>No. Many public bodies have the structure or group of employees engaged in analysis and planning. But the main priority for all government agencies is current problems and challenges. In general, work on strategic planning is very weak.</t>
  </si>
  <si>
    <t>Yes. Secretariat of the Cabinet of Ministers of Ukraine</t>
  </si>
  <si>
    <t>Yes. State Chancellery</t>
  </si>
  <si>
    <t>Yes. There is a Government Chancellery, which is the support body to the cabinet of ministers and is effectively the Prime Minister’s office. The Chancellery is to provide information and analytic support to the Cabinet, coordinate the work of the various units within the government and develop government programs.</t>
  </si>
  <si>
    <t>Yes. There is the Cabinet of Ministers. And in the presidential administration there are departments that are in charge for this or another ministry.</t>
  </si>
  <si>
    <t>Yes. There are  two structural units within the Secretariat, responsible for evaluation and coordination of line ministries activities in the policy making - Department of professional expertise and Division of compliance with procedural rules and organization of CoM meetings</t>
  </si>
  <si>
    <t>Yes. Draft legislation and policy papers are submitted to the State Chancellery that through its policy, strategic planning and external assistance division, documentation division and other line division decides whether they are adequate to be further submitted to cabinet meetings.</t>
  </si>
  <si>
    <t>Yes. The total staff of the Chancellery office, according to the state budget is 205 people in 2011, of which 13 senior staff are listed on the Government’s web page www.government.gov.ge. The total number of staff seems to be sufficiently high to have adequate capacity to implement the body’s mandate.</t>
  </si>
  <si>
    <t>There is a Regulation on the Organization of the Government Activity. Also, according to RA President’s 2007 July 18 Decree "On Order of Activities of the Government and other state bodies".</t>
  </si>
  <si>
    <t>Yes. Apparatus Cabinet and presidential administration have experienced employees. But it's mostly supporters of centralized management.</t>
  </si>
  <si>
    <t>Yes. Order of Cabinet of Ministers #2017 dated 01 November, 2010, established four governmental committees to coordinate cross-sectoral policy and personal list of their members, but this mechanism doesn't work under the current government. Newertheless the Cabinet of Ministers does coordination.</t>
  </si>
  <si>
    <t>Yes. The policy, strategic planning and external assistance division of the State Chancellery coordinates cross-sectoral policies. The policy units in linie ministries have the same responsibilities.</t>
  </si>
  <si>
    <t>Yes, the Presidential Administration being the dominant one</t>
  </si>
  <si>
    <t>Yes. Usually this role is filled by the Chancellery. 
Besides, several Task Forces are established to coordinate the cross-sectoral policies in different areas. Nevertheless, it appears quite difficult for international donors and other stakeholders to identify competent cross-sectoral bodies for effective cooperation in most of the policy areas</t>
  </si>
  <si>
    <t>Yes. The Government of Armenia and it`s office is the main coordinating body, but The Ministry of Economy, The Ministry of Justice and The Ministry of Finance also have some role in this issue.</t>
  </si>
  <si>
    <t>Yes. This department heads in the presidential administration and the Cabinet of Ministers.</t>
  </si>
  <si>
    <t>Yes. Par. 42 of the Regulamin of the Cabinet of Ministers of Ukraine (Resolution of the CoM of Ukraine #950 dated 18 July, 2007) envisages public consultations of draft legal acts of the Cabinet of Ministers of Ukraine. The procedure of public consultation is regulated by the Regulation of the CoM #996 dated 03 November, 2010</t>
  </si>
  <si>
    <t>Yes. According to the Law on legislative acts, Law on normative acts of the Government and other authorities of the public administration and Law on transparency of the decision-making the policy proposals consultation across the Government and outside the Government are envisaged.</t>
  </si>
  <si>
    <t>Yes, the Council of Ministers discusees all proposals.</t>
  </si>
  <si>
    <t xml:space="preserve">Yes. Procedures are regulated by the Regulation on the Organization of the Government Activity.  According to RA President’s 2007 July 18 Decree "On Order of Activities of the Government and other state bodies". </t>
  </si>
  <si>
    <t xml:space="preserve">Yes. According to the Chapter 8 Regulamin of the Cabinet of Ministers of Ukraine (#950 dated 18 July, 2007) the procedure for processing policies are envisaged (working out of policy proposal, concept of law, concept of state programme etc  ) </t>
  </si>
  <si>
    <t xml:space="preserve">Yes. According to the Law on legislative acts, Law on normative acts of the Government and other authorities of the public administration all procedures for processing policies are envisaged . The Ministry of Justice has prepared early in 2012 a new Law on normative acts that will eliminate procedural deficiencies.  </t>
  </si>
  <si>
    <t>Yes. The authors of these or other proposals (this may be state agencies, departments, government agencies or other structural units or individual workers) are usually well aware of the interests of any other state (or departments within the same government body) and they will try to reconcile them with their proposals.</t>
  </si>
  <si>
    <t xml:space="preserve">Yes. Line ministries are responsible for assessment of  sectoral policies. At the national level the special high level coordination body was created by the President of Ukraine - Committee on Economic Reforms and its Secretariat - Coordination Centre for Economic Reforms implementation.  </t>
  </si>
  <si>
    <t>There is no impact assessment requirement and no guidelines for this in place, except of the Ministry of Finance and Government in large, which are responcible for assessing the fiscal policy of the government</t>
  </si>
  <si>
    <t xml:space="preserve">Yes, the Government Staff of RA, according to RA President’s 2007 July 18 Decree "On Order of Activities of the Government and other state bodies".                       </t>
  </si>
  <si>
    <t>Pesidential decrees and orders of the Cabinet, accompanied by instructions on the order of monitoring solutions perform the function. But there is no special agency, which is charged with monitoring of the policy making.</t>
  </si>
  <si>
    <t xml:space="preserve">Yes. At the level of central executive bodies for providing policy advice and consultation the special Public Councils are established. Some line ministries (as Ministry for social policy and Labour, Ministry of economic development and trade)  have scientific and research entities. </t>
  </si>
  <si>
    <t>Yes. At the level of most line ministries advisory councils, comprising interested stakeholders, civil society and country development partners representatives. At the central level the State Chancellery has established early in 2010 the National Participation Council that comprises representatives off 30 civil society organizations that regularly provide policy advice to the Government.</t>
  </si>
  <si>
    <t xml:space="preserve">Yes. There are institutions in the network of Academy of Science of Armenia, which provide policy advice and there are deliberative commissions attached to the ministries. Members of these commissions are public officials, representatives from NGOs and higher educational institutions. </t>
  </si>
  <si>
    <t xml:space="preserve">Partially. Typically, the authors of policies know whom they should consult. It may be some authority officials, governmental and nongovernmental structures. Some ministries have research institutes. In the presidential administration there is the centre of strategic studies. In reality the presidential Administration pretends to take a central role in advicing or better to say imposing the policy rules and ministries have to follow those regulations. </t>
  </si>
  <si>
    <t>Rather No. Evaluation of policy implementations provided by the Acts of Ukraine and Rules of Procedure of the Council of Ministers. But, evaluations are made only in a very formal way, without looking very much into substance</t>
  </si>
  <si>
    <t xml:space="preserve">Yes. A law that contains a methodology to evaluate the implementation of legislation was approved in late 2010. Currently the State Chancellery is preparing a methodology for ex-post policy evaluation. </t>
  </si>
  <si>
    <t>Yes/No. Rather no. Evaluation of the implementation mostly is not deep and not systematic.</t>
  </si>
  <si>
    <t xml:space="preserve">Yes/No. Yes -  The most qualified staff are mainly concentrated on the level of central government. No - at the regional and local level. </t>
  </si>
  <si>
    <t xml:space="preserve">No. The policy making departments are most of the time understaffed. It is not attractive to join civil service because of low salaries and the staff turnover is very high. Division for policy analysis, monitoring and evaluation are particularly understaffed. </t>
  </si>
  <si>
    <t>There are no designated policymaking departments. Some ministries have analytic departments, but this is not uniform and definitely not required by law. The qualifications of the staff are very difficult to assess.</t>
  </si>
  <si>
    <t>No, In general no, but there are some qualified staff members.</t>
  </si>
  <si>
    <t>Yes/No   Rather not, yet. Comments: But the situation is improving, thanks to technical assistance from international organizations and its own efforts to enhance staff.</t>
  </si>
  <si>
    <t>Yes (issued in 1993). The new Law On civil service will come into effect on 1st January, 2013</t>
  </si>
  <si>
    <t>Yes. The Law on public function and civil servants’ status was approved in 2008 and entered into force in January 2009.</t>
  </si>
  <si>
    <t>Yes. Georgian civil service is regulated by the Civil Service Code (Law on Civil Service would be the correct title) and the Law on the Conflict of Interests and Corruption in Civil Service, both adopted in 1997</t>
  </si>
  <si>
    <t xml:space="preserve">Yes/No. The new Law is trying to define the scope of civil service (taking into account the list of state bodies, which envisage civil service position and categories of employees to be covered by the Law). But unfortunately, some categories  assigned to civil service (for ex. patronage service) are strictly political one and breaks the concept of neutral civil service </t>
  </si>
  <si>
    <t>Yes. Article 5 of the Civil Service Code differentiates between the state-political official, a civil servant, auxiliary staff and non-permanent staff. Article 1.3 lists all state-political officials (President, Members of Parliament, Prime Minister and members of the Cabinet, members of representative bodies of Adjara and Abkhazia, and executives of Adjara and Abkhazia). Articles 6, 7, and 8 define the meanings of the other three types of civil service employees</t>
  </si>
  <si>
    <t>Yes. According to the Law on civil service, 1993, the general principles of conduct of civil servants were elaborated in year 2000 by the Main department of Civil Service of Ukraine. Due to the Provision of Law of Ukraine on "Principles of prevention and combating corruption", 2011, each state bodies should elaborate and adopt its own code of conduct</t>
  </si>
  <si>
    <t>Yes. The Code of conduct was approved in 2008 and entered into force in January 2009, together with the Law on public function and civil servants’ status.</t>
  </si>
  <si>
    <t>Yes. One of the basis principles of the Law on Civil service, 2012, is political neutrality (art.3). According to the Art.12, civil servant shall have no right to organize or take part in strikes; when performing his/her official job duties, a civil servant shall have no right to take any actions that manifest his/her political views or indicate his/her personal attitude towards certain political parties. But no restriction for civil servant to be  a member of political party is stipulated by the  Law, 2012 (similar to Law 1993).</t>
  </si>
  <si>
    <t xml:space="preserve">Partially. The Code clearly states the non-political nature of the civil service. However, Georgian legislation does not restrict civil servants’ membership in political parties. Exception to this rule are the police, military servicemen, prosecutors, judges and employees of certain organs of the Ministry of Finance, due to the nature of their work, and impartiality that is of even higher order. 
The correct answer on this question would be No. Thus, explicit political activity is not prohibited by law. But the civil servants are required to be politically unbiased in fullfiling their public functions </t>
  </si>
  <si>
    <t>Yes. The Law on Civil Service has the following article: 20.1.6. to take part in activity of the political parties during fulfillment of service duties; However, one should be aware of numerous cases of violation of this article.</t>
  </si>
  <si>
    <t>No. Political appointees are the part of civil service corp under the Law 1993 (and partially under the Law 2012)</t>
  </si>
  <si>
    <t>Yes. Unlike civil servants that are hired based on competition, political appointees are appointed through direct mandate, as a result of elections or indirectly, by appointment within the framework of existing legislation.</t>
  </si>
  <si>
    <t>Yes. Please see the comment to question 2 above</t>
  </si>
  <si>
    <t>Yes. ccupation of civil service positions mainly takes place in the bases of competitions. There are few exceptional cases when civil servants appointed without competition.</t>
  </si>
  <si>
    <t>No. Membership in the ruling party is often an important factor in career. Membership of the opposition party, usually hinders career. Being a religious person is also an obstacle to be appointed.</t>
  </si>
  <si>
    <t xml:space="preserve">Yes. The issue of conflict of interest is defined by the Law of Ukraine "Principles of prevention and combating corruption" (art. 14) </t>
  </si>
  <si>
    <t xml:space="preserve">Yes. Appropriate provisions are in place in both the Civil Service Code and the Law on Conflict of Interests. </t>
  </si>
  <si>
    <t>Yes, Article 30 and 31 of the Law on Public Service.</t>
  </si>
  <si>
    <t>No. The law on conflict of interest has not yet passed by parliament. However, in some laws (eg laws on civil service and government procurement), there are some rules to prevent conflicts of interest. Also, the article 85.2 of the Constitution of Azerbaijan prohibits people working in the executive or judicial organs, or those involved in different paid activities, except for scientific or creative,  to be elected in the parliament.</t>
  </si>
  <si>
    <t>Yes/No. Civil Servant is prohibited to work with close relative (parent, husband, sun, daughter, brother, sister, husband’s parent, sun, daughter, brother, sister) if their service connected to the subordination or supervision of each other. Due to the fact the relevant  Law has came into force only on 1 July 2011, there is still not enough evidence to assess an effectiveness of its provisions</t>
  </si>
  <si>
    <t>Yes. Usually most of conflicts of interest are well addressed by the ethical commission under the Parliament.</t>
  </si>
  <si>
    <t>In the legislation, the conflicts of interest are adequately addressed; however the practice is more problematic. The law’s definition of family and household members does not account for the intensiveness of personal linkages in Georgia. Extensive networks of friends and extended family are just as important as immediate household. There are frequent reports of nepotism and abuse of position in the opposition leaning media, however there is no effective follow-up from law enforcement bodies.</t>
  </si>
  <si>
    <t>Yes. Article 5 (1-16,17) of the Law on Public Service.</t>
  </si>
  <si>
    <t>Yes/No. Civil service policy is part of Programme of economic reform of the President Ukraine for years 2010-2014. The activities within civil service sphere are elaborated on annual basis and published (with detailed deadline) in the form of Presidential Decree. But there is no public reports on activity performance</t>
  </si>
  <si>
    <t xml:space="preserve">No. There is no separate and official civil service policy in place. The reform of the system has been discussed for over a decade; however no progress seems to have been achieved in reconciling two diametrically opposed views on how the service should be organized in principle. </t>
  </si>
  <si>
    <t>Yes. Civil servants have an access to the personnel file (osobova sprava) and are obliged to  be acquainted under signature about all changes in personnel file</t>
  </si>
  <si>
    <t>Yes. Most of the information from the personal files of public servants are available to them (evaluation fiches, goal fiches, etc.).</t>
  </si>
  <si>
    <t>Yes. The law on civil service has a special article about it: 19.0.7. at the first request, to acquaint with all materials of his/her personal file, references and other documents attached therein, as well as to demand inclusion of his/her statements to the personal file;</t>
  </si>
  <si>
    <t>Yes. Data protection legislation is part of the General Administrative Code of Georgia and in law is quite robust. The legislation recognizes and protects personal, commercial, professional and state secrets. All personal information about a citizen must be made accessible to him/her upon request, at the agency that has them. This information may not be made available to a third party, except when a written consent of the person concerned is provided. This rule is by the law applied to information requests by another state agency. The only exception is when sharing such personal data is mandated by the court as a means of obtaining evidence. 
Recently, a special Law on Personal Data has been adopted by the parliament, which more precisely defines the scope of the personal data protection</t>
  </si>
  <si>
    <t xml:space="preserve">No, there is no separate data protection act. But this case is  considered in different laws and codes. </t>
  </si>
  <si>
    <t>Yes, Thus according to the new Law on civil service (2012) the position of Head of civil service has been established in every state body (higher CS position). The Head of civil service will act from 1ts January 2013 as an employer for every civil servant within the body subject to his/her responsibility. But, in practice political influence on nominations and dismissals is still very high.</t>
  </si>
  <si>
    <t>No. Although officially civil servants enjoy job protection, the civil service is quite politicized. Officially a civil servant can be dismissed if he/she gets bad evaluation, but sometimes it happens due to some political reasons.</t>
  </si>
  <si>
    <t xml:space="preserve">Yes. Civil servants are legally protected from arbitrary dismissal and political interference by the Civil Service Code. They further have legal possibilities for appeal and whistle-blowing in cases of such attempts. However, the legislation also allows dismissals due to downsizing or “liquidation of the agency”. These could give the management considerable flexibility. Official appointments are often still dictated by political interference. </t>
  </si>
  <si>
    <t>Yes – by the law (The Law on Civil Service, Article 22 (g)) and No in practice.</t>
  </si>
  <si>
    <t>Yes. The Public Service Act protects state employees from politically motivated dismissals. But, in practice, in the past were not a few cases of such dismissals.</t>
  </si>
  <si>
    <t>Yes. According to the Law on Civil service (1993, 2012) the National Agency of Ukraine for Civil Service is the main institution responsible for policy development and coordination of implementing actions  in this area. Whereas the Ministry of Justice is responsible for prevention against corruption within the civil service corps.</t>
  </si>
  <si>
    <t xml:space="preserve">Yes. According to the amendments to the Regulation on the State Chancellery from March 2011 the civil service division was integrated into the Public central administration Division. It will however preserve fully its previous mandate to coordinate civil service policy. </t>
  </si>
  <si>
    <t>Yes. As noted above, Civil Service Bureau (CSB) is tasked with developing and coordinating civil service policy. However, as of yet, there is no clear policy identified within the government. The only information in this regard is the draft concept of civil service reform and draft of the new civil service code available on CSB web page. CSB is not perceived as having much political or technical clout and its role in policy development is to be doubted.</t>
  </si>
  <si>
    <t xml:space="preserve">Yes. In 2005 under the President of the country created a special commission on public service. Main aims of the Commission are organization of the standard legal acts enforcement adopted in the civil service area, selection and placement of the civil service HR on the competitive basis, professional development, attestation and social protection of the civil servants, as well as guaranty of the performance of the policy provided for by the legislation of the Republic of Azerbaijan referring to other issues related to the civil service. </t>
  </si>
  <si>
    <t xml:space="preserve">Yes. The ex-civil service division and current public central administration reform division is well staffed and is also supported by a number of local experts financed by the World Bank and other donors. In the last 3 years the division played an active role in revising civil service legislation, training civil servants and designing policies for civil servants motivation and evaluation.  </t>
  </si>
  <si>
    <t xml:space="preserve">No. CSB has recently undertaken efforts to streamline human resource policies across various civil service institutions and has offered training to respective managers in electronic human resource management software. Further, CSB is developing a single electronic hiring portal for all civil service jobs. However, CSB has no monitoring and compliance enforcement mechanisms and capabilities. </t>
  </si>
  <si>
    <t>Yes. Respective rights and functions of the Commission on Civil Service described in the Statute of the Commission.</t>
  </si>
  <si>
    <t>No. It can be suggested that function of oversight body plays the Presidential Administration due to the fact that Deputy Head in charge of the personnel policy is responsible for the implementation of the Civil Service Reform as integral part of  the Presidential Economic Programme  for years 2010-2014</t>
  </si>
  <si>
    <t>There are 61,400 perons employed in the secondary schools, 42,000 persons in the MInistry of defense, 28,500 persons in the Ministry of Internal Affairs, etc. The overall number of the civil servants would make about 200,000 persons, which is almost 5% of the population. Unfortunately, precise statistics is missing.</t>
  </si>
  <si>
    <t>Yes. 6.5% in 2008 and 6.4% in 2009, 6,4% in 2010.</t>
  </si>
  <si>
    <t>Yes.The number of civil servants in Azerbaijan is 28482 (2009). The number of employes in Public administration and defense and social security sector is 277,2 thousands (2009) – 3.1% (per head of population).</t>
  </si>
  <si>
    <t xml:space="preserve"> Not at the moment. The salary rate and structure of civil servants salaries under the Law on Civil Service (1993) are not sufficient to attract and retain professional staff in the civil service. But the remuneration provisions are going to be changed (from 1st January, 2013, according to the new Law on Civil Service). The new Law stipulates the increase of basic salaries more than 2 times, and provides for calculation of the size of bonuses and allowances in reference to minimum official salary rate</t>
  </si>
  <si>
    <t>No, especially after the economic crisis in 2011</t>
  </si>
  <si>
    <t xml:space="preserve">The official salary ranges are not defined by any law and the actual salaries are negotiated by individual Ministers and general spending ceiling is negotiated with the Finance Ministry annually. Salaries therefore can vary considerably from ministry to ministry. Only salaries of Ministers, deputy Ministers, heads of departments and ranges of salaries of municipal civil servants (considered not to be competitive) are defined by a Presidential Order. In general, the salaries have significantly improved in recent years. While they may well be enough for adequate standard of living at higher levels of bureaucracy, the civil service salaries alone cannot be appropriate at lower/mid levels, where average salary is reported to be about GEL 700 (approximately USD 410) monthly. </t>
  </si>
  <si>
    <t>No. Monthly salary in public administration sector was EUR 216 in 2009, which is very low.</t>
  </si>
  <si>
    <t>No. Salaries of civil servants are not high. This becomes a cause of corruption. The possibility of corrupt income attracts people to the civil service</t>
  </si>
  <si>
    <t>No. There are not such arrangements in terms of global, horizontal mechanism covering the whole governmental administration on central, regional and local levels. Staff planning is performed within the limits of single bodies.</t>
  </si>
  <si>
    <t>No. Although deployment is provided in current legislation, no deployment practices were performed so far.</t>
  </si>
  <si>
    <t>No. There aren`t effective planning arrangements for deployment of civil servants but there is a statement in the law on provision of necessary conditions in the workplace of civil servants</t>
  </si>
  <si>
    <t xml:space="preserve">No.  The exiting personnel information system ("Kartka") doesn't allow to use  it for human resource management at civil service  </t>
  </si>
  <si>
    <t>Yes. The vacancy announcements are published on the authorities’ websites, within the premises of the institution and sometimes in newspapers. On the central public administration reform website www.rapc.gov.md there is exhaustive information on the civil servants rights, obligation, recruitment, evaluation etc.</t>
  </si>
  <si>
    <t>No. There is no unified database of civil service employees. Individual agencies have own HR management practices and these are not yet harmonized or centralized. Hence there is limited accountability and supervision in individual agencies. It should be noted that the HR management function is underdeveloped in most of the individual agencies and their HR management units are mainly responsible only for relevant paperwork</t>
  </si>
  <si>
    <t>No. Most government agencies do not yet have computer information systems staff</t>
  </si>
  <si>
    <t>No. Under the Law on Civil Service (1993), there are three main procedures to enter into the civil service: competition, inclusion into staff reserve and internship, and there is a  special procedure of appointment for managerial position which allows to appoint for civil service position without a competition procedure a person who is not civil servants - the only requirement for such an appointment is an approval by the superior authority. Under the provision of New Law, 2012, all positions except those of group I should be advertised and filled in based on open competition</t>
  </si>
  <si>
    <t>No. Although according to the law the posts should be made public, including through the newspapers, this is more an exception than a rule.</t>
  </si>
  <si>
    <t>Yes. Information on vacancy posts are published in press outlet having a print-run of at least 3,000 and other mass media (f.e. in Civil Service Council`s website).</t>
  </si>
  <si>
    <t>No. According to Azerbaijani law, the State Commission on State Service announces for the vacant positions of civil servants 6th – 9th Classifications (a lower-level positions). Announcement posted on the site Commission and is also published in newspapers. But in order to ensure fair competition, the publication of vacancies is not enough</t>
  </si>
  <si>
    <t>No. The Law on Civil Service (1993) and the Resolution of the Cabinet of Ministers of Ukraine #169 dated 15th February 2002 (with further amendments) provide for the competition procedure in the form of exam.  Written exams consist of 5 questions to test the knowledge on the Constitution and other legislation of Ukraine. These exams are simple and sketchy procedures and can't be recognized as effective and objective instruments for assessment of candidates. The New Law provides also for the conducting interviews with the candidates  in addition to the exams, but it's impossible to assess the modalities of planned new competition procedure, because of the absence of secondary legislation that should define its details.</t>
  </si>
  <si>
    <t xml:space="preserve">Yes. The recruitment process in described in the Regulation nr. 201 on the employment in the civil service through competition from 11.03.2009. Overall there is no violation of the regulation, though sometimes preferred candidates are employed based on recommendation and not performance during the interview.  </t>
  </si>
  <si>
    <t>Objective assessment remains problematic, despite it being required by the legislation. The usual procedure for recruitment is an oral interview usually conducted by the head of the unit hiring. Presence of a CSB representative is usually recommended, but not required. There is no possibility of independent/outside presence at the interview or other recruiting procedures. Given the high degree of politization of the civil service and evidence of patronage and nepotism, objectiveness of the hiring process is highly doubted
Moreover, it is not obligatory to recruit civil servants on a competitive basis. The civil servants can be appointed after a 6-months probation period without a competition</t>
  </si>
  <si>
    <t>No. The competition holds in two stages: testing and interview. Those participants who answered correctly at least 90 per cent of the test assignments obtain the right to participate in the second stage of the competition. The winners of the interview are considered those participants who received at least 75% of the interview`s score assignment.
The corresponding Competition Commission forwards a conclusion on the participants selected as winners as a result of the competition to the official having the jurisdiction to make appointments to the position concerned. The official appoints one of the participants selected as a winner to the  position. This procedure has subjective grounds because, as a role, winners are more than one participants and the official appoint in the bases of own “taste”.</t>
  </si>
  <si>
    <t>Yes. But only 6th - 9th classifications of administrative positions. Such a rule is established by law on public service. Procedures for the competition are governed by relevant documents, available on the website of the State Commission.</t>
  </si>
  <si>
    <t xml:space="preserve">Yes. Art.11 Law on civil service, 1993 (art.1, 12 Law on civil service, 2012), regulates the introduction of job description for each civil servants position. </t>
  </si>
  <si>
    <t>Yes. Job descriptions are prepared and utilized according to the Government decision nr. 201 on the implementation of the Law on public function and civil servants status from  11.03.2009, annex nr.3.</t>
  </si>
  <si>
    <t>Yes. Job descriptions are mandatory, however the level of detail is not prescribed in the legislation. Hence, in practice the job descriptions are very general and vague
In many governmental agencies the job descriptions are missing at all</t>
  </si>
  <si>
    <t>No. In most government bodies, job descriptions are not yet available.</t>
  </si>
  <si>
    <t>Yes. The competition commission includes representatives of the division that is hiring civil servants and of the human resource division that check the process (Resolution of the Cabinet of Ministers #169 dated 15th February, 2002). According to the Art.20 Law on civil service of  Ukraine (2012) the competition commission may include experts in a relevant field</t>
  </si>
  <si>
    <t>Yes. The examination commission includes representatives of the division that is hiring civil servants and of the human resource division that check the process.</t>
  </si>
  <si>
    <t>No. The requirement is that a recruitment committee be set up for each call. The committee is staffed by the agency recruiting and may also include a representative of the CSB, but this is not required.</t>
  </si>
  <si>
    <t xml:space="preserve">No. The minimum recruitment legislation is the same across the civil service, however, the way individual agencies chose to recruit, the strategies and personnel they employ for this is not currently regulated or streamlined. </t>
  </si>
  <si>
    <t>Yes. Admission to the post of 1th – 5th classifications carried out according to law without open competition.</t>
  </si>
  <si>
    <t>Yes, performance appraisal should be conducted for all civil servants (except pregnant women,
civil servants of patronage service and civil servants
appointed to the position within reporting period) every year  according to the procedure, established by the Order of Main Department of civil service # 122 dated 31 October, 2003. Under the New Law on civil service, 2012, performance appraisal is regulated according to art.29</t>
  </si>
  <si>
    <t>Yes. Civil servants’ performance appraisal takes place once in a year.</t>
  </si>
  <si>
    <t>Partially. There is no formal or uniform performance appraisal system in place. As noted above, bonuses and salary supplements are regularly paid to most civil servants, however basis for them is unclear. Moreover, the amounts of the bonuses are not released by civil service institutions, citing the privacy grounds. Yet, according to the Law on Civil Service (Chapter 8), the attestations (performance appraisals) of civil servants have to be carried out every 3 years. However, this legal obligation is not being fullfiled by most of the government agencies</t>
  </si>
  <si>
    <t xml:space="preserve">Yes.  According to Article 30-1.1 of the law on Public Service: The service performance of civil servants holding administrative positions shall be evaluated in the end of each calendar year. Aim of the service performance appraisal of civil servant is to assess performance of his/her duties during the year, fulfilment of requirement on holding position, as well as to define future development of the employee. The service performance appraisal results shall be considered during attestation of civil servant. </t>
  </si>
  <si>
    <t>Yes, established by legislation</t>
  </si>
  <si>
    <t>Yes. The system, though at its incipient stage has been established based on the Regulation nr. 201 on professional performance  evaluation of civil servants from 11.03. 2009 that was followed by a detailed guide.</t>
  </si>
  <si>
    <t>The attestations are regulated by a special presidential decree</t>
  </si>
  <si>
    <t xml:space="preserve">Yes, art.27 of the Law, 1993, establishes the procedure for vertical and horizontal (higher rank) promotion of civil servants.  The same provisions were transferred to the New Law on civil service, 2012 (art.31) </t>
  </si>
  <si>
    <t>Yes. The legal basis is the law on public function and civil servants’ status.</t>
  </si>
  <si>
    <t xml:space="preserve">Yes. The Civil Service Code (Art. 77) only sets a very broad framework for making promotion decisions. It only specifies, that a civil servant may be up for promotion after at least 6 months of service and recommended by an assessment committee. There are no specific criteria or methodology given for the committee to do the assessment. </t>
  </si>
  <si>
    <t>Yes. The civil service vacancy posts mainly are occupied through competition. The winner of the competition is appoints in the post and receive respective rung.</t>
  </si>
  <si>
    <t>Yes. Civil Service Law (Article 32) regulates these issues to promote public servants.</t>
  </si>
  <si>
    <t>No. Promotion under the Law 1993 taking into account different procedure of appointment (see above)  lead to subjective approach to promotion. Neither the New Law does not provide for the defined promotion procedure</t>
  </si>
  <si>
    <t>No. Although this is stipulated in the law on public function and civil service status, promotion decision are made sometimes in a less transparent way.</t>
  </si>
  <si>
    <t>No. Person appointed in the post automatically receive respective rung.</t>
  </si>
  <si>
    <t>Yes/No . The answer is not always "yes. Promotion is based on merit (in most cases) or at the request of some higher officials or their relatives, friends. There are cases and bribes.</t>
  </si>
  <si>
    <t>No. Promotion (career development)  of civil servants is rather  the results of subjective decision of line manager than established procedure. It can be changed starting from the 1st January of 2013 when the obligatory competition procedure for almost all (except group I) civil servant positions came into force</t>
  </si>
  <si>
    <t>Yes/No    The answer: not always "yes. Comments: Explanation - above.</t>
  </si>
  <si>
    <t>No. However, due to the provisions of the New Law on civil service, 2012, the competition commission may perform such a role</t>
  </si>
  <si>
    <t xml:space="preserve">Yes. The human resources division is responsible for verifying whether the candidates comply with the promotion requirements.  </t>
  </si>
  <si>
    <t>No. The Civil Service Code lacks provision on this.</t>
  </si>
  <si>
    <t>No. But if there are complaints, then they will be treated specially created commissions. But in among the officials to complain is not accepted.</t>
  </si>
  <si>
    <t>Yes. There is a procedure for appeal envisaged in legislation</t>
  </si>
  <si>
    <t>Yes. But in among the officials to complain is not accepted.</t>
  </si>
  <si>
    <t>Yes. The basis for disciplinary procedures include failure to perform the duties assigned, or their inadequate performance; inflicting material damage to the agency, or illicitly creating such conditions; acting against common moral rules or committing indecent acts directing at discrediting the employing agency or the civil service, irrespective of whether the act was committed in official capacity or not. However, the legislation offers to the supervisors a wide opportunity to dismiss the civil servants. That is why these strict regulations cannot provide effective protection of civil servants in practice.</t>
  </si>
  <si>
    <t>Yes. Disciplinary proceedings are regulated by Article 25 of Law on Public Service, but public information on such cases is missing</t>
  </si>
  <si>
    <t xml:space="preserve">Yes, under the Law, 1993, the system of training, retraining and in-service training was established (art.29). The network of training institutions were developed (23 regional centres and National Academy of Public Administration with 4 branches). According to the New Law, 2012, Academy will play a key role in training of CS (art.30). </t>
  </si>
  <si>
    <t>Yes. The civil servants benefit from on-job training, specialized courses organized with the support of donors, including through organized courses at the Academy of Public Administration. Academy courses are published on a yearly basis in the Government decision on the state order for the professional development of public administration staff.</t>
  </si>
  <si>
    <t xml:space="preserve">No. There are no legal provisions on regularity or substance of trainings to civil servants. However, there are considerable training opportunities at different agencies. These tend to be largely foreign donor financed, but not consistent in either time or themes. The high turnover at the civil service associated with insecurity and lack of impartiality of hiring/firing of civil servants discussed above could further erode the impact of the existing training opportunities. The government also operates a special fund for sending Georgian students abroad for graduate education. Here preference is traditionally given to acting civil servants, and the fellows are encouraged to work in civil service upon return. </t>
  </si>
  <si>
    <t>Yes. There are training system and civil servants participate in-service training at least each 3 years (the Law on Civil Service, Article 20 (2).</t>
  </si>
  <si>
    <t>Yes. Civil servants are participating in trainings in their ministries, as well as abroad. The law on civil service regulate additional education of civil servants by Article 22-1.</t>
  </si>
  <si>
    <t>Rather yes, but in practice, being a member or supporter of the ruling party is to have a better chance of promotion</t>
  </si>
  <si>
    <t>Yes. There are some surveys by different fields of public servicies done by different organizations. These surveys aren`t in regular bases and eache year aren`t included all fields of public services. These are cases for 2011 and 2012.</t>
  </si>
  <si>
    <t>No. The results of such surveys somehow used to prepare reforms but not in such level that the answer will be yes. These are cases for 2011 and 2012.</t>
  </si>
  <si>
    <t>According to the Resolution of the Cabinet (dated 11.05.06 #624) all executive power bodies were obliged to introduce ISO 9001 till the end of year 2010. In the middle of 2011 Resolution repealed. For example, NACS introduce the quality management system and orginised trainings for all executive power bodies.</t>
  </si>
  <si>
    <t>Yes. Art 7, 19. law on citizens' appeals</t>
  </si>
  <si>
    <t>World Bank Governance Indicators, 2010 Score</t>
  </si>
  <si>
    <t>Linear transformation, benchmarks defined by EBRD transition countries; best = Slovenia (1.05649998060005), worst = Turkmenistan (-1.43168347862262)</t>
  </si>
  <si>
    <t>Transparency International, CPI 2011 score (rank) http://cpi.transparency.org/cpi2011/results/</t>
  </si>
  <si>
    <t>Linear transformation, benchmarks defined by EBRD transition countries; best = Estonia (6,4 rank 29), worst = Turkmenistan, Uzbekistan (1,6, rank 177)</t>
  </si>
  <si>
    <t>2,3 (rank - 152)</t>
  </si>
  <si>
    <t xml:space="preserve"> 2,9 (rank - 112)</t>
  </si>
  <si>
    <t>2,4 (rank - 143)</t>
  </si>
  <si>
    <t>4,1 (rank - 64)</t>
  </si>
  <si>
    <t xml:space="preserve"> 2,6 (rank -129)</t>
  </si>
  <si>
    <t xml:space="preserve">Yes. The State Control Committee </t>
  </si>
  <si>
    <t>Yes. Chamber of Control is the supreme audit institution in Georgia. Institutionally it is independent of the executive and reports to the Parliament on at least annual basis. Its functions and mandate are regulated by a specific law on Chamber of Control of Georgia</t>
  </si>
  <si>
    <t xml:space="preserve">Yes. The President of the Court of Accounts are appointed by the Parliamentary majority for a 5 years term, at the proposal of the President of the Parliament, for a 5 years mandate. The members of the Court of Accounts are appointed by the Parliamentary majority, at the proposal of the President of the Court of Accounts, for a 5 years mandate (art.18 of the Law on the Court of Accounts, no.261-XVI from 05.12.2008). </t>
  </si>
  <si>
    <t>No. The executive can influence the agency</t>
  </si>
  <si>
    <t>Yes. In law the Chamber is independent from all three branches. Its Chair is nominated by the Chair of the Parliament and elected by the majority of the Parliament for a five year term. The Chair may not be a member of any political party and perform any remunerated job along with his official capacity. other than teaching or research (Article 9 of the Law on Chamber of Control).
It should be noted that the current Chair of the Chamber of Control is considered to be the member of the political team of the ruling party, which negatively affects the independence of the Chamber. Such affiliation became particularly obvious, when the Chamber was assigned the new competency to monitor financial activities of political parties</t>
  </si>
  <si>
    <t>Yes. Audit agency is independent body by the Constitution. But it is in question in reality.</t>
  </si>
  <si>
    <t>No. The Chamber of Accounts  is created by Parliament under the Constitution. In practice. the Chamber is dependent on the executive (the president's administration).</t>
  </si>
  <si>
    <t xml:space="preserve">Yes. Chairman of the Accounting Chamber shall be appointed by the Verkhovna Rada of Ukraine on the submission of the Head of the Verkhovna Rada of Ukraine for 7 years with the right to appointment for a second term. Appointment of Chairman of the Accounting Chamber is conducted by secret ballot. Candidate for Chairman of the Accounting Chamber is appointed, if he/she received a majority of votes in the constitutional composition of the Verkhovna Rada of Ukraine </t>
  </si>
  <si>
    <t>Yes. The Chair of the Chamber enjoys immunity – he/she may not be arrested or searched without the consent of the Parliament. except when caught at the moment of crime. This case too must be immediately communicated to the Parliament. Unless the Parliament lifts the immunity within 48 hours of notification. the Chair must be immediately released from custody
According to the Constitution, the Chair of the Chamber of Control can be dismissed based on the impeachment procedure. In such case, the violation of the constitution or committed crime shall be confirmed, respectively, by the Constitutional Court or Supreme Court of Georgia</t>
  </si>
  <si>
    <t>Yes. The head of the audit agency protected from removal by the law</t>
  </si>
  <si>
    <t>Yes/No. The law protects the leadership of the Chamber of Accounts of early dismissals. However. in practice. if desired. the executive power. dismissal is possible. Comments: According to Article 5 of the Law on the Chamber of Accounts</t>
  </si>
  <si>
    <t>Yes. Members of Accounting Chamber (First deputy and Deputy Head, Chief Comptrollers and Secretary of the Accounting Chamber) shall be appointed by the Verkhovna Rada of Ukraine on recommendation of the Chairman of the Accounting Chamber by secret ballot for 7 years in the manner prescribed for the appointment of Chairman of the Accounting Chamber.</t>
  </si>
  <si>
    <t>Yes. The Chair of the Chamber appoints all of the agency staff. including all of the deputies</t>
  </si>
  <si>
    <t>Yes. The staff members of the audit agency are civil servants and the practices of appointing agency staff support the independency of the agency by the law but not in reality</t>
  </si>
  <si>
    <t>No. Everything is very well regulated by the executive.</t>
  </si>
  <si>
    <t xml:space="preserve">Yes. The draft budget of the Chamber of Control is elaborated by the Chamber and submitted to the Ministry of Finance by the Parliament. The law provides safeguards for the adequacy of the level of funding for the Chamber – funding for a given year may not be less than funding allocated for the previous year. and absolute reduction is only admissible at the consent of the Chair of the Chamber </t>
  </si>
  <si>
    <t>Yes. The audit agency receives regular funding from the state budget.</t>
  </si>
  <si>
    <t>Yes. 
Standard of the Accounting Chamber "Procedure of preparation and inspection
 and execution of their results",  adopted by the Resolution of the Accounting Chamber # 28-6 dated December 27, 2004, and registered in the Ministry of Justice of Ukraine
( January 28, 2005, #115/10 395)</t>
  </si>
  <si>
    <t>Yes, but they are often violated</t>
  </si>
  <si>
    <t>Yes. However, it should be noted that the Chamber sometimes fails to provide the high quality and objective audit of the government agencies</t>
  </si>
  <si>
    <t>Yes. There are procedures. which are regulated in detail by the Law on Control Chamber</t>
  </si>
  <si>
    <t>Yes. The Accounting Chamber annually by 1 December  shall submit a written report to Verkhovna Rada of Ukraine on the overall results of  inspections, audits and examinations, as well as the costs of these activities. Report of the Accounting Chamber, approved by the Verkhovna Rada of Ukraine, published in editions of the Verkhovna Rada of Ukraine (art.35 of the Law on Accounting Chamber).</t>
  </si>
  <si>
    <t xml:space="preserve">No. The Chamber must present an annual report to the Parliament and that report is public. However no other reports on individual audits are proactively made public and cannot be found on the Chamber’s web page. </t>
  </si>
  <si>
    <t>Yes. The Control Chamber regularly publishes annual reports and current reports also</t>
  </si>
  <si>
    <t xml:space="preserve">Yes/No. According to Article 21 of the Law on the Chamber of Accounts: The Chamber of Accounts regularly informs the mass media on its activities. The reports on the activities of the Chamber of Accounts are submitted to Parliament and published in “The Information of Parliament”. Annual Reports of the Chamber of Accounts posted on the site: </t>
  </si>
  <si>
    <t xml:space="preserve">Yes. The parliament hears the Chair of the Chamber annually and may request the Chamber to conduct an audit of a specific program/institution and then hear the findings of the audit.
Such debates, though, often have a more general nature </t>
  </si>
  <si>
    <t xml:space="preserve">Yes.  Audit agency at least ones in a year submits report of its audit to the Parliament. However, the presenting of this report in the parliament is completely nominal/formal and is not followed by any debating.   </t>
  </si>
  <si>
    <t>Yes/No. Once a year a report of the Chamber of Accounts is presenting to the parliament.</t>
  </si>
  <si>
    <t xml:space="preserve">Yes. Concept of development of financial management and control system till the 2017 (adopted in 2005 and revised in December 2009). </t>
  </si>
  <si>
    <t>Yes. The law on Internal Audits was adopted in spring. 2010. However the detail of the document and resources for its implementation may be doubted. The policy paper and action plan preceded presentation and adoption of the law. However,  as the progress report mentions, standards yet need to be developed and implemented.</t>
  </si>
  <si>
    <t>Yes. The Ministry of Finance has a service on state financial control. This office has the authority to control expenditure of budget funds in government bodies</t>
  </si>
  <si>
    <t>Yes. The action plan, specifying measures to set up the PIFC system is adopted by the Order of Cabinet of Ministers               # 456-r dated 22 October 2008</t>
  </si>
  <si>
    <t>Yes. According to the Progress report the action plan was presented in 2009 and included specific actions and their schedule - more detailed for the year 2009 and more generic up to 2013</t>
  </si>
  <si>
    <t>Yes/No. According to a source from the Ministry of Finance there is the plan. but he is not satisfied.</t>
  </si>
  <si>
    <t xml:space="preserve">Yes. For example, special unit was created in the Ministry of finance of Ukraine - Division on internal financial control and audit </t>
  </si>
  <si>
    <t>Yes. Financial management and control systems are formally in place at each Georgian ministry (Law of Georgia on State Internal Financial Control), but these bodies lack independence which is the core principle of international internal audit and control systems.</t>
  </si>
  <si>
    <t>Yes. These systems are functioning in central government and mainly in urban municipalities. It is not in place in many rural municipalities/communities</t>
  </si>
  <si>
    <t>No.  See paragraph 11 above</t>
  </si>
  <si>
    <t>No. But according to the Concept of development of PIFC, during the year 2012-2016 it is envisaged to set up in all state and communal bodies special units on internal audit</t>
  </si>
  <si>
    <t xml:space="preserve">Yes. The adoption of a single legislative framework regulating the internal audit in spring 2010 is a significant step forward. in itself. However. the new legislation fails to address the weaknesses of the internal control system that have previously made it lacking in effectiveness. </t>
  </si>
  <si>
    <t>Yes. The Parliament adopted the Law on Internal Audit. which is related to the Public Sector and there are functionally independent internal audit units by this law but actually independency of these units is in question.</t>
  </si>
  <si>
    <t>No. See paragraph 11 above</t>
  </si>
  <si>
    <t>Yes. Responsibility for development of PIFC is assigned to Ministry of Finance (Ministry should develop and implement the system together with Accounting Chamber and Main Control and Audit Department)</t>
  </si>
  <si>
    <t>Yes. The Ministry of Finance is the agency in charge of all finance related developments in the country</t>
  </si>
  <si>
    <t>The Law on Public Procurement of 2010 stated that if services cost are over UAH 1 mln then procurement pattern is strictly defined by this law. Later on the amendments to the aforementioned tender law allowed public agencies to perform procurement outside the strict pattern if they spend for it money earned by these public agencies proper.</t>
  </si>
  <si>
    <t xml:space="preserve">Yes. The procurement process is regulated by the Law on Procurement, but details of the process are prescribed in the Rules of State Procurement approved by the head of the Agency. This currently allows for three types of procurement: an open tender, a competitive price quotation and a single source negotiation. The main governing principle of the different categories is price. </t>
  </si>
  <si>
    <t>Yes. Sole source contracting is allowed by the Georgian legislation in cases when the supplier is the only source of a skill or technology, or when representation is being procured, or when there is a tight schedule, among others. While the list is specified by the Law on State Procurement, it is still quite extensive.</t>
  </si>
  <si>
    <t>Yes. According to the Decree of the Minister of Finance (10.05.2010). which is followed to the Law on Procurement are defined conditions if sole sourcing is limited</t>
  </si>
  <si>
    <t>Yes. According to the Law on Public Procurement (art.18) each economic agent can instigate an official review of procurement decisions</t>
  </si>
  <si>
    <t>Yes. Unsuccessful bidders can instigate an official review not only procurement decisions but also actions (inactions) of customer. evaluating commission and procurements` appeal council</t>
  </si>
  <si>
    <t xml:space="preserve">Yes. Art. 17 of the Law on public procurement envisages the criteria for refusal to participate in the procurement procedure, among which conviction of bribery/corruption  </t>
  </si>
  <si>
    <t>Yes.  There isn`t such statement in the list of participation limitations by the law</t>
  </si>
  <si>
    <t>Yes. There is special web-portal on public procurement. https://tender.me.gov.ua/EDZFrontOffice/</t>
  </si>
  <si>
    <t>Yes. The regulations are available on the SPA web page www.spa.gov.ge</t>
  </si>
  <si>
    <t>Yes. All regulations are published</t>
  </si>
  <si>
    <t>Yes. Texts of public procurement law and regulations are available at site</t>
  </si>
  <si>
    <t>Yes. Art 32 of the Law on public procurement. Announcement of the procurement charge is published in the official state publication of the procurement and free of charge placed on the web portal of the body which announce the procurement within seven days from the date of contract execution or decision on cancellation of tender.</t>
  </si>
  <si>
    <t xml:space="preserve">Yes. With the introduction of electronic procurement platform in December 2010 all public procurement results are accessible to public on the SPA web page. Before the reform only paper contracts were available and there was no effective archiving system in place. making it practically impossible to find documents for a specific bid. </t>
  </si>
  <si>
    <t>Yes. Consumer is obliged to provide citizens the results in the bases of application</t>
  </si>
  <si>
    <t>Yes. The website of the State Agency for Government Procurement has a roster of tenders</t>
  </si>
  <si>
    <t>No. under Article 111 of the Ukraine’s Constitution, the decision on the removal of the President from office through the procedure of impeachment is adopted by the Verkhovna Rada of Ukraine by no less than three-quarters majority of its constitutional composition, after the review of the case by the Constitutional Court of Ukraine, and the receipt of its opinion on the observance of the constitutional procedure of investigation and consideration of the case of impeachment, and the receipt of the opinion of the Supreme Court of Ukraine to the effect that the acts, of which the President is accused, constitute high treason or other crime.</t>
  </si>
  <si>
    <t xml:space="preserve">Yes. To impeach the president the legislature needs two thirds of deputies voted in favour in the Soviet of the Republic (the upper chamber) and two thirds of deputies in the House of Representatives. </t>
  </si>
  <si>
    <t>No. According to the Georgian Constitution (article 63, 75), the Parliament shall submit the case to the Supreme Court or Constitutional Court for a conclusion. If, by its conclusion, the Supreme Court confirms corpus delicti in the act of the President or the Constitutional Court confirms the violation of the Constitution, the Parliament is entitled to proceed with the impeachment procedure</t>
  </si>
  <si>
    <t>Yes. The Constitution accords the national legislature the power to to impeach the President of the Republic. The President can be dismissed from his post in the case of a grave crime committed by him (Article 107 of the Constitution). The dismissal procedure can also be initiated against Judges (Article 128, paragraph 4 of the Constitution).</t>
  </si>
  <si>
    <t>Yes. Under the Constitution (Article 60), “A member of the Government, an official elected, appointed or approved by the Parliament, shall be entitled and in case of request shall be obliged to attend the sittings of the Parliament, its Committee or Commission, to answer the raised questions at a sitting and submit an account of an activity. At a request such an official shall be heard by the Parliament, Committee or Commission”. However, opposition usually fails to summon Minister of Justice, Minister of Interior or defense Minister to the Parliament.</t>
  </si>
  <si>
    <t xml:space="preserve">                                                                                                                                               Yes, According to the article 80 of the Constitution of Armenia “Deputies shall be entitled to ask the Government written and oral questions while the factions and deputy groups shall also be entitled to submit interpellations to the Government. During one sitting of the regular session week the Prime Minister and the Government members shall answer the Deputies’ questions.” The Government members can be regularly invited to the hearings and sessions, according to the Law on Rules Of  Procedure Of The National Assembly.</t>
  </si>
  <si>
    <t>No. However, the executive keeps its strong and total influence over the legislative on all decision-making issues, as the legislative plays a rubber stamp role.</t>
  </si>
  <si>
    <t>Yes: according the Law on Temporary Commissions of Inquiry, Special Temporary Commission of Inquiry and Temporary Special Commissions of the UA parliament. However, on 10 September 2009, the Constitutional Court of Ukraine declared this Law unconstitutional as the constitutional procedure for its enactment was violated. Therefore, the commissions of inquiry conduct investigations without appropriate legal basis, which to some extent decreases the level of effectiveness of the investigations.</t>
  </si>
  <si>
    <t xml:space="preserve">Yes. Under the Rules of Procedure of the parliament of Georgia (Article 54), Investigative Committees could be created on the basis of the information of unlawful actions of the state organs or officials that threatens security of the country, its sovereignty, territorial integrity, political, economic or other interests of the country. However, as under the Rules of Procedure of the Parliament, the Investigative Committees could be created only with the consent of the majority of the members of the Parliament, opposition does not have the power to influence the decision of the ruling party. </t>
  </si>
  <si>
    <t xml:space="preserve"> Yes, According to the article 73 of the Constitution of Armenia and according to the Law on Rules Of  Procedure Of The National Assembly, NA can form committees to investigate acute issues.                                                                                  </t>
  </si>
  <si>
    <t xml:space="preserve">No. Though the Constitution and other normative acts give legislature enough power to legislative, but the executive has de-facto upper hand and always keep the legislature as a toothless structure. </t>
  </si>
  <si>
    <t>Yes, but in practice this happens very rarely and the process is not consistent</t>
  </si>
  <si>
    <t>No. Under the Constitution, it is the President’s exclusive authority to dismiss the Ministers of Justice, Internal Affairs and the defense
However, the parliamentary interpellation right can be exercised also vis-à-vis these ministers. Besides, any member of the government can be dismissed by the Parliament based on the impeachment procedure (the final decision on this matter is made in accordance with the conclusion of the Constitutional Court or Supreme Court (see above) by the absolute majority of MPs)</t>
  </si>
  <si>
    <t>Yes, According to the article 80 of the Constitution of Armenia.                                                                                   Suggestion: to change the score</t>
  </si>
  <si>
    <t>No. The law enforcement or power ministries remain under the personal oversight of the executive – President I. Aliyev. These power ministries are effectively used in government’s crackdown of political opposition and dissenting views in the country.</t>
  </si>
  <si>
    <t xml:space="preserve">The Parliament appoints the prime-minister, but it cannot do so against the will of the President.                             </t>
  </si>
  <si>
    <t>The President of Armenia on the basis of the distribution of the seats in the National Assembly and consultations held with the parliamentary factions, appoints as Prime Minister the person enjoying confidence of the majority of the Deputies and if this is impossible the President of the Republic appoints as the Prime Minister the person enjoying confidence of the maximum number of the Deputies (Article 55 (4) of the Constitution of Armenia).</t>
  </si>
  <si>
    <t>No. As a rule, President of Azerbaijan submits the Parliament the nomination of a person to the post of Prime Minister for approval. The President submits for discussion to the Milli Majlis a proposal on the nomination to the position of a Prime Minister no later than one month after the day of taking office or no later than a fortnight after the day of resignation of the previous Cabinet of Ministers. The Milli Majlis gives its consent to the nomination to the post of a Prime Minister no later than one week after the day the nomination was presented.</t>
  </si>
  <si>
    <t>Yes. The parliament can pass a vote of confidence in the cabinet. Government accountability to the parliament is collective. However, government accountability to the parliament is limited, since the Cabinet reports directly to the President.</t>
  </si>
  <si>
    <t>Yes. Under the 2004 amendments to the Constitution, the president had the right to dissolve the legislature. The president used his powers in 2007, when the parliament was dissolved and pre-term election was called. However, in 2010 the Constitutional Court declared unconstitutional the 2004 amendments to the Constitution. As a result, Ukraine returned to the 1996 Constitution, whose Article 90 provides that the President may dissolve the Parliament only in one case – when the legislature within 30 days of a single regular session fails to commence its plenary meetings.</t>
  </si>
  <si>
    <t>No. It is the President’s exclusive authority to dissolve the Parliament. However, the President does represent not only the Head of the executive branch; he is the Head of the State as well.   The President is the supreme executive authority in Georgia and he/she is authorized to dissolve the Parliament.</t>
  </si>
  <si>
    <t>Yes. The President does not have the right to dissolve the parliament (Milli Majlis), but he/she does have the right to veto its decisions. To override a presidential veto, the Milli Majlis must have a majority of 95 votes.</t>
  </si>
  <si>
    <t>No. The president of Ukraine is granted the right to issue decrees, which are not legally required to be approved by the legislature</t>
  </si>
  <si>
    <t>No. Under the Constitution of Georgia (Article 73 (1) q) ), the President may issue a decree having the force of law on tax and budgetary issues during the period between the dissolution of the Parliament and the convocation of a newly elected Parliament. It should be noted that the President - in exceptional cases - and Government can submit legislative drafts to the Parliament. Besides, it is an exclusive authority of the President to submit a draft on the quantity of the military, and it is an exclisive authority of the Government to submit the draft State Budget (with the President's consent) to the Parliament</t>
  </si>
  <si>
    <t>No. According to Art. 113 Constitution, the President may issue decrees. Such decrees should not contradict the Constitution and the laws of the Azerbaijan Republic (Art. 149 Constitution).</t>
  </si>
  <si>
    <t>Yes. In accordance with the article 93.2 of the Constitution, the President of Moldova is entitled to return the draft law to the Parliament with his remarks. The Parliament can override the veto of the President if the Legislature  maintain the previous decision.</t>
  </si>
  <si>
    <t>Yes/no. Under the Constitution, the President of Georgia is entitled to return the draft law to the Parliament with his remarks. The Parliament can override the veto of the President by not less than three fifths of the number of the members of the Parliament on the current nominal list. The constitutional amendment shall be deemed to be passed if it is supported by not less than two thirds of the total number of the members of the Parliament. In sum, a qualified (not simple) majority may overrule presidential veto, but qualification is quite common too.</t>
  </si>
  <si>
    <t xml:space="preserve">Yes, Article 55 (2) of the Constitution. According to the Article 55 (2) of the Constitution of RA the President of the Republic: "shall, within twenty one days of receipt, sign and promulgate, the laws passed by the National Assembly; Within this period he/she may remand the law passed by the National Assembly to the latter with objections and recommendations requesting for new deliberations. The President shall, within five days, sign and promulgate the law re-adopted by the National Assembly;".According to the Article 72 of the Constitution of RA,"Should the National Assembly decline to accept the recommendations and objections presented by the President of the Republic, it shall pass the remanded law, again with a majority vote of the number of Deputies.The National Assembly shall deliberate on a priority basis any law, which has been remanded by the President. " </t>
  </si>
  <si>
    <t>No. The legislator is entitled to initiate bills in all policy areas except for the draft of the state budget and quantity of the military. Only the Government, with the consent of the president, is entitled to submit draft budget to the Parliament. In addition, a draft law which results in increase of expenditure of the State Budget of the current year, reduction of an income or taking of the new financial obligations by the State, may be adopted by the Parliament only after the consent of the Government</t>
  </si>
  <si>
    <t xml:space="preserve">No. The National Assembly upon the recommendation of the Government approves the administrative territorial division of Armenia. The Government submits the draft state budget to the National Assembly for approval (Article 82 and 89 (2) of the Constitution of Armenia). </t>
  </si>
  <si>
    <t>Yes. The legislature approves the law on annual state budget and executive acts according to the law.</t>
  </si>
  <si>
    <t>No. Finances of the legislature control by the Presidential administration</t>
  </si>
  <si>
    <t>Yes.The National Assembly is elected for a term of five years (Article 63 of the Constitution of Armenia).</t>
  </si>
  <si>
    <t>No, a part of the upper chamber’s deputies are appointed by the president</t>
  </si>
  <si>
    <t>Yes. The National Assembly is elected for a term of five years.</t>
  </si>
  <si>
    <t>Yes. The members of 125-seat parliament are all elected. But, the elections are always marred by serious falsification and violations. Majority of the parliamentarians are close relative or cronies of the ruling Aliyev family. Therefore, the executive stands at the top of appointing the members of the so-called elected parliament.</t>
  </si>
  <si>
    <t>No, amendments to the Constitution shall be promulgated for one month public discussion. This provision does not legally oblige the Parliament to take into account the results of the public discussion. It should be stated that the President can exercise the veto right against the constitutional changes. However, such veto can be overriden by a 2/3 majority (2/3 will be replaced by 3/4 after the presidential election of 2013)</t>
  </si>
  <si>
    <t>Only those, that require ratification and/or provides for accession of Georgia to an international organization or intergovernmental union; is of a military character; pertains to the territorial integrity of the state or change of the state frontiers; is related to borrowing or lending loans by the state; requires a change of domestic legislation, adoption of necessary laws and acts with force of law with the view of honouring the undertaken international obligations. The Parliament shall be notified about the conclusion of other international treaties and agreements.</t>
  </si>
  <si>
    <t>Yes. The National Assembly ratifies those international treaties: a) which are of political or military nature or stipulate changes of the state borders, b) which relate to human rights, freedoms and obligations, c) which stipulate financial commitments for the Republic of Armenia,d) application of which shall bring about legislative amendments or adoption of a new law, or stipulate norms contravening the laws,  e) which prescribe ratification,f) in other cases defined by law (Article 81(2) of the Constitution of Armenia).</t>
  </si>
  <si>
    <t>Yes, but Art. 73 (1) n) of the Constitution authorizes the President to grant pardon whereas a special provision on amnesty is lacking in the Constitution. Amnesties are granted by special parliamentary laws</t>
  </si>
  <si>
    <t xml:space="preserve"> Only approves</t>
  </si>
  <si>
    <t xml:space="preserve">No, the president of the National Bank of Georgia is appointed by the President of Georgia from among the members of the Council of the National Bank. The members of the Council of the National Bank are elected by the Parliament upon the nomination of the President of Georgia. </t>
  </si>
  <si>
    <t>Yes. The Parliament has a role to play in the selection of the members of the Board of Trustees of the Public Broadcaster</t>
  </si>
  <si>
    <t xml:space="preserve">Yes. Parliament determines the amount and limits of financial aid for the state-owned media. It also  determines the appointment of new members to the board of Radio and TV Broadcasting Council. The main role of the parliamentary in the approval of the new members of Public Radio and TV Broadcasting Council is to approve one out of the nominated 2 candidates.  </t>
  </si>
  <si>
    <t>Yes. Each legislator has four assistants</t>
  </si>
  <si>
    <t xml:space="preserve">No. Only Head of the Committees and Heads of the Fractions have a personal secretary, as well as the President and Vice-Presidents of the Parliament </t>
  </si>
  <si>
    <t>Yes. Since the parliamentary elections of 2005, each legislator operates with their personal secretary.</t>
  </si>
  <si>
    <t xml:space="preserve">No. Only the Parliamentary Committees and Fractions have non-secretarial staff with policy expertiseas, as well as the President and Vice-Presidents of the Parliament </t>
  </si>
  <si>
    <t>The law does not pecify this issue, but it is possible to have such staff. One personal assistance may be a policy expert.</t>
  </si>
  <si>
    <t>How experienced are legislators? Number of MPs re-elected / total number of MPs</t>
  </si>
  <si>
    <t>linear transformation best = 0.5, worst = 0. These benchmarks assume that a legislature's institutional capacity is improved if a significant share of lawmakers can rely on experiences from the previous legislative period. However, since few changes in the composition of a legislature may also indicate problems of lacking representativity or adaptability, they should not be rewarded through the coding. Therefore 50 percent of experienced legislators is defined as the best possible performance.</t>
  </si>
  <si>
    <t>347/528 = .657</t>
  </si>
  <si>
    <t>30/110 = .273</t>
  </si>
  <si>
    <t>51 of 150 MPs re-elected (=.34). However, information about other MPs having previous experience as members of the Parliament might be missing as work experience of the representatives of the Labour Party is not posted on the website</t>
  </si>
  <si>
    <t>0.25 (33/131).</t>
  </si>
  <si>
    <t>125 MoPs are elected for 5 year term in the Parliament. Over 50 parliamentarians, mainly the members of the ruling YAP party, have been reelected in past two parliamentary elections (2005 and 2010) (= .4).</t>
  </si>
  <si>
    <t xml:space="preserve">No. The Parliament’s Rules of Procedure (Art. 81) state that the chairs of the parliamentary committees are allocated on the basis of proportional representation of the political groups in the leadership of the committees. However, the relevant provisions of the Rules are not enforced. </t>
  </si>
  <si>
    <t>Yes. Currently, the governing coalition with 59 seats in Parliament chairs 6 out of 10 permanent parliamentary commissions.</t>
  </si>
  <si>
    <t>No. Candidatures on the position of Chairs of Parliamentary Committees are nominated from among the members of the Committees by the Fractions, Majority, Minority, and those MPs (consisting of at least 6 persons) who are not members of any Parliamentary Fraction
Currently, all Committe Chairs are members of the ruling party</t>
  </si>
  <si>
    <t>Yes. Compositions of the Parliamentary Committees are determined in proportion to the Fraction members and the number of parliamentarians who are not member of any fraction. Fractions in its turn are composed of the parliamentarians who share same political views and interests. Member of the Parliament (except majoritarian members) elected on the party list do not have a right to be involved in any fraction except for the one created by its party members.</t>
  </si>
  <si>
    <t xml:space="preserve">Yes. The membership composition of the committee must reflect the quantitative ratio of factions, deputy groups and other Deputies not included in factions or groups (the Law on Rules of Procedure of the National Assembly, article 11).  </t>
  </si>
  <si>
    <t xml:space="preserve">No. The members of the committees are mainly composed upon the wish of the parliamentarian themselves. It depends on the desire of a parliamentarian himself/herself to be in particular committee.   </t>
  </si>
  <si>
    <t xml:space="preserve">Speaking time in plenary sittings is allocated according on an equitable basis </t>
  </si>
  <si>
    <t xml:space="preserve">Yes, opposition parties receive as much speaking time as governing parties: During political debates the speaking time as allocated equally to the Majority, Minority (45 minutes each); Fractions and Speaker of the Parliament (15 minutes each) and each parliamentarian who is not a member of any Fraction (5 minutes). Each parliamentarian, irrespective of its affiliation is entitled to 5 minutes speech during plenary sessions </t>
  </si>
  <si>
    <t>Yes. Speaking time for all political groups is the same.</t>
  </si>
  <si>
    <t>Seat differential between governing party / coalition and main opposition party / alliance, 1.3.2011; Difference between seat shares in pct points</t>
  </si>
  <si>
    <t>The Constitution and Rules of Procedure provide no distinction between opposition and governing party/coalition. In fact, opposition parties include 167 MPs, while governing parties - 255 MPs. Other MPs belong neither to opposition nor to ruling coalition. Hence, seat differential equals to 20.9%.</t>
  </si>
  <si>
    <t>Coalition has 58 seats and main oppsition party has 39 seats with a difference of 19 seats. Also, there are 4 non-affliates members. The coalition shares 57,42% of toatl seats and the main opposition party - 38,61%. Seat differential = 18.81 pct points</t>
  </si>
  <si>
    <t>Difference between seat shares between UNM (113) and Christian Democrats (7) – 76.81%?</t>
  </si>
  <si>
    <t>Coalition factions have 97 seats and opposition factions 23 seats officially. 11 MPs don`t belong to any faction but actually they are also coalition members.  Total number of seats is 131. Seat differential: 64.89 pct points</t>
  </si>
  <si>
    <t xml:space="preserve">With the incumbent party getting 71 seats out of 125, major opposition parties failed to get any single seat because of the massive violation and falsifications. Remaining 54 seats were filled by the pocket opposition and pro-governmental parties. </t>
  </si>
  <si>
    <t>Linear transformation, best = 23% (% of opposition bills Moldova), worst = 0 Belarus</t>
  </si>
  <si>
    <t xml:space="preserve">282/1609 (17.5%). </t>
  </si>
  <si>
    <t>The opposition submitted 20 bills of a total of 88 bills  bills submitted in the most recent terminated legislative period (=.23)</t>
  </si>
  <si>
    <t>During 2011 spring session of the Parliament of Georgia, 2 bills have been submitted by a opposition deputy, Giorgi Tsagareishvili, out of 98 bills submitted to the Parliament in total. (=.020)</t>
  </si>
  <si>
    <t>46/201 (opposition/position).The government also has right to submit bills to the Parliament. (=.229)</t>
  </si>
  <si>
    <t xml:space="preserve">5/125. There is no such statistics, as traditionally all the bills initiated by the opposition deputies have been turned down or even not considered. Comments: Before the parliamentary elections of November 2010, the number of opposition MPs in the parliament were 5. In the past, none of their initiatives on bills have been taken into consideration. </t>
  </si>
  <si>
    <t>0,0156 - 7 of 450 MPs (= .016). As in 2004 the Parliament introduced so called “imperative” (party administered) mandate, the number of deputies who shifted factions in the parliament of the 5th convocation decreased significantly in comparison to the parliament of the 4th convocation (2002-2006). Notwithstanding that, in the Parliament of the 6th convocation (2006-2007) 7 MPs were expelled from their factions on the basis of the relevant factions’ decisions</t>
  </si>
  <si>
    <t>0,0396 - 4 of  MPs  (4/101=.040) changed their group affiliation during the most recent legislative period</t>
  </si>
  <si>
    <t xml:space="preserve">0,087 - 13 of 150; Six Members of the Parliament entered the Parliament on the party lists of the Coalition “United Opposition” (see the names above) though the majority of the Coalition members decide to boycott the results of the 2008 Parliamentary Elections. They affiliated themselves with different parliamentary fractions. The Republican Party also called majoritarians running from its coalition not to enter the Parliament; however, they did. Recently, one MP moved from UNM to Christian-Democrats and one more MP left UNM. Besides, one MP was dismissed from UNM as he voted against the constitutional amendments in 2010. </t>
  </si>
  <si>
    <t xml:space="preserve">0,0229.  2 had left their group affiliation, without changing it- one from ruling Republican party, one-from opposition party. The “Law on Parliament regulation” does not allow to MPs to change their group affiliation, but only to leave. Total no. of MoPs: 131. </t>
  </si>
  <si>
    <t>0,2 - There has not been any change in the group affiliation in past decade. According to the Regulation of Azerbaijan Parliament, at least 25 parliamentarians should come together to establish a fraction. An unregistered deputies’ group ‘Musavat’ comprising five MPs functioned in the Parliament from 2005-2010. To have 25 parliamentarians to form a fraction is a serious barrier for establishing a fraction as compared to 125 parliamentarians. It presents obstacles to form fractions and democratize the Parliament.</t>
  </si>
  <si>
    <t>4,59 (2008-0,43%; 2009-12,47%; 2010-0,89%)</t>
  </si>
  <si>
    <t>4,03 (In 2008, actual expenditures amounted to 97,3% of scheduled, in 2009 - 84,7%, and in 2010 - 95,9%. Comments: This is a "merit" of the Ministry of Finance)</t>
  </si>
  <si>
    <t>The Government approves Medium-term Expenditure Framework for 3 years each year, which includes fiscal forecasts of revenue and expenditure and potential deficit financing.</t>
  </si>
  <si>
    <t xml:space="preserve">No.  </t>
  </si>
  <si>
    <t>No. The main source of this information is to be the site of the Ministry of Finance. Unfortunately. there is not enough information on the website of the Ministry and getting smaller as compared to previous years. Before. the site of the Ministry was richer.</t>
  </si>
  <si>
    <t>Yes. Accrual monthly reports</t>
  </si>
  <si>
    <t>Yes. The information on current year is exposed on the web site of the Ministry of Finance.</t>
  </si>
  <si>
    <t>Yes. Annual performance reports are set on the site of Ministry of Finance. but very briefly.</t>
  </si>
  <si>
    <t>Yes. Aggregated Information on these sectors is available on the website of the Ministry of Finance</t>
  </si>
  <si>
    <t>No clear explanation of proportionality. No express prohibition to use weapons in crowd control. Exceptions are strictly defined.</t>
  </si>
  <si>
    <t xml:space="preserve">There is no explicit law, but the Law on militia prescribes the principle of proportionality. The Law however does not prescribe strictly when to use lethel and non-lethal weapons. </t>
  </si>
  <si>
    <t xml:space="preserve">If there are internal regulations of the Ministry of Internal Affairs regulating crowd control, they are not accessible. Use of lethal and non-lethal force (special means) is regulated by the Law on Police (articles 12, 13) and Ministerial Decree 1586 (on the storage, carry and use of special means by employees of the Ministry of Internal Affairs). There is no clear prohibition on the use of lethal force in crowd control; however, there is a general prohibition on the use of lethal force in places, where others could be injured. The Law on Police and the Ministerial decree on the use of non-lethal weapons to prevent massive disorders is very general and could not be said to satisfy the requirements of "absolute necessity" (requirement of the ECHR)  </t>
  </si>
  <si>
    <t xml:space="preserve">THE LAW OF THE REPUBLIC OF ARMENIA ON POLICE(16.04.2001), article 32 "It shall be prohibited to employ firearms...during considerable accumulation of people when other persons may suffer from the exercise of firearms. " And the draft law on “ON LEGAL REGIME OF STATE OF EMERGENCY”, which was apparoved by RA National Assembly on March 21, 2012 (still waiting for Prezidetn's signing) clearly prescribes, that the conditions and limits of the use of physical force, special means, weapons and military equipment, already regulated by law are not subject to change in the state of emergency. There are also other legal acts and draft laws clearly prescribing this principle.  </t>
  </si>
  <si>
    <t>Yes. In 2009.</t>
  </si>
  <si>
    <t>Yes, the latest examples are the cracdown in the day of Presidential Election of 2010 and during "silent protests" in the summer 2011</t>
  </si>
  <si>
    <t xml:space="preserve">Yes, there have been number of cases. The most recent example of excessive use of force by special operation forces was dispersal of manifestation on 26 May, 2011, as a result of which dozens have been injured and 4 persons died. Disproportionate force has been used by police officers on 15 June 2009, as a result of which dozens of peaceful protesters sustained severe bodily injuries. As a result of indiscriminate use of (by that time illegal) rubber bullets by special operation forces while dispersing crowd in front of the police headquarters in Tbilisi, two persons lost their eyes and several have been seriously injured on 6 May, 2009.   </t>
  </si>
  <si>
    <t xml:space="preserve">"The question of police violence and abuse has been a recurrent issue in Armenia. The ten deaths which occurred during the March 2008 events (opposition protests after presidential elections in Armenia in March 2008-Country expert), some of which most probably resulted from excessive use of force by a public authority, have turned a stark spotlight on underlying problems". "It should be noted that during the March 2008 events, the police was firing tracer bullets with Kalashnikov sub-machine guns over the heads of protesters. Taken together with the fact that the Makarov PM is the standard issue sidearm of the Armenian police, it would seem that there is a high likelihood that some of the bullets found in the bodies of the victims can be traced to the weapons that fired them. Nevertheless, the investigation services have indicated that they were unable to trace any of the bullets, despite performing checks with all available weapons used by the police. It has also been impossible to match the tear gas grenades that killed three persons to the weapon that fired them due to the fact that the bore does not leave a suitable ballistic signature on the plastic casing of the grenade22 (a fact which had also been confirmed by a foreign expert).   https://wcd.coe.int/ViewDoc.jsp?id=1784273 </t>
  </si>
  <si>
    <t>After opposition protest events in March 2008 an ad hoc committee of the National Assembly of the Republic of Armenia on the investigation of the events which took place in the city of Yerevan on 1-2 March 2008 was formed., ombudsman</t>
  </si>
  <si>
    <t xml:space="preserve">Internal investigative unit. This Unit serves as a punishment tool for selective usage in cases, when it is nesesarry to find a scapegoat. The internal control mechanizms are not independant, are accounatble to the same state body, that's why it can't be effective.                                                         </t>
  </si>
  <si>
    <t xml:space="preserve">Yes, there are internal control and enforcement mechanisms in the Armed Forces. The Army has the Main department of military service law-enforcement, which is responsible for internal control and enforcement. At the same time, it does not work efficiently and it defends the reputation of the army until civil society raises a point for investigation of abuses that affect civilians.However, the Army is not usually used in crowd control operations. </t>
  </si>
  <si>
    <t xml:space="preserve">Yes, there is a General Inspection within the Ministry that examines the cases of abuse of power by military. However, the Army is not usually used in crowd control operations. </t>
  </si>
  <si>
    <t>Investigative service, Military police. Military Police serves as a punishment tool for selective usage in cases, when it is nesesarry to find a scapegoat. Or when the case is too noisy to keep silence on, e.g. a death of a soldier. The internal control mechanizms are not independant, are accounatble to the same state body, that's why it can't be effective. Army so far was not involved in crowd control operations, but the  draft law on “ON LEGAL REGIME OF STATE OF EMERGENCY” may contain such paragrph. It is not possible to check for this moment, as the law was apparoved by RA National Assembly on March 21, 2012, but still waiting for Prezidetn's signing. In this stage it is not possible to find this very text up until President signs it.</t>
  </si>
  <si>
    <t>Is there an internal confidential complaint mechanism against illegal and discriminatory actions and orders within security and law enforcement forces (focal point for reporting abuses and cases of discrimination, distinct of a hierarchical superior)…? Yes/No (N.B. This question checks if somebody (a victim from within the forces) is able to complain about his/her case (eg. gender discrimination, sexual harassment).</t>
  </si>
  <si>
    <t>The Law on Conflict of Interest and Corruption provides for setting up a protection scheme for whistleblowers in any public institution (including police, army, etc.)to report cases of violation of law or Code of Conduct of Public Servants; In some cases, in order to ensure the safety of whistleblower and witnesses, the procedure might be confidential;</t>
  </si>
  <si>
    <t xml:space="preserve">The above general provision applies to the police and  army, where General Inspections would exercise the above functions in theory  </t>
  </si>
  <si>
    <t>Hot line- http://www.mil.am/1298531724 and Internal Disciplinary Code. This serves as a punishment tool for selective usage in cases, when it is nesesarry to find a scapegoat. Or when the case is too noisy to keep silence on, e.g. a death of a soldier.The internal control mechanisms are not independant, are accounatble to the same state body, that's why it can't be effective.</t>
  </si>
  <si>
    <t>The above general provision applies to the security and intelligence services</t>
  </si>
  <si>
    <t>Yes. Parliament holds hearings in Standing Committees with invited experts, civil society representatives, etc.</t>
  </si>
  <si>
    <t>Yes, it is. In accordance with the President of Ukraine Decree № 506, dated 04/06/2010, the Chairman of theParliament is the member of Security Council (by mutual arrangement). It is meant that the participation in Security Council meetings is not obligatory for the Chairman of the Parliament as well as the invitation for meetings could be ignored also.
The Article 107 of the Constitution of Ukraine also allows the Chairman of the Parliament to take part in Security Council meetings.</t>
  </si>
  <si>
    <t>Yes (By tradition, but not required by law).</t>
  </si>
  <si>
    <t>Yes, speakers of both chambers of Belarusian Parliament are members of the Security Council</t>
  </si>
  <si>
    <t xml:space="preserve">No. Parliament is informed about the agenda and decisions taken by the Council but it is not obligatory by law. In practice, Parliament of Georgia discusses National Security Concept and adopting it, but this is not obligatory by law and good for legitimacy of the document, as finally the president has the right to endorse the document. </t>
  </si>
  <si>
    <t>The NSC is adjacent to the president of RA and accountable only to him.</t>
  </si>
  <si>
    <t>Yes (required by law; excepting emergency situations or aggression)</t>
  </si>
  <si>
    <t>Yes, according to the Constitution the Parliament adopts decision on launching military operations.</t>
  </si>
  <si>
    <t>Yes, Parliament has the obligation to review, adopt or refuse, presidential decision on declaration of war or on launching of military operations within 48 hours.
It should be noted that the presidencial decision on declaring the martial law and launching military operations comes into effect immediately upon its promulgation. The decision looses its legal force if the parliament refuses to adopt it within 48 hours. The use of military forces during the state of emergency requires preliminary approval by the Parliament</t>
  </si>
  <si>
    <t>No. The Parliament is not consulted before the President declares war or
launches military operations. There is not any rule or article of law which are considered this issue. Accordance with unofficial
information the decision about military operations would be discuss in
frame of the Security Council.</t>
  </si>
  <si>
    <t xml:space="preserve">Yes. President has to submit his nominee on the post of the minister of security or defense to the parliament and the parliament has to adopt the candidate. For other high rank militaries, such as Chief of Staff, generals,  parliament is not involved in the appointment procedures. </t>
  </si>
  <si>
    <t>No,According to the Constitution, the President ishe Commander-in-Chief of the armed forces, and therefore coordinates the operations of the government bodies in the area of defense, appoints to and dismisses from office the Highest Command of the armed and paramilitary forces.In terms of appoinitng members of the government, the President shall appoint to and dismiss from office the members of the Government upon the recommendation of the Prime Minister (the latter appointed in consultation with the Parliament)</t>
  </si>
  <si>
    <t>Yes, in the Parliamentary Committee for National Security and defense representatives of all parties can be present. Of 18 members of the Committee at the moment they are 7 members of the Party of Regions, 7 members of Yulia Tymoshenko Block,  Our Ukraine – 2, Lytvyn’s Block-16, Communist Party –1. No representatives of the “Reforms for Future” party and no independent MPs. Anatoliy Hrytsenko (Our Ukraine) is the Chairman.</t>
  </si>
  <si>
    <t>No
Majority of deputies are represented YAP (New Azerbaijan Party). But there are not any officially oversight bodies.</t>
  </si>
  <si>
    <t>According to the Law on Trust Group, a special trust group shall be created, which shall have access to the classified information. The Group shall consist of 5 members, 2 of which shall be nominated by the parliamentary opposition. However, both representatives of the parliamentary opposition are considered to be affiliated with the ruling party, which negatively affects effectiveness of the group</t>
  </si>
  <si>
    <t>Ministry of defense, Ministry of Interiors, Ministry of Justice - Reports at request. Open or closed hearings at Parliament decision;  Intelligence and Security Agency -  Once a year by law. Closed hearings.</t>
  </si>
  <si>
    <t>There is no such practice of reports to the parliament. The parliament in Belarus is a decorative body; Ministers report to the President, not to the Parliament.</t>
  </si>
  <si>
    <t xml:space="preserve">Agencies are responsible to report  annually and on request of the parlamentarians, but in majority of cases deputy ministers attend hearings. The written reports are not public </t>
  </si>
  <si>
    <t>No, the Ombudsman does not have competence to undertake investigations; however, he has the right to have unrestricted access to those detained/arrested claiming to be the victims of abuse of power by law enforcers. The Ombudsman annually reports to the Parliament. All annual reports are published on the official website of the Ombudsman (note: the Ombudsman is authorized to examine particular cases of human rights abuse)</t>
  </si>
  <si>
    <t xml:space="preserve">Yes, According to the RA Law on RA Human Rights Defender, but these are more inquiries, not investigations. Site visits-yes. There is an annual report of ombudsman.   </t>
  </si>
  <si>
    <t>Yes
Ombudsman has the right to investigate and site visit in cases of human rights abuse by security and law enforcement bodies. The officials from Ombudsman visit to jails to meet political prisoners who suffered by activities of law-enforcement forces. But these investigations and visits and the statements in result of these activities are not accepted by society seriously. The more declarations of Ombudsman carry the character of recommendations.</t>
  </si>
  <si>
    <t xml:space="preserve">Yes. The Press Service. Responder to media about information in Military Forces. However, despite the Law on access to information that was adopted in 2005 and all Governmental Bodies were given assignment to create their own web-page within a year aiming to disseminate their information, the Ministry of defense has not yet created its web-page. </t>
  </si>
  <si>
    <t>Yes, the Ministry of Interior has the Department for documentary support (Secretariat) that is responsible for public information issues.</t>
  </si>
  <si>
    <t>Department of Information and Public Relations</t>
  </si>
  <si>
    <t>Intelligence Agency is directly subordinated to the President of Georgia and it does not have any special unit responsible for public and media relations. Specific intelligence agencies are operating also under the Ministries of Internal Affairs and defense</t>
  </si>
  <si>
    <t>Is the information on structure, competences, budget and operational decisions available on the web-pages of the following management institutions? Yes/No</t>
  </si>
  <si>
    <t>Yes, the information on budget, structure, competences is available on the Ministry of defense website</t>
  </si>
  <si>
    <t>Yes-structure, No-budget, No-operational decisions</t>
  </si>
  <si>
    <t>The webpage of the Ministry of Internal Affairs contains detailed information on structure and competences of the Ministry. However, information on the budget and operational decisions is not available</t>
  </si>
  <si>
    <t xml:space="preserve">Yes for all in Ministry of Justice- http://moj.am/hy/structure/;  http://moj.am/hy/statistics/; No-structure, No-budget, No-operational decisions for Police. </t>
  </si>
  <si>
    <t>The website of the State Intelligence Agency contains detailed information on structure and competences of the Agency. However, information on the budget and operational decisions is not available</t>
  </si>
  <si>
    <t>No-structure, No-budget, No-operational decisions</t>
  </si>
  <si>
    <t>www.mns.gov.az There are not any information about structure, competences, budget and operational decisions of Ministry of defense in this site. But there is published part of the document of "Regulations of Ministry of National Security". In this article mirrored the duties which stand in front of theMinistry of National Security.</t>
  </si>
  <si>
    <t>Not always; usually the requested information is not detailed enough</t>
  </si>
  <si>
    <t>No
Citizens can get information only about general figure of military expences. There are not any information about details of military budget. For instance citizens cannot get information about expences which directed to salaries and meals of servicemen.</t>
  </si>
  <si>
    <t>No, such events are very rare</t>
  </si>
  <si>
    <t>Meetings are organized with Civil Council on defense and Security though the agenda and topics discussed are mainly driven by the Ministry iteself.</t>
  </si>
  <si>
    <t xml:space="preserve">No. However, the Ministry of Internal Affairs is part of the Interagency Coordination Council on Fight Against Torture and Inter-agency Council on Criminal Justice Reform that exists at the Ministry of Justice; These Councils however, are created for specific purposes and could not be said to be serving the interests of informing the public on ongoing activities of the Ministry.   </t>
  </si>
  <si>
    <t>Never</t>
  </si>
  <si>
    <t>The main format is replying to the inquiries from Media, State department, according to RA Law " On FOI"</t>
  </si>
  <si>
    <t>Only statistics, without disclosing names even when there is a public interest. Accordingly, it is difficult to check whether the Ministry indeed carried out disciplinary sanctions against personnel involved in human rights violations</t>
  </si>
  <si>
    <t>The main format is replying to the inquiries from Media, State department, according to RA Law " On FOI". For misitry of Justice --http://moj.am/hy/news/</t>
  </si>
  <si>
    <t>In most cases, No</t>
  </si>
  <si>
    <t>No, information of such kind is classified</t>
  </si>
  <si>
    <t>They do consultations not in regular basis, and these are not institutionlized. There is a Public Council to the Police, but this more serves to the Police Head.</t>
  </si>
  <si>
    <t>No, or at least such instances are not known about.</t>
  </si>
  <si>
    <t>Yes, there have been instances of intimidation of journalists in regions. For instance, a journalist from Newspaper "Batumelebi" was intimidated that information/photos on his private life will be disseminated in case he did not cooperate with the Ministry of Internal Affairs</t>
  </si>
  <si>
    <t>Some journalists insist the have been intimidated, but the information is denied by the law enforcment bodei. And these all is not official and published.</t>
  </si>
  <si>
    <t>Yes
During last years manu civil society organisations and mass-media have interested to research human rights violations and corruption within security and law enforcement bodies. But they being intimidated or persecuted bu officials from  security and law enforcement bodies. For instance Ministry of defense brought an action against  some newspapers, which investigated the facts of corruption and human rights violations in army. These court sessions are being continued yet.  Some journalists were threatened by officials of MoD for their articles about problem in army building.</t>
  </si>
  <si>
    <t xml:space="preserve">Yes, independent civil society expert's group - civil council for defense and security. But this relations have not been institutionalized. During the last years  in several occasions Memorandum of Understandings have been signed betweeen the Ministry of defense and the Council  on cooperation framework. </t>
  </si>
  <si>
    <t xml:space="preserve">No. That issues are usually considered 'sensisitve' issues and hearings are declared 'closed' at the request of the committees or security institutions. </t>
  </si>
  <si>
    <t>If the hearing is organised by Minority Fraction of the Parliament composed of parliamentary opposition members (NOT the Parliamentary Committee), the CSOs are usually invited; however, these hearings have very little effect</t>
  </si>
  <si>
    <t>Yes, but this involvement is selective not regular, and mostly due to international organizations.</t>
  </si>
  <si>
    <t>No such mechanism</t>
  </si>
  <si>
    <t xml:space="preserve"> Yes. According to the Law on Public Defender, the members of the National Preventive Mechanism under the Public Defender's Office (PDO) and authorised PDO staff have access to places of detention 
</t>
  </si>
  <si>
    <t xml:space="preserve"> The access is restricted for the Observation group of civil society over the places of detention and penal institutions of Ministry of Justice of RA. Yes, the members of National Preventive Mechanism, which is the Omudsman of RA, have unrestricted access to places of detencition.</t>
  </si>
  <si>
    <t>The Ombudsman fullfils the function of the National Preventive Mechanism in Georgia. The civil society is not represented in the mechanism. However, representatives of the civil society can be invited by the Ombudsman to Special Prevention Group</t>
  </si>
  <si>
    <t>No. Independent civil society is poorly represented. It is mainly filled with pro-governmental NGOs</t>
  </si>
  <si>
    <t>Starting a business. WB Doing Business Report 2012</t>
  </si>
  <si>
    <t>Linear transformation. benchmarks defined by EBRD Transition Countries (Best = MAC 5; Worst = BIH 160)</t>
  </si>
  <si>
    <t>Resolving insolvency, WB Doing Business Report 2012</t>
  </si>
  <si>
    <t>Paying taxes, WB Doing Business Report 2012</t>
  </si>
  <si>
    <t>Contract enforcement, WB Doing Business Report 2012</t>
  </si>
  <si>
    <t>Enterprises, EBRD Transition Indicators 2011</t>
  </si>
  <si>
    <t>Markets and trade, EBRD Transition Indicators 2011</t>
  </si>
  <si>
    <t>Rule of Law, Index of Economic Freedom 2012</t>
  </si>
  <si>
    <t xml:space="preserve">Effectiveness of Anti monopoly policy. The Global Competitiveness Report 2011-2012, World Economic Forum </t>
  </si>
  <si>
    <t>Linear transformation, benchmarks defined by EBRD Transition Countries (Best = Turkey 4.6;  Worst=Serbia, Ukraine, Armenia 2.8 )</t>
  </si>
  <si>
    <t xml:space="preserve">Burden of Customs procedures. The Global Competitiveness Report 2011-2012, World Economic Forum </t>
  </si>
  <si>
    <t>Linear transformation, benchmarks defined by EBRD Transition Countries (Best =Est 5.2;  Worst= Ukraine 2.8)</t>
  </si>
  <si>
    <t>Tax burden on GDP. 2011 Index of Economic Freedom .http://www.heritage.org  http://www.economywatch.com/economic-statistics/economic-indicators/Tax_Burden_Percentage_GDP/</t>
  </si>
  <si>
    <t>Linear transformation, benchmarks defined by EBRD Transition Countries (Best = Ukraine 37.7   Worst=Armenia 16,8 )</t>
  </si>
  <si>
    <t>Corporate sectors, EBRD Transition Indicators 2011</t>
  </si>
  <si>
    <t>Energy, EBRD Transition Indicators 2011</t>
  </si>
  <si>
    <t>Infrastructure, EBRD Transition Indicators 2011</t>
  </si>
  <si>
    <t>Financial sectors, EBRD Transition Indicators 2011</t>
  </si>
  <si>
    <t>DCFTA 2012</t>
  </si>
  <si>
    <t>Yes. Number of laws on protection of national producers exist</t>
  </si>
  <si>
    <t>Yes. Number of laws on protection of national producers exist. Antidumping procedures are also regulated by the Customs Union with RF</t>
  </si>
  <si>
    <t xml:space="preserve">No. Draft law was prepared, but not yet adopted </t>
  </si>
  <si>
    <t>Has your country officially negotiated or concluded ACAA with the EU? Yes/No</t>
  </si>
  <si>
    <t>Yes, within ACAA</t>
  </si>
  <si>
    <t>No (preparation)</t>
  </si>
  <si>
    <t>No, Belarus doesn't have even PCA with the EU</t>
  </si>
  <si>
    <t>No/ the proccess of negotiation of ACAA is highlited under DCFTA recommendations</t>
  </si>
  <si>
    <t>Is your national market surveillance authority compatible with EU requirements? Yes/No                     For the sake of clarity Requirements to institutions, set out in Decision No.768/2008/EC of the European Parliament and of the Council of 9 July 2008 on a common framework for the marketing of products, and repealing Council Decision 93/465/EEC (OJ L 218, 13.8.2008, p. 82–128) and Regulation (EC) No 765/2008 of the European Parliament and of the Council of 9 July 2008 setting out the requirements for accreditation and market surveillance relating to the marketing of products and repealing Regulation (EEC) No 339/93 (OJ L 218, 13.8.2008, p. 30–47).</t>
  </si>
  <si>
    <t>No. After adoption of legislation on marketsurveillance formally it should be in line with the EU requirements, but transformation is not completed yet.</t>
  </si>
  <si>
    <t>NO. Currently State Service on Anti Monopoly policy and protection of consumer rights under Ministry of Economic Development is in charge of market survaillance, although it has made some reforms in terms of integrating to EU system, it is not in complient with EU system</t>
  </si>
  <si>
    <t>Is your national market surveillance legislation compatible with EU requirements? Yes/No                    For the sake of clarity substantive legal requirements, set out in legal acts mentioned in previous footnote.</t>
  </si>
  <si>
    <t>Yes. After adoption of national legislation on market surveillence. However its implementation is matter of concern.</t>
  </si>
  <si>
    <t>No, in process of adjustment</t>
  </si>
  <si>
    <t>NO. But new Law on Technical Regulation has been drafted and is passing legal process which may be adopted this year includes most provisions of aforementioned EU Decisions.</t>
  </si>
  <si>
    <t>What is the number of New Approach Directives, implemented by your country? Number of directives                                                List of directives could be fined at http://ec.europa.eu/enterprise/policies/european-standards/harmonised-standards/#h2-1 (section on Harmonised legislation for products (directives or regulations which provide for CE marking)).</t>
  </si>
  <si>
    <t xml:space="preserve">No. Rule about obligatory application of standards is not repealed. </t>
  </si>
  <si>
    <t>NO. Standards can be valuntary and mandatory according to exsisting legislation. But, currently standards includes saftey requirments and thus some of them are mandatory. But new Law on Technical Regulation is drafted which will make all standards valuntary</t>
  </si>
  <si>
    <t xml:space="preserve">No. Only if there is no national standards. In other cases national standardization body insists on  application of national standards only. </t>
  </si>
  <si>
    <t xml:space="preserve">No, </t>
  </si>
  <si>
    <t>No,</t>
  </si>
  <si>
    <t>What is the number of national establishments in the EU list of establishments having right to export to the EU products of animal origin? Number of establishments List could be found at http://ec.europa.eu/food/food/biosafety/establishments/third_country/index_en.htm</t>
  </si>
  <si>
    <t>Does the EU in official opinions of DG SANCO or other authorities recognize that your national food safety authority/authorities is/are compatible with EU requirements?  Yes/No                                               Answer could be find in reports on inspections made in countries and placed on EC web page.</t>
  </si>
  <si>
    <t>Does the EU in official opinions of DG SANCO or other authorities recognize compatibility of general national food safety legislation with EU requirements?  Yes/No        Answer could be find in reports on inspections made in countries and placed on EC web page.</t>
  </si>
  <si>
    <t xml:space="preserve">yes/ in accordanc with national legislation RA is unilaterally accepted the  internationally recognized standards </t>
  </si>
  <si>
    <t xml:space="preserve">Is the Revised Kyoto Convention on the simplification and harmonization of customs procedures ratified by your parliament?  Yes/No </t>
  </si>
  <si>
    <t xml:space="preserve">Yes , It is ususally done for the Government by EU financed projects </t>
  </si>
  <si>
    <t xml:space="preserve">Yes, It is mentioned in ENPI  2007-2013 Strategy Paper on assistance to Georgia that was accepted by GoG  </t>
  </si>
  <si>
    <t>Yes, the main provisions of customs blue prints are inculded in programm of improvement of customs and tax administrtion adopted by the President of Ra in 2011 by order N92</t>
  </si>
  <si>
    <t xml:space="preserve">Does national legislation allow national undertakings to use international financial reporting standards for the purpose of national accounting?  Yes/No </t>
  </si>
  <si>
    <t xml:space="preserve">Has country established independent electronic communications regulatory authority (commission or board in the sphere of telecoms, independent from any ministry)?  Yes/No </t>
  </si>
  <si>
    <t>no/ the responsible body on regulation on comunication area is the Public services regulatory commision</t>
  </si>
  <si>
    <t xml:space="preserve">NO. But, Azerbaijan plans to establish such regulatory body as part of WTO negotiations. </t>
  </si>
  <si>
    <t xml:space="preserve">National Bank of Moldova </t>
  </si>
  <si>
    <t>NO.</t>
  </si>
  <si>
    <t xml:space="preserve"> National Commissiof Financial Market </t>
  </si>
  <si>
    <t xml:space="preserve">Yes. Armenia was to publish IAIS Insurance Core Principle in 2001. The document was not published.   </t>
  </si>
  <si>
    <t>Yes, prinicples are used in building domestic policy</t>
  </si>
  <si>
    <t xml:space="preserve">Has your government or regulator formally declared any plans to implement the International Organisation of Securities Commissions' “Objectives and Principles of Securities Regulation”?  Yes/No </t>
  </si>
  <si>
    <t>Yes, several legal acts are based on those principles means they are being aplied</t>
  </si>
  <si>
    <t>Is there national legislation on Gis (Georgaphical Indicators)? Yes/No</t>
  </si>
  <si>
    <t>Yes, a specific law from 2003</t>
  </si>
  <si>
    <t>Yes, Law of the Republic of Belarus of July 17, 2002 № 127-3 on Geographical Indications</t>
  </si>
  <si>
    <t>Yes, the Law of the RA on GI</t>
  </si>
  <si>
    <t>12 (5 is in pending registration process)</t>
  </si>
  <si>
    <t>No information</t>
  </si>
  <si>
    <t>Are national producers voluntary or on the basis of any agreement phasing out of the use of EU GIs? Yes/No</t>
  </si>
  <si>
    <t xml:space="preserve">Yes, </t>
  </si>
  <si>
    <t>Has country established independent and competent national authority in the field of protection of economic competition? (Commission or board in the sphere, independent from any ministry) Yes/No</t>
  </si>
  <si>
    <t>Does the authority mentioned in previous question or another national authority have powers to supervise provision of aid granted by state to companies? Yes/No</t>
  </si>
  <si>
    <t>Is your national substantive legislation on competition compatible with EU law (Articles 101 and 102 of Treaty on functioning of the European Union )?  Yes/No</t>
  </si>
  <si>
    <t xml:space="preserve">NO. </t>
  </si>
  <si>
    <t>Is there legislation on control and prohibition of state aid (Article 108 of Treaty on functioning of the European Union)? Yes/No</t>
  </si>
  <si>
    <t>Has inventory of state aid for goods been prepared by national authorities (as an obligation within WTO)? Yes/No</t>
  </si>
  <si>
    <t xml:space="preserve">No, only at the accession phase </t>
  </si>
  <si>
    <t>An Action Plan with timeframe for roll-out of biometric passports was elaborated in cooperation with OSCE and IOM, approved by the PM in 2009 and after some revisions by the government on 26 August 2010. There are few anti-corruption trainings for officials and there is no Ethical Code yet, however, the law “On Civil Service” was adopted in 2011 and the Commission on Ethics of High-Ranking Public Officials was launched. More emphasis ought to be put on capacity building and anti-corruption trainings for passport-responsible officials. Introduction of biometric passports should be coordinated with other related reforms.</t>
  </si>
  <si>
    <t>The biometric passports are issued since 1st of January 2008, concomitantly with non-biometric passports. Since 1st of January 2011, the Ministry of Information Technology and Communications issues only biometric passports.</t>
  </si>
  <si>
    <t>Not issued. The Ministry of Interior announced that Belarus planed to issue biometric travel documents as of 2012 followed by issuance of biometric passports</t>
  </si>
  <si>
    <t>Competent civilian authority dealing with migration issues in your country: Yes/no</t>
  </si>
  <si>
    <t>Framework document on regulation migration policy in your country: Yes/no</t>
  </si>
  <si>
    <t>Yes, partially . Law Of Azerbaijan Republic On Immigration. This Law defines the legal and social basis for migration
processes in the Republic of Azerbaijan and regulates the migration
relations</t>
  </si>
  <si>
    <t xml:space="preserve">Georgia became a State Party  of 1951 UN Convention on refugees' status and its 1967 Protocol on 9 August 1999. </t>
  </si>
  <si>
    <t>Yes. Georgia has adoptedand amended laws on refugees and their status is defined. To the  status of stateless persons –  legislation is under development.</t>
  </si>
  <si>
    <t>Yes http://www.dmsu.gov.ua/images/stories/files/Ukraine_Migration_Profile_EN_Final%202011.pdf</t>
  </si>
  <si>
    <t>Yes. Under the new strategy on migration and within the development of the Extended Migration Profile there were developed new indicators for data collection on migration.</t>
  </si>
  <si>
    <t>Partially.  According to IOM, the Government of Belarus 'has demonstrated commitment and made visible efforts to counteract irregular migration, trafficking in human beings and related crimes. However, the country's capacity to respond to the existing migration challenges is limited and additional efforts and support to address these issues is needed. In partnership with governmental institutions, international and nongovernmental organizations, IOM works to address main migration priorities in line with the state migration programme for 2011-2013.' (http://www.iom.int/jahia/Jahia/belarus)</t>
  </si>
  <si>
    <t>No. To monitor the migration process, no unified database is operational in Georgia. An agency that would be responsible to develop migration strategy is not defined yet.</t>
  </si>
  <si>
    <t xml:space="preserve">No. Data collection and centralization of database management is incomplete, which prevent from effective improvement of migration flow management. </t>
  </si>
  <si>
    <t xml:space="preserve">Yes, National Strategy on Integrated Border Management was elaborated and formally introduced in 2008. Following the approval of the Strategy, Interagency Working Group operating under the National Security Council  in cooperation with EUSR Border Support Team elaborated an IBM Strategy Action Plan. The AP was approved by the president in December 2009.The Interagency Working Group updated the IBMS in late 2010 in cooperation with the South Caucasus Integrated Border Management project </t>
  </si>
  <si>
    <t>There is Armenia's Integrated Border Management Plan. Additionally, supporting Integrated Border Management Systems in the South Caucasus” (SCIBM) is a UNDP implemented and EU-funded programme with an overall budget of EUR 1,403,000. The aim of the programme is the establishment of integrated border management principles and operational techniques in Armenia, Georgia and Azerbaijan, as well as enhancement of inter-agency, bilateral and regional co-operation between the South Caucasus countries, EU Member States and other international stakeholders. The ultimate goal is to facilitate the movement of legitimate persons and goods across borders, while at the same time maintaining those borders secure from illegal activity.</t>
  </si>
  <si>
    <t>Yes, but further steps needed</t>
  </si>
  <si>
    <t xml:space="preserve"> Yes, it is planned  to complete the  elaboration of Special Operational Procedures for all  Border Crossing Points within 2012 year. In order to bring operations of Patrol Police and the Customs services closer to the principles of Integrated Border Management, the Joint Order of the Ministers of Internal Affairs and the Finance has been issued.</t>
  </si>
  <si>
    <t xml:space="preserve">Yes, Customs is authorised to provide criminal investigations on smuggling and other customs rules violations  </t>
  </si>
  <si>
    <t>Yes. Risk Management System was gradually adopted in all customs units within all Regional Service centres in 2008. This process was completed in June 2008.</t>
  </si>
  <si>
    <t>Yes. Code of Customs</t>
  </si>
  <si>
    <t>Border demarcation: length of border demarcated with third countries in % of total border length</t>
  </si>
  <si>
    <t>Linear transformation with best (UKR=60%) and worst (ARM=0%) performing EaP country as benchmarks</t>
  </si>
  <si>
    <t>740 km out of the 1222 km, 60,55%</t>
  </si>
  <si>
    <t>1200km MB: Total border length is 3306 km, according to CIA worldfactbook. Since the word text refers the 1200 km to Latvia, Lithuania and Poland, I take the length of their borders according to CIA: 171+680+605km</t>
  </si>
  <si>
    <t xml:space="preserve">Georgia has 2154 km length border with other states ( including 315 km of sea border) and the state operates 18 actual border crossing, from which 15 have international and 3 interstate status.  Georgia has not demarcated full border length with Russia, Armenia and Azerbaijan yet. MB: This means that only the border with Turkey is fully demarcated which is 252 km in relation to a total length of 1461 kms, according to CIA Worldfactbook. These figures are taken for calculation. </t>
  </si>
  <si>
    <t>Yes. Belarus has ratified The UN Convention against Transnational Organized Crime with protocols in 2003. In 2007, the law on fight against organized crime was adopted by the National Assembly. Every two years the President of Belarus approves a state program against crime and corruption, which provides for a set of measures against crime. There is no dialogue with NGOs on the issue.</t>
  </si>
  <si>
    <t>Ratification of 2 Protocols on organized crime: on preventing trafficking in persons and against smuggling: Yes/No</t>
  </si>
  <si>
    <t>Yes. Draft protocol widely discussed with IOs , NGOs, relevant line ministries and ratified.</t>
  </si>
  <si>
    <t>Comprehensive strategy to fight organized crime, together with an action plan containing a timeframe, specific objectives, activities, results, performance indicators and sufficient human and financial resources: Yes/No</t>
  </si>
  <si>
    <t>Yes, both Strategy and Action Plan were adopted. However, the Action Plan lacks at some chapters clear deadlines and indicators.</t>
  </si>
  <si>
    <t>No.The fight against organized crime is one component of the “The Anti-Corruption Strategy” and “2009-2012 Implementation Action Plan” adopted in 2009.</t>
  </si>
  <si>
    <t>Legislation on Fight against money laundering, including financing of terrorism in line with EU standards: Yes/No</t>
  </si>
  <si>
    <t xml:space="preserve">Changes and amendments to the Law of Georgia “On Facilitating the Prevention of Illicit Income legalisation (the AML Law) were adopted on March 23, 2010 and they are in force since May 1, 2010.  </t>
  </si>
  <si>
    <t>Yes. Law on Combating Money Laundering and Terrorism Financing</t>
  </si>
  <si>
    <t>Yes. However, the Action Plan is drafted and has to be adopted soon.</t>
  </si>
  <si>
    <t>Adopted. September 2010, Armenia adopted its third National Plan of Action addressing trafficking in persons, spanning 2010-2012.</t>
  </si>
  <si>
    <t>National Referral Mechanism is under formation process. During 2011 La-Strada Ukraine reported about piloting  this mechanism in Donetsk and Chernivtsi regions.</t>
  </si>
  <si>
    <t>Yes, the mechanism exists, but it is not effective enough and is being strengthend now according to state program. "The government reported referring only 125 out of 591 victims to service providers in 2008 using the national referral mechanism. Law enforcement officials generally refer trafficking victims to IOM or NGO shelters -- which rely on donor funding -- to provide short and longer term protection and rehabilitation. The government operated 156 governmental social centres, which in theory can provide services to returned trafficking victims, but only 17 have specialized trafficking-related services. Officials refer child trafficking victims to one of the 146 government social care and education centres under the Ministry of Education (...) The 2005 presidential decree stipulates that trafficking victims should not be deported or penalized for unlawful acts committed as a direct result of their being trafficked.(from U.S. State Dept Trafficking in Persons Report, June 2009 - http://gvnet.com/humantrafficking/Belarus-2.htm)"</t>
  </si>
  <si>
    <t>There is a National Referral Program for 2010-2012. But the state doesn’t provide direct assistance to victims and delegate this cognizance to Non-governmental organizations. The state doesn’t grant the victim status.</t>
  </si>
  <si>
    <t xml:space="preserve">Efforts in combating human trafficking applied by your country. Compliance with Trafficking Victims Protection Act (TVPA)’s minimum standards – tier ranking, </t>
  </si>
  <si>
    <t>No. Current national legislation does not conform to UN drug conventions’ requirements and 2008-2009 drug control reform legislation still stalled in the Parliament. Anti-Narcotics  National Strategy has not adopted by the Parliament in 2007 and cosequently is not obligatory to implement. The detailed specific Anti-Drug National Action Plan is absent and problem of coordination among institutions remained.</t>
  </si>
  <si>
    <t>Decision of RA Government On Approving the National Programme on Combating Drug Addiction and Illicit Traffic in Narcotic Drugs in the Republic of Armenia in 2009-2012 and the Programme Implementation Schedule (Decision #892-N, 15 July, 2010)</t>
  </si>
  <si>
    <t>Georgia is an observer member of European energy community since 2007</t>
  </si>
  <si>
    <t xml:space="preserve">Partially. The Law "On principles of operations on the natural gas market" was adopted, but needs stronger implementation through number of other legal acts (developed with the EU into Road Maps containing detailed, article-wise recommendations on amendmends). Ministry of Energy and Coal Industry Order No.19 of 16 March 2011 enlists 4 documents to be adopted. The NERC adopted in 2011 about 16 acts of secondary legislation, about the same are still in progress. No single document containing the set of measures to safeguard security of gas supply has been available so far. However, the NERC Resolution "On the approval of the Procedure of access to the Ukrainian Gas Transit System" was approved in 2012. </t>
  </si>
  <si>
    <t>Only Directive 2003/55/EC and some elements of Regulation 1775/2005</t>
  </si>
  <si>
    <t xml:space="preserve"> There is some partial compliance, but  unbundling of distribution and supply not implemented , special treatment of transit, no gas storage provision etc.</t>
  </si>
  <si>
    <t>No. The draft law "On principles of operation of electricity market" is expected in June 2012. Information considering needed amendments to the Law "On Electricity" is not available.</t>
  </si>
  <si>
    <t>Only Directive 2003/54/EC</t>
  </si>
  <si>
    <t>No, there is some   compliance - e.g full compliance with technical rules for 2003/54.EC , as  Grid Code for power transmission , however Georgian legislation is  to a large degree  in compliance with the electricity security of supply obligations under  2005/89/EC.</t>
  </si>
  <si>
    <t xml:space="preserve">DIRECTIVE 2003/54/EC: Yes,access to the distribution and
transmission of energy is open and prices tarrifs are established by the
PSRC. Regulation (EC) No 1228/2003: Yes,Cross border supply of energy is the licensing
activities, and the law on energy and other legal acts of RA are mainlly in
accordance with provisions of the Regulation. Commission Decision 2006/770/EC- N/A. 2005/89/EC-No
. </t>
  </si>
  <si>
    <t>No. Ukraine is seeking an opt-out of the Decision 2011/02/MC-EnC of the Energy Community Ministerial Council which made 3rd Energy Package legally binding. Officially, additional conditions such as transitional periods and EU financial assistance are being claimed.</t>
  </si>
  <si>
    <t>Partially. The Ministry of Ecology and Natural Resources laid down methodology of emmission mesurement and implementation plan till 2018. The government also adopted the National Action Plan on Environment Protection for 2011-2015. However, other acquis in areas of wildlife protection and environment impact assessment remain either wiating approval or being drafted. In addition. the Law 3038-VI "On the regulation of urban planning" cancelled the institution of environmental expert examination that distanced Ukraine from Energy Community requirements.</t>
  </si>
  <si>
    <t>Some aspects of the national law on environmental protection are in line with Directive 85/337/EEC</t>
  </si>
  <si>
    <t xml:space="preserve">No, while there is some legislation including the Environmental Impact Assessment one, however, it does not goes in line of given EU directives 85/337, 97/11/EC and 1999/32/EC and requires further approximation of the  national law to the EIA Directive ; In case of e 2001/80/EC  the Georgian legislation regulates the maximum permissible levels of the emission of harmful  materials into the air, setting the maximum permissible concentrations. However, currently the Georgian  maximum permissible levels are higher than the levels adopted by the EU Directive. There is also  insufficient system gathering and processing monitoring data.   The requirements of the Directive  2001/8 on reduction in the sulphur content of certain liquid fuels are not currently reflected in full in Georgian legislation. The existing emission standards are not at the level of EU norms and standards however the recent government’s decisions of December of 2009 provide for higher standards for contents of sulphur in the fuels.   </t>
  </si>
  <si>
    <t>No. The Law 3486-IV "On amending the Law "On Electricity" guaranteed the obligation to provide incentives for use of renewable energy sources, but fails to remove obstacles on practice. However, the acquis implementation plan, drafted by the State Agency on Energy Efficiency and Energy Saving, is not approved or published. The draft law on mandatory share of biofuels in transport appeared in April 2012, so it does not affect our estimation.</t>
  </si>
  <si>
    <t>Partially transposes the requirements of 
Directive 2001/77/EC</t>
  </si>
  <si>
    <t xml:space="preserve">No renewable energy legislation exists in Georgia </t>
  </si>
  <si>
    <t>Partially. Compliance with the terms of the acquis is at a low level. The National Action Plan on energy efficiency wasn't drafted yet. Amendments to the State economic program on energy efficiency and renewables for 2010-2015 have set higher EE targets but didn't include additional financing and support. From September 2011 to March 2012 Ukraine was suspended from international emissions trade (Track-1 procedure) due to imperfect national recording system for GHG emissions. The laws "On energy audit", "On energy efficiency", "On energy balance of Ukraine", "On regulation of energy saving", "On energy efficiency of residential and public buildings" were drafted but not yet adopted. The State Agency on Energy Efficiency and Energy Saving drafted and the Cabinet of Ministers approved technical regulations on energy labelling of dishwashers, washing machines, refrigerators and freezers; however, these are only first steps to implementing acquis in this area.</t>
  </si>
  <si>
    <t xml:space="preserve">No there is no energy effficiency law at all  developed in Georgia </t>
  </si>
  <si>
    <t>No (The draft law in preparation stage)</t>
  </si>
  <si>
    <t>No, here is no Legislation on  energy statistics in Georgia.</t>
  </si>
  <si>
    <t>No. The Law "On Regulation of Energy Saving" which stipulates principles of Ukrainian ETS was adopted in the first reading on Oct 21, 2010 but remains in the parliament. From September 2011 to March 2012 Ukraine was suspended from international emissions trade (Track-1 procedure) due to imperfect national recording system for GHG emissions.</t>
  </si>
  <si>
    <t>No National legislation on voluntary markets is more or less adopted, but still doesn’t work due to a lot of mistakes inside these docs. There is no national legislation on Kyoto emissions trading due to problems with adoption of well-known “Belarusian amendment”. Legislation on national trading system and bunkers doesn’t exist as well.</t>
  </si>
  <si>
    <t>Ukrainian commitments were stipulated not in laws but only in directives and decrees of the Cabinet of Ministers. In 2010, total GHG emissions in Ukraine increased by 5%. Official position for the post-Kyoto talks was not to go further than cutting CO2 emissions by 20% in 2020 and by 50% in 2050.</t>
  </si>
  <si>
    <t>A target of at least 25% greenhouse gas emission reduction by 2020 as compared to 1990 was aproved by National 
Energy Efficiency Programme 2011-2020</t>
  </si>
  <si>
    <t>No, there is only the governmental decree on qualitiative standards for car fuel from 31/12/2012, (1.1.2012- 31/12/2013 defines the following  quantities  for petroleum":   lead - no more tham 0.005 g/l , Benzol - no more tham 3%, aromatic hydrocarbons volume share no more 42%  , Sulphure share no more 250 mg/kg. after  1/1//2014 lead should be  nore 0,005 g/l, benzol volume share no more tham 3%, aromotic hydrocarbons 42%, sulphure 150 mg/kg.  For  diesel 1.1.2o12-31.12.2013  Cetan number not less tham 47, sulphur not more than 300 mg/kg, density  150 C no more 845kg/m3 , policyclic hydrocarbons not more 11%. after 1/1/2014 Cetan Number should be not less than 48, sulphur not more than 200 mg/kg, density  150 C no more 845kg/m3 , policyclic hydrocarbons not more 11%.</t>
  </si>
  <si>
    <t>RES National Targets. Do you have the relevant national legislation adopted? Yes/No</t>
  </si>
  <si>
    <t>Yes. The State program of energy efficiency and RES development in 2010-2015 sets specific targets to be achieved: 20% lower energy intesity of GDP and 10% share of RES in primary energy balance. However, more ambitious and technically achievable targets are not yet included.</t>
  </si>
  <si>
    <t xml:space="preserve">Only in the National 
Energy Efficiency Programme 2011-2020 (NEEP) are set the objectives: increased use of renewables in the total energy mix from 10% in 2010 to 20% in 2020; increased use of biofuels to reach at least 10% in the total consumption of fuels use in 
2020;  </t>
  </si>
  <si>
    <t>Yes. Laws "On alternative sources of energy", "On alternative types of fuel", "On electricity", "On energy saving”, "On joint production of heat and electric energy (cogeneration) and utilization of the waste energy potential". The new Tax Code provides for several tax benefits, and the Resolution of the Cabinet of Ministers No. 444 quarantees also exemption of improts of energy saving equipment from some custom duties. The Laws 1220-IV and 3486-IV amending the Law "On Electricity" improved the FiT system in Ukraine by granting state support to alternative energy sources, but didn't respond to some other serious obstacles for investment such as "local content" clause and undefined grid connection.</t>
  </si>
  <si>
    <t>There is an approved methodology on determination, approval and application of tariffs for electricity produced from renewable energy and biofuels but it is not enough stimulating</t>
  </si>
  <si>
    <t>No. The Tax Code does not provide any tax incentives for the production and use of renewable energy or power saving equipment, or for the import and operation of equipment for such production. The existing law on electricity and gas does not deal with renewable energy sources explicitly. Standards for energy efficiency and labelling initiatives are absent. Subsidies and other incentives for RES-EE projects are absent</t>
  </si>
  <si>
    <t>No. The NERC haven't yet even deloped a draft procedure.</t>
  </si>
  <si>
    <t>No. Law on electricity and gas facilitates the use of renewable energy by small HPPs. Electricity produced by small HPPs is subject to obligatory purchase by the System Commercial Operator( at the long-term fixed tariff set by GNERWC during the investment pay-back period OUT). The activities of all newly constructed HPPs are also deregulated</t>
  </si>
  <si>
    <t>No. The Law 3610-VI "On amendments to certain legislative acts of Ukraine on national commissions, which provide government regulation of natural monopolies in the area of communication and informatization, securities markets and financial services", adopted on July 7, 2011 clearly specifies that the regulators are accountable to the President.</t>
  </si>
  <si>
    <t>Yes. National Agency on Energy Regulation – is a central public regulatory authority and it isn’t subordinated to other public or private authorities.</t>
  </si>
  <si>
    <t xml:space="preserve">Yes,Partially, Georgian National Energy and Water Supply Regulatory Commission (GNEWRC) is set as an indepenedent regulatory body.The Law on electricity and natural gas defines the main features of independency of the GNERC (appointment, dismissal, fixed term, powers in tariff setting, etc.), but there is one week point: all Commissioners are appointed by the President of Georgia under the nomination by the Chairman of GNERC. It reduces independence of the individual Commissioners as the Chairman may propose to the Commission only those who always keep his side (findgings of Peer review under Inogate project 2010).   In addition accroding to some  experts opinion it lacks t lacks the real power, resources, and transparency necessary to ensure a healthy climate for market-based sectoral growth. since changes in 200 GNERC has no more power to set the Market rules (this is one of the main responsibilities of the regulators in the EU countries as one of the most important task of the regulator is to foster development of a competitive market), it has no power to look after mergers and amalgamation of licensees.  Those powers were cancelled. </t>
  </si>
  <si>
    <t xml:space="preserve">Yes. he regulation of the Armenian energy sector is carried out by
the Public Services Regulatory Commission which is autonomous within its
jurisdiction. It has a key role due to its authority and its distinct and
independent legal operations. The Commission has a number of
responsibilities, in particular it: sets the regulated tariffs for electrical and thermal energy and natural
gas, transmission (transportation), distribution in the energy sector,
system operator, services provided in the energy market, as well as
maximum tariffs for electricity and natural gas import, issues licenses for
perations in the energy sector, oversees compliance with the license
conditions and apply penalties, establishes rules on supply and use of
electrical and thermal energy and natural gas; establishes model
electricity and natural gas supply contracts or mandatory provisions thereof, sets
quality requirements for services provided to the consumers by the
companies. </t>
  </si>
  <si>
    <t>No. Tariff setting for household and some industrial consumers remains a political issue as long as government uses it as leverage in loan negotiations with the IMF and the World Bank. In such conditions, in April 2011 only electricity tariffs were raised by 15%.</t>
  </si>
  <si>
    <t>Partially, ,The tariff setting principles are well-known and in general correspond with the international practice: covering of the prudently incurred costs, no discrimination among consumer categories (no cross-subsidies), economic efficiency, implementation of the state energy policy directions, etc.Significant disadvantage of the present tariff model (full cost recovery - cost plus), is that it does not create stimulus for electricity companies to reduce costs and operate more efficiently. Another week side of the present tariff methodology is the short tariff regulation period. It requires tariff review on the annual basis, which tends to cause problems both for investors and for the customers. Full scale application of international accountant standards in tariff regulation and the lack of long term marginal cost approach are additional problems. Some elements of the existing regulation, like electricity generation pricing and the ‘not very ambitious’ schedule of direct consumer (eligible consumer) status reduction are not supportive for competition in the electricity market.  There is ongoing ENPI 2010 Twinning project ""Strengthening capacities of the Georgian National Energy and Water Supply Regulatory Commission (GNERC) in updating incentive based electricity tariff methodology" In some cases tariffs are being set by the agreement between government and investors and subsequently formally approved by GNEWRC.</t>
  </si>
  <si>
    <t xml:space="preserve">Yes. The PSRC is responsible body for tariffs on electricity and gas. </t>
  </si>
  <si>
    <t>No. Unbundling in the NJSC "Naftogaz of Ukraine" officially started in December 2011 and will continue at least till the end of 2012.</t>
  </si>
  <si>
    <t>Yes for electricity market where are 3 providers. No for  gas market where is a verticla structure.</t>
  </si>
  <si>
    <t xml:space="preserve">Yes. Armenia has a vertically integrated structure, which is regulated by the
law on Energy and other legal acts of RA. </t>
  </si>
  <si>
    <t>Have the consumers a possibility to choose suppliers in gas and electricity markets? (pull or contract-based market model) Yes/No</t>
  </si>
  <si>
    <t>No only formally inlimited cases</t>
  </si>
  <si>
    <t>Yes ,  Regulated third party access to the transmission and distribution  network is established in the 
legal framework of Georgia. The Law on Electricity and Natural Gas declares that: 
“Transmission and distribution licensee shall, in exchange for tariffs set by the Commission, 
transmit through their networks electricity of the persons who are entitled under this Law to sell 
electricity directly to electricity consumers”.   The charges for access to the transmission and distribution networks are determined by GNERC 
according to the adopted methodologies. The relevant decisions are made publicly available by 
the GNERC.</t>
  </si>
  <si>
    <t>Energy intensity. Specify the consumption of energy per unit of GDP; Tons of oil  equivalent (toe) / GDP in '000 USD (at PPP) in 2009-10</t>
  </si>
  <si>
    <t xml:space="preserve">1 - EBRD best  - Albania=0,09; 0 - EBRD worst - Uzbekistan=0,73 </t>
  </si>
  <si>
    <t>0.2005 toe/1000 USD GDP  (the previous data is 0,28)</t>
  </si>
  <si>
    <t>CO2 intensity, kg CO2 per '000 USD GDP (at PPP)</t>
  </si>
  <si>
    <t>State ownership of the rail monopolist is preserved. Though, there is a plan to list Georgian Railways on the LSE and WSE</t>
  </si>
  <si>
    <t>State ownership of the rail monopolist is preserved. Though it is granted for concession to Russian Railways</t>
  </si>
  <si>
    <t>All sea ports are state-owned</t>
  </si>
  <si>
    <t>Port in Baku is state-operated</t>
  </si>
  <si>
    <t>Railways company is planned to be reformed. Though, so far the existing structure has not been changed.</t>
  </si>
  <si>
    <t>Independent sea incidents investigating body is under creation</t>
  </si>
  <si>
    <t>Independent air incidents investigating body is under creation</t>
  </si>
  <si>
    <t>Calibration: 1, 0, 0.7, 0.5, 0.1 - the obligation is reflected in the National legislation</t>
  </si>
  <si>
    <t>Yes, recently - Strategy and the NEAP, Strategy is adopted by Law, NEAP - Government</t>
  </si>
  <si>
    <t>Yes Environmental strategy is a part of governmental program, which is currently being developed</t>
  </si>
  <si>
    <t>In progress Draft of National environmental policy was adopted by Ministry of Environment (not agreed with NGOs), but not by the Council of Ministers.</t>
  </si>
  <si>
    <t>NO the last NEAP was adopted in 2000 YESthe Second National Environmental  Action Plan was approved in 24.1.2012</t>
  </si>
  <si>
    <t>The second 5 years National Environmental Action Plan (NEAP-2) is approved by the RA government in 2008.( till 2012)</t>
  </si>
  <si>
    <t>Yes «Национальная Программа по устойчивому социально-экологическому развитию» было принято Правительством в 2002 году</t>
  </si>
  <si>
    <t>Calibration: 1, 0, 0.5, 0.1 -  the obligation is reflected in the National legislation</t>
  </si>
  <si>
    <t>Almost YES - it is in the law (separate chapter in Strategy) and that obligatory integration should be included as ammendment into framework law, but it is in the process</t>
  </si>
  <si>
    <t>Yes. Environmental policy serves as a base for planning of environmental activities.</t>
  </si>
  <si>
    <t>No. No policy papers on env. Integration adopted. Regulated by the Constitution and Law “About environmental protection”, but in practice – only MoE cares about.</t>
  </si>
  <si>
    <t>Yes Framework law on environmental protection (Framework law on environmental protection requires environmental policy integration however, there was no steps undertaken in order to ensure )</t>
  </si>
  <si>
    <t>The measures, included in NEAP-2 reflect the integration of environmental demands in plans within other sectors.This approach is envisaged in the concept of planned new Law on Environmental Policy.The National Sustainable Development Plan included the environmental chapter. In Armenia the Law on environmental Expertise is adopted in 1995. Armenia is a Party to SEA protocol since 2011.</t>
  </si>
  <si>
    <t>Yes Закон «Об охране окружающей среды» требует проведение экологической оценки всех планов и программ по развитию NO (AGO) - proposed verification is not true</t>
  </si>
  <si>
    <t>Calibration: using step 0.1 as previous year, 1, 0, 0.5, 0.1 -  the obligation is reflected in the National legislation</t>
  </si>
  <si>
    <t>It is planned to be prepared and adopted according the Law on State Environemntal Strategy. SEIS project visit is currently running.</t>
  </si>
  <si>
    <t xml:space="preserve">No. There is no Action Plan and Ministry of Environment is planning to deveop it but it is not clear when the AP will be developed. </t>
  </si>
  <si>
    <t>under preparation. Belarus joined SEIS project but still not very active</t>
  </si>
  <si>
    <t>NO Elaboration will start in 2012</t>
  </si>
  <si>
    <t xml:space="preserve">List of Conventions and Protocols with data on EaP countries is avaluable separately. 1, 0.5, 0 </t>
  </si>
  <si>
    <t>1, 0, 0,5 – please, note, where the non-compliance is decided, index is 0.</t>
  </si>
  <si>
    <t>warning to Ukraine in connection with the Bystroe Canal project is still valid(reconfirmed at the meeting of the Parties to the Espoo Convention on Environmental Impact Assessment in a Transboundary Context, held in Geneva, over 20-23 June 2011)</t>
  </si>
  <si>
    <t>warning issued on 1 July 2011 (fourth session of the Meeting of the Parties to the Aarhus Convention on Access to Information, Public Participation in Decision-Making and Access to Justice in Environmental Matters)</t>
  </si>
  <si>
    <t>Ukraine was declared to be in non-compliance (Bonn on 25 August 2011Final Decision of the Enforcement Branch of the Compliance Committee).However Ukraine became fully eligible to participate in the mechanisms on 9 March 2012 at 15:32:22/ yes/ solved</t>
  </si>
  <si>
    <t xml:space="preserve">Calibration: 1, 0, 0.5 - not all </t>
  </si>
  <si>
    <t>Calibration: 1, 0, 0.5 - not all</t>
  </si>
  <si>
    <t>Calibration, 1, 0, 0.5, the obligation is reflected in National legislation</t>
  </si>
  <si>
    <t>No/ principals and elements are incuded into State Environmental Srrategy</t>
  </si>
  <si>
    <t xml:space="preserve">Yes/partually </t>
  </si>
  <si>
    <t xml:space="preserve">Yes but implemented partly  </t>
  </si>
  <si>
    <t>Yes State program for sustainable development of regions.  It performs the same function. (ministry of Economic Growth)</t>
  </si>
  <si>
    <t>Calibration,1,0,  0.7 - elements, 0.5 - difference between law and practice, 0.3 - ineefective</t>
  </si>
  <si>
    <t>Yes, but ineffective</t>
  </si>
  <si>
    <t>Formally, doesn't work</t>
  </si>
  <si>
    <t>Yes, but it functions not in full</t>
  </si>
  <si>
    <t>Yes (Cabinet Committee on Sustainable development. The Coordinator is the Ministry of Economic Development)</t>
  </si>
  <si>
    <t xml:space="preserve">Calibration, 1, 0.7 - elements, 0.5 - under preparation, 0.3 - fragmented,0.1 - obligation is reflected in National legislation,  0 - </t>
  </si>
  <si>
    <t>The preparation is prescribed by the Law on State environemntal strategy and should start in 2012.</t>
  </si>
  <si>
    <t xml:space="preserve">Yes/Elements </t>
  </si>
  <si>
    <t>Linear transformation,1 is EaP best, worst is 0</t>
  </si>
  <si>
    <t>ratified 69, 60 in force 61: 2, 11,14,16, 23, 27,29,32,45,47,69,73,77,78,79,81,87,90,92,95,98,100,103,105,106,108,111,113,115,116,119,120,122,124,126,129,131,132,133,135,138,139,140,142,144,147,149,150,153,154, 155,158,159,160,161,173,174,176,182,184</t>
  </si>
  <si>
    <t>ratified 42, 40 in force:11,29,47,81,87,88,92,95,97,98,99,100,105,111,117,119,122,127,129,131,132,133,135,138,141,142,144,150,151,152,154,155,158,181,182,183,184,185,187</t>
  </si>
  <si>
    <t>ratified 49, in force 42: 11,14,16,26,27,29,32,45,47,52,77,78,79,81,87,88,90,95,98,100,105,106,108,111,115,116,119,120,122,124,138,142,144,149,150,151,154,155,160,167,182,183</t>
  </si>
  <si>
    <t>16 Convention has been ratified (including all 8 fundamental conventions) and in force, 64 needs be ratified according ILO. In force: 29,52,87,88,98,100,105,111,117,122,138,142,151,163,181,182</t>
  </si>
  <si>
    <t>29 Convention has been ratified (including all 8 fundamental conventions) and in force: 14,17,18,26,29,81,87,94,95,97,98,100,105,111,122,131,132,135,138,143,144,150,151,154,160,173,174,176,182</t>
  </si>
  <si>
    <t>57 has been ratified, 55 in force:11, 13, 14, 16, 23, 27, 29, 32, 45, 47,52,69,73,77,78,79,81,87,88,90,92,95,98,100,105,106,111, 113,115,116,119,120,122,124,126,129,131,133,134,135,138,140,142,144,147,148,149,151,154,156,159,160,182,183,185</t>
  </si>
  <si>
    <t xml:space="preserve">Calibration, 1, 0.7 - elements, 0.5 - under preparation, 0.3 - fragmented,0.1 - obligation is reflected in National legislation,  0 </t>
  </si>
  <si>
    <t>No, partially</t>
  </si>
  <si>
    <t xml:space="preserve">Yes the Law 149 of 08.06.2006 on fish stock, fishing and fisheries </t>
  </si>
  <si>
    <t>No answer</t>
  </si>
  <si>
    <t>No All forests are protected</t>
  </si>
  <si>
    <t>Yes (to be updated in 2011-2012)</t>
  </si>
  <si>
    <t>Yes is under development</t>
  </si>
  <si>
    <t>No (to be developed in 2011-2012)/// development still is not started</t>
  </si>
  <si>
    <t xml:space="preserve">The country Framework for NAMA was  submitted to the FCCC Secretary </t>
  </si>
  <si>
    <t>National Communication 3, 4 &amp; 5 –29/12/09 (revised version – 08/02/10), GHG Inventory – 15/04/11 (revised version – 08/06/11)</t>
  </si>
  <si>
    <t>Due to systematic problems with NC and GHG Inventory, Ukraine’s case was submitted to UNFCCC Compliance Committee for non-compliance.The Kyoto Protocol Compliance Committee of the United Nations has given Ukraine a green light to resume its participation in international trading in greenhouse gas emission quotas.
This decision was made at the 19th meeting of the enforcement branch of the Compliance Committee in Bonn, Germany, on Friday, March 9 2012.</t>
  </si>
  <si>
    <t>No, but it is planned in the Lw on State Environmental Strategy and NEAP adopted by Cabinet of Ministers</t>
  </si>
  <si>
    <t>Relevant documents are bein prepared</t>
  </si>
  <si>
    <t xml:space="preserve"> No. Drafts of the National Climate law were developed, but adoption was suspended till 2012 due to some bureaucratic difficulties/// decided to come back to further development of the Law not earlier than in 2013</t>
  </si>
  <si>
    <t>NO, the initail negotiations with UN agencies for its preparation started</t>
  </si>
  <si>
    <t>National framework policy (Strategy, Doctrine) on Climate change is adopted.Yes</t>
  </si>
  <si>
    <t>3.4.2. Resource eficiency, pressure to/ state of environment</t>
  </si>
  <si>
    <t>317,3 kg/per capita</t>
  </si>
  <si>
    <t xml:space="preserve">320 kg/per capita  </t>
  </si>
  <si>
    <t>39.9 %</t>
  </si>
  <si>
    <t>nearly 10,0</t>
  </si>
  <si>
    <t xml:space="preserve"> 0.5 – 1 kg/ha </t>
  </si>
  <si>
    <t>2,79 kg/ha</t>
  </si>
  <si>
    <t xml:space="preserve">2,92 kg/ha </t>
  </si>
  <si>
    <t>4,9 kg/ha</t>
  </si>
  <si>
    <t xml:space="preserve">No. Current Law on Higher Education was adopted in 2002. The newest amendment to it was adopted in 2010. After a few failed attempts to approve the Ministry of education new law  New Law on Higher  education that restricts democratic principles in education, The Primer Minister of Ukraine orded to organize a new working group included reprezentatives from Universities, NGOs, experts. Now both draft laws on Higher Education are registered in Parlament and the new draft law is waiting for registration at the Parlament. </t>
  </si>
  <si>
    <t>The new Law in higher education was adopted in 2007. But Belarus is Not part of the Bologna process.</t>
  </si>
  <si>
    <t xml:space="preserve">Yes. The new law on higher education was adopted in December 2004. According to the new law, higher education should be based on the principles of democracy, transparency and equal opportunities as well as full autoNomy of HEIs. Thus the law on higher education provides mechanisms for achieving conceptual and systematic compatibility with European higher education area. </t>
  </si>
  <si>
    <t>The “Law on Higher and Postgraduate Professional Education” was adopted on 2004, ammendements done in 07.10.2009 ,  04.02.2010; 04.02.2010; 04.02.2010; 23.06.2010; 28.10.2010; 08.02.2011; 11.05.2011; 08.12.2011. It is in line with the Bologna principles.</t>
  </si>
  <si>
    <t>Is being implemented. In the National Report on Bologna Principals implementation (2007-2009) mentioned that 100 % of university students are involved into 2-cycle education system. But according to the Law on Higher Education Ukraine has a three-level structure of higher education (incomplete, basic, and complete levels) that is combined with a three-level structure of educational degrees (Junior Specialist’s, Bachelor’s, and Specialist’s/Master’s). However, ‘incomplete higher education’, resulting in the degree of ‘MiNor Specialist’, usually represents a separate branch of training (offered by separate vocational institutions), while Bachelor’s and Specialist’s /Master’s degree programs aim at developing a European-style, two-level higher education system. In addition, in Ukraine still exists two level doctoral degrees -  Candidate of science and Doctor of Science</t>
  </si>
  <si>
    <t>In 2005 according to the new Law of Georgia on Higher Education and Now is fully implemented in all accredited higher education institutions (HEIs). The only exception is medicine, where bachelor and master levels have Not been adopted. Stages passed by the students and academic degrees received are Now compatible with the Bologna Process requirements. The Law on Higher Education distributes qualifications in higher education on three cycles in line with the Framework for Qualifications of the European Higher Education Area</t>
  </si>
  <si>
    <t>Three-cycle structure pilot program launched in 1992 in Yerevan State Engineering University, then in 1994 in Yerevan state University. After Bologna process started in Armenia in 2005, the structure started being implemented in all universities. The exception is Slavonic University, with five years diploma</t>
  </si>
  <si>
    <t>ECTS - Yes/No</t>
  </si>
  <si>
    <t xml:space="preserve">In 2009 by the Minister of Education Order ECTS and Diploma Supplement were implemented in all higher education institutions in Ukraine. It worth to mention that experiments with implementation of credit system started in 2004-2005 within the ministry program of implementation of Bologna Principles into the system of Higher education in Ukraine (issued in 2004). </t>
  </si>
  <si>
    <t xml:space="preserve">In the Republic of Moldova the process of institutionalising and using the ECTS began in 2000, with Moldova State University being chosen as a pilot institution. The compulsory implementation of the European Credit Transfer System by all higher education institutions started in 2005. In 2006 a Guide on the implementation of the Credit Transfer System was developed. </t>
  </si>
  <si>
    <t>ECTS has been adopted in 2005 according to the Law of Georgia on Higher Education and is fully implemented in all accredited HEIs. Bachelor programs canNot comprise less than 240 ECTS credits whereas Master programs comprise 120 ECTS and doctoral programs 180 ECTS</t>
  </si>
  <si>
    <t xml:space="preserve">ECTS was launched in 2010. But implementation is uneven, </t>
  </si>
  <si>
    <t>DS - Yes/No</t>
  </si>
  <si>
    <t>Officially in 2009. But still students mostly don't get DS at the Universities.</t>
  </si>
  <si>
    <t>In 2002, the Ministry of Education from the Republic of Moldova introduced DS. Currently DS is issued in the vast majority of study programmes automatically and free of charge, in the language of instruction and English, to every graduate of the Licentiate and Master Programmes.</t>
  </si>
  <si>
    <t>DS is being issued free of charge to all students of accredited HEIs since 2006. From 2005 it is mandatory to issue UNESCO/Council of Europe Diploma Supplement free of charge in two languages (Georgian and English) (2005 Minister’s Decree #149) DS describes the qualification in an easily understandable way and is an important tool of students mobility within the education system as well as job market.</t>
  </si>
  <si>
    <t>In 2008 two Universities started to issue Diploma Supplement to both Bachelor and Master degree programme students</t>
  </si>
  <si>
    <t>Diploma Supplement  was started from 2010.</t>
  </si>
  <si>
    <t>Is there a NQF in your country? Yes/No</t>
  </si>
  <si>
    <t>1-0, 0,5 – under formation process</t>
  </si>
  <si>
    <t xml:space="preserve">On 31 March 2011 RA Government approved NQF (Decision #332, 2011), but No information on implementation </t>
  </si>
  <si>
    <t>Yes, but No information about implementation.</t>
  </si>
  <si>
    <t>When adopted and how does the system of mutual qualification recognition work in your country?</t>
  </si>
  <si>
    <t xml:space="preserve">The NQF was adopted in November  2011.  The system of mutual recognition works only with the countries Ukraine have bilateral agreements about. But most foreign students must Nostrificate their diplomas in Ukraine. </t>
  </si>
  <si>
    <t xml:space="preserve">Draft of the National Qualification Framework has been developed in 2008, but there is Not yet an exact timetable for NQF approval and implementation. Moldova signed international treaties on mutual recognition of diplomas with the following countries: Romania, Ukraine, Russia, and Bulgaria. </t>
  </si>
  <si>
    <t>NQF has been developed on the basis of EQF and adopted in December 2010 encompassing all study fields existing in the country. The NQF will make qualifications issued by higher education institutions understandable in European Higher Education Area. The main international legal text that aims to facilitate the recognition of qualifications Lisbon Recognition Convention was ratified by the Parliament of Georgia in 1999.  Mutual qualification recognition is responsibility of National Centre for Education Quality Enhancement (Accreditation Centre), although Not all relative documents have been developed so far. Decisions are made on individual basis.</t>
  </si>
  <si>
    <t>On 11 April 1997, the Republic of Armenia has ratified the Lisbon Convention1 on the Recognition
of Qualifications Concerning Higher Education in the European Region. Recognition practice-Stage of Implementation-After the establishment of ArmENIC it became the sole authority for recognition. The HEIs are also eligible for recognition in case a potential student with foreign qualification applies to continue his/her study. Steps envisaged- Monitor how the recognition procedures are implemented in HEIs, - Organise short trainings on recognition procedures and criteria, - Regular update of information, Period for the implementation- 2007-2010   http://armenic.am/?laid=1&amp;com=module&amp;module=menu&amp;id=98</t>
  </si>
  <si>
    <t>Adopted in 2007</t>
  </si>
  <si>
    <t>Autonomy of universities (legal basis, statute). Please specify whether you observe the autoNomy on the following levels:</t>
  </si>
  <si>
    <t xml:space="preserve">There is mechanism for implementation of stipulated by the Law principles of university autoNomy. Some of the Norms contradict to other regulations (Budget Code, Land Code). The matter of autoNomy is the matter of “special relations” of rectors with authorities and skills of finding of “powerful patron”. ANother issue is that culture of University autoNomy is Not cultivated jet. There is No understanding of interrelation between autoNomy and responsibilities. </t>
  </si>
  <si>
    <t xml:space="preserve">University can create Institutes, colleges,  research centres etc., cooperate with other Universities, enterprisers etc. </t>
  </si>
  <si>
    <t xml:space="preserve">Yes. Academic Council makes decision concerning education and research, Council of Representatives, which deals with administrative and financial issues, students’ self-governance, which comprise 30% of Council of Representatives. Within the structure of higher education institutions autoNomy of faculty is guaranteed as well. Faculty Council elects a dean, Council of Representatives elects head of administration (Chancellor), Academic Council elects the Rector. This was the first precedent that higher education institutions were given a right to elect their academic and administrative leadership. </t>
  </si>
  <si>
    <t>Several universities have sojme automony due to their status of private institutions.  Not for state universities</t>
  </si>
  <si>
    <t xml:space="preserve">University can define forms of studies and provide additional education services </t>
  </si>
  <si>
    <t>middle</t>
  </si>
  <si>
    <t xml:space="preserve">
For State Universities - No. The main source of financing for state universities is state budget. State budget covers salaries, students’ grants, and reNovation. Income Universities receive from contract students are also controlled by the state. Private universities don't get any donations for the state so can dispose their finances.
  </t>
  </si>
  <si>
    <t xml:space="preserve">Yes. At the moment changes in the Law on Higher Education are being discussed. Changes (if adopted) will affect financial management of HEIs. For example, if the council of Regents will be introduced, the level of autoNomy will decrease, but yet, we don’t kNow if the changes will be adopted at all.  </t>
  </si>
  <si>
    <t xml:space="preserve">Equal access to Higher education (EIE, university entry ex-ms, essays) </t>
  </si>
  <si>
    <t xml:space="preserve">In 2008 EIE was adopted by the government as a major condition for University admission in Ukraine. The EIE replaced traditional oral and written entrance examinations for the University level that had been major source of corruption in education deepening social inequality in the country.  Since 2010 government established new rules according to them EIE certificates were “amended” by school certificates in 2010 and bonuses (for those who finish the University preparatory courses). These new inNovation has put under the threat equal access to higher education. </t>
  </si>
  <si>
    <t xml:space="preserve">The State takes the responsibility for the admission of students to the first cycle higher education through creating the centralized, objective system and ensuring the principles of equity and meritocracy. A special unit – a legal entity of public law – the National Examination Centre – has been established to implement the Unified National Admission Examinations since 2005. The Examination Centre provides the education system with reliable and objective tools for assessing kNowledge and abilities of students. Since 2009 unified master’s exams are held as well. All future MA students have to take GRE. Next stage is examination in specialty, which will be administered by the universities. New model for financing MA studies is based on priority subjects. Students compete for places at state or private HEIs determined by the National Centre for Education Quality Enhancement. </t>
  </si>
  <si>
    <t xml:space="preserve">Unified test entrance examination, managed by the State Students Admission Commission </t>
  </si>
  <si>
    <t xml:space="preserve">International students in your country (university level), 2009-11: Number of students /per capita </t>
  </si>
  <si>
    <t>The latest data shows that 55 000 foreign students from 134 countries study in Ukraine (mostly from Asia, Post-Soviet countries, only 3% of foreign students are from Europe)</t>
  </si>
  <si>
    <t>0,000904 (3257 students in 2011-2012: Higher education cycle - 2706; Higher education, second cycle Master - 225; Doctoral Studies - 326.)</t>
  </si>
  <si>
    <t>0,001085 (10 486 students in 2010/2011)</t>
  </si>
  <si>
    <t xml:space="preserve">0.03026 (3.026%; 3 277 international students ) </t>
  </si>
  <si>
    <t xml:space="preserve">  0,00172 (5305 students (From pilot edition:In 2008-2009 academic year there were 3200 students from Armenian Diaspora, in 2009-2010- 3375, in 2010-2011- 3305. In 2008-2009 academic year there were 2500 international students in Armenia, in 2009-2010-2000 students and 2000 students in 2010-2011.)</t>
  </si>
  <si>
    <t>0,0000814 (2008-2009 : 7.150 students; 2010-2011: 6.178  students )</t>
  </si>
  <si>
    <t>Equal rights, though foreign students canNot work in Ukraine. The biggest problems foreign students face applying for studies in Ukraine is bureaucratic proceeding and language (only few universities can provide study programs in English), money machination.  Those foreign students study in Ukraine often meet with  violation based on a  racism.</t>
  </si>
  <si>
    <t>Admission to higher education institutions is based on the selection of application files. International students have to prove good kNowledge of the teaching language (Romanian, English or French). Usually, international students learn Romanian during the preparatory year. The candidates who speak Romanian can skip the preparatory year after having passed a test of Romanian language. The candidates, who can formally prove that they have studied Romanian, do Not need to pass the test.</t>
  </si>
  <si>
    <t>Not restrictive. But rarely opportunity to study in English</t>
  </si>
  <si>
    <t xml:space="preserve">       International students enjoy equal rights and restrictions with students-citizens of Armenia. The only exception is payment for study in two universities:  students from Armenian Diaspora pay the same amount for study in all state universities, except of Yerevan State University and Yerevan State Medical University, where they pay 30% more than Armenian students. Other international students in all universities pay more than Armenian students for the same specialization, and they express complain for this.</t>
  </si>
  <si>
    <t>No. LLL concept is being delepoped in all new Drafts of Law on Higher education.  There are some regional conception of LLL .  Universities of the third age are also being estableshed.</t>
  </si>
  <si>
    <t>No. A new project that aims to improve lifelong learning opportunities in Eastern Europe has been launched by the European Training Foundation (ETF) (February 2011). The three-year project, entitled ‘Lifelong Learning in Eastern Europe’, will bring together experts from Armenia, Azerbaijan, Belarus, Georgia, Republic of Moldova, Ukraine, and the Russian Federation.</t>
  </si>
  <si>
    <t>Some elements of life long learning as defined by the Law on Higher and Postgraduate Education of Armenia are available as supplementary postgraduate programmes based on earned professional education and do Not lead to a formal credential. The purposes of these programmes are to improve qualifications and to bring skills up to date. Internal corporate training with a similar purpose is also organized. Additionally, there are several Non-governmental organizations for adult learning. The development of distance learning and e-learning with the introduction of ECTS at the universities will largely promote learning opportunities for all ages, including continuing education, correspondence courses, and recreational activities.- http://armenic.am/?laid=1&amp;com=module&amp;module=menu&amp;id=84</t>
  </si>
  <si>
    <t>Yes, Law on Culture, Concept of the State targeted programme for inNovative development of Ukrainian culture 2009 - 2013 Not approved</t>
  </si>
  <si>
    <t>Yes, the National Report on Cultural Policy in Ukraine of CoE</t>
  </si>
  <si>
    <t>Launched</t>
  </si>
  <si>
    <t xml:space="preserve">In progress/ comes in the force in 2012 </t>
  </si>
  <si>
    <t>In progress. Although  these are mostly large companiesthat implement this.</t>
  </si>
  <si>
    <t>yes - 1, no - 0</t>
  </si>
  <si>
    <t>Linear transformation, status level</t>
  </si>
  <si>
    <t>Does your country implement strategies of food safety aimed to harmonise its leguslation with the EU? Yes/No/Under preparation</t>
  </si>
  <si>
    <t xml:space="preserve">Advance Rulings OECD Trade Facilitation Indicators </t>
  </si>
  <si>
    <t xml:space="preserve">Appeal Procedures OECD Trade Facilitation Indicators </t>
  </si>
  <si>
    <t xml:space="preserve">Co-operation – External OECD Trade Facilitation Indicators </t>
  </si>
  <si>
    <t xml:space="preserve">Co-operation – Internal OECD Trade Facilitation Indicators </t>
  </si>
  <si>
    <t xml:space="preserve">Fees and Charges OECD Trade Facilitation Indicators </t>
  </si>
  <si>
    <t xml:space="preserve">Formalities – Automation OECD Trade Facilitation Indicators </t>
  </si>
  <si>
    <t xml:space="preserve">Formalities – Documents OECD Trade Facilitation Indicators </t>
  </si>
  <si>
    <t xml:space="preserve">Formalities – Procedures OECD Trade Facilitation Indicators </t>
  </si>
  <si>
    <t xml:space="preserve">Governance and Impartiality OECD Trade Facilitation Indicators </t>
  </si>
  <si>
    <t xml:space="preserve">Information Availability OECD Trade Facilitation Indicators </t>
  </si>
  <si>
    <t xml:space="preserve">Involvement of the Trade Community OECD Trade Facilitation Indicators </t>
  </si>
  <si>
    <t>1.2</t>
  </si>
  <si>
    <t>1.3</t>
  </si>
  <si>
    <t>1.9</t>
  </si>
  <si>
    <t>Does your country have a visa facilitation regime? Yes/No/In progress</t>
  </si>
  <si>
    <t>Is overall Strategy  on State environmental policy adopted by the Parliament/ Government? Yes/ No/ Under preparation/ Under consideration at the adopting body</t>
  </si>
  <si>
    <t>Dose it (or draft of it) contain:</t>
  </si>
  <si>
    <t>Was the procedure of stakeholder involvement sufficient? Yes/No/Partually</t>
  </si>
  <si>
    <t>The announcement on public consultation was published on the web Yes/No</t>
  </si>
  <si>
    <t>The dead-line for comments communicate? Yes/No</t>
  </si>
  <si>
    <t>Calibration 1, 0,5, 0</t>
  </si>
  <si>
    <t>Calibration 1, 0</t>
  </si>
  <si>
    <t>The comparabe table of included and not included comments and analysis with explanation was issued and published in internet Yes/No</t>
  </si>
  <si>
    <t>Calibration 0-0,25-0,5-0,75-1</t>
  </si>
  <si>
    <t>Were National Action Plans on climate change mitigation adopted?:  Yes/No/ Under preparation/ Under consideration at the adoptinf body</t>
  </si>
  <si>
    <t>Were National Strategy on climate change adaptation adopted? Yes/No/ Under preparation/Under consideration at the adopting body</t>
  </si>
  <si>
    <t>d) nature protection</t>
  </si>
  <si>
    <t xml:space="preserve">Control of legality of trade in forestry Yes/No/Partually </t>
  </si>
  <si>
    <t>Is there an EU-compatible mechanism for prevention of illegal unreported and unofficial fishery? Yes/No/Partually</t>
  </si>
  <si>
    <t>Calibration 0--0,5-1</t>
  </si>
  <si>
    <t>Climate Change</t>
  </si>
  <si>
    <t xml:space="preserve">Does the legislature have the power of amnesty? Yes/No </t>
  </si>
  <si>
    <t>1.5</t>
  </si>
  <si>
    <t>1.6</t>
  </si>
  <si>
    <t>Sustainable Development Policy</t>
  </si>
  <si>
    <t>Has a National Strategy of Sustainable Development/Green Economy/Sustainable Consumption and Production document been adopted ? Yes/no/ under preparation</t>
  </si>
  <si>
    <t>Is there an institutional mechanism for this policy coordination? Yes/no/ under consideration</t>
  </si>
  <si>
    <t>Sustainable Development Goals</t>
  </si>
  <si>
    <t>Health and Poverty</t>
  </si>
  <si>
    <t>Linear transformation 1-0, benchmarks defined by Lithuania and worst performing EaP country in 2014</t>
  </si>
  <si>
    <t>Linear transformation 1-0</t>
  </si>
  <si>
    <t>Child mortality under 5 rate (per 1000 live birth)</t>
  </si>
  <si>
    <t>Death rate due to road traffic injuries (Per 100,000)</t>
  </si>
  <si>
    <t>Human development index (UNDP)</t>
  </si>
  <si>
    <t>Extent to which education for sustainable development is mainstreamed at all levels in:  by each of a - d subcategory                              0-0,5-1 (none, partially, fully)</t>
  </si>
  <si>
    <t>(a) national education policies</t>
  </si>
  <si>
    <t>(b) curricula</t>
  </si>
  <si>
    <t xml:space="preserve"> (c) teacher education</t>
  </si>
  <si>
    <t xml:space="preserve">(d) student assessment                                </t>
  </si>
  <si>
    <t>Access to improved water (%)</t>
  </si>
  <si>
    <t>Access to improved sanitation (%)</t>
  </si>
  <si>
    <t>Arable land as % from total area</t>
  </si>
  <si>
    <t>Unemployment rate in % to population (OECD)</t>
  </si>
  <si>
    <t>Employment to population ratio, 15+ (%) (OECD)</t>
  </si>
  <si>
    <t xml:space="preserve">R&amp;D expenditures (%GDP) </t>
  </si>
  <si>
    <t>Global Innovation Index</t>
  </si>
  <si>
    <t>Mobile broadband subscriptions (per 100)</t>
  </si>
  <si>
    <t>Material footprint (kg per dollar GDP in USD)</t>
  </si>
  <si>
    <t xml:space="preserve">Global food loss index </t>
  </si>
  <si>
    <t>Implementing sustainable public procurement policies and action plans: legal basis in place no/under preparation/yes adoption by categories:</t>
  </si>
  <si>
    <t>(a) the concept</t>
  </si>
  <si>
    <t>(b) separate law or amendments to current</t>
  </si>
  <si>
    <t>Ratio CO2/GDP at PPP at constant prices (2011), t CO2/1000 international dollars</t>
  </si>
  <si>
    <t>Waste waters. Share of Non-treated (treated?) waste waters in annual waste waters discharge</t>
  </si>
  <si>
    <t>NOx emmissions, Per capita, kg</t>
  </si>
  <si>
    <t>1.7</t>
  </si>
  <si>
    <t>Sustainable economic growth: Adjusted growth rate (%)</t>
  </si>
  <si>
    <t>Life satisfaction (EBRD, 2016) (share happy/satisfied % from total population) (source: The happiness gap in Eastern Europe -  EBRD)</t>
  </si>
  <si>
    <t>Ensure sustainable consumption and production patterns: Sustainable consumption and production (SCP) national action plans or SCP mainstreamed as a priority or a target into national policies Yes/No/Partually</t>
  </si>
  <si>
    <t>Protect, restore and promote sustainable use of terrestrial ecosystems</t>
  </si>
  <si>
    <t>2.3.1</t>
  </si>
  <si>
    <t>Are main horizontal instruments adopted:  Yes/ No/ Under preparation/ Under consideration at the adopting body/ Passed 1st reading</t>
  </si>
  <si>
    <t>1.8</t>
  </si>
  <si>
    <t xml:space="preserve"> Coding: 1 = President not entitled to dissolve the legislature; 0 = President is entitled to dissolve the legislature, 0.5 = Only in circumstances where Parliament cannot secure a majority to support the government within the timeframe as prescribed in the Constitution </t>
  </si>
  <si>
    <t xml:space="preserve"> Does the President lack the right to dissolve the legislature against its will ? 
</t>
  </si>
  <si>
    <t xml:space="preserve">Does the legislature have the power to approve amnesty? Yes/No </t>
  </si>
  <si>
    <t>Calibration 
PUT N/A WHERE OPPOSITION PARTIES ACCOUNT FOR FEWER THAN 15% OF SEATS</t>
  </si>
  <si>
    <t>Calibration
PUT N/A WHERE OPPOSITION PARTIES ACCOUNT FOR FEWER THAN 15% OF SEATS</t>
  </si>
  <si>
    <t>Worst EAP 2014</t>
  </si>
  <si>
    <t>Technical Barriers to Trade (TBT)</t>
  </si>
  <si>
    <t>Services and establishments</t>
  </si>
  <si>
    <t>Linear transformation with fully (100%) and no (0%) demarcated borders as benchmarks</t>
  </si>
  <si>
    <t>How many UN ECE environmental indicators values (data available and the indicator is calculated) are accesible on-line at the Ministry of Environment and/ or State Statistics Agency resources (implementing SEIS)  https://www.unece.org/env/indicators.html quantity, e.g. for Ukraine - 12</t>
  </si>
  <si>
    <t>Linear transformation, benchmarks ranging from 42 (best, full set of ECE environmental indicators) to 0 (worst)</t>
  </si>
  <si>
    <t>Do not score (just use N/A) where it is not a popular vote, but a parliamentary vote (e.g. Moldova pre-2017, Armenia post-2017) Linear transformation, best = 1, worst = 100</t>
  </si>
  <si>
    <t>Linear transformation, best = 1, worst = 100</t>
  </si>
  <si>
    <t>Linear transformation 1-0, benchmarks defined by Lithuania and worst performing EaP country in 2014. The higher indicator the less road safety what is considered as worse. Number of injury road accidents per 1 million population</t>
  </si>
  <si>
    <t>replaced the previous benchmarks with Lithuania and the worst EaP. Unfortunately FH subscores for 2014 are no longer available on freedomhouse.org, therefore I took the subscores for 2016 (published in Freedom in the World 2017 edition). Please note that there is now a FIW 2017 edition, suggested to replace the EaP values with updated values.                                  Linear transformation, benchmarks defined by best and worst performing EBRD transition countries; 2016 best 13 (Lithuania)  worst = 5 (Azerbaijan)</t>
  </si>
  <si>
    <t>replaced the previous benchmarks with Lithuania and the worst EaP. Unfortunately FH subscores for 2014 are no longer available on freedomhouse.org, therefore I took the subscores for 2016 (published in Freedom in the World 2017 edition). Please note that there is now a FIW 2017 edition, suggested to replace the EaP values with updated values.                                  Linear transformation, benchmarks defined by best and worst performing EBRD transition countries; 2015 best = 16 (Lithuania), worst = 2 (Azerbaijan)</t>
  </si>
  <si>
    <t>replaced the previous benchmarks with Lithuania and the worst EaP.                                  Linear transformation, benchmarks defined by best and worst performing EBRD transition countries; 2016 best = 9 (Lithuania), worst = 3 (Azerbaijan, Belarus)</t>
  </si>
  <si>
    <t>fix formula if its rank</t>
  </si>
  <si>
    <t xml:space="preserve">Freedom, Security and Justice </t>
  </si>
  <si>
    <t>Can the legislature exercise a veto on any changes to the Constitution?</t>
  </si>
  <si>
    <t>The upper benchmark should be set to 50(%) which would approximately reflect the Ukrainian figure from 2014 and would enable tracing changes in opposition activities over time. The lower benchmark can remain 0.                Linear transformation,e.g. best = x% (% of opposition bills country X), worst = 0 country Y</t>
  </si>
  <si>
    <t>Linear transformation (lowest % - 0 divided by highest % - 0)</t>
  </si>
  <si>
    <t xml:space="preserve">Government Integrity </t>
  </si>
  <si>
    <t xml:space="preserve">yes, but gradually decreasing </t>
  </si>
  <si>
    <t>How many MLA&amp;BLA the country signed with the EA? (max 8) http://www.european-accreditation.org/mla-and-bla-signatories#1</t>
  </si>
  <si>
    <t>CEN Affiliate</t>
  </si>
  <si>
    <t>CENELEC Affiliate</t>
  </si>
  <si>
    <t>1 company, FULL MEMBER Research Body (Public)</t>
  </si>
  <si>
    <t>1898 of harmonised EU standards are national standards (38% of EU New Approach Harmonised Standards)</t>
  </si>
  <si>
    <t>Yes, but only during the election campaign itself. During the periods between election campaigns, some opposition parties and politicians do not receive adequate representation on state media, which pays more attention to the activities of pro-government forces.</t>
  </si>
  <si>
    <t>It is implemented, but with significant irregularities that affect the results of the elections.</t>
  </si>
  <si>
    <t>No. There had been changes in the electoral code recently, which have addressed some of the concerns of civil society and opposition, but have not addressed others, and have introduced other questionable elements.</t>
  </si>
  <si>
    <t xml:space="preserve">Partially. There are no significant controversies with regard to constituency demarcation per se, but the majoritarian system that existed before 2015, favored local “oligarchs” and “criminal authorities”. As a result of recent constitutional changes, the electoral system supposedly switched to proportional representation. However, the so called “rating system” of election ensures that in fact a quasi-majoritarian system is in place, as the competition is not taking place only between the parties, but also between specific candidates in specific districts. </t>
  </si>
  <si>
    <t>Partially. Though the opposition’s demand to publish the voter lists after the election has been included into the new electoral code, it is not enough to ensure there are no irregularities in the elections, as the civil society and opposition lack the resources to establish effective control over the voting process.</t>
  </si>
  <si>
    <t>Partially. As the CEC and courts system are under the control of the ruling political force there is no guarantee against misuse of the electoral legislation in order to exclude unwanted competitors from the opposition.</t>
  </si>
  <si>
    <t>Mostly yes. However, the ruling party has other instruments at its disposal for preventing registration of unfavorable candidates.</t>
  </si>
  <si>
    <t>No, CEC is seen by the parties and a large part of voters as a body controlled by the ruling political force.</t>
  </si>
  <si>
    <t>Mostly yes, but the new electoral code has significantly complicated the voting procedure, which can become a cause for manipulations and confusion. In addition, people with disabilities have experienced difficulties in voting.</t>
  </si>
  <si>
    <t>Not always. While the legislation ensures accessible, secret and secure voting, in practice there are often reports of voter intimidation, as well as open voting, often associated with bribing of the votes. There are also reports of violent incidents and intimidation at polling station on the voting day. Though in most cases such incidents involve journalists, proxies and monitors rather than voters, they create an atmosphere of intimidation that might affect voters and reduce trust toward the election result. In addition, most voting stations are not equipped to allow voting for people with disabilities.</t>
  </si>
  <si>
    <t>No. There is no independent mechanism to prevent or rectify vote fraud, as the CEC and electoral management in general are dominated by the ruling party.</t>
  </si>
  <si>
    <t>No. While, vote buying is illegal, the legislation is largely not enforced. There have been numerous reports of vote buying by the observers, opposition, media and civil society, however, very little efforts have been carried out by the police to investigate these cases. The extent of vote buying is such that it most probably determines the outcome of the elections.</t>
  </si>
  <si>
    <t>No. There have been numerous reports of voter intimidation by the observers, opposition, media and civil society, however, very little efforts have been carried out by the police to investigate these cases.</t>
  </si>
  <si>
    <t>Yes. However, election observation has little effect on the outcome of the elections, as reports and complaints of election observers are often dismissed by electoral management and law-enforcement services. Besides, there are common cases of intimidation and violence against election observers.</t>
  </si>
  <si>
    <t>Largely no. In the past the official results of the election have been disputed by the opposition and independent media. In the recent elections, there have been relatively little claims of fraud on the level of vote count, however, there is no independent system in place to ensure the integrity of the vote count, since the CEC and election management are dominated by the ruling party.</t>
  </si>
  <si>
    <t>Yes, the parties and candidates are allowed to observe, but only delegated representatives. Often opposition parties do not have enough resources to ensure that their trusted representatives are observing the count, especially in regional polling stations.</t>
  </si>
  <si>
    <t xml:space="preserve">No. The appeal system is appropriate by the law, but in reality it is not impartial and non-partisan, since both CEC and the court system, including the Constitutional Court are under the influence of the ruling political force and are highly unlikely to make a ruling that goes against its interests. </t>
  </si>
  <si>
    <t>No. The cross-party delegation of the Parliamentary Assembly of the Council of Europe (PACE) critizied the conducting of the constitutional referendum of 2015. In the past, international observers have recorded serious problems, though they have also often made the reservation that these problems did not influence the results and considered the elections “a step forward”. Local observing missions have also reported significant problems in the elections, but concluded that these have influenced the election outcomes.</t>
  </si>
  <si>
    <t xml:space="preserve">Vote differential: 21.89% . Most recent presidential elections were held on 18 February 2013. The winner Serzh Sargsyan got 861155 votes (58.64%), the best-performing rival Raffi Hovhanissyan- 539691 (36.75%) </t>
  </si>
  <si>
    <t xml:space="preserve">The local human rights organizations periodically report about the political prisoners and politically motivated trials in Armenia (https://www.state.gov/j/drl/rls/hrrpt/2015humanrightsreport/index.htm#wrapper). According to the data provided by the local human right organization (http://nopoliticalprisoners.org/images/report.pdf) collected the data about 13 people starting from 2013 to January 2016. 
There was significant increas in this number during the 17-30 July 2016 in Yerevan. The number of politically motivated cases reached to 47 out of which 15 persons were released. Up to May 2017 there are 28 persons still under the detention only from July 2016 and 13 from 2013 to 2016 February. In total 41 people are imprisoned on the grounds of politically motivated cases.  </t>
  </si>
  <si>
    <t xml:space="preserve">There were 18 cases delivered by the ECtHR for 2015-2016. In alljudgments the government applies the individual mesures but fails to ensure the mesures of general nature to prevent the possible repetation of the same violations (https://rm.coe.int/168070973c). </t>
  </si>
  <si>
    <t xml:space="preserve">The Committee against torture has expressed its regrets that the recommendations identified for follow-up in its previous concluding observations concerning allegations of torture and ill-treatment in police custody, fundamental legal safeguards and investigations into allegations of torture and/or ill-treatment and impunity (CAT/C/ARM/CO/3, paras. 8, 11 and 12, respectively) have not yet been fully implemented (CAT/C/ARM/CO/4).
During the reporting period there were several reports on the cases of torture and excessive use of force reported. According to the state official data provided to the CPT for the period of 2015-June 2016 there were 289 reports on the cases of ill-treatment. For the month of July 2016 130 people were officially recognized as victims who suffered because of actions of police-ill treatment and use of special means. 
</t>
  </si>
  <si>
    <t>The conditions ar prisons remains worring at the poor material conditions in some prisons, especially Nubarashen, Vanadzor and Yerevan-Kentron prisons, including the inadequate sanitary conditions, the low quality of nutrition and the extremely limited offer of extra-regime activities, affecting disproportionately prisoners serving life sentences in particular, and the failure to meet the gender-specific needs of female inmates held at Abovyan prison. The Committee is also concerned at reports that inmates rely on personal resources to improve their living conditions, including food, medicine and sanitary products from outside the prison, which leads to unequal conditions of detention. It is also clear that corruption remains a problem in the Armenian prison system. The
inmates were expected to make unofficial payments e.g. in
order to obtain better material conditions or to be transferred “to rest” in the prison’s health-care
unit or at the Central Prison Hospital.</t>
  </si>
  <si>
    <t xml:space="preserve">According to the EU requirements the Law on data protection was developed and entered into force ին 2015 however, there are no sufficient mechanisms to ensure full protection of the right to privacy. </t>
  </si>
  <si>
    <t>Yes, According to article 80 of the Constitution of Armenia, members of the parliament are entitled to ask the government written and oral questions while the factions and deputy groups shall also be entitled to submit interpellations to the Government. During one sitting of the regular session week, the Prime Minister and the Government members shall answer the Deputies’ questions. The Government members can be regularly invited to the hearings and sessions, according to the Law on Rules Of  Procedure Of The National Assembly.</t>
  </si>
  <si>
    <t xml:space="preserve"> Yes, According to article 73 of the Constitution of Armenia and according to the Law on Rules of Procedure of the National Assembly, the National Assembly may form committees to investigate acute issues.       Art 73 provides for the right to form ad hoc committees within the National Assembly, and yet it does not explicitly provide for investigative functions vested in these committees. In reality, a number of committees have been previously formed under the auspices of the National Assembly to perform largely investigative functions (such as the commission to investigate 1 March 2008 events), yet the legal status and the access granted to such committees are not clearly defined. </t>
  </si>
  <si>
    <t xml:space="preserve">Yes by the Constitution and No in practice. The legislature has the same power of oversight over all agencies funded by the state budget by the Constitution. Also, according to article 80 of the Constitution of Armenia, Deputies are entitled to ask the Government written and oral questions while the factions and parliamentary groups are also entitled to submit interpellations to the Government. During one sitting of the regular session week, the Prime Minister and the Government members answer the Deputies’ questions.                </t>
  </si>
  <si>
    <t xml:space="preserve"> No. The President of Armenia on the basis of the distribution of the seats in the National Assembly and consultations held with the parliamentary factions, appoints as Prime Minister the person enjoying confidence of the majority of the Deputies and if it is  impossible the President of the Republic appoints as the Prime Minister the person enjoying confidence of the maximum number of the Deputies (Article 55 (4) of the Constitution). </t>
  </si>
  <si>
    <t>No. The President of Armenia appoints to and dismisses from the office the members of the Government upon the recommendation of the Prime Minister (Article 55 (4) of the Constitution).</t>
  </si>
  <si>
    <t>Yes. The legislature may express no confidence in the Government by a majority vote of the total number of the Deputies (Article 84 of the Constitution).</t>
  </si>
  <si>
    <t>No. The President of Armenia dissolves the National Assembly if the National Assembly does not give approval to the programme of the Government after two attempts in succession within two months. The President may also dissolve the National Assembly upon the recommendation of the Chairman of the National Assembly or the Prime Minister in the following cases: a) If the National Assembly fails within three months to resolve on the draft law deemed urgent by the decision of the Government or; b) If in the course of a regular session no sittings of the National Assembly are convened for more than three months); c) if in the course of a regular session the National Assembly fails for more than three months to adopt a resolution on issues under debate (Article 74.1 of the Constitution).</t>
  </si>
  <si>
    <t xml:space="preserve">Yes -  the simple majority can override the veto of the President.   
According to the Article 55 (2) of the Constitution,  the President of the Republic: "shall, within twenty one days of receipt, sign and promulgate, the laws passed by the National Assembly; Within this period the President may remand the law passed by the National Assembly to the latter with objections and recommendations requesting for new deliberations. The President shall, within five days, sign and promulgate the law re-adopted by the National Assembly;".According to the Article 72 of the Constitution of RA,"Should the National Assembly decline to accept the recommendations and objections presented by the President of the Republic, it shall pass the remanded law, again with a majority vote of the number of Deputies.The National Assembly shall deliberate on a priority basis any law, which has been remanded by the President. " </t>
  </si>
  <si>
    <t>Yes. The Chairman of the National Assembly chairs the sittings of the Assembly, manages its material resources and ensures its normal functioning (Article 79 of the Constitution).</t>
  </si>
  <si>
    <t xml:space="preserve">Yes. All members of the National Assembly are elected through mixed majoritarian and proportional electoral systems. The executive lacks the power to appoint members of the legislature. </t>
  </si>
  <si>
    <t>No. The Constitution is adopted or amended only by a referendum which may be initiated by the President of Armenia or the National Assembly (Article 111 of the Constitution of Armenia).</t>
  </si>
  <si>
    <t xml:space="preserve">No. The legislator cannot exercise a veto on the changes to the Constitution which are done through  referendum. There are no other ways of making changes to the Constitution. </t>
  </si>
  <si>
    <t xml:space="preserve">Yes. Accoring to the Article 81(1) of the Constitution, the National Assembly declares amnesty upon the recommendation of the President of Armenia. The National Assembly is the sole body that can declare amnesty. By declaring amnesty, it in fact exercises the power of amnesty. </t>
  </si>
  <si>
    <t xml:space="preserve">Yes. As indicated above, the National Assembly is the sole body that can declare amnesty by adopting the text of the amnesty.   </t>
  </si>
  <si>
    <t xml:space="preserve">Yes. , under Article 28, the National Assembly ratifies the regulations of the "Public Television and Radio Company (PTRC) by its law on “Regulations of the National Assembly” which are drafted by the PTRC and submitted to the National Assembly for ratification by the Government. Under article 32 of the Broadcasting law, the PTRC should submit annual report on its operation to the National Assembly, as well as to the President. Under article 35, the PTRC should draft and submit to the government the budget for the following year and the latter should submit it to the National Assembly for confirmation." Under article 36, the PTRC should introduce to the National Assembly on annual basis  a statement (including a policy and financial statement) on the previous year’s activities of the PTRC. Further, the chairman of the PTRC should present annual report at the session of the National Assembly which is put on plenary discussion by members of the parliament according to the procedure defined by the RA law “Regulations of the National Assembly”. </t>
  </si>
  <si>
    <t xml:space="preserve">Yes. Each member of the parliament may have two personal assistants: one on the basis of work agreement and one on free of charge basis. </t>
  </si>
  <si>
    <t xml:space="preserve">The law does not expressly specify a non-secretarial staff, but the law does not prohibit one of the assistants above to act as a non-secretarial staff with policy expertese. </t>
  </si>
  <si>
    <t>No. The right to nominate candidates as chairpersons and vice chairpersons of standing committees is distributed among the parliamentary factions according to the index for each position calculated by a specific formula. The faction having the biggest index receives the right to first elect and nominate a candidate as a chairperson of the standing committee or vice chairperson of the standing committee. The right to elect and to nominate for the next position of the chairperson or vice chairperson of the standing committee is conferred on the faction having the biggest factor compared with other factions</t>
  </si>
  <si>
    <t xml:space="preserve">Yes. Speaking time for all political groups is the same, and this means that the weight of the political groups does not matter in this case. </t>
  </si>
  <si>
    <t>The governing party has 70 (53.4%) seats In the current Parliament (as of June 2014) and 5 opposition factions have 57 seats (43.5%) officially.  4 MPs do not belong to any faction.  Total number of seats is 131. Differential: 9.9%</t>
  </si>
  <si>
    <t>111/595 (18.6%). 111 bills were submitted by the members of the opposition parties and 595 bills were submitted in total. The share is 18.6%</t>
  </si>
  <si>
    <t xml:space="preserve">5.3%.  During the reporting period, 7 MPs left their parliamentary fraction. The “Law on Parliament regulation” does not allow MPs to change the group affiliation, but only to leave. Total number of MPs is 131. </t>
  </si>
  <si>
    <t>Yes. The Government approves Medium-term Expenditure Framework for 3 years each year, which includes fiscal forecasts of revenue and expenditure and potential deficit financing. (see http://minfin.am/minfin.am/index.php?cat=73&amp;lang=1 for 2017-2019 fiscal years)</t>
  </si>
  <si>
    <t>Yes. They are available on the official web-site of the Armenian Ministry of Finance (www.minfin.am)</t>
  </si>
  <si>
    <t>Yes.  Monthly budget execution reports (on accrual basis) available on the Ministrey of Finance web-site.</t>
  </si>
  <si>
    <t xml:space="preserve">Yes, but very formally no compliance with the international human rights standards. 
The number of laws and other legal regulations prescribe the grounds and rules for applying exercise of physical force, special means and firearms by a police officer. 
• The law on police force (1997), 
• The law on police (2001),
• Guidelines for the activities of officers of the police units involved in public order management and for the use of physical force, special means and firearms by these officers during mass disorders (adopted by the decree of the police head, 2011).
• Decree on the lawful standards for the use of special means against human (decree of the ministry of health, N 09-N 2012).  
• Decree on the description of the special means included in the list of the police arsenal and their use (adopted by the decree of the police head, N 5-Ն, 2009) 
Chapter IV of the law on police (exercise of physical force, special means and firearms by a police officer. the means for the personal protection of a police officer) defines the prohibitions of the use of special means including the crowd control during peaceful assemblies. 
However, there are number of discrepancies between the standards for the use of special means and physical force, in particular, the types of the special means defined by the decree of the police head and the ministry of health are not corresponding each other. The same is through for the rules of the special means. Such irregularities and inconsistencies create violations of basic human rights by police, especially during dispersion of peaceful assemblies. 
</t>
  </si>
  <si>
    <t xml:space="preserve">Yes.
1. Police in Armenia used force to disperse a largely peaceful protest on June 23, 2015; the water cannon was used and the police followed to protesters using force ad physical attacks against participants of peaceful assembly and journalists. Police officials told the media that at least 25 people, including 11 policemen, were injured. Several protesters sought medical assistance at hospitals (https://www.hrw.org/news/2015/06/24/armenia-police-violence-against-protesters-journalists).
2. From 17-30 July 2016 the Armenian police used excessive force against peaceful protesters three times; the journalists reporting on the demonstrations were targeted intentionally and injured. More than 130 participants of peaceful assemblies got physical and burned injuries (https://www.hrw.org/news/2016/08/01/armenia-excessive-police-force-protest). 
No effective investigation was applied to hold police accountable and no effective remedies for the victims.
</t>
  </si>
  <si>
    <t xml:space="preserve">Within the police, investigative committee and army there are internal investigation and disciplinary units to deal with the complaints on the violation submitted by the citizens. However, no effective remedies are provided by these units as they are lacking independence and operate within the same institutions which makes their work credible.       </t>
  </si>
  <si>
    <t xml:space="preserve">NO, the same department on the internal investigation and complaint units may deal with such complains o if the violation contains criminal elements it can be submitted to the Special Investigation Service.  </t>
  </si>
  <si>
    <t xml:space="preserve">Yes, but it was never applied during this reporting period.
The Article 108 of the amended constitution (2015) defines the function of the Inquiry Committees of the National Assembly.
1. Upon the demand of at least one quarter of the total number of parliamentarians, an inquiry committee of the National Assembly shall be formed by virtue of law for the purpose of establishing facts of public interest and presenting them to the National Assembly.
2. For the issues of the national security and defense the function of the Inquiry Committee can be played only by the competent Standing Committee upon the demand of at least one third of the total members of the parliament.     
</t>
  </si>
  <si>
    <t xml:space="preserve">Yes, by the current regulations, but in accordance to the constitutional amendments it will be changed.  
According to the Constitution (2005) the National Security Council is formed by the decree of the president. The Council is composed by the representatives of the National Parliament, the Government, Constitutional court, Minister of the Defense and etc.   
</t>
  </si>
  <si>
    <t xml:space="preserve">Partially, the Standing Committee on Defense, National Security and Internal Affairs organizes the discussion sessions but they are closed and not all the members of the parliament are attending.  </t>
  </si>
  <si>
    <t xml:space="preserve">The question does not corresponds to the existing situation. 
According to the Constitutional amendments (2015, Article 118) the president does not have any power. It is the Government declaring War and Establishing Peace. By proposal of the Government, the National Assembly may adopt a decision on declaring war or establishing peace by majority vote of the total number of parliamentarians.
</t>
  </si>
  <si>
    <t xml:space="preserve">The question does not corresponds to the existing situation. 
According to the Constitutional amendments (2015, Article 133) by proposal of the Prime Minister, the President of the Republic shall appoint and dismiss the supreme command of the armed forces and other troops.
</t>
  </si>
  <si>
    <t xml:space="preserve">Yes, they are presented in the standing committees, however, the decisions are taken by the majority of the votes where the voice of the opposition does not heard.   </t>
  </si>
  <si>
    <t xml:space="preserve">Not regularly, but annually. 
According to the Constitutional amendments (2015, Article 156) the Government, including all ministries report to the National assembly annually. This reporting process is public, except the parts having the sensitive information on national security. 
</t>
  </si>
  <si>
    <t xml:space="preserve">No, the annual reports of the Ombudsman does not include the information on the visits of the security and law enforcement institutions when reports of the human rights are reported. </t>
  </si>
  <si>
    <t>According to the decision of the Government (1204-Ն, 2015) each Ministry and state agencies are obliged to have a special units on the media relations and on the management of the information.</t>
  </si>
  <si>
    <t>YES</t>
  </si>
  <si>
    <t>Ministry of Defence, NO, as the information is considered to be sensitive and contains risk for the national security.</t>
  </si>
  <si>
    <t xml:space="preserve">Partially, the information on the planed budget and its implementation is available, the same is for the operational decisions and for the structure under the Ministry of Justice. </t>
  </si>
  <si>
    <t xml:space="preserve">No, the information is considered to be sensitive and is not public it is closed information. </t>
  </si>
  <si>
    <t xml:space="preserve">Partially, the Standing Committee on Defense, National Security and Internal Affairs organizes the public hearings to discuss the issues (human rights problems) of the defense and law enforcement bodies, however this is not regularly and no reports are issued. </t>
  </si>
  <si>
    <t>YES, for the MINISTRY of JUSTICE</t>
  </si>
  <si>
    <t xml:space="preserve">YES, but only for those that are not considered and listed as a secret information. </t>
  </si>
  <si>
    <t>Partially</t>
  </si>
  <si>
    <t>YES, in June 2015 and in July 2016 during the public protests the media representatives were attacked when were reporting on human rights violations. In 2017 the civil case was taken against the NGO and its coordinator when they reported about the abuse of the administrative resources by the schools.</t>
  </si>
  <si>
    <t xml:space="preserve">Partially, some consultations are held but not for the security polices at large and in full content. </t>
  </si>
  <si>
    <t>YES for Ministary of Justice</t>
  </si>
  <si>
    <t xml:space="preserve">Yes, when the sessions are public and the representatives of the NGOs are invited in advance. </t>
  </si>
  <si>
    <t xml:space="preserve">YES, according to the Law on Ombudsman therepresentatives of the OPCAT mechanism have a right to visit all closed and semi-closed instituions. </t>
  </si>
  <si>
    <t>Yes, the OPCAT mechanism is functioning under the ombudsman instituion and is composed by the NGO representatives who are nominated and selected by the Ombudsman. Though formally the civil society is represented in the OPAT, however as the selection is done by the Ombudsman not all NGOs have a possibility to be presented there.</t>
  </si>
  <si>
    <t xml:space="preserve">As a result of the amendments made to the RA Criminal Code on May 18, 2010 defamation and insult were decriminalized, while the order and terms of compensation of damages caused by insulting or defamatory statements to honor, dignity and business reputation of a person were prescribed in the RA Civil Code, which introduces high monetary fines for insult and defamation, and cases brought against media on this basis  were increased. In November 2011, the Constitutional Court ruled that courts should avoid imposing large fines on media outlets for defamation, resulting in a subsequent decrease in the number of defamation cases. </t>
  </si>
  <si>
    <t>In 2015 a group of police officers have filed a lawsuit against an internet-based program, claiming that the author of the program publicly offended the police and demanding that he be subjected to civil liability. </t>
  </si>
  <si>
    <t xml:space="preserve">The Armenian government does not consistently or pervasively block users’ access to content online. In one case, content was restricted in May 2015, when an episode of a web series satirizing the police response to protests in Yerevan was removed by YouTube. The most common incidents of censorship of online content relate to blocking and filtering of platforms and websites by the Russian regulatory authority, which affects access to the same content for some internet users in Armenia, since Armenia receives its web traffic from Russia. However, these cases are promptly resolved by internet service providers once reported by users. According to Article 11 of the Law on Police,[23] law enforcement authorities have the right to block particular content to prevent criminal activity; in practice, such blocking cases have been limited to locally-hosted, illegal content such as illegal pornography or copyright-infringing materials. </t>
  </si>
  <si>
    <t>Yes for all:  http://www.arlis.am/, http://www.parliament.am/legislation.php?sel=alpha&amp;ltype=4&amp;lang=arm, http://datalex.am/?app=AppCaseSearch, https://www.e-gov.am/</t>
  </si>
  <si>
    <t>Yes, Armenia joined Safer Internet pan-European initiative since 2009.  Armenian Safer Internet Day Committee has been established: http://safe.am/</t>
  </si>
  <si>
    <t xml:space="preserve">Yes. The Law on Judiciary sets out several objectie criteria (art. 122) such as specialization, experience, age, current position, performance at Justice Academy.  </t>
  </si>
  <si>
    <t xml:space="preserve">Yes. The Law on Judiciary (art. 135) sets out exhaustive list of criteria  such as professional knowledge, experience, education, professional credibility, job skills, quality of adopted judcial decisions, work and judicial ethics, verbal and written communication skills, past participation in continuing legal education training programs, involvement in the activities of judicial self-governing bodies, judge's involvement in legislative development programs, relationship with colleagues, organizational and management skills. In June 2014, a new system of evaluation of judge's overall activity was instroduced in the Judicial Code and the results of the evaluation are basis for deciding, inter alia, on the promotion of judge.   
</t>
  </si>
  <si>
    <t xml:space="preserve">Yes. The judge may be removed from office for violation of ethics norms, as well for making a judicial decision with prima facie gross substantive or procedural law violation. The decision of subjecting a judge to discriplinary liability is published, the disciplinary sessions are normally open to the public unless specific grounds set by the law persist. </t>
  </si>
  <si>
    <t xml:space="preserve">No. The judge may on a case by case basis be influenced both from external and internal sources. </t>
  </si>
  <si>
    <t xml:space="preserve">Yes. The Judicial Code stipulates specific measures for protecting the security of judges, their family members and the home if such request is made (art 84), e.g. authority to possess weapon, other special means, etc.   </t>
  </si>
  <si>
    <t>Yes. There are several safeguards for immunity in the Law on Judiciary (art. 13)</t>
  </si>
  <si>
    <t xml:space="preserve">Yes. The Justice Council has 13 members and 9 of them are appointed by the judiciary and selected by closed voting during the General Meeting of Judges, and other  2 members are appointed by the President and the 2 members by the Parliament. Despite the fact that the President approves the list of appointments and decisions on careers of judges, the list is drafted  by the Justice Council.  Only judge-members of the Council decide on disciplinary liablity of judges for violation of judicial ethics.   </t>
  </si>
  <si>
    <t xml:space="preserve">Yes. The Constitutional Court is vested with the power of deciding on the constitutionality of  statutory norms, as well as that of the judicial practice by which the constitutional meaning of the  statutory norm has been distorted. </t>
  </si>
  <si>
    <t xml:space="preserve">Yes. The administrative courts exercise a judicial review power of  administrative acts, inlcuding a power to obligate the public bodies to eliminate the violation and/or compel the authorities to act (to restore the violated right). The substantive basis is stipulated in the "Law on Fundamentals of Adminstrative Action and Administrative Proceedings" while the procedural basis are stipulated in the Administrative Procedure Code. </t>
  </si>
  <si>
    <t xml:space="preserve">Yes. The Judiciary has ultimate but not exclusive jurisdiction. Some civil rights and liberties can be decided through administrative proceedings before state bodies that precede judicial proceedings. The administrative proceedings are carried out with minimum judicial safeguards such as the right to be heard, the right to appeal, to right to be notified. The judiciary conducts judicial review of administrative proceedings. </t>
  </si>
  <si>
    <t xml:space="preserve">Yes. Judicial decisions, with few exceptions, are as a rule executed, and there are a number of government agencies assisting the courts in subpoena, contempt and enforcement proceedings such as  the Police, the Department of Execution of Judicial Acts under the Ministry of Justice, the penitentiary facilities, etc. </t>
  </si>
  <si>
    <t xml:space="preserve">Yes, judicial decisions can  be reversed through judicial appeal process or through a case reopening proceedings.   </t>
  </si>
  <si>
    <t xml:space="preserve">Yes, the cases are assigned by randomly selected electronic method among judges specialised in the given area of the law. </t>
  </si>
  <si>
    <t xml:space="preserve"> Yes. Judges may be removed for real and potential conflict of interest such as personal interest, family ties, if they witnessed the events underlying the judicial case.  </t>
  </si>
  <si>
    <t xml:space="preserve"> Yes. All the mentioned issues are addressed in the Judicial Code and in the Rules of  Judicial Conduct. Judicial ethics is included in the teaching curriculum of the Judicial Academy where judges and candidates to judiciary undergo mandatory initial and continuing legal education. </t>
  </si>
  <si>
    <t xml:space="preserve">Yes. Complaints can be brought by any person to the Ethics and Discriplinary Commission of the General Meeting of judges. Complaints to the Commission may be brought also by the Assessment Commission of the General Meeting of Judges which periodically assesses the overall activities of judges and if it discovers ethics violation, it reports the Commission. Complaint can be brought also by the Minister of Justice. Decision of holding a judge liable for violation of ethics norms is made by the Justice Council which takes decision through special discriplinary proceedings which provides minimum fair trial safeguards such as the right to be heard, the right to file motion, to have lawyer, to contest the decision, etc. </t>
  </si>
  <si>
    <t xml:space="preserve">Yes. As a rule the courtroom proceedings are open to the public, including the media. Closed hearings are allowed as an exception upon persistence of specific conditions set by law which are narrowly construed. Normally, the courtroom are accommodated to accept the public and media. If the court case presents significant public interest, the courtroom may not have enough space for all people who want to get into the courtroom.   </t>
  </si>
  <si>
    <t xml:space="preserve">Yes, all court decisions are published and access to database is free for the public (users need only to register to get password and login). Court records are not made public but the parties to the proceedings may have access to them.   </t>
  </si>
  <si>
    <t xml:space="preserve">Yes. The Judicial immunity of judge is confined to his/her judicial functions. The judge can be arrested only at the moment  or immediately after committal of the crime, and the body executing the arrest must immediatley inform the Presenti and the Justice Council of the arrest. Judge's further detention can be decided only upon approval of the Justice Council within 72 hours of the arrest. </t>
  </si>
  <si>
    <t xml:space="preserve">No. The two framework laws 1) Law on Fundamentals of Administrative Action and Administrative Proceedings, and 2) the Code of Administrative Proceedings do not contrain a non-discrimination clause, but the Code of Administrative Violations  provides a non-discrimiantion clause under article 248. </t>
  </si>
  <si>
    <t xml:space="preserve">The Constitution, the Criminal Code, the Labor Code, the  Law on Education, the Law on Administrative violations provide open list. The Law on Protection of Economic Competition uses the general term of of prohibition of "discriminatory" prices and conditions in rendering services.  </t>
  </si>
  <si>
    <t>Yes. The "Law on Equal Rights and Equal Opportunities between Women and Men" (a gender law)</t>
  </si>
  <si>
    <t>Yes. For example, 1) the concept of affirmative measure is expressly provided in the Law on Equal Rights and Equal Opportunities between Women and Men (Gender Law), 2) family law was amended to stipulate same minimum age of marriage (18) for men and women to avoid gender inequality. 3) City Mayor instructed to put disability signs in parking areas to ensure equal opportunities, 4) Government regulation 996-N stipulates that the State is to compensate private employer by 50% of the salary paid to disabled employee․</t>
  </si>
  <si>
    <t>There is no such body</t>
  </si>
  <si>
    <t>3 (16%) out of 18</t>
  </si>
  <si>
    <t xml:space="preserve"> Yes. The Control Chamber is organizsationallly independent. But by the Constitution its programme is approved by the National Assembly, and the Chamber reports of its activity to the National Assembly on annual basis. The Head of the Chamber is appointed by the National Assembly by the recommendation of the President. </t>
  </si>
  <si>
    <t xml:space="preserve">Yes. The Law on "Control Chamber" stipulates narrow and exhaustive basis for removal of the head of the Chamber such as resignation, termination of Armenian citizenship or acquiring foreign citizenship, as well as in the case of conviction or recognition by court as totally or partially unsuited to  work physially or mentally. In addition, the deputy head of the Chamber and five members of the council (collegiate executive body of the Chamber) are appointed by the President of Armenia by the recommendation of the head of the chamber. 
</t>
  </si>
  <si>
    <t>Yes. The staff members of the Control Chamber are considered as civil servants whose status is defined and regulated by a separate law on civil service.  However, in practice, there are informal channels of influence on civil servants in general (clientelism, informal networking, etc) that make the overall substantive independence of the civil service questionable. This relates equally to the substantive independence of the staff of the Control Chamber.</t>
  </si>
  <si>
    <t xml:space="preserve">Yes. The law on Control Chamber sets out detailed procedures, regulations and substative grounds of conducting auditing which ensure certainty and objectivie grounds. For example, it sets out the manner and scope of auditing, the procedures of obtaining permission, tbe manner of conducting inspection, the rights and dutes of the officers conducting auditing, order of provision of information, procedures of filing objections by entities and explanations with respect to which auditing is conducted, etc.   </t>
  </si>
  <si>
    <t xml:space="preserve"> Yes.  The Control Chamber at least once a year submits audit report to the National Assembly which is done publicly and the text is published.  </t>
  </si>
  <si>
    <t>Parially. Depite the parliamentarians regularly, at least once in a year, debate over the annual reports  of the Chamber and the reports give rise to heated discussions, the parliamentary majority  mostly blocks any chancing of subjecting these reports to any substantive scrutiny.</t>
  </si>
  <si>
    <t xml:space="preserve">No.  In practice the government reaction is rarely proportional to the scale of  the violations reported. </t>
  </si>
  <si>
    <t xml:space="preserve">Yes. The Government approved the Strategy of Implementation of System of Public Internal Financial Control in 2010, which is defining the system of Public Internal Financial Control. </t>
  </si>
  <si>
    <t>Yes, there is an Action Plan of Implementation of the system of Public Internal Financial Control for the years 2011-2013.</t>
  </si>
  <si>
    <t>Yes, in 2010 the National Assembly adopted the Law on Internal Audit. It is related to the Public Sector and there are functionally independent internal audit units by this law. But the real independence of these units is in question.  Functional independence of the internal audit systems is largely questionable despite the formal provision for the independence of the internal audit units.</t>
  </si>
  <si>
    <t>No. However, Article 17 of the Law on Procurement, which defines methods of procurement, also provides that competitive bidding (open procedure, as the term is in the Law on Procurement) shall be the most preferable and major method of procurement and other forms of procurement shall be applied only in the cases defined by that Law.</t>
  </si>
  <si>
    <t xml:space="preserve">The concept of criminal law, on which Armenian Criminal Code is based, does not foresee criminal liability for legal persons, among them companies. Thus, companies cannot be convicted for bribery, which is a criminal offence. At the same time, Article 5 of the Law on Procurement, which defines the categories of those persons that shall be debarred from the participation in the procurement, provides that a legal person can be debarred from the procurement, if that person’s executive officer, who represents him in the procurement procedure, has been convicted for economic crimes or crimes against state service within 3 years prior to the moment of the submission of the bid. </t>
  </si>
  <si>
    <t>Yes. Similar to all other regulations, public procurement regulations are published in the Official Bulletin of the Republic of Armenia (laws, codes and decrees of the Government) and Official Bulletin of Departmental Acts (orders of the Minister of Finance ). In addition, the regulations are accessible through electronic legal databases – ARLIS and IRTEK, web-site of and web-site of the Armenian public procurement system (www.gnumner.am).</t>
  </si>
  <si>
    <t xml:space="preserve">Yes. Article 10 of the Law on Procurement provides that, if the price of the contract exceeds one base unit of procurement (According to the Article 2 of the Law on Procurement, one basic unit of procurement is equal to 1 mln AMD, which is around 2,069 USD considering the current currency rate (1 USD ≈483.29 AMD).  ), then the Ministry of Finance, as the authorised body for public procurement, shall publish official announcement on that contract (except the cases, when the contract contains state, official or bank secrets) in its official bulletin on procurement and official web-site of public announcement of the RA (http://www.azdarar.am). By the same Article of the Law the mentioned announcement shall be published within 7 days after signing the contract. In addition, Point 4 of Article 8 of the Law on Procurement provides that, within 5 calendar days following the request, the customer is required to submit to any person the protocol of the procurement procedure or a copy of any document, which is an integral part of that protocol, except the cases when the procurement contains state, service or bank secret. 
The publication of procurement protocols in the www.gnumner.am is in accordance with law requirements. However, because of absence of procurement statistics one can question whether all the procurement protocols are published in the web-page. </t>
  </si>
  <si>
    <t xml:space="preserve">Yes. The Article 27.1 Point 4 of Law on Legal Acts states that there should be public discussion of draft laws. However, the main tool for discussion mentioned here is  the webpage of the responsible public  body, which develops the law. Other means for public discussions such as meetings, hearings, surveys can implemented if initiated by the public body. Also, the  Governments framework decision on approval of Methodological Instruction on Drafting the Legal Acts  (April 5, 2012, N13 ) Section 4 states that the public discussions are mandatory only for the Laws and Governmental decrees provisioned by Government  Annual Work Plan. There is no practice of issuing green papers. </t>
  </si>
  <si>
    <t xml:space="preserve">The consultations with the public are just imitations and have nothing to do with the real feedback collection. Often there are minor changes done in the drafts as a result of public discussion. Still, it should be mentioned that the are one or two success cases to influencing the decision making. 
As it requied by law the results of the public discusions should be attached to the draft law, which is there. But it does not contain the real attitude of the public. </t>
  </si>
  <si>
    <t xml:space="preserve">No. There is no institutial arrangments. Thare are few cases of coordinated work but it is not in a regular bases. </t>
  </si>
  <si>
    <t>Yes.There is a sturctural body which implimnets such function.</t>
  </si>
  <si>
    <t xml:space="preserve">Yes, the procedures are regulated by RA President’s 18 July 2007 Decree "On Order of Activities of the Government and other state bodies".  The decree merely provides for evaluation of policy implementation, but does not provide detailed procedures to that effect. </t>
  </si>
  <si>
    <t xml:space="preserve">No. There is lack of appropriate motivations in public institutions to attract qualified resources.  Also, the established decision making process and bureaucracy limits the possibility for progressive staff development. Furthermore, there are s old technologies and tools used  to make analysis. </t>
  </si>
  <si>
    <t>Yes. Article 23 (2) of the Law on Public Service states that civil servants should not use his/her position in favor for the parties, NGO's, religious organizations and minorities.</t>
  </si>
  <si>
    <t>Yes, Art. 30-31 of the Law on Public Service concerns only higher-ranked officials.</t>
  </si>
  <si>
    <t xml:space="preserve">No. Article 5 (1-16,17) of the Law on Public Service. But it doesn't work effectively in practice.  There have been numerous cases reported of violation of this norm. However, there is no visible changes on this matter. </t>
  </si>
  <si>
    <t>Yes. The Civil Service Council has it own web site where published reports, polices, strategies and etc. (www.csc.am)</t>
  </si>
  <si>
    <t xml:space="preserve">There is noticeable improvement in protection. But it most connected with the unattractiveness of the civil servant positions. </t>
  </si>
  <si>
    <t>Yes. The Civil Service Council has such autority. But it is question how they use it.</t>
  </si>
  <si>
    <t>No. There is no such boby</t>
  </si>
  <si>
    <t xml:space="preserve">No. Monthly average salary in public administration sector was EUR 410 in 2015, which is low compared to other sectors of economy . Levels of pay vary from one agency to the other, and only a few of them provide competitive salaries (Ministry of Finance, State Revenue Agency, Central Bank). Various types of additional remuneration are applied in state service: bonuses, lump sum incentives, etc. Overall the pay for public service is not competitive.  </t>
  </si>
  <si>
    <t>No. There are training and qualification test for the civil servants, but they not effective and not serve the purpose.</t>
  </si>
  <si>
    <t>Yes. The Council place the announcement for vacant positions and published it in weekly newspaper. Also, it has a list of reserve civil servants who informed about the vacancies.</t>
  </si>
  <si>
    <t xml:space="preserve">No. The competition is held in two stages: testing and interview. Those participants who answered correctly at least 90 per cent of the test assignments obtain the right to participate in the second stage of the competition. The winners of the interview are considered those participants who received at least 75% of the interview's score assignment.
The corresponding Competition Commission forwards a conclusion on the participants selected as winners as a result of the competition to the official having the jurisdiction to make appointments to the position concerned. The official appoints one of the participants selected as a winner to the  position.  Transparency International's report quotes experts who say that the Civil Service Council and the competition and attestation commissions are also subject to external pressure. This pressure is especially significant in the case of “profitable” or “privileged” positions. </t>
  </si>
  <si>
    <t xml:space="preserve">Yes. The description of the position is prepared. It is attached to the annousment and avalibe via web resources. </t>
  </si>
  <si>
    <t xml:space="preserve">No. There are some surveys by different fields of public services conducted by different organizations. These surveys aren't conducted on a regular basis, and each year they do not cover all fields of public services, and are not conducted nationwide. </t>
  </si>
  <si>
    <t>No. Generally, the surveys are not representative, so their results is not valid enough to have crucial impact on policy shaping .</t>
  </si>
  <si>
    <t xml:space="preserve">Yes. The are special boxes where citizens can leave their complaints </t>
  </si>
  <si>
    <t>No. The is no independence body. In some cases the complaints written to the Ombudsman office can be proceeded to correct the misadministration.</t>
  </si>
  <si>
    <t xml:space="preserve">The existing national Strategy for Sustainable Development (NS SD) does not fully meet the requirements of the Rio+20 process. NS SD  should be revised. The 2016 Governmental Proram  provides for  Green Economy principles elaboration </t>
  </si>
  <si>
    <t>Yes. In Armenia is functioning the National Council for Sustainable Development, headed by RA Prime Minister. The important issues related to SD are being included in the agenda of the sessions. The activities of RA NCSD are now devoted to the national actions following the Rio+20 decisions. The Intergovernmental Commission on implementation of the SDG is established. The 2016 Governmental proram  provides for  foundation of the Green Economy National Center</t>
  </si>
  <si>
    <t xml:space="preserve">Both legislative and regulatory basis is not complete. The work is in progress.  </t>
  </si>
  <si>
    <t>Yes, RA Law on Education was adopted in 1999. Last three Amendments done in 22.06.2015, 03.02.2016, 16.03.2016. Yes, RA Law on Higher and Postgraduate Professional Education was adopted in 14 December 2004. Last three Amendments done in 19.05.2014, 21.06.2014, 03.02.2016.</t>
  </si>
  <si>
    <t>Three-cycle structure pilot program launched in 1992 in Yerevan State Engineering University, then in 1994 in Yerevan state University. After Bologna process started in Armenia in 2005, the structure started being implemented in all universities. The exception is Slavonic University, with combination of both, including three-cycle structure program and five years diploma. In 2004 all Armenian universities terminated admission of the five year diploma based structure, and by the law the five year diploma degree is announced equivalent to M.A.</t>
  </si>
  <si>
    <t>Yes/ In 2002 the pilot implementation project started in Yerevan State Engineering University. By RA Government decision dated to 2005, Implementation of European Credit Transfer System became obligatory for all universities. Starting from 2008 all educational programmes in Armenia have been based on ECTS</t>
  </si>
  <si>
    <t>Yes/ DS was approved by the RA Government decision 23.11.2007 # 1412-N. DS started being issued since 2007.</t>
  </si>
  <si>
    <t xml:space="preserve">Yes/ In 2011 RA Government ratified “National Education Qualifications Framework of the RA” consisting of 8 levels. (Decision #332, 2011).  On November 22, 2012 the regulation on “Granting Educational qualification” was adopted by RA government. On 11 April 1997, the Republic of Armenia has ratified the Lisbon Convention1 on the Recognition of Qualifications Concerning Higher Education in the European Region. Recognition practice-Stage of Implementation-After the establishment of ArmENIC it became the sole authority for recognition. The HEIs are also eligible for recognition in case a potential student with foreign qualification applies to continue his/her study. </t>
  </si>
  <si>
    <t>Several universities have some automony due to their status of private institutions.  It is not true for state universities with high portion of ruling party representation.</t>
  </si>
  <si>
    <t>Some independence is declared, but it is more formal.</t>
  </si>
  <si>
    <t xml:space="preserve">December 25, 2014 RA state youth policy concept was approved by RA governement. </t>
  </si>
  <si>
    <t>Yes, Aspirations and expectations of Youth of RA REPORT 2012, National Youth Report of RA  2012</t>
  </si>
  <si>
    <t xml:space="preserve">December 25, 2014 RA state youth policy concept including provisions on youth work,  was approved by RA governement. </t>
  </si>
  <si>
    <t>Yes/ but mainly competance delegated to EAEU</t>
  </si>
  <si>
    <t>affiliate member since 2008</t>
  </si>
  <si>
    <t>non</t>
  </si>
  <si>
    <t>3 (reportedly only fish, cryfish and honey)</t>
  </si>
  <si>
    <t>3 (fish, cryfish, honey)</t>
  </si>
  <si>
    <t>Yes. Agreement between the European Union and the Republic of Armenia on the facilitation of the issuance of visas has been signed in 2012 and entered into force in 2014.</t>
  </si>
  <si>
    <t>A new Law on Personal Data Protection was adopted by the parliament  and came into force on 01 July 2015. The law sets up legal framework of processing personal data by public and private organizations as well as  rights and liabilities for both data processors and personal data subjects. According to the decision of the Government of Armenia, Personal Data Protection Agency has been formed within the Ministry of Justice. The functions of the Agency are determined by the  Law on Personal Data Protection. Additionally, a Charter on Personal Data Protection Authority and Amendments to the Code on Administrative Violations have been adopted and are in place since January 2016.</t>
  </si>
  <si>
    <t>No. The  Personal Data Protection Agency functions undet the Ministry of Justice. The Law on Personal Data Protection of Armenia stipulates that the authorized body for the protection of personal data shall operate independently. Meantime, according to the Statute of the Personal Data Protection Agency, the Agency is managed by the Minister of Justice. The Head of the Agency is accountable to the Prime Minister of the RA, the Minister of Justice, and the corresponding Deputy Minister coordinating the activities of the Agency. An absolute independent body does not exist. The Agency is lacking financial independence. The Law on Personal Data Protection does not contain provisions guaranteeing financial independence of the Agency. The activities of the Agency are financed from the state budget. Additionally, the Passport and Visa Department of the RA Police is an adjunct body to Government of Armenia.</t>
  </si>
  <si>
    <t xml:space="preserve">Yes.  Two new ID-documents have been introduced, which replaced the ordinary passports of Armenian citizens. One of the documents – the ID card — is locally used within the country, and the second document – the biometric passport (that is not mandatory) is used for traveling abroad. </t>
  </si>
  <si>
    <t xml:space="preserve">Yes. Biometric passports are being issued along with ordinary passports and the citizen can choose which one to get. An electronic chip on the biometric passport contains digital images of fingerprints and photo of passport holder. The biometric passports, however, are not accessible to many citizens because they are more expensive. If the ordinary passport costs 1000 AMD, ID card 3000 AMD, the biometric passport costs 25.000 AMD that is 25 times more expensive then the ordinary one. </t>
  </si>
  <si>
    <t>Yes. The EU and Armenia signed the EU-Armenia readmission agreement on 19th of April 2013.</t>
  </si>
  <si>
    <t xml:space="preserve">Yes. State Migration Service of the Minister of Territorial Administration and Development </t>
  </si>
  <si>
    <t xml:space="preserve">Yes, “Concept on the state regulation of the population migration in the Republic of Armenia”, approved on 30 December 2010, by RA Government decision. </t>
  </si>
  <si>
    <t xml:space="preserve">Yes. The present Law in compliance with the international principles and norms ensures protection of all foreigners and stateless persons against deportation to their country of citizenship, or any other country, where they are threatened by torture, inhuman or degrading treatment. Armenia is a member of 1951 UN Convention on refugees' status since 1993. The law “On Refugees and Asylum” was adopted in 2008. It is in compliance with requirements of the 1951 Geneva Convention and its Protocol. </t>
  </si>
  <si>
    <t xml:space="preserve">Yes. According to the “Law of the Republic of Armenia on Refugees and Asylum” status of those persons in reception centre is one of an asylum seeker. In 2016, Amendments to the Law on Attorneyship of the Republic of Armenia (RA) were adopted by the RA National Assembly aiming at inclusion of asylum-seeker into free legal aid scheme. </t>
  </si>
  <si>
    <t>Yes,  both- 15 Nov 2001 (signature); 1 July 2003 (ratification)</t>
  </si>
  <si>
    <t>The government increased protection efforts. The Law on Identification and Assistance to Victims of Human Trafficking and Exploitation came into force in June 2015.  The mechanisms to compensate victims provided by the law were not finalized by the end of 2016. The government identified three male and six female trafficking victims in 2015, compared with 11 in 2014; authorities notified all victims of their right to services and five of the victims accepted NGO shelter assistance. The government assisted an NGO to repatriate a male labor trafficking victim from Russia; the victim did not stay at a shelter or testify against his traffickers.  https://www.state.gov/j/tip/rls/tiprpt/countries/2016/258714.htm</t>
  </si>
  <si>
    <t>Decision of the Government RA No. 1053-A of (25 September 2014) on Approving the Programme of Measures And Schedule On Combating Drug Addiction And Illicit Trafficking In Narcotic Drugs in the Republic of Armenia for 2015 in Accordance With Article 52 Of The Law Of The Republic Of Armenia "On Narcotic Drugs And Psychotropic Substances", The Government Of The Republic Of Armenia</t>
  </si>
  <si>
    <t>Tarriff set by the PRSC</t>
  </si>
  <si>
    <t>Vertically unbundled</t>
  </si>
  <si>
    <t>0,5</t>
  </si>
  <si>
    <t>RA Law on Energy Efficiency and Renewable Energy was adopted in 2004.</t>
  </si>
  <si>
    <t>National Project of Energy Efficiency and Renewable Energy</t>
  </si>
  <si>
    <t>R2E2 Fund   http://r2e2.am/</t>
  </si>
  <si>
    <t>Under preparation  (the draft RA Law on Environmental Policy was submitted to the RA Parliament. Now it is at the stage of  improvement).</t>
  </si>
  <si>
    <t>Partually. At the national level the state body responsible for environment is the Ministry of Nature Protection. At the regional administrations there are no administrative units, but officers, responsible for environmental issues.</t>
  </si>
  <si>
    <t>Under preparation. The measures, included in the national environmental action plans (NEAP)  reflect the integration of environmental demands in plans within other sectors. (NEAP-2 is completed. New NEAP is not in force yet). This approach is envisaged in the concept of planned new Law on Environmental Policy.</t>
  </si>
  <si>
    <t xml:space="preserve">Under preparation is  the strategy  of the draft law on atmospheric air protection </t>
  </si>
  <si>
    <t xml:space="preserve">Stratey on solid municipal wastes management system development for 2017-2036 (2016) </t>
  </si>
  <si>
    <t>Yes. 1.Strategy and National Action Plan for 2016-2020 on RA biodiversity protection, reproduction and use.  2. Rules for proetection and use of  fauna objects in hunting grounds. 3. In 2017 RA Government adopted Management Plan and Action plan for 2016-2020 for "Dilijan" National Park.</t>
  </si>
  <si>
    <t>In 2016 RA Government adopted Action Plan for  Stockholm Convention on Persistent Organic Pollutants implementation for 2016-2020</t>
  </si>
  <si>
    <t>The RA Law on Environmental Impact Assessment and Expertise, 21.06.2014. The Law includes provisions on SEA. The process of underlaw development is ongoing.</t>
  </si>
  <si>
    <t>The mechanism for prevention of illegal unreported and unofficial fishery exists. Nevertheless Armenia is land-locked country, has no access to great international water area. Сonsequently mentioned mechanism  reffers to the local country water basins</t>
  </si>
  <si>
    <t>The Control system of legality of trade in forestry is established, but its functioning is poor</t>
  </si>
  <si>
    <t>Ratified and enter into force for Armenia on 22 of April 2017</t>
  </si>
  <si>
    <t xml:space="preserve">INDC ( Intended Nationally Determined Contributions)  is developed and approved by the Government in 2015,
National Energy Efficiency Action Plan adopted in 2016
</t>
  </si>
  <si>
    <t>INDC developed and approved by the Government in 2015 has special statetments on Adaptation. The Request for funding for NAP preparation submitted to GCF</t>
  </si>
  <si>
    <t>The separate division –Climate Change and Atmosphere Air Protection Policy is established in the Department on Environmental Protection Policy</t>
  </si>
  <si>
    <t>State ownership of the rail monopolist is preserved, although it is granted for concession to Russian Railways. However, in 2012, the Republic of Armenia signed with Dubai-based investment company, Rasia FZE, two more concession agreements for railway construction projects. In January 2013, the launch of the estimated $3 Billion Southern Armenia Railway and Southern Armenia High Speed Road Projects was announced.  A tripartite Memorandum of Understanding on regional cooperation towards the development of the Southern Armenia Railway was also signed between South Caucasus Railway CJSC, the Ministry of Transport and Communication of the Republic of Armenia, and Rasia FZE.</t>
  </si>
  <si>
    <t>Armenisa is a landlocked country.</t>
  </si>
  <si>
    <t>Airports can be granted for concession.</t>
  </si>
  <si>
    <t>Railways can be operated with participation of private companies.</t>
  </si>
  <si>
    <t>Private companies construct and maintain roads.</t>
  </si>
  <si>
    <t>Armenia is a landlocked country.</t>
  </si>
  <si>
    <t>Private companies can provide airport services.</t>
  </si>
  <si>
    <t>Core railway businesses have been partially unbundled.</t>
  </si>
  <si>
    <t>Roads operation and construction are separated.</t>
  </si>
  <si>
    <t>There is no independent rail incidents investigating body.</t>
  </si>
  <si>
    <t>The traffic police is responsible for prevention and investigation of incidents.</t>
  </si>
  <si>
    <t>The flight safety inspection is not an autonomous decision making authority, but the objectivity of its dealings is assured as requested by the EU</t>
  </si>
  <si>
    <t xml:space="preserve">1133   (http://armstatbank.am/pxweb/hy/ArmStatBank/ArmStatBank__4%20Transport%20and%20tourism__41%20Transport/TT-tr-11-2016.px/?rxid=002cc9e9-1bc8-4ae6-aaa3-40c0e377450a) </t>
  </si>
  <si>
    <t>Armenian Transport Sector Development Strategy 2020 is developed in 2008 (http://mtcit.am/main.php?lang=1&amp;page_id=527; http://mtcit.am/edfiles/files/Documents/Hashvetvutyun.pdf)</t>
  </si>
  <si>
    <t xml:space="preserve">No. As in the previous elections, during the 1 November 2015 Parliamentary Elections as well as the 26 September 2016 Constitutional Referendum, the state-owned media favoured exclusively pro-government candidates and referendum campaigning groups, while the opposition had no access to state-owned TV and very limited access to other sources of media.
Not only the state-owned TV stations and the Public broadcaster, but also the private media are under strict control of the government. Therefore, they do not provide any coverage for the opposition parties, thereby failing to ensure political pluralism and space for alternative opinions.
Failure to allocate free airtime, and the extremely high prices of paid airtime, effectively restricted the opportunities of independent and opposition candidates to promote themselves on television, which is the main source of information for most Azerbaijani citizens. 
</t>
  </si>
  <si>
    <t xml:space="preserve">  No. According to the amendments made to the Election Code on 18 June 2010, the provision on public funding for election campaigning of the registered candidates was removed. This especially affected the opposition candidates negatively, who are in need of public funding to cover campaign expenses.                                        </t>
  </si>
  <si>
    <t>No. There is no such public mechanism in the country. Some independent media and civil society groups have carried out media monitoring and provided their opinion on media coverage of the elections/referendum. However, the facts of open bias identified by them were ignored by the state authorities and did not lead to any correction.</t>
  </si>
  <si>
    <t>No. While formally the Election Code is in place, on major important issues, such as registration of candidates, review election complaints, etc. the electoral legislation is not effectively implemented.</t>
  </si>
  <si>
    <t xml:space="preserve">No. All opposition and independent candidates, as well as impartial civil society groups have repeatedly expressed their concerns about deficiencies in the Election Code, especially with regard to the composition of election commissions, shortened periods for election campaigning, nomination and registration of candidates, unequal access to media, etc.   </t>
  </si>
  <si>
    <t>No. In several cases, one election constituency is demarcated in such a way that it unites three remote administrative areas, which makes it very difficult for the candidates to carry out election campaigning effectively. For example, Garadagh-Binagadi-Yasamal election constituency # 12, Saatli-Sabirabad-Kurdemir election constituency # 65, Jalilabad-Masalli-Bilasuvar election constituency # 69, Goranboy-Aghdam-Terter election constituency # 97, etc. The borders of electoral districts are subject to changes, depending on the changes in demography, which is identified by statistical data on population (for example, by national census).</t>
  </si>
  <si>
    <t xml:space="preserve">No. Although there is online system for verification of voters, the system is not updated regularly.  </t>
  </si>
  <si>
    <t>No. For example, according to the law, one voter can give her/his signature in support of only one candidate. This has been discussed as an unfair rule, negatively affecting registration of candidates.</t>
  </si>
  <si>
    <t xml:space="preserve">No. Opposition and independent candidates as well as referendum campaign groups were mostly discriminated and not registered. </t>
  </si>
  <si>
    <t>No. Unless a formally “independent candidate” is not promoted by government circles, s/he faces artificially fabricated problems during the process of registration and is not registered. Usually, the government allows registration of technically “independent candidates” just in order to create an image of “competitive election”.</t>
  </si>
  <si>
    <t>No. By their very composition, the commissions at all levels are dominated by pro-government forces. Therefore, there is a general public distrust in the electoral commissions.</t>
  </si>
  <si>
    <t>Partly yes. While there is no serious problem in the design of the ballot papers, the method of voting is open to abuse, especially, in voting by mobile ballot box.</t>
  </si>
  <si>
    <t>No. In most cases, presence of unauthorized executive and law-enforcement officials intimidates the voters. In some cases, webcams are installed with such an angle to the voting booth that the voters can suspect they are being filmed, which is again a type of intimidation. Majority of polling stations are not wheelchair-accessible.</t>
  </si>
  <si>
    <t xml:space="preserve">No. Given the current composition of the elections commissions (where all members are pro-government) and lack of monitoring by independent civil society observer groups and independent media representatives, existence of such a system is barely possible.   </t>
  </si>
  <si>
    <t xml:space="preserve">No. On the contrary, abuse of administrative resources, including vote buying, in favour of pro-government candidates or groups has been one of the main election violations. </t>
  </si>
  <si>
    <t>No. Especially vulnerable groups, soldiers, prisoners and employees of public offices (such as schools, hospitals, etc) cannot express their will freely due to the fear of losing their jobs, being punished, etc.</t>
  </si>
  <si>
    <t>No. Since 2013, independent domestic observation groups have been subject to pressures (including imprisonment, harassment and intimidation) and marginalized.  Therefore, it is very hard for them to organize a meaningful observation countrywide. Also, amendments to the NGO law adopted in 2014 restricted all activities of NGOs, including election observation.</t>
  </si>
  <si>
    <t>No. Current composition of election commissions and lack of meaningful domestic observation has led to the lack of check-and-balances in this field. Thus, there is nearly nobody to challenge accuracy of counting during the process of counting at polling stations.</t>
  </si>
  <si>
    <t>Formally yes, and they are usually registered as  individual observers without problems. In general, registered observers of political parties and candidates have the right to observe all stages of the elections, including counting of votes. But in practice, opposition and independent observers are (1) either ousted from the polling station under various pretexts, (2) or not created necessary conditions to watch the counting process properly.</t>
  </si>
  <si>
    <t xml:space="preserve">No. Since all the commissions and judicial system are totally under the control of the executive branch, impartial and objective system for investigating election complaints/appeals is impossible. That’s why, a lot of election-related complaints have been filed with the European Court of Human Right, most of which won the case. Even after this, the persons that were liable for those violations still remain unpunished.  </t>
  </si>
  <si>
    <t>No. No prominent international observation organizations, such as the OSCE/ODIHR, observed the 2015 parliamentary elections and the 2016 Constitutional Referendum. Impartial domestic observation groups, which carried out limited observation, have noted serious election violations.</t>
  </si>
  <si>
    <t>The vote differential in the last, 2013 Presidential Election was 79.3%. The ruling party’s candidate, incumbent Ilham Aliyev received 84.5 % of the votes, while the best performing rival got 5.2 %.</t>
  </si>
  <si>
    <t>Inspite that Azerbaijan held the rotating chairmanship of the Council of Europe’s executive body during half in year 2015, putting it in the international spotlight, the government intensified persecution of  civil society activists, including human rights defenders, independent journalists, and opposition figures during the year. The charges used against them included tax evasion and fraud, illegal business activity, and possession of illegal drugs or weapons. Even after a raft of presidential pardons in late December, human rights groups counted more than 90 persons arrested on political motivation. Biggest part of them were  religious leaders(AI eport 2015-2016)
List of 27  arrested civil activists was  considered as political prisoners  according to criteria of CoE. The list was submitted by the Human Rights defenders, members of Working  Group on Human Rights to Pardon Commission.
With regard to religious leaders, this group of human rights activists demanded an independent investigation and fair treatment during the trial.</t>
  </si>
  <si>
    <t xml:space="preserve">Authorities are trying to find or create reasons to not comply with the decision of the European Court of Human Rights . For example: On 18 November, the Supreme Court rejected the appeal by prisoner of conscience Ilgar Mammadov, upholding his seven-year prison sentence. The sentence was upheld despite a European Court of Human Rights ruling that found Ilgar Mammadov had been arrested without any evidence, and repeated calls by the Committee of Ministers of the Council of Europe for his release.
Other famous case of ECFHR on former Minister of Health Ali insanov. The Court found a violation of the rights of Insanov guaranteed by Article 3 (prohibition of torture) and Article 6 (right to a fair hearing), and ordered to pay compensation in the amount of 10,000 euros, according to Togrul Babayev, Insanov’s lawyer. According to him, the Azerbaijani government may, within three months make a complaint to the Grand Chamber of the ECHR. If it is not approved, the plenum of the Supreme Court should decide to cancel unlawful judgments against Insanov. Insanov was arrested in 2005 on charges of attempting to overthrow the government. Subsequently, however, he was sentenced to 11 years in prison on charges of theft and embezzlement  of state property. His prison term is to expire in a few months. A new criminal case has been opened against him in August 2016. Ali Insanov are charged under three articles—234.1 (Illegal purchase or storage without a purpose of selling of narcotics or psychotropic substances in a quantity (amount) exceeding necessary for personal consumption), 315.2 (Application of violence, resistance with application of violence concerning the representative of authority in connection with performance of official duties by him or application of the violence not dangerous to life or health concerning his close relatives, as well as threat of application of such violence, application of the violence dangerous to life or health, concerning persons specified in this article) and 317-2.1 (Threat on application of violence concerning employees of criminal - executive establishments or investigator isolators, and also concerning condemned with a purpose to prevent his correction or from revenge for execution of public duties by him), attorney Toghrul Babayev told  to information agency APA.
In regards of noiseless cases, the authorities contact with the citizens who won the court or their lawyers, offering to pay them an amount even higher than the appointed European court with the condition to take back the application to the European Court.
There are  the facts of compensation by the authorities: The case of former political prisoner Eynulla Fatullayev on unfair detention, the editor-in-chief of the Internet newspaper Haqqin.az, Flora Kerimova, the candidate in the 2005 election case, Sardar Jalal oglu, the chairman of the Democratic Party of Azerbaijan in the election case and other.
</t>
  </si>
  <si>
    <t xml:space="preserve">International human rights monitors were denied access to Azerbaijan. Torture and other ill-treatment was widely reported, as well as arbitrary arrests of government critics. Most human rights organizations forced to suspend their activities in previous years were unable to resume their work. Reprisals against independent journalists and activists persisted. 
The Office of the Ombudsman in Azerbaijan is actively involved in cases of prevention of torture and inhuman treatment of detainees and arrested persons. However, no public statements are made,  report on NPM is provided in general. Within the competences, NPM applied with recommendations to the Penitentiary Service to seriously focus on the issues of ventilation of dorms and cells in prisons and investigation isolators, access to drinking water because of problems that may occur during winter and summer times in future. (Ombudsman Report on NPM http://www.ombudsman.gov.az/upload/editor/files/NPM-Ombudsman-EN-2015.pdf )
</t>
  </si>
  <si>
    <t xml:space="preserve">A delegation of the Council of Europe's Committee for the Prevention of Torture and Inhuman or Degrading Treatment or Punishment (CPT) carried out an ad hoc visit to Azerbaijan from 15 to 22 June 2015 and 29 March to 8 April 2016. Particular attention was paid to the treatment and conditions of detention of persons in police custody and penitentiary establishments, including remand prisoners, sentenced women and prisoners sentenced to life imprisonment. The delegation also examined the treatment, conditions and legal safeguards offered to persons in the custody of the State Security Service, psychiatric patients and residents of a social care institution.
In the course of the visit, the delegation held consultations with Fikrat MAMMADOV, Minister of Justice, Oktay SHIRALIYEV, Minister of Health,  Oruj ZALOV, Deputy Minister of Internal Affairs, as well as with other senior officials from these Ministries. It also met Elmira SULEYMANOVA, Commissioner for Human Rights (Ombudsperson).  At the end of the visit, the delegation presented the Azerbaijani authorities with its preliminary observations.
</t>
  </si>
  <si>
    <t xml:space="preserve">The individuals and different institutions combined their efforts in the Civil Society Defending Committee  in Azerbaijan has prepared the report for2015-2016  with essential part of cases ofinhuman treatment and of torture in police and  in custodies, which was published based on monitoring and analyse of Monitoring Centre for political prisoners and Azerbqaijan National Committee of Helsinki Citizens' Assembly  http://www.xural.com/v%C9%99t%C9%99ndas-c%C9%99miyy%C9%99ti-mudafi%C9%99-komit%C9%99sinin-2015-ci-il-hesabati/
The worst  detention places were determined: 
Baku Investigation Izolator No.1, Gobustan Prison, Penitentiary Establishment No. 3 (TB Zone), no.12, 13, 14, Pre-Trial Detention Facility No. 2, Ganja
In 2015 the negative facts were occurred  in the Penitentiary Establishment No. 2 , 5 and 6
On 02.06.2015 Chief of custody No.5 Azizov Arastun stripped naked and, clubbed the journalist Adil Mahmudov 
On 16.10.2015 Lawyers Fuad Agayev and Javad Javadov notes that, deputy head  and the  employees of custody No. 2 suddenly  attack the prominent political prisoner Ilgar Mamedov, hit a blow to the chest and head.http://www.qafqazinfo.az/siyaset-2/ilqar-memmedov-hebsxanada-doyulub-vekilden-aciqlama-126259
This has happened in-spite of the European Court Decree disclosed that:"Ilgar Mamedov should be immediately released, the Azerbaijani authorities to guarantee his physical condition."The Committee of Ministers of the Council of Europe, condemned the detention, reiterated that he be released. The Committee strongly calls for the government as well as the physical condition of the guarantee to Mammadov. http://www.azadliq.org/content/article/27267784.html
Mammadov reportedly lost a tooth from the beating; as of October, he continued to suffer from persistent pain in his head. 
Country  report:https://www.state.gov/j/drl/rls/hrrpt/2015humanrightsreport/index.htm#wrapper
In September 2016, Human Rights Watch sent letters to the Azerbaijani Minister of Justice and General Prosecutor to obtain their response to the findings documented in this report, including their responses to allegations of torture and ill-treatment in custody, politically motivated prosecutions, excessive use of pretrial detention, arbitrary restrictions on freedom of movement, as well as the steps planned to bring legislation and regulations regarding NGOs into line with Azerbaijan’s international commitments, and to implement the Ilgar Mammadov v. Azerbaijan European Court of Human Rights judgment. Human Rights Watch did not receive any response to the letters.https://www.hrw.org/report/2016/10/20/harassed-imprisoned-exiled/azerbaijans-continuing-crackdown-government-criticsOn 7 Oktyabr 2015 in custody No.14 Nuriyev Yadiqar died suddenly and mysteriously in the medical unit of the prisoners.He was the only witness in the case of Elshad Babayev held on 22 December 2014, who was brutally beaten to death in prison. http://musavat.com/news/olke/mehkumun-qetlinin-yegane-shahidinin-muemmali- olumu_297001.html#.VhXXiRnARdI.facebookProtesting on the death of Elshad Babayev political prisoners Araz Guliyev and Anar Gasimli together with other 9 prisoners  were held in TB Zone. The chief of Zone Nizami Guliyev has used the torture against of them. On November 26 2015, The UN Committee against Torture released its report on the country. The committee expressed concern about numerous and persistent allegations that torture and mistreatment were routinely used by law enforcement and investigative officials (Country report  on Human Rights practice for 2015 by US Department of State https://www.state.gov/j/drl/rls/hrrpt/2015humanrightsreport/index.htm#wrapper)
</t>
  </si>
  <si>
    <t xml:space="preserve">Property rights and free choice of residence are affected by government-backed development projects that often entail forced evictions, unlawful expropriations, and demolitions with little or no notice. The authorities often violate the right of individuals to receive adequate compensation for expropriated property. (Freedom House report  https://freedomhouse.org/report/freedom-world/2016/azerbaijan).In 2015-2016 there were a number of court decisions on  Azerbaijan in European Court for HR on property  rights. One of them was connected with the violation of   ownership rights  during building of Winter Garden. So, in October 2015 the European Court of Human Rights upheld the complaint Khaligova Nuri and has admitted the violation according to  European Convention on Human rights and freedoms articles 5 (right to liberty) and 8 (right to housing)  are guaranteed in , as well as No. 1 Protocol 1 of the Convention (right to property) (CDCS report http://www.xural.com/v%C9%99t%C9%99ndas-c%C9%99miyy%C9%99ti-mudafi%C9%99-komit%C9%99sinin-2015-ci-il-hesabati/)
According to the World bank Index  for 2o15 – 2016 the value of property rights in Azerbaijan  is 3,8  and rank is 101.
</t>
  </si>
  <si>
    <t>No. The court  services, including legal aid, are very poor. The Court system remains highly corrupted and ineffective.</t>
  </si>
  <si>
    <t>Yes. However, the implementation of it remains as a problem.</t>
  </si>
  <si>
    <t>No. CPT encourages the authorities to ensure that it be soon followed by the publication of the remaining six still unpublished reports, concerning the periodic visits in 2011 and 2016 and ad hoc visits in 2004, 2012, 2013 and 2015.</t>
  </si>
  <si>
    <t>Yes,  Azerbaijan ratified the OPCAT in January 2009</t>
  </si>
  <si>
    <t>No. In practice, the executive keeps its strong and total influence over the legislative on all decision-making issues, as the legislative plays a rubber stamp role. But,  in law during the budget discussion and report of Cabinet Ministers the legislature or its committees hold regular hearings with the participation represetatives  executive branch officials.</t>
  </si>
  <si>
    <t>No.  in practice, the parliament, namely  Milli Majlis  is a rubber-stampt and toothless body always under the direct political influence of the executive. In fact,  the legislative organs, never conducted independent investigations of the chief executive and the agencies of the executive, they have similar power in law.  The Chamber of Accounts operated as an parliament organisation and   according to the Law of the Republic of Azerbaijan on the Chamber of Accounts   has power to conduct analitical  work in law.</t>
  </si>
  <si>
    <t>No.  The agencies of coercion (the military, police, intelligence services) operate under the direct oversight of the executive, meaning the President Adminstration.</t>
  </si>
  <si>
    <t>No, according to the article 118 of  the Constitution of the Republic of Azerbaijan, procedure of appointment of Prime-minister  (PM)of the Azerbaijan Republic  the PM of Azerbaijan Republic is appointed by the President of the Azerbaijan Republic on consent of Milli Majlis of the Azerbaijan Republic.  Proposed candidature for the post of Prime-minister of the Azerbaijan Republic is submitted for consideration to Milli Majlis of the Azerbaijan Republic by the President of the Azerbaijan Republic not later than one month from the day when the President begins carrying out his powers, or not later than two weeks from the day of resignation of Cabinet of Ministers of the Azerbaijan Republic. III. Milli Majlis of the Azerbaijan Republic takes decision concerning the candidate to the post of Prime-minister of the Azerbaijan Republic not later than within one week from the day when such candidature has been proposed. Should said procedure be violated, or candidatures proposed by the President of the Azerbaijan Republic for the post of Prime-minister of the Azerbaijan Republic be rejected three times, then the President of the Azerbaijan Republic may appoint Prime-minister of the Azerbaijan Republic without consent of Milli Majlis of the Azerbaijan Republic. As you see, the legislature  is not able to appoint the PM against the will of the president of Azerbaijan</t>
  </si>
  <si>
    <t>No, according to the article 109  of the Constitution,  appoints and dismisses members of Cabinet of Ministers (ministers) of the Azerbaijan Republic are including the  competence of the President of the Azerbaijan Republic</t>
  </si>
  <si>
    <t xml:space="preserve">  Yes, according to the article 95  of the Constitution, taking decision regarding a vote of confidence in the Cabinet of Ministers of the Azerbaijan
Republic are including the competence of Milli Majlis of the Azerbaijan Republic. But it never happened in practice.
</t>
  </si>
  <si>
    <t xml:space="preserve">According to the new ammendment of the constitution, the president  has rifht dissolve parliament  without consent and any consultation. </t>
  </si>
  <si>
    <t xml:space="preserve">Yes, according to the Venice Commission Opinion on the draft modifications  to the constitution  submitted  to the referendum  of 26 september 2016,  under new Article 98-1 of the Constitution, the President may dissolve Parliament when the latter “fails to perform its duties specified in Articles 94 and 95, Article 96 Sections II, III, IV and V, and Article 97 of the present Constitution for reasons that cannot be overcome”.   Article 94 and 95 of the Constitution define the competency of Milli Majlis in the spheres of law-making, appointments, international relations etc. Articles 97 and 98 set time-limits for the adoption of bills submitted to Parliament by the President and certain other actors, and for their further submission to the President for signing. It is unclear what would amount to failure by Parliament to perform its duties in this context. This formula is too vague; for example, it may be interpreted as penalising any delay in the legislative process with the dissolution of Parliament, which would be clearly excessive, especially given very short time-limits set in Article 97. New Article 98-1 makes Parliament largely ineffective as a countervailing power to the President. It makes it practically impossible for Parliament to use its power of expressing no confidence to the Government, however feeble that power might be in the current system. In addition, this provision is prejudicial for the independence of the top courts vis-à-vis the executive. It is dangerously vague and may be interpreted as allowing dissolution of Parliament whenever the President deems that Parliament does not “perform its duties”. New Article 98-1 is therefore incompatible with democratic standards. 
  </t>
  </si>
  <si>
    <t>Yes,    according to the article 110  of the Constitution, right of legislative initiative in Milli Majlis of the Azerbaijan Republic (right to submit for
consideration by Milli Majlis of the Azerbaijan Republic drafts of laws and other questions)
belongs to deputies of Milli Majlis of the Azerbaijan Republic. But in practice,  the  executive  has  strong  gatekeeping authority over the initiate bills.</t>
  </si>
  <si>
    <t>Yes,  in law,  the executive lack the power to impound funds appropriated by the legislature,  but in practice, the Ministry of Finance can cut the  funds appropriated by the legislature around 10-15 per cent.</t>
  </si>
  <si>
    <t>Yes,   resources that finance the legislative body’s internal operation are provided for by the internal budget of the Parliament.</t>
  </si>
  <si>
    <t xml:space="preserve">Yes,  the President or the government  does not have any authority to appoint any members of the legislature. In practice, as all the elections get falsified, the MPs are chosen/selected under the control president adminstration.  </t>
  </si>
  <si>
    <t>No, according to the article 152. of the Constitution of the Azerbaijan
Republic, the changes in the  text of the Constitution of the Azerbaijan Republic may be made only by way of
referendum.</t>
  </si>
  <si>
    <t>No, the  the legislature body does not have such as right.</t>
  </si>
  <si>
    <t>Yes, according to the article 95 of the Constitution, amnesty is including the competence of Milli Majlis of the Azerbaijan Republic.</t>
  </si>
  <si>
    <t>Yes. Parliament approve the budget  for the all of  state-owned media. Additionally, according to the  article 95 of the constitution,  appointing members of the Council of Broadcast of the Public Television and Radio
Broadcasting institution are including the competence of parliament.</t>
  </si>
  <si>
    <t>Yes, according to the  Law on statuc of deputat of parliament, since 2007 every MP has one  personal secretary.</t>
  </si>
  <si>
    <t>No.  In practice all of the chairs of the parliamentary committees are elected from the majority party members (ruling YAP party) in the parliament.</t>
  </si>
  <si>
    <t>No.  All of 15 Committee chairs member of ruling party,</t>
  </si>
  <si>
    <t xml:space="preserve">No. That is arbitrary. There is no opposition party MP in today's parliament. </t>
  </si>
  <si>
    <t>In last parIiamentary elections of November 2015, the incumbent party got 70 seats out of 125, while the major opposition parties failed to get any single seat because of the massive violation and fraud. Remaining 55 seats were filled by the pocket opposition, so-called 'independents' and pro-governmental parties. The so-called "independents" (non-partisan) MPs are same of the ruling party members indeed. As there is no opposition party/coalition in the parliament, there is no seat difference share.</t>
  </si>
  <si>
    <t>In current Parliament, there are no MPs from the opposition parties. When  opposition parties had small member at parliament, even at that time, traditionally all the bills initiated by the opposition deputies have always been ignored and never been considered at all.</t>
  </si>
  <si>
    <t xml:space="preserve">There has not been any change in the group affiliation in past decade. Never before has there been any fraction in Azerbaijan parliament due to the very few number of opposition MPs. And, above all, there is no opposition MP in today's parliament. In general, according to the Regulation of Azerbaijan Parliament, at least 25 parliamentarians can come together to establish a fraction. </t>
  </si>
  <si>
    <t>Yes, government provide mid term (3 years) fiscal forecasts of revenue and expenditure aggregates.</t>
  </si>
  <si>
    <t xml:space="preserve">Yes, the following information on the budget be open for the general public:  
• Draft annual state budget 
• Forecast of revenues an expenditures for three years 
• Forecast of macroeconomic development indicators
• Amounts of budget expenditures on directions and assignments (with details)
• Monthly and quarterly executive reports
• Reports for year end, including information on implementation 
• Amount of the maximum limit of the state budget deficiency or surplus 
• Sources for covering of budget deficiency 
• Balance of the state budget for the 1st day of January in the unified treasury account 
• Audit reports and opinions
• Financial support from donors, state enterprises, international money transfers 
• Quarterly and yearly reports on implementation of consolidated budgets    
</t>
  </si>
  <si>
    <t>Yes,   according to the article 20.3  of  the Law on budget system
of the Republic of Azerbaijan Annual report on the execution of the state budget and related draft laws are submitted to the
approval of the Milli Majlis (parliament) of the Republic of Azerbaijan by relevant executive power
body not later than the May 15 of the next year. The report includes information on public debts
received during the year, including government securities issued and government guarantees, as well
as use of funds of the Reserve Fund of the state budget and the Reserve Fund of the president of the
Republic of Azerbaijan during the year.
  In practice, every year president signed the laws on state budget execution</t>
  </si>
  <si>
    <t>Yes. Information on expenditures on elementary school and on health care are available in the expenditure by functional, economic and adminstrative  classifications  file</t>
  </si>
  <si>
    <t>No.
According to the law, law-enforcement forces  could be used “to preserve law and order”. According to the article  4 of the law  on  the “Status of Internal Troops” , Internal Troops could be used to prevent mass unrest and this time there are no official restrictions to use lethal weapons. But there is information that the administration could issue orders to restrict use of lethal weapons. But such egulations are closed to the public.</t>
  </si>
  <si>
    <t>Yes. The latest registered violations by internal troops and police  happened in 2016. The dire economic situation led to massive protests throughout the country. Between 12 and 13 January, rallies were held in several districts, including Siyazan, Fizuli, Aqsu, Aqcabadi,  and Lankaran. Demonstrators were either independent citizens or members of the opposition Azerbaijani Popular Front Party and Musavat Party. Violent unrest broke out in several locations and at least 55 demonstrators were detained. These incidents received international attention, as the country is generally not subject to major episodes of public protest.</t>
  </si>
  <si>
    <t>Yes.
One of the departaments of Ministry of Internal Affairs is Head Office of Interrogation and Examination. Moreover there are special structures in Presidential Administration and National Parliament related with law-enforcement organs. But their reports about investigation of abuses that affect civilians are not clear and open for society yet. In practice, there was not one official who was punished as a result of such investigation.</t>
  </si>
  <si>
    <t>There are 3 departments under the Ministry of Defense: 1) The Department of Internal Investigaton. It has 8 regional divisions in its subordination. 2) Major Inspection Department in MoD. 3) Internal Security Department.</t>
  </si>
  <si>
    <t>Yes,  in October 2015, after the arresting nearly all of its senior officials and putting its head Eldar Mahmudov,  under house arrest. The Ministry of National Security  was eventually disbanded altogether and replaced by two agencies, one for domestic surveillance and another for foreign espionage. Department of counter-intelligence and the section of examination of the Committee of State Security ( Agemcy for domestic surveillance).</t>
  </si>
  <si>
    <t xml:space="preserve">Partly. But this is just formal mechanism. Such kind of complains can't be proved. And information and investigative actions are not open for society. There were some cases in Azerbaijan when some employee of law-enforcement forces complained againt someone within that structure. But as a result those employees were fired from their jobs. </t>
  </si>
  <si>
    <t xml:space="preserve">There are some official confidential complaint mechanisms in Mnistry of Internal Affairs. One of them is Internal Investigative Department. </t>
  </si>
  <si>
    <t>There is, but nobody dare to complain</t>
  </si>
  <si>
    <t>No public information</t>
  </si>
  <si>
    <t>No,  Parliament has  not the right to investigate and organise hearings on functioning and abuses by security and law enforcement forces.</t>
  </si>
  <si>
    <t>No,  in law, according to the article 96 of the Constitution  forms Security Council of the Azerbaijan Republic is including the competence of the president of Azerbaijan.  In practice, there is no representative from parliament.</t>
  </si>
  <si>
    <t xml:space="preserve">No,  the decision of the Security Council is not subject to parliamentary scrutiny and the Parliament is not informed about the agenda and decisions by the
Council. 
No.  The decision of the SC is not subject to parliamentary scrutiny and the Parliament is not informed about the agenda and decisions by the
Council. The President determines the agenda and order of the discussion of issues at the session of Security Council according to the submission
of the Head of the Office.The President presides at the sessions ofthe Security Council. The Head of the Office of the President acts as
the Secretary of the Security Council. The Head of the Office provides the activity of the Security Council, manages the preparation of sessions.
</t>
  </si>
  <si>
    <t>No, it is not included the competence of parliament. President  is  is not consulted  during  the making appointments to highest ranks of security and armed forces. The President is free to make appointments alone. The law doesn't consider the details of that issue.</t>
  </si>
  <si>
    <t>No, there is no requirements by Law.</t>
  </si>
  <si>
    <t>Yes., but the position of Ombudsman is a nominal. In prectice, Ombudsman has the right to investigate and site visit in cases of human rights abuse by security and law enforcement bodies. The officials from Ombudsman visit jails to meet political prisoners who suffered by activities of law-enforcement forces. But these investigations and visits and the statements as a result of these activities are not accepted by society seriously. Most declarations of Ombudsman carry the character of recommendations and most of them are not accepted by reevant government bodies.</t>
  </si>
  <si>
    <t>Yes., 
eevery year the annual report of Ombudsman presented at parliament.  But, the content of report is  not comprehensive,  includes  more general information and some statistics about violations.</t>
  </si>
  <si>
    <t>According to the monintoring report on the implementation of  the National Action Plan of Open Government Partership for 2015,  conducted  by Economic Research Center, shown 34 of 92 monitored central and local executive authorities have designated the employees in charge of the access to information. This equals to 31.28% of the monitored central and local executive authorities. However, most state institutions have designated their press secretaries also as officials in charge of the access to information. Few state institutions have delegated this responsibility to a lawyer. Most state institutions don't have any legal and regulatory documents which set out duties and responsibilities of press secretaries and if a state institution has such a document, then it is usually not available to public. Therefore, it is not possible to differentiate between a press secretary and an official in charge of the access to information in terms of their duties and responsibilities.</t>
  </si>
  <si>
    <t xml:space="preserve">There is no  information budget and operational decisions available on the website www. MIA. Gov.az. Only available information about  structure and  high - level positions and structure  of ministry. </t>
  </si>
  <si>
    <t xml:space="preserve">There is no  information budget and operational decisions available on the website www. dtx.gov.azOnly available information about structure and   high - level positions and structure  of ministry. </t>
  </si>
  <si>
    <t>No, only general figures on on budget expenese open for citisens. There is no access  to economic, functional and adminstrative classifications of millitarry budget.</t>
  </si>
  <si>
    <t xml:space="preserve">No, there is no regular public reporting. But, some security and law-enforcement shared their monthly, quartely and annual reports about their activities in generally. </t>
  </si>
  <si>
    <t>No, thete is no  analogous statistics published by MoD in reporting period.</t>
  </si>
  <si>
    <t>No, thete is no  analogous statistics published by MoIA in reporting period.</t>
  </si>
  <si>
    <t>No, thete is no  analogous statistics published by CSS in reporting period</t>
  </si>
  <si>
    <t xml:space="preserve">Civil ociety and media have not direct  and open access  to the official documents  held by law-enforsement bodies. </t>
  </si>
  <si>
    <t xml:space="preserve"> No, acccess to information,  because, official documents of Ministry of Defence  are confidentiain Law and in practice</t>
  </si>
  <si>
    <t>Partially,  media  could get some information about regulations and activities of MIA and MoJ, but not about budget documents  and its spending policy.</t>
  </si>
  <si>
    <t>Yes, a number of civil society organisations (CSOs) and media  were subjected to state sanction for a various reasons, and the bank accounts of organizations and even the personal accounts of senior staff were seized by court decisions adopted without the ability of NGO leaders to defend them.   Dozens of CSOs were interrogated by the Prosecutor’s Office after criminal cases were opened against several local NGOs.</t>
  </si>
  <si>
    <t xml:space="preserve">No, in gererally the is no public consultations between CSOs and law enforesement bodies.  </t>
  </si>
  <si>
    <t xml:space="preserve">The situation related Ministry of Interior and Ministry of Justice is different  Both organisation prefer to have consultations wiith the reporesentative pro-governmental CSOs. Even, the Ministry of Justice has permanent public council.  </t>
  </si>
  <si>
    <t>The officials from  Committee on State Security  don't hold any consultations with civil society organisations on security policies and reform.</t>
  </si>
  <si>
    <t>National Preventive Mechanis composition is not independent. Alla of member are pro-governmental and they have access, but it is not unrestricted, it depend on situation.</t>
  </si>
  <si>
    <t>No I independen civil society group representative  in the  designated National Preventive Mechanism.</t>
  </si>
  <si>
    <t>Blogger Mehman Huseynov 147.2 (slander on committing a serious crime) of the Criminal Code of the Republic of Azerbaijan. The rest of the writers, journalists and bloggers are arrested on charges of drug possession, hooliganism, extortion.</t>
  </si>
  <si>
    <t>On March 7, 2017, the laws "On Information, Informatization and Protection of Information" and "On Telecommunications" were amended in accordance with the legislative initiative of the President of Azerbaijan. Amendments are designed to prevent the dissemination of prohibited information on the Internet. The talks is about the prohibition of the propaganda of violence, religious extremism, incitement to national, religious and racial discord, the disclosure of state secrets, insults and slander, and the violation of the secrets of personal and family life.</t>
  </si>
  <si>
    <t xml:space="preserve">The decisions of the government /www.e-gov.az/, the parliament /meclis.gov.az/, courts / e-mehkeme.gov.az/ are available. </t>
  </si>
  <si>
    <t>To date, the Ministry of Communications and Information Technologies has been providing Internet security, in particular, since March 2017, the Ministry has been legally authorized to control the content and prevent the dissemination of propaganda for violence, intolerance and others. A headquarters and a working group on cybersecurity have been created in the Ministry to ensure information security and cybersecurity during the Fourth Games of Islamic Solidarity. In the educational and innovation center the Institute of Information Technologies of the National Academy of Sciences of Azerbaijan announced in January about the creation of a center for children's safety on the Internet in the near future.</t>
  </si>
  <si>
    <t xml:space="preserve"> The Articles 147 (libel), 148 (insult), 148.1, (libel on the Internet) of the Criminal Code. Article 323 of the Criminal Code is in effect protecting the honor and dignity of the president of the country (a fine of up to 2,500 manat or imprisonment up to 2 years)
</t>
  </si>
  <si>
    <t xml:space="preserve">No.  According to the article 126 o the Constitution of Azerbaijan ,  judges shall be citizens of the Azerbaijan Republic not younger than 30, having voting right,
higher juridical education and at least 5-year working experience in the sphere of law.   In practice, judges are not chosen on a competency merit basis. 
 Judges are appointed by executive power, more precisely by the President. The main criteria for appointment is loyalty to the government. </t>
  </si>
  <si>
    <t xml:space="preserve">Yes.  Azcording to the article 93.3. of the   Law of the Azerbaijan Republic
On Courts and Judges,  sSelection of the nominees for the judicial post
The applicants for the post of judge are submitted to a written exam and to an oral exam. Judges Selection Committee arranges these exams to select candidates. The results of these exams are evaluated by the Judges Selection Committee. The Judges Selection Committee may engage ad hoc commission in the implementation of this function. The applicants who have succeeded in these exams are automatically admitted to perform
a long-term training period. This training period is organized by the training center. The working places and salaries of the applicants admitted to perform a long-term training will be kept. The financial providing of the applicants who are not working is conducting  by the Judicial-Legal Council. The sum of financial providing is defined by the JudicialLegal Council and paid from the resources assigned for the Council from state budget. At the end of this training, each trainee is evaluated. The results of this evaluation are based on the considerations made by the Training Center and summarizing interview  with the members of the Judge Selection Committee. The evaluation is based on the mark system. The applicants shall be classified according to their merit, based on the mark obtained. The results of this evaluation are submitted to the Judicial-Legal Council. The JudicialLegal Council proposes to the relevant executive body of the Republic of Azerbaijan the appointment of the candidates according to the number of the judge positions. The applicants who complete training successfully, but fail to receive appointment may be appointed to the administrative positions in the justice bodies or admitted to the service in the prosecutor's office and in case if there is a vacancy, be appointed to the judicial post In practice judges advanced on the basis of loyality to the government.  </t>
  </si>
  <si>
    <t>No.  Accodring to the article 113 of the   Law of the Azerbaijan Republic
On Courts and Judges, Judge 's authorities are ceased from the side of the Judicial-Legal Council on the expiry of their commission term (renewed commission term). Judge 's  authorities may be terminated pre-term on the following grounds: 1. written application of resignation;
2. dismissal from the office of a judge;
3. upon court ruling declaring him physically handicapped and/or otherwise
afflicted;
4. in case of death;
5. upon court ruling declaring him dead or missing;
6. upon revealing failure to meet requirements defined hereof to candidates to a
judicial posit;
7. dealing with activity not compatible with his position;
8. on quitting a citizenship of the Republic of Azerbaijan, and adopting a
citizenship of another country or taking obligations to a different country;
9. if the special medical commission set up by the Judicial-Legal Council has
issued an opinion proving his/her inability to fulfill his duties due to sickness for
more than six months period;
10. if the disciplinary liability has been exerted on a judge twice in a calendar year
on the grounds mentioned in Article 111-1.
11. in case if s/he has committed multiple gross violation of the legislation in the
course of consideration of the case. Judges are unprotected on this issue. According to the Constitution, when a judge commits a crime, the President of the Republic of Azerbaijan, on the basis of the conclusions of the Supreme Court, may address the parliament with the purpose of removing the judge from office. The Venice Commission criticised this regulation, in the context of constitutional court judges, that it should be a serious crime instead of crime. (See Venice Commission, Opinion on the Draft Law on the Constitutional Court of the Republic of Azerbaijan, CDL-INF (96)10 Strasbourg, 1996).</t>
  </si>
  <si>
    <t>No., the judicial branch functions as executor of the political decisions of the Presidential Administration. In both,  political and  non-politicised cases, judicial decisions are also based on instructions by the presidential office or other high ranks of executive power and corrupted interests. According to Transparency International, the public conceives the Azerbaijani judiciary as corrupt and, in some cases, extremely corrupt. In this context, Freedom House condemns the low salaries of Azerbaijan’s judiciary “which feed into widespread corruption once judges are employed.</t>
  </si>
  <si>
    <t>No,   according to   the Law on Judges and Courts , 1st instance courts budget should be submitted to JLC for its opinion. But the final decision made by Ministry of Finance without budget negogations and consulttaion with JLC.</t>
  </si>
  <si>
    <t xml:space="preserve">Yes.  generally, judges enjoy immunity, which includes his/her office and private premises, and cannot be replaced during their term of office. Therefore, they cannot be detained or arrested, subject to personal search, examination and criminal prosecutionand can only be dismissed if they commit a criminal offence. In that case, the dismissal has to be taken by the Milli Majlis, following a motion by the President . But, judges are not responsible for the damage sustained by a participant in a trial or a person participating in the case due to the court's mistake, at the cost of his private property. This damage shall be reimbursed by the state in cases and orders made by the law. According to the Law on Judges and Courts ,  judges salaries cannot be reduced during period of office.  The president of the Supreme Court receives a monthly salary of 2,070
Manats . </t>
  </si>
  <si>
    <t>No. 1st instance court judges, even though chairman of the courts, are directly appointed by the President. Constitutional, Supreme and court of appeal judges are also appointed, upon advice of the President, by parliament. So the executive power plays a key role on appointment of judges. A majority of members of the Legal-Judicial Council are appointed by the executive power. The Minister of Justice is also chairman of the LJC.   GRECO highlighted that it is for the JLC to play an increasing important role in the appointment of all categories of judges and court presidents</t>
  </si>
  <si>
    <t xml:space="preserve">Yes. A centralised model of constitutional review is implemented in Azerbaijan. Generally, the Constitutional Court's decisions are applied by lower courts. The Constitutional Court of Azerbaijan takes cases referred by the President, Milli Majlis, Cabinet of Ministers, Supreme Court, public procurator’s office and the parliament of NAR, on the following matters:
- review of laws of Azerbaijan, decrees and orders of the President, decrees of Milli Majlis, decrees and orders of Cabinet of Ministers, normative-legal acts of central bodies of the executive branch power and their compliance with the constitution of Azerbaijan; 
- review of decisions of the Supreme Court of Azerbaijan concerning the constitution and laws;
- review of acts of municipalities, laws of the President, decrees of Cabinet of Ministers (in NAR:
this includes the constitution and laws of NAR and decrees of Cabinet of Ministers of NAR);
- review of interstate agreements of Azerbaijan, which have not come into force yet, and
intergovernmental agreements concerning the constitution and national laws;
- review of the constitution and laws of NAR, decrees of parliament of NAR, decrees of Cabinet of Ministers of NAR concerning the constitution of the Republic of Azerbaijan; review of laws of NAR, decrees of Cabinet of Ministers of NAR and their compliance with laws of Azerbaijan;
- review of decrees of Cabinet of Ministers of NARs with their compliance with decrees of the President and decrees of Cabinet of Ministers of the Republic of Azerbaijan;
- dispute settlements with regard of the separation of powers.
</t>
  </si>
  <si>
    <t>In Law yes, but in practice, due to the lack of independence and political will,  judges  never removed only for good cause, such as a conflict of interest or an unduly heavy workloadthere without permission of exucutive power.</t>
  </si>
  <si>
    <t xml:space="preserve">Partialy, it depende on courtroom proceeddings.  But in  practice creates an impression that proceedings are open to the public. It is debated. First of all, according to Azerbaijan’s domestic legislation,  first instance courts do not have the obligation to provide in advance public announcement of the date and time of hearings in administrative and civil cases. This is a violation of legislation on public hearings. In practice, generally it is hard for ordinary citizens to observe common cases. But in a cases of significant interest to NGOs, human right activist and etc., NGO representatives are allowed to attend hearings. So this creates the illusion that the right to public hearing is observed in Azerbaijan. </t>
  </si>
  <si>
    <t>Yes. but in  law.  In practic, JLC is reluctant to examine complaints about judges. Important nuance, sometimes JLC uses these complaints as a sword of Damocles against  judges who begin to be disloyal to the regime. The corruption system also gives practical leverage to the executive power to keep the judges in service of political needs.</t>
  </si>
  <si>
    <t>No, but  UN Convention on the Protection of the Rights of All Migrant Workers and
Members of Their Families,  was signed by  Azerbaijan.</t>
  </si>
  <si>
    <t>No, despite the Convention is also open to signature by non-member States of the Council of
Europe which have participated in its elaboration, as well as Azerbiajan.</t>
  </si>
  <si>
    <t>No exist  framework law, but there are provisions against discrimination in the Constitution and other laws</t>
  </si>
  <si>
    <t>No, but  since  In October 2006, Azerbaijan passed a law on gender equality, which defines gender-based discrimination as any distinction, exclusion or restriction exercised on the basis of gender, including sexual harassment, but this does not concern the Civil Code.</t>
  </si>
  <si>
    <t>Yes, but with very limited scope,</t>
  </si>
  <si>
    <t>Yes, but, in all cases of politically motivated discriminations and persecutions, there was no single instance of investigation results. Neither the Ombudsman institution nor Ministers ever conducted any successful investigation in political discrmination cases.</t>
  </si>
  <si>
    <t xml:space="preserve">  19 out of 124  = 15,3 %</t>
  </si>
  <si>
    <t>No ( 0 out of 18 ministres), but one woman in ministerial position – head of State Committee of Women, Family and Children.</t>
  </si>
  <si>
    <t>Yes,  Chamber of Accountants is a national supreme audit instution and it is covering the public sector.  This organisation is subordinate to Parliament.</t>
  </si>
  <si>
    <t xml:space="preserve">In Law, Chamber of Accountants  (CA) operated under the parliament,  CA institutionally is independent of the executive government and reports to the Parliament only on an annual basis. Its functions and mandate are regulated by a specific law on Chamber of Accounts, .but in practice  it   strongly depends on the executive power, president adminstration. </t>
  </si>
  <si>
    <t>Yes,  according to Article 5 of the Law on the Chamber of Account, the authorities of the Chairman of the Chamber of Accounts, the Deputy Chairman and seven Auditors are valid for seven years.  The chairman and auditors   of the Chamber  of Accounts are appointed by the Parliamentary majority. The law on Chamber Accounts  protects the leadership of the Chamber of Accounts from early dismissals. However, in practice, if desired by the executive power, dismissal is possible.</t>
  </si>
  <si>
    <t>Yes, in practice 7 audit departments and 4 supporting departments under the  CA. According to the  article 9 of  internal regulation 
of the Chamber of Accounts of the Azerbaijan Republic,  Staff of the Chamber of Accounts is formed for the purpose to implement the basic functions, rights and duties and provide its activity, the relevant normative and methodological documentations of the Chamber of Accounts regulate the rules on the organizational structure, organization and implementation of the activity of the Staff of the Chamber of Accounts.</t>
  </si>
  <si>
    <t>Yes, the costs of the Chamber of Accounts of the Azerbaijan Republic are stipulated by a separate line in the state budget.</t>
  </si>
  <si>
    <t xml:space="preserve">Yes, according to the article 23 of the Internal Regulation,  formalization and reporting on the results of inspections in connection with the financial and budgetary expertise rmust specify  and should answers the quality of audits.                           </t>
  </si>
  <si>
    <t xml:space="preserve">Yes,  the Chamber of Accounts has published narrative report on annual basis, and reviews  on the draft and execution  state budgets . But results of audits are not published  separatelly,  fully and regularly, this information are includes to the narrative reports in generally. </t>
  </si>
  <si>
    <t>es. The annual report of the Court of Accounts is presented and debated annually in the Parliament  But there is no  public discussion out of parliament, and the parlamentary discussion is too short.</t>
  </si>
  <si>
    <t>Partially.  In practice the government reaction is rarely .</t>
  </si>
  <si>
    <t xml:space="preserve">No, the draft law on Financial Control has not been passed by parliament. Therfore, no legal base for defining  system of Public Internal Financial Control </t>
  </si>
  <si>
    <t>Yes. The annual action plans, specifying internal audit control adopded by parliament every fiscal year.</t>
  </si>
  <si>
    <t>Yes, according to the Law on  of Azerbaijan Republic
On Internal Audit, all bodies of public administration, including those in charge of managing public revenues and/or expenditures, are required to have departments/divisions/systems of internal audit.</t>
  </si>
  <si>
    <t>Yes, according to the Article 5." Independence of internal audit service" on the  law on  of Azerbaijan Republic
On Internal Audit, tThe internal audit service is independent in planning its activity, conducting internal audit and preparing reports with respect to performed audit. The internal audit service can make recommendations for organization of internal control system at the entity’s associated companies and organizations (subsidiaries).</t>
  </si>
  <si>
    <t>Yes. Responsibility for development of PIFC is assigned to Ministry of Finance of Azerbiajan.</t>
  </si>
  <si>
    <t xml:space="preserve">Yes, in legislative, The Law Of The Republic Of Azerbaijan
On Public Procurements   determines economic, legal and organizational basis of public procurements in the Republic of Azerbaijan, sets principles and rules of effective and economical use of state funds during procurements, creation of equal competitive environment for all consignors (contractors) on the basis of competition and publicity. 
</t>
  </si>
  <si>
    <t xml:space="preserve">Yes, according to the article  21 and 50. on the Law  ot t he Republic Of Azerbaijan
On Public Procurements   determines  conditions of use of procurement method from one source </t>
  </si>
  <si>
    <t xml:space="preserve">Yes , according to Article 55 of the law on state procurement  Consignor (contractor) stating that it suffers or will suffer losses or damage as a result of non-performance by procurement agency of obligations set by present Law shall be entitled to lodge a complaint as provided in legislation. </t>
  </si>
  <si>
    <t xml:space="preserve">No, according to the article 12 on  on the Law  ot t he Republic Of Azerbaijan
On Public Procurements , cases of falsification at public procurements 
If procurement agency determines that consignor (contractor) deals with falsification in order to influence taking of any decision relating to procurement procedures and if it is approved by respective executive authority, in this case convicted of falcification or  bribery are not prohibited from participating in future procurement bids. </t>
  </si>
  <si>
    <t xml:space="preserve">No,  there is no  legislative procedure provide for mandatory consultations with the civil society organisations,  before the draft law act is due to be adopted by the president adminstration.There is no law on public lobbying in Azerbaijan. . .  No legislative  requirement that the government should issue green papers for public deliberation before starting the work on a draft law and   public hearings  is not practised with the participation of representatives of the Government. There are such documents as the budget for the next year, 2020 development strategy, , and the open government partnership national action plans for 2016-2018 were published and formally discussed. </t>
  </si>
  <si>
    <t xml:space="preserve">No, there is some form of public consultation are implemented in Azerbaijan, but quasi-governmental NGOs will greatly benefit from this advantges.  In fact, the inaction of Government-Civil Society Dialogue Platform which was founded in 9 September of 2016 will shrink public participation opportunities during the implementation phase of the second National Action Plan on OGP for 2016-2018. Regarding recommendations, first and foremost, the government should maintain an enabling environment and uphold the value of openness so that civil society institutions can function without any difficulties. While ensuring public participation in open government process, the government should be also committed granting  increased access to information for civil society organizations. Furthermore, Azerbaijan government should make consultation opportunities available to all civil society members by complying with its transparency and accessibility commitments.  </t>
  </si>
  <si>
    <t xml:space="preserve">Partially.  In practice,  the Center for Strategic Studies under the President of Azerbaijan Republic and research and  Center for Analysis of Economic Reforms and Communication , has barely any impact on the decision-making process. They are involved in preparation of strategic planning and programmes. The formulation of the policy making system is under the monopoly of the presidential adminstration. </t>
  </si>
  <si>
    <t>Yes,  according to the  legislation, the Cabinet of Ministers (CM), but the CM is a nominal organisation. In practice  the presidential administration is dealing with bodies to co-ordinate cross-sectoral policies.</t>
  </si>
  <si>
    <t>Yes. According to the rule, the  legal proposals (normative act, etc) of any of the ministries should be co-ordinated with other concerned ministries as well as Ministry of Justice. However, on many occasions when the policy was implemented, it appeared that there is little co-ordination between ministries. There is little consideration of the rule in practice.</t>
  </si>
  <si>
    <t>Yes, according to the  Law on normative acts and other authorities of the public administration, all procedures for processing policies are envisaged.</t>
  </si>
  <si>
    <t>No, there is no policy impact assessment requirement for government-wide policies. All of state bodies are operated under contol of the presidential administration.</t>
  </si>
  <si>
    <t xml:space="preserve">Partially, there are some centre providing policy advice for  ministries , for instance  Ministry of Taxes, Min.Economic Development, Min.of Labor and Social Protection, and Central Bank has such as policy oriented research center. </t>
  </si>
  <si>
    <t>Yes, an evaluation of policy implementation is provided fist by the state agencies, but, each agency has specific parameters for evaluating its activities.</t>
  </si>
  <si>
    <t>No policymaking department under the state agencies, but there are some qualified staff members in various ministries and agencies.</t>
  </si>
  <si>
    <t>Yes,  Law of the Republic of Azerbaijan
On Civil Service entered into force in 2001 and updated regularly by ammendment and changes.</t>
  </si>
  <si>
    <t>Yes, the article 11 of the  law on the Republic of Azerbaijan on Civil Service  define categories and types of administrative and auxiliary positions.</t>
  </si>
  <si>
    <t>Yes.  Accoridng to the article  20.1.6. of the Law on Civil Service,  forbidding them to take part in activity of the political parties during fulfillment of service duties. However, in practice, there are numerous cases of violation of this article. In practice, civil servants are extensively involved in the activity of the ruling political party.</t>
  </si>
  <si>
    <t>In law yes, but in practice not</t>
  </si>
  <si>
    <t xml:space="preserve">Yes, the law of the Azerbaijan Republic
On the Prevention of Conflicts of Interest
in the Activities of Public Officials,  are determinetes the restrictions on aids to state institutions or municipal bodies  and disclose conflicts of interest. </t>
  </si>
  <si>
    <t>No,  the law of the Azerbaijan Republic
On the Prevention of Conflicts of Interest
in the Activities of Public Officials are not addressed  effectively.</t>
  </si>
  <si>
    <t>Yes, according to the  Article 4 of the Public Service Act provides principles of public service and all of them are published. The Law on Civil Service doesn't ensure the publication of performance. Article 30-1 includes only performance appraisal of the civil servants.</t>
  </si>
  <si>
    <t>Yes., according to the article about it: 19.0.7. of the law on civil service determinetes  at the first request, to acquaint with all materials of his/her personnel file, references and other documents attached therein, as well as to demand inclusion of his/her statements to the personnel file.</t>
  </si>
  <si>
    <t xml:space="preserve">No, there is no special  data protection act.  But,   ammendment of Constitution on September 26, 2016, article 32, on the right to personal immunity, would prohibit access to data bases –electronic or hard copy—that disclose personal information. </t>
  </si>
  <si>
    <t>Yes in legislative. The Public Service Act protects state employees from politically motivated dismissals. But  in practice, no.</t>
  </si>
  <si>
    <t>No, Since 11 April  2016-,  the state agency on Civil Service has been cancelle and extablished the State Examisation Center and  State Comission of Civil Service under the president adminstration, both of them are responsible  for increasing capacity of civil servants, not policy making organisation.</t>
  </si>
  <si>
    <t>Yes, Publik legal entity of the State Examination Center  together with  State Comission of Civil Service under the president adminstration have sufficient authority to ensure human resources policies .</t>
  </si>
  <si>
    <t>No, there is no official and independent oversight body to ensure the fairness of civil service policies. But, according to the 31.21. Civil servant law, civil servants may  appeal from attestation results to the relevant executive power body during 7 working days. Relevant executive power body shall consider the complaint during 20 working days after it has been filed. But in practice, the president adminstration operated asan oversight body.</t>
  </si>
  <si>
    <t>No.  At the end of 2016, the average monthly 495  AZN is the average monthly salary of civil servants. Accoring to Economic Research Center calculation on minimum living cost  per person end of 2016  was 199  AZN. Average household was 4 persons in this period, so the minimum living cost per family was 796  AZN. This becomes a cause of corruption. The possibility of corrupt income attracts people to the civil service.</t>
  </si>
  <si>
    <t xml:space="preserve">No. There is no unified database of civil service employees. </t>
  </si>
  <si>
    <t xml:space="preserve">Yes, in  legislative, but no, in practice, because  objective assessment for recruitment observed  only  during  the  first  level of  testing prosess and second level - dueing the interview decision made on the  base of   ideological approach. </t>
  </si>
  <si>
    <t>No, there is no Are there consistent recruitment practices across the civil service.</t>
  </si>
  <si>
    <t>Yes. In legislative  the regular performance appraisals of all civil servants are carried out on the base of article 30-1 of the law on Public Service.</t>
  </si>
  <si>
    <t>Yes.   According to Article 30-1 of the law on Public Service,  formal unified performance appraisal system is  regulated.</t>
  </si>
  <si>
    <t>Yes. Article 32 of the law on Public Service are regulated   uniform process, with legal basis, for making promotion decisions.</t>
  </si>
  <si>
    <t>No. The process is not openess and  transparency.  Promotion is based at the request of  higher officials or their relatives, friends. There are cases of bribes as well.</t>
  </si>
  <si>
    <t>Yes in Law,  but  in practice rarely case.</t>
  </si>
  <si>
    <t>Yes, in  Law (Article 25 of Law on Public Service), not  in practice.</t>
  </si>
  <si>
    <t xml:space="preserve">Yes, there are training systems and civil servants participate in trainings in their ministries, some supported by international organisations such as  EU, UNDP, GIZ,, etc. The law on civil service regulates additional education of civil servants by Article 22-1. In practice the Commission on Sivil Service are responsible for conducting trainings. </t>
  </si>
  <si>
    <t xml:space="preserve">In practice definetely no, in law yes. </t>
  </si>
  <si>
    <t>No. There is no access to representative surveys monitoring citizens' satisfaction with public services in generally, but some state agency lice ASAN implemented the   evaluation syetem after the service.</t>
  </si>
  <si>
    <t>No, there is no available information.</t>
  </si>
  <si>
    <t xml:space="preserve">Yes.  The Strategy for Azerbaijan 2020, a Vision to the Future, was approved on December 2012.  In 2016, Government of Azerbaijan has adopted 12 Strategic Roadmaps on future socio-economic development. It covers all sectors of economy focusing on sustainable,   development/green economy/sustainable consumption and production.  All of Strategy Road Maps  was approved by f President of Azerbaijan on 26 December 2016.
</t>
  </si>
  <si>
    <t>Yes. Center on Analysis of Economic Reforms and Communication under Presidential Administration. The new Center for Analysis of Economic Reforms and Communications was established in Azerbaijan in order to broaden the coverage of economic reforms and manage effective coordination of the works in this area on April 2016.</t>
  </si>
  <si>
    <t>Yes, National Strategy for the Development of Education in the Republic of Azerbaijan, was approved by president of Azerbaijan Decre No 24, October 2013. A National Strategy for the Development of Education was adopted in October 2013. It has five strands of action of which three directly related to AZQF:
Education based on competences focused on individuals requiring the development of curricula for all levels of education
Providers apply modern training methods for competency based education, and ensure the quality
A transparent management system needs to be established, because ensuring the quality of education should be the key strategic priority.</t>
  </si>
  <si>
    <t>Yes,  Education Concept (National Curriculum) ,  was approved by Cabinet of Ministers dated 30 October 2006,  Resolution No. 233</t>
  </si>
  <si>
    <t>Partially,   Azerbaijan Teachers Institute and its regional branch organise course for teachers, but quality of course is low.</t>
  </si>
  <si>
    <t>Partially,  implemented by some Universitites, like Khazar University,  Azerbaijan State University of Economy (UNEC),  Azerbaijan State Oil and Industrial University, etc.</t>
  </si>
  <si>
    <t>There is no implemented sustainable public procurement policies and action plans</t>
  </si>
  <si>
    <t>Yes. Three-cycle structure was launched in 2009, after updating of Law on education.</t>
  </si>
  <si>
    <t>No,  the NQF is not yet legislated,  but the Law on Education (2009) has been the starting point for the development of the NQF and the Action Plan on implementation of "National Strategy for the Development of Education", (Presidential Order no 995, 19/01/2015) includes the preparation and application of the NQF. It is instrumental for introducing competency based education. According to the Action Plan of the Education Development Strategy, adoption of the NQF Decree was due in 2016. The draft NQF Decree has been developed in 2011 &amp; 2012 with small changes in 2013-2015. It was submitted to the Cabinet of Ministers in 2016. Although all ministers endorsed it, adoption was delayed as the conditions for implementation are insufficiently developed. The draft NQF Decree proposes a NQF as a quality assurance tool for qualifications. It builds on the Law of Education (2009), as well as on principles derived from the QFEHEA and the EQF. Early 2016 the implementation plan for the NQF was updated, and in August a NQF secretariat has been established in the Ministry of Education.</t>
  </si>
  <si>
    <t>Partially, only 32% of the workforce is formally qualified. 69 qualification standards have been developed from occupational standards under the responsibility of the Ministry of Labour and Social Protection of the Population that maybe used for the validation of non-formal and informal learning. Private and state companies use existing occupational standards for the assessment of their personnel. The Vocational Education and Training Agency that was established in 2016 has the development of a system for the validation of non-formal and informal learning within its mandate. The EU support for the implementation of the NQF foresees piloting of the validation of non-formal and informal learning. The Mobility Partnership signed in October 2016, includes the recognition and validation of skills and qualifications.</t>
  </si>
  <si>
    <t xml:space="preserve">Partially, organization of the activity can be initiated by the university and confirmed by the Ministry of Education. </t>
  </si>
  <si>
    <t xml:space="preserve">Partially, the universities are dependent from the Ministry of Education and the university programmes are confirmed by the ministry. </t>
  </si>
  <si>
    <t>For the state universitie  is a main source of funding is state.</t>
  </si>
  <si>
    <t>No, the state  universities can not  hire academic and administrative staff independently, it should be adopted by Ministry of Finance.</t>
  </si>
  <si>
    <t xml:space="preserve">Yes. There is standard centralizied entry exam for all high schools and Universities in Az </t>
  </si>
  <si>
    <t xml:space="preserve"> According to the State Statistics Committee, foreign students  studied in  higher education institutions of Azerbaijan was 4189  in 2014-15 education years. They are representatives from 58 countires,  including Turkey, Iran, Russia, Turkmenistan, Georgia, Iraq and the citizens of the People's Republic of China. The share foreiners  in  total number   of students account for 2,9%.</t>
  </si>
  <si>
    <t xml:space="preserve">Yes,  there is  an equal right as the local students. Only restriction is that not all the universities provide lessons in English or in other internationally recognized languages.Study of foreign citizens in Azerbaijan Republic, is regulated by “Regulations about study of foreign citizens in Azerbaijan universities and sending of the citizens of Azerbaijan Republic to study in abroad” approved by Decision No. 56 dated 06.01.2001 of Cabinet of Minsters. According to the same Regulations, although foreign citizens visiting to study at Azerbaijan universities, don’t know teaching language, but they began main education after elevant language training. Just, by purpose to implement relevant language training of foreign citizens in Azerbaijan universities, training faculties, the departments and the centers are functioning in 17 universities.  Foreigners whose education document, are appropriate to level of relevant education programs adopted in Azerbaijan Republic, are admited in training courses by purpose to improve language knowledges. At he end of training period, the listeners pass final examinaitons and the foreigners who passed examinations successfully, are given state certificates about education in a single form. After obtaining these certificates, the foreigners can study on main education levels in the universities. Law “About education” approved by Decree No. 156 dated September 5, 2009 of The President of Azerbaijan, determines equality and integration for them.  </t>
  </si>
  <si>
    <t>Yes, according to the Article 11 of the Education Law of the Republic of Azerbaijan determines  the general requirements for educational content and organization. 
Article No 11.1.3. To ensure that the learners receive continuous learning, to acquire the knowledge and world outlooks that is renewed constantly, and is based on contemporary standards, to more efficiently meet the needs and grow, and that the life-long learning is open and accessible for everyone.</t>
  </si>
  <si>
    <t>There is "Law on Youth Policy of Azerbaijan Republic" which was adopted in 2002</t>
  </si>
  <si>
    <t>Yes, the "Law on Youth Policy of Azerbaijan Republic and  "Law on employment" created the legal provision for youth work.</t>
  </si>
  <si>
    <t xml:space="preserve">Yes,   the Law on antidemping , compensasion and countervailing measures was adopted on  31 may 2016. </t>
  </si>
  <si>
    <t>Yes,  according to to the article 1.04. of the  Law on antidemping , compensasion and countervailing measures, Ministry of Economy has approved as a  national authority, investigating dumping unfoair trade practicies .</t>
  </si>
  <si>
    <t>No, Azerbaijan's Working Party was established on 16 July 1997. The Working Party met for the thirteenth time in July 2016. But, Azerbaijan  is not member of WTO.</t>
  </si>
  <si>
    <t xml:space="preserve">Yes, since 2003 the Committee is a full member of ISO. Azerbaijan adopted 69  AZS - IS0  standards. </t>
  </si>
  <si>
    <t>No, not yet, but the draft Law on Technical Reguliation  implies that implementation on voluntary stardards.</t>
  </si>
  <si>
    <t>Total number of national standards is 941,  including  69 IS0,   20 EN, 49  GOST R-and 79 GOST  CIS.  Harmonised with the European or international standards  accounts for 25,71 % of total number of national standards.</t>
  </si>
  <si>
    <t>EU harmonised standards adopted in the country as national standards  accounts for    2,12  % of total number of national standards. Total 20 AZS-EN  standarts</t>
  </si>
  <si>
    <t>Accoring to the official information have been regitstred 941  standards in 2017</t>
  </si>
  <si>
    <t>Azerbaijan became an associative member to CEN in 2010 and has close relations with this organization. The State  Standardization Committee on  regularly participates at the General Assembly meetings, as well as takes relevant measures for the harmonization of national standards with European (EN) standards.</t>
  </si>
  <si>
    <t>Not yet, but accoding to the  Road Map and Action Plan for Azerbaijan on
harmonisation of standards and codes in electricity
and gas sectors (Contract № 2011/278827) Azerbaijan intends  to become an associate member of CENELEC by 2017.</t>
  </si>
  <si>
    <t xml:space="preserve">Only one company - Azqtel LLC  full member  Network Operator
</t>
  </si>
  <si>
    <t xml:space="preserve">No/Yes - Azerbaijan becomes a member of Codex Alimentarius Commission since 2011. National Codex Alimentarius committee has been created in State Committee on Standardization, Metrology and Patents of Azerbaijan  to coordinate recommended measures on introduction of European Union, ISO, HACCP and Codex Alimentarius standards to the national food standard system. Decisions of the national committee are of recommendatory character. For the present 5 State standards developed on Codex Alimentarius standard base have been adopted in Azerbaijan. </t>
  </si>
  <si>
    <t xml:space="preserve">No, According to the Imran Abdullayev, head the Food Department of the Republican Center for Hygiene &amp; Epidemiology of the Ministry of Health of Azerbaijan, Azerbaijan’s products are now actively exported to the world market, which creates the need for mandatory application of the HACCP system.  "We’ve already developed a draft law, as well as amendments to the relevant legislation to start the madatory application of the HACCP system in the country". But  proposed law is not adopted so far. </t>
  </si>
  <si>
    <t xml:space="preserve">No, no legal bas for direct application of interational standards. But Azerbaijan adopted 25 standards  of  Codex Alimentarius </t>
  </si>
  <si>
    <t>No .</t>
  </si>
  <si>
    <t>Threre is no export goods so far  of animal origin to EU.</t>
  </si>
  <si>
    <t>Threre is no export goods of animal origin to EU.</t>
  </si>
  <si>
    <t>Yes, Azerbaijan join to the Kyoto Convention  since January 2001.</t>
  </si>
  <si>
    <t>Yes, but lartially not all of customs customs checkpoint.</t>
  </si>
  <si>
    <t>Yes, e-cutoms declarations system already  implemented</t>
  </si>
  <si>
    <t>Not generally, but some customs chechpoint recently started implememtation single window approach, for example between Azerbaijan and Iran.</t>
  </si>
  <si>
    <t>No, there is no idependent  commission or board in the sphere of  communications</t>
  </si>
  <si>
    <t xml:space="preserve">Yes, since 2005 </t>
  </si>
  <si>
    <t>Yes, the government implemented electronic signature - called ASAN IMZA (Easy signature)</t>
  </si>
  <si>
    <t xml:space="preserve">Yes, president has signed a decree on the establishment of a public legal entity of the Control of Financial Market   in Azerbaijan.  The he establishment of a public legal entity of the financial Market Supervisory Body aims to license, regulate and control the securities market, investment funds, insurance, credit organizations (banks, non-banking credit organizations and operator of postal communication) and payment systems, as well as improve the control system on legitimating the dirty money and preventing the financing of terrorism, and provide transparency and quickness in this sphere.  
 </t>
  </si>
  <si>
    <t>Yes, regulated by public legal entity of the Controlm of  Financial Market</t>
  </si>
  <si>
    <t>Azerbaijan member of IAIS, but still has not adopted  strategy or road map.</t>
  </si>
  <si>
    <t>Yes, tehere is legal bases of  acquisition of immovable property (except land plot)</t>
  </si>
  <si>
    <t>Azerbaijan is to impose a 20 per cent tax on taking money out of the country since 2016</t>
  </si>
  <si>
    <t xml:space="preserve">Due to the  entry into force of the law  on Non-cash transations,  since 2017 implemeted  the  limit  for cash operations for all tax payers  in the following amounts: simplified tax payers cannot withdraw more than 15.000azn per month and VAT payers cannot withdraw more than 30000azn per month from their bank accounts. If the tax payer exceeds this amount, the penalty for the first time will be 20% of the total amount. For the second time, it will be 30%. 
</t>
  </si>
  <si>
    <t>No, justice system is corrupt and depend on president adminstration.</t>
  </si>
  <si>
    <t xml:space="preserve">Yes, but No, it is under Ministry of Economy, buy, it  can not protect of economic competation. </t>
  </si>
  <si>
    <t xml:space="preserve">No.  no independence, no power,  strondly depend on presidental adminstration. </t>
  </si>
  <si>
    <t>No, there is no an obligation within WTO.</t>
  </si>
  <si>
    <t>In law yes, but in practice impossible withou permission of presidental adminstration.</t>
  </si>
  <si>
    <t>No, there is no  requirement the obligatory approval from the competition-related bodies in the preparation of the legislation.</t>
  </si>
  <si>
    <t xml:space="preserve">No, never due to the dependence court decision. </t>
  </si>
  <si>
    <t xml:space="preserve">No, no information  available in this  regard. </t>
  </si>
  <si>
    <t xml:space="preserve">No. There are some official statements on it. However, the practical steps aren’t observed. Even Azerbaijan introduces a visa regime to the countries, which don’t apply a visa regime to it, in particular to Turkey, with which it has the specific relationships. Only the citizens of 9 former SU republics can travel to Azerbaijan visa-free. </t>
  </si>
  <si>
    <t>Yes. But there are serious problems on this issue.</t>
  </si>
  <si>
    <t xml:space="preserve">Yes. Presidential decree, issuing application of "One passport - one person" practice, was issued on 17 July 2012. Not enough evidence that these passports are in line with European standards, mainly with ICAO.  Previously, the President of the Republic of Azerbaijan signed on 13 February 2007 the State Program on Establishment of the Electron Identification System in the Azerbaijan Republic for 2007-2012. Later the Azerbaijani Republic also adopted the Law “On the Biometric Information” on 13 June 2008. </t>
  </si>
  <si>
    <t xml:space="preserve">Yes. The Readmission Treaty between Azerbaijan and the EU was signed on 28 February 2014. The Treaty is effective from 1 September 2014. </t>
  </si>
  <si>
    <t>Yes. State Migration Service</t>
  </si>
  <si>
    <t xml:space="preserve">Framework document isn’t available. However, the Law of the Republic of Azerbaijan “On the Approval of the Migration Code of the Republic of Azerbaijan and its Entry into Force and Related Legal Regulation” adopted on 2 July 2013. </t>
  </si>
  <si>
    <t>Yes.The Law of the Azerbaijan Republic “On Social Protection of Internally Displaced Persons and Persons Equated to Them”.  ( May 21, 1999)</t>
  </si>
  <si>
    <t>Yes. Permission of Milli Majlis oz Azerbaijan (18 novermer 1992)</t>
  </si>
  <si>
    <t>Yes. The law of the Republic of Azerbaijan "On status of refugees and internally displaced (persons displaced within the country) persons"  ( May 21, 1999) .</t>
  </si>
  <si>
    <t>Yes; there is basic  monthly data, published on website https://migration.gov.az/cat.php?scatid=061&amp;lang=en</t>
  </si>
  <si>
    <t>Yes. Arrivals and departures to Azerbaijan and passport issues are all regulated by the law on “To depart, to arrive and passports” which was adopted on 14 June 1994. There have been 48 amendments and changes to this law since it was adopted.</t>
  </si>
  <si>
    <t>Yes.
Criminal Code (december 30, 1999;
№ 787-IQ), 
Criminal Prosedural Code ( July 14, 2000; 907-IQ),
Code of Customs (July 25, 1997, No 616, 164-IVQ; New code - June  24, 2011, 164 -IVQ)</t>
  </si>
  <si>
    <t>Yes. Signed 12 december 2000.</t>
  </si>
  <si>
    <t>Yes .</t>
  </si>
  <si>
    <t>No, but signed in 07.11.2016</t>
  </si>
  <si>
    <t xml:space="preserve">“The National Action Plan on Combating Trafficking in Human Beings in the Republic of Azerbaijan” was endorsed by the Decree of the President of the Republic of Azerbaijan on 6 May 2004. In addition: The Law of the Republic of Azerbaijan on Combatting Trafficking in Human Beings (28.06.05); The Resolution of the Cabinet of Ministers of the Republic of Azerbaijan endorsing the “Rules of establishment and funding of special institutions for the victims of trafficking in human beings, their functioning and control over their activities” (09.11.2005). </t>
  </si>
  <si>
    <t>0.5 - Although Azerishig and Azeriqaz are companies with state ownership, and prices of their products are established by government, they are free in making decisions on technological and strategic issues</t>
  </si>
  <si>
    <t>1 -Prices of gas and electricity supply are established by Tariff Board under Ministry of Economy</t>
  </si>
  <si>
    <t>0.5 - There is not full information about essential indicators (e.g. costs per unit) of gas and electricity supply, although Azerishig and Azeriqaz are companies with state ownership</t>
  </si>
  <si>
    <t>1 - Over all country the gas and electricity supply enterprises are structural divisions of the above-named central companies</t>
  </si>
  <si>
    <t>0 - Azerishig and Azeriqaz are natural monopolies over the country</t>
  </si>
  <si>
    <t>0 - Because there are not competitors in these sectors</t>
  </si>
  <si>
    <t>0.5 - Azerbaijan acceded as a participant of the European Energy Charter, forces its way to the Azerbaijani market. the Third Energy Package demands were already included in the draft legal acts prepared within the EU-funded projects - twinning-program "Support for reforms in the energy sector" and Energy Reforms Support Project (ERSP).</t>
  </si>
  <si>
    <t>0.5 - There are not fully operational gas interconnections between Azerbaijan and EU countries. Gas within the project “Shahdeniz” is transported to Europe with mediation of Turkey. Now negotiations around the projects South  gas corridor are especially intensively held. Italy and Greece are already involved in this project. The closest candidate for the introduction for these negotiations is Albania. It is supposed that interconnections of Azerbaijan and EU countries will move to a new level after construction of the gas pipeline TANAP.</t>
  </si>
  <si>
    <t>The Public services regulatory commission is independent body established by the Law. Independent from the government but not policy makers.</t>
  </si>
  <si>
    <t>Yes - A) In November 2016 Tariff Council under the Azerbaijani government established differential energy prices on natural gas and electricity. B) In the Ministry of Energy the project together with the secretariat of a power charter is prepared. The project has been prepared in the framework the Programme “EU4Energy” of the European Commission.</t>
  </si>
  <si>
    <t>Yes, - AR State Agency on alternative and to renewable energy sources implements different projects, including construction of wind, solar, biomass and geothermal power sources</t>
  </si>
  <si>
    <t>Under consideration of the adopting body. "Action Plan on improvement of ecological situation and efficient use of natural resources in Azerbaijan Republic"</t>
  </si>
  <si>
    <t xml:space="preserve">Partially. Involving the governmental bodies are very sufficient. But other stakeholders-NGOs, only members of Public Council (PC) under the Ministry of Ecology and Natural Resources got participated. </t>
  </si>
  <si>
    <t>Yes.  Only for PC members.</t>
  </si>
  <si>
    <t xml:space="preserve">Partially, Responsible agency have been mentioned for activities </t>
  </si>
  <si>
    <t>Yes. Action plan covers and involves all sectors.</t>
  </si>
  <si>
    <t xml:space="preserve">Under preparation. As a priority it mentioned in main strategic document of the country- Azerbaijan 2020: Look into the future. Currently different related documents are developing toward achiving startegic goals. </t>
  </si>
  <si>
    <t>Yes. included into air and water pollution sub-subjects.</t>
  </si>
  <si>
    <t>There is no separate law on that. It regulates by 2 main national laws- (1) Law on Environmental Protection and (2) Environmental Safety</t>
  </si>
  <si>
    <t>Partially. Prevention of illegal unreported and unofficial fishery is regulated by the Department for Reproduction and Protection of Aquatic Bioresources of the MENR through Law on fishery. Also in 1998 Azerbaijan signed the Convention on International Trade in Endangered Species (CİTES) and provides reports regularly.</t>
  </si>
  <si>
    <t>28 october 2016</t>
  </si>
  <si>
    <t>Under preparation- National Adaptation Plan</t>
  </si>
  <si>
    <t>Yes. In 2016, Government of Azerbaijan has adopted 12 Strategic Roadmaps on future socio-economic development. One of those Strategic Roadmaps – Strategic Roadmap on agricultural production and agro processing directly considers measures on climate change adaptation.</t>
  </si>
  <si>
    <t xml:space="preserve">Yes. Climate Change and Ozone Center under the Ministry of Ecology and Natural Resources </t>
  </si>
  <si>
    <t>0 - state monopoly of property and management</t>
  </si>
  <si>
    <t>Yes, Construction, reconstruction and repair are made by private firms by request of the state. Private firms can render separate services under the contract. But the share of the services rendered by the state is essential. But, private firms are closely connected to the respective ministers or other bureaucrats</t>
  </si>
  <si>
    <t xml:space="preserve"> Yes,Construction, reconstruction and repair are made by private firms by request of the state. Most services are rendered by private sector. But, private firms are closely connected to the respective ministers or other bureaucrats.</t>
  </si>
  <si>
    <t>Yes,  Construction, reconstruction and repair are made by private firms by request of the state. Private firms can render separate services under the contract. But the share of the services rendered by the state is essential. But, private firms are closely connected to the respective ministers or other bureaucrats.</t>
  </si>
  <si>
    <t>0.5 - Part of rendered services are unbundled</t>
  </si>
  <si>
    <t>0 - Government is single regulator</t>
  </si>
  <si>
    <t>0.5 - Part of roads is under local and municipal regulation, although they are not sufficiently independent</t>
  </si>
  <si>
    <t>0 - Conducting incidents` investigation is a prerogative of rail way police and Transport prosecutor's office</t>
  </si>
  <si>
    <t>0 - Conducting incidents` investigation is a prerogative of traffic police and Transport prosecutor's office</t>
  </si>
  <si>
    <t>0 - Conducting incidents` investigation is a prerogative of water police and Transport prosecutor's office</t>
  </si>
  <si>
    <t>0 - Conducting incidents` investigation is a prerogative of air transport police and Transport prosecutor's office</t>
  </si>
  <si>
    <t>2773 in 2015</t>
  </si>
  <si>
    <t>1 - The government actively invests in all means of transport within projects of TRACECA, a transport corridor the North-South, and others.</t>
  </si>
  <si>
    <t>Partially.  All planned economic activities are subject to EIA. The environmental demands/environmenal safety issues are included in RA Governmental and sectoral programs</t>
  </si>
  <si>
    <t xml:space="preserve">Partially.  </t>
  </si>
  <si>
    <t>No. Legislation does not provide direct public funding for candidates, only indirect public funding is provided in the form of providing free access to premises for campaigning, campaign materials and access to the media. The candidate's election fund may consist of contributions from the candidate himself, as well as contributions from individuals and legal entities.</t>
  </si>
  <si>
    <t>Not fully. To monitor the coverage of the election campaign in the media and to resolve conflicts concerning the media in 2016, the Supervisory Board on Mass Media (Nabludatelnyj Sovet po SMI, NSS) was established. According to the conclusion of the OSCE / ODIHR, the NSS does not guarantee the fulfillment of the principle of impartiality, the NSS should also be empowered and provided with sufficient resources to carry out thorough media monitoring during the election campaign in order to fulfill its role more effectively.</t>
  </si>
  <si>
    <t>Not fully. In February 2016, an interdepartmental expert working group was established to study previous ODIHR / OSCE recommendations on improving the electoral process. Several technical changes were made to the electoral legislation, but the key recommendations of the OSCE / ODIHR, the Venice Commission of the Council of Europe and the Belarusian human rights defenders were not taken into account. This did not allow to change the nature of the election campaign towards more democratic and transparent character.</t>
  </si>
  <si>
    <t>Rather no. According to the final report of the OSCE / ODIHR Election Observation Mission for 2016 Parliamentary Elections, "the legal framework does not provide sufficient guarantees for holding elections in accordance with OSCE commitments and other international standards". The main observations include an unbalanced composition election commissions strongly influenced by the executive branch, and insufficient transparency of the process, unreasonable restrictions on the right to run, lack of procedural protective measures for early voting and voting on election day, lack of procedural protective measures for vote counting and tabulation, disproportionate restrictions on voters' rights, as well as unclear regulation of electoral disputes, and moreover, there is a tendency to overly formalistic interpretation of legislation where everything that is not allowed in direct form is prohibited".</t>
  </si>
  <si>
    <t>No. The procedure for defining the majority constituency’s demarcation is carried out by the Central Electoral Commission solely on the proposals of the executive authorities (they are authorized to propose a cutting project), with formal following of the law requirements (the difference between districts usually does not exceed 10% of the population), but sometimes with the deliberate creation of the obstacles for opposition in its communication with the population . However, this direction of manipulation is secondary and less significant: the reports of international and domestic observers do not pay much attention to it.</t>
  </si>
  <si>
    <t>No. In accordance with the Electoral Code lists of citizens participating in the electoral process are kept. However, there is no single register of voters of the Republic of Belarus, this "does not allow cross-checking to prevent multiple registration of voters". Voter lists are corrected by precinct election commissions on the basis of data provided by local authorities. They are not available for public control.</t>
  </si>
  <si>
    <t>No. The OSCE / ODIHR mission: "To enhance the inclusiveness and transparency of the Electoral Code should contain clear and reasonable criteria for candidate registration mechanisms. Minor discrepancies in the declarations of the candidates should not lead to automatic disqualification, and the candidate should be given the opportunity to correct minor or technical errors in their registration statements. It is worth considering the possibility of reducing the number of signatures in support necessary for registration as a candidate, and at the same time to introduce a clear and reasonable criteria for the verification of signatures, as well as equal conditions for their collection".</t>
  </si>
  <si>
    <t>Refusals to register candidates, whether nominated by parties or by collecting signatures, are common. In 2016, only 82.69% of the total number of nominated candidates was registered, of which 63.11% were put forward by collecting signatures, and 84.18% were nominated by parties (the indicator improved compared to 2012). In addition, the process of registration of political parties is generally difficult, the last time a political party in Belarus, despite numerous attempts, was registered in 2000.</t>
  </si>
  <si>
    <t>No. In accordance with the law, all candidates are equal in their rights. In practice, a discriminatory approach is possible. The OSCE / ODIHR: election commissions "are responsible for registering candidates and have broad powers to act on their own right in this process, which raises concerns about inconsistent application of legislation and unequal treatment of candidates".</t>
  </si>
  <si>
    <t>No. In 2016, there were changes in the formation of election commissions, for example, the possibility of the presence of observers (including international ones) at the meetings of the bodies during their formation was introduced. At the same time, international experts, representatives of opposition parties, civil society have repeatedly expressed doubts about the unreachableness of representatives of election commissions. The main problems are: the domination of representatives of pro-government structures in them, the inclusion in the composition of precinct commissions of persons working in the same enterprise, together with their leaders, an unclear separation in practice of executive authorities and election commissions.</t>
  </si>
  <si>
    <t>Yes. The design of the bulletin is non-discriminatory: the text is placed in two official languages, and from 2015 a stencil has been introduced for use by blind citizens. At the same time, the electoral process itself is discriminatory: those who are recognized as incompetent by the court, as well as citizens serving prison terms, regardless of the severity of the crime and the term of punishment (with the exception of citizens who are under arrest for up to 3 months) do not have the right to vote</t>
  </si>
  <si>
    <t>Not fully. In accordance with the Electoral Code, voting is held in specially designated premises, in which there must be enough cabins or rooms for secret voting, places for issuing ballots and ballot boxes are established. At the same time, there are no standardized ballot boxes and the requirements for their sealing (seals). The matter of particular concern is the process of early voting: for ballot boxes, ballots and voter lists, there is insufficient security during breaks and at night, there are facts of ballot stuffing</t>
  </si>
  <si>
    <t>No. Independent observers constantly note the facts of falsifications during the counting of votes, falsifications of protocols of early voting and voting day protocols, falsifications during home voting, falsifications of data on voter turnout, manipulation of voter lists, incorrect reporting of results.</t>
  </si>
  <si>
    <t>Not fully. According to the Electoral Code during the election campaign candidates are not allowed to give out, promise money, gifts and other material values, hold preferential sales of goods, etc. At the same time, in practice, cases of presenting gifts to voters, receiving bonuses in the workplace for participation in the electoral process are common.</t>
  </si>
  <si>
    <t>Not completely. In practice, the use of administrative pressure on voters is widespread, there are threats of applying various disciplinary sanctions against those who do not vote.</t>
  </si>
  <si>
    <t>Not fully. Observers can be nominated by political parties, public associations, labor collectives and initiative groups consisting of not less than 10 voters. They have the right to observe only in the election commission where they are accredited. International observers can be accredited only after receiving an invitation from the authorities. Despite some expansion of the rights of observers in 2016, they are still limited in the ability to monitor, for example, check voter lists, receive certified copies of protocols of election commissions. According to the OSCE / ODIHR, for the 2016 parliamentary elections, a total of 827 international and 32 105 civilian observers were accredited. Of these, 24,000 represented public associations subsidized by the state, who were often involved in pre-election campaigning for pro-government candidates.</t>
  </si>
  <si>
    <t>No. During the parliamentary elections in 2016, the vote count was negatively assessed by 24% of the polling stations that were monitored. One of the main problems of the Belarusian electoral legislation is that the method of counting ballots by the precinct election commission is not directly defined in the legislation. In practice, a large number of falsifications are observed when counting votes.</t>
  </si>
  <si>
    <t>Not fully. Candidates' trustees can observe. However, like all observers, they often face serious limitations on the possibility of monitoring the counting of votes, for example, the inability to observe the procedures and see voter marks in ballots, counting ballots by each member of the precinct election commission separately, and not together, not declaring votes for each candidate, being in an inconvenient place to observe the counting of votes</t>
  </si>
  <si>
    <t>No. According to the OSCE / ODIHR conclusions on the 2016 Parliamentary Elections: "The Electoral Code does not contain a clear procedure for handling complaints and appeals within a single hierarchical structure ... Not all actions and decisions of election commissions can be challenged, including aspects of candidate registration and election results, which reduces effectiveness of remedies". There are also other shortcomings of the appeal within the electoral process, for example, arbitrary interpretation of the time limits for complaints by the election commissions. According to the campaign "Human Rights Defenders for Free Elections" in 2016, not a single complaint to the court for decisions on the formation of election commissions was resolved positively.</t>
  </si>
  <si>
    <t>No. During the period under review, two electoral campaigns were held in Belarus: presidential elections on October 11, 2015, parliamentary elections on September 11, 2016. Based on the results of each of them, the final report of the OSCE / ODIHR Election Observation Mission was prepared, each with serious violations of the electoral process, despite some improvements in this area (http://www.osce.org/ru/odihr / Elections / 290006? Download = true, http://www.osce.org/en/odihr/elections/belarus/221346?download=true). Serious violations are also noted by national observers. For example, the public campaign "Defenders for free elections" in monitoring the parliamentary elections in 2016 (http://spring96.org/files/misc/itogovyj_otchet_vybory-2016-2.pdf)</t>
  </si>
  <si>
    <t>79.10 
The presidential election of 2015, according to the Central Electoral Commission: Alexander Lukashenko - 5 102 478 votes, which amounted to 83.5%. Gaidukevich Sergey - 201 945 votes (3.3%), Tatyana Korotkevich - 271 426 votes (4.4%), Nikolay Ulakhovich - 102 131 (1.7%). 386,225 voters (6.3%) did not support any of the candidates. In addition, 48,808 ballots were recognized as invalid (0.8%).</t>
  </si>
  <si>
    <t>According to the Human Rights Center "Viasna", in 2016, politically motivated criminal prosecution was carried out against seven people. Six of them, for different periods of time, were kept in custody and, therefore, recognized as political prisoners by human rights organizations, but were eventually released from custody and not sentenced to imprisonment. At the end of 2016, one political prisoner, a founding member of the human rights organization responsible for protecting prisoners' rights, Mikhail Zhemchuzhny, who was recognized by Belarusian human rights organizations as political prisoner, continued to remain in prison.</t>
  </si>
  <si>
    <t>No. Belarus has not signed the Convention for the Protection of Human Rights and Fundamental Freedoms.</t>
  </si>
  <si>
    <t>Yes, the Bureau of Democracy, Human Rights and Labor of the US Departament of State in its report for 2016 notes: "The Committee for State Security (KGB), riot police, and other security forces, often unidentified and in plain clothes, continued to beat detainees occasionally. Security forces also reportedly, mistreated, individuals during, investigations, arrests, police, occasionally, beat, criminal, and, suspects and citizens".</t>
  </si>
  <si>
    <t>No. There are no independent bodies in Belarus authorized to conduct independent and periodic visits to places of detention, including psychiatric hospitals, without prior notification. Public supervisory councils are established in the country, the main function of which is to monitor the activities of bodies and institutions that carry out punishment and other measures of criminal responsibility. However, commissions visit penitentiary institutions only with the consent of the chief of the Department of Execution of Punishments of the Ministry of Internal Affairs on prior information to the head of the penitentiary institution. Members of the commission do not have the competence to receive and investigate complaints of human rights violations. The Parliament established the Commission on Human Rights, National Relations and the Media. However, it also does not have the authority to investigate allegations of torture.</t>
  </si>
  <si>
    <t>No. The Bureau of Democracy, Human Rights and Labor, the US Departament of State, in its report for 2016 notes: "Authorities used wiretapping, video surveillance, and a network of informers that have been deprived of privacy." While the law prohibits authorities from intercepting telephone and other communications Without a prosecutor's order, the authorities routinely monitored their residences, telephones, and computers. Nearly all opposition political figures and many prominent members of the civil society groups "that the authorities monitored their conversations and activities. And democratic activists during raids and by confiscating computer equipment"</t>
  </si>
  <si>
    <t>Practicaly no. Art. 62 of the Constitution declares the principle of the free provision of legal aid, but limits the provision of aid at the expense of public funds in a number of cases that are directly prescribed by the law. At the same time, there is no comprehensive law regulating the provision of such aid. The possibility of state subsidization of legal aid is foreseen today only in criminal cases. At the same time, the provision of such assistance is based solely on the mechanism of mandatory protection, limited in scope and not taking into account the financial situation of citizens.</t>
  </si>
  <si>
    <t>No, the legislature haven't any powers of summons over executive branch officials. The legislature/its committees hold irregular hearings with executive branch officials. But they are mostly formal</t>
  </si>
  <si>
    <t>No,according to the Constitution it is a President privilege</t>
  </si>
  <si>
    <t xml:space="preserve">No. According to the art 84 of the Constitution The President appoints the PM,  and the House of Representatives (the lower chamber) approves the appointment. </t>
  </si>
  <si>
    <t>No,according to the Constitution it is a President privilege (art 84 of the Constitution)</t>
  </si>
  <si>
    <t>Yes, but the President has the power to make a final decision (dissolve the Parliament or the Government)</t>
  </si>
  <si>
    <t xml:space="preserve">The President may to dissolve the legislature in the cases, promoted by the Constitution </t>
  </si>
  <si>
    <t>According to the Constotution 8 out of 64 members of the upper chamber are directly appointed by the President. But in fact - all memebers of the legislature are appointed by the executive power</t>
  </si>
  <si>
    <t>Yes, formally</t>
  </si>
  <si>
    <t>Yes, hypothetically</t>
  </si>
  <si>
    <t>There are no political groups as such</t>
  </si>
  <si>
    <t>YES, internal security services</t>
  </si>
  <si>
    <t xml:space="preserve">YES,but only partially/ It means not about practice, but only about general results and security environment within the country and outside </t>
  </si>
  <si>
    <t xml:space="preserve">NO. There is no any ombudsman  in Belarus  </t>
  </si>
  <si>
    <t xml:space="preserve">0.5 Only a CSS has a press-service </t>
  </si>
  <si>
    <t>YES, but army gets money not only from budget, but from special closed state funds too</t>
  </si>
  <si>
    <t>Yes, it’s a regular practice</t>
  </si>
  <si>
    <t>Yes. Article 367 of the Criminal Code contains responsibility for defamation of the president (maximum term is imprisonment up to 5 years), art. Art. 368, 369 of the Criminal Code contain criminal responsibility for insulting the president and government officials. Freedom House Report for 2016: "The criminal code also contains provisions protecting the honor and dignity of high-ranking officials, including greater penalties in cases of defamation or insult" (https://freedomhouse.org/report/freedom- World / 2016 / belarus) US Department: "Libel is a criminal offense." There are large fines and prison sentences of up to four years for defaming or insulting the president. "Penalties for defamation of character make no distinction between private and public persons. Public figure who is criticized for poor performance while in office may sue both the journalist and the media outlet that disseminated the critical report "(https://www.state.gov/j/drl/rls/hrrpt/humanrightsreport/index.htm ? Year = 2016 &amp; dlid = 265398 # wrapper)</t>
  </si>
  <si>
    <t>Yes. For example, "On September 23, (2016), a Minsk city court declined an appeal in the case of Aliaksandr Lapitski, who was convicted on April 12 of "committing socially dangerous acts" and violating Article 369 ("insulting the President of the Republic of Belarus"), Article 369 ("Insulting the authorities"), Article 391 ("insulting a judge or a lay judge") of the Criminal Code of Belarus. The charges against Lapitski stem from e-mails and blog posts he wrote that, according to the authorities, insulted the president. Authorities alleged that Lapitski suffered from mental illness and sentenced him to a period of compulsory psychiatric treatment." See US Department of State report (https://www.state.gov/j/drl/rls/hrrpt/humanrightsreport/index.htm?year=2016&amp;dlid=265398#wrapper)</t>
  </si>
  <si>
    <t>Yes. In its report on the situation with mass media in Belarus, the Belarus Association of Journalists states that at the end of 2016 the Ministry of Information issued 88 decisions on restricting access to Internet resources since 2015, when the Ministry received such a right (https://baj.by / RU / analytics / mass-media-V-Belarusi-no450-October-dekabr-2016-g). Criticism of blocking of Internet resources is contained in the reports of: Freedom House (https://freedomhouse.org/report/freedom-world/2016/belarus), US Department of State (https://www.state.gov/j/ Drl / rls / Hrrpt / humanrightsreport / index.htm? Year = 2016 &amp; dlid = 265398 # wrapper), Human Rights Watch (https://www.hrw.org/en/world-report/2016/country-chapters/285920#a77c51). The greatest resonance has the case of blogger Eduard Palchis (end of 2016) and the criminal cases against three Belarusian authors of the Russian news agency “Regnum” for inciting ethnic and other social discord.</t>
  </si>
  <si>
    <t>Not fully. An effective mechanism for citizens' access to information from the public sector has not been developed, and the law makes it possible to arbitrarily establish restrictions on access to public sector information. On the National Legal Internet Portal of the Republic of Belarus (http://www.pravo.by) all normative acts are placed, however, only the Constitution, codes and acts of a program nature are for free, all other normative documents, including laws directly related to implementation of human rights are in paid content. Draft laws are published selectively, most of them are in the field of entrepreneurial activity. Judicial practice reviews are posted on the Supreme Court website (http://court.gov.by/justice_RB/praktice/).</t>
  </si>
  <si>
    <t>Rather no. The Code on Judicial System and Status of Judges contains qualification (education, work experience, passing the qualification exam) and ethical requirements for candidates for judges. However, judges of general jurisdiction at all levels are appointed by the president, respectively, the main criterion for their appointment is loyalty.</t>
  </si>
  <si>
    <t>Rather no. The Code on the Judicial System and the Judges Status raises the question of the promotion of a judge in the service, depending on professional knowledge, length of service and work experience. However, in practice, the main criterion is loyalty.</t>
  </si>
  <si>
    <t>Rather no. A judge may be punished for any disciplinary offense, violation of any provisions of the Judicial Code of Honor. Disciplinary proceedings are carried out by the qualifying collegia of judges. The process is not transparent and, in the absence of an independent court system, not independent. In addition, the right to initiate disciplinary proceedings against all judges is given to the president.</t>
  </si>
  <si>
    <t>Rather no. If the case is politically motivated, the decision is completely dependent on other branches of government.</t>
  </si>
  <si>
    <t>Not fully. The costs for the activities of the courts are provided for in the stete budget. In accordance with the presidential decree of November 29, 2013, No. 6 "On the improvement of the judicial system of the Republic of Belarus," the Supreme Court is authorized to provide material and technical support to the activities of courts of general jurisdiction and judicial community bodies. These functions are excluded from the competence of the Ministry of Justice and the main justice departments of the regional (Minsk city) executive committees.</t>
  </si>
  <si>
    <t>Yes. The law of December 13, 1999, No. 340-З "On the state protection of judges, law enforcement and supervisory (supervisory) officials, employees of the state security body" provides for the following measures of state protection: 1) personal protection, protection of housing and property; 2) the issuance of weapons, special personal protective equipment and warning of danger; 3) ensuring the confidentiality of information; 4) temporary placement in a safe place; 5) transfer to another job (service), change of place of work (service) or study; 6) relocation to another place of residence; 7) change of data of the identity document and replacement of documents; 8) change of appearance. Judges are also subject to state social insurance. Information on the allocation of funds for security measures and protection is not public.</t>
  </si>
  <si>
    <t>No. According to the Code on Judicial System and Status of Judges, judges are appointed for a term of 5 years and can be appointed for a new term or termless. In practice, the dependence of judges on executive power is exacerbated by short periods of their tenure (as an example: according to the data of the Belarusian Helsinki Committee, from January 2014 to March 2017, 93% of all appointed judges are appointed for specific terms).</t>
  </si>
  <si>
    <t>Yes. A judge is untouchable during the term of office. According to the Criminal Procedure Code, the decision to initiate criminal proceedings against a judge or to bring him as a suspect or accused in a criminal case is taken by the Prosecutor General of the Republic of Belarus, the Chairman of the Investigative Committee of the Republic of Belarus, the Chairman of the State Security Committee of the Republic of Belarus with the prior consent of the official who appointed a judge (judges of courts of general jurisdiction are appointed by the president)</t>
  </si>
  <si>
    <t>No. The President appoints judges of general jurisdiction and half of the members of the Constitutional Court (the other half is elected by the upper house of parliament). In the structure of the Presidential Administration there is the General Directorate for Relations with the Legislative and Judicial Authorities, Citizenship and Pardons, which, inter alia, brings to the President the questions on the appointment and dismissal of judges, the appropriation of qualification classes for them. To qualify judges, to exercise their disciplinary proceedings, qualification boards of judges are created. In accordance with the law, the composition of the qualification colleges consists of judges of courts of the appropriate level, representatives of state bodies, academic lawyers, other specialists in the field of law. In practice, these colleagues consist mainly of judges, for example, of 10 members of the collegium of the Minsk City Court, 9 are judges, 1 is an associate professor of the university.</t>
  </si>
  <si>
    <t>Not fully. The Constitutional Court has the function of exercising judicial control over the constitutionality of normative acts. In practice, decisions on non-compliance of laws, especially in the field of human rights protection, are rarely taken, there are no cases of decisoins on unconstitutional decree of the president.</t>
  </si>
  <si>
    <t>Rather no. There is no system of administrative courts in Belarus. According to the Constitution, decisions of local Councils, executive and administrative bodies restricting or violating the rights of citizens can be appealed in court. The institute of individual complaints of citizens to the Constitutional Court is absent.</t>
  </si>
  <si>
    <t>Rathe no. The procedure for appealing against actions (omissions) of state bodies to a higher authority was also established. The final decision in accordance with the law is taken by the court. In practice, in many cases, the decision depends on other branches of power, primarily the presidential one.</t>
  </si>
  <si>
    <t>Yes, in accordance with the law. In practice, other branches of government can influence appeals.</t>
  </si>
  <si>
    <t>No, cases are distributed by the chairman of the court, there are no clear criteria and methods for distributing cases among judges (for example, by drawing lots, in alphabetical order, etc.) This creates a basis for abuse in the distribution of cases, especially politically motivated ones.</t>
  </si>
  <si>
    <t>In accordance with the law, the judge can be removed after the distribution of the case to him if he is an inadequate judge, participated in the proceedings, is a relative of the participants in the proceedings, personally directly or indirectly interested in the outcome of the case.</t>
  </si>
  <si>
    <t>Yes. There is a Code of Honor for a judge of the Republic of Belarus. However, often its provisions are of a formal nature.</t>
  </si>
  <si>
    <t>Yes. In accordance with the law the actions of a judge may be appealed to a higher court (or initially to the president of the court). However, such an appeal is carried out by the participants of the judicial process.</t>
  </si>
  <si>
    <t>Not fully. The Resolution of the Plenum of the Supreme Court "On ensuring transparency in the administration of justice and on disseminating information on the activities of the courts" was adopted (12/20/2013 ), aimed at ensuring the publicity of court proceedings. In practice, the provisions of the resolution in terms of ensuring openness and publicity of trials are often ignored by the courts.</t>
  </si>
  <si>
    <t>Not fully. The decisions of the Constitutional Court are published. There is no practice of publishing all decisions of the rest of the courts, including the Supreme Court. Selected decisions of the Supreme Court in the amount of 58 was published in the printed edition of the National Register of Legal Acts of the Republic of Belarus. The website of the Supreme Court publishes reviews of judicial practice.</t>
  </si>
  <si>
    <t>Yes. The immunity of judges is limited to their judicial functions. A judge may be prosecuted for committing a crime. However, the judge can not be detained and otherwise deprived of his personal freedom without the prior consent of the official who appointed the judge (judges of general jurisdiction are appointed by the president), except for committing treason to the state or another serious crime, as well as detention at the place of crime.</t>
  </si>
  <si>
    <t>No. Belarus does not have a framework anti-discrimination law, some anti-discrimination provisions exist in separate laws. In general, the anti-discrimination provisions of the Belarusian legislation are restrictive and not supported by effective implementation mechanisms.</t>
  </si>
  <si>
    <t>Article 22 - all are equal inthe face of the law and have the right to equal protection in the face of the law without any discrimination, art. 32 - women are provided with the provision of equal opportunities with men; Women and men, adults and minors have the right to equal compensation for work.</t>
  </si>
  <si>
    <t>Article 3. - general principles of equality and criminal prosecution without discrimination, art. 190, 199</t>
  </si>
  <si>
    <t>Art. 2 Civil Code - principle of equality of participants in civil legal relations: subjects of civil law have the right without any discrimination to equal protection of rights and legitimate interests. Article 12 of the Civil Procedural Code - all citizens of Belarus are equal in the face of the law and the court irrespective of their origin, social and property status, race and nationality, sex, education, language, attitude to religion, political and other beliefs, kind and nature of occupation, place of residence, time of residence in the given locality and other circumstances.</t>
  </si>
  <si>
    <t>Art. 4.2. - the general principles of equality and bringing to administrative liability without discrimination</t>
  </si>
  <si>
    <t>Art. 14 - prohibition of discrimination in the sphere of labor relations</t>
  </si>
  <si>
    <t>The Advertising Law recognizes unethical advertising containing textual, visual and / or sound information that violates the generally accepted norms of morality and morals, including offensive words, comparisons, images regarding race, nationality, appearance, age group, gender, language, profession, social category, religious, political and other convictions of citizens.</t>
  </si>
  <si>
    <t>Rathe no. Article 2 of the Education Code, among the main directions of the state policy in the sphere of education, calls for ensuring the accessibility of education, including for persons with disabilities in accordance with their state of health and educational opportunities, at all levels of basic and additional education</t>
  </si>
  <si>
    <t>The Constitution - open, the Civil Procedure Code - open, the Criminal Code - open, closed, the Code of Administrative Offenses - open, the Education Code - closed, the Labor Code - open, the Law on Advertising - closed.</t>
  </si>
  <si>
    <t>Some of these acts contain a narrower one, others - a broader list. The problem is that many of them are only declarative, there are no real protection mechanisms. Discriminatory norms are often imposed by decrees and presidential decrees.</t>
  </si>
  <si>
    <t>There is no broad definition of discrimination in the legislation. The definition of "discrimination" exists only in the sphere of labor relations</t>
  </si>
  <si>
    <t>Partly yes. Criminal Codes' Art. 190 (violation of the equality of citizens), art. 199 (unreasonable refusal to hire or dismiss a woman on the grounds of her pregnancy), art. 128 (torture). At the same time, there are no clear definitions of discrimination.</t>
  </si>
  <si>
    <t>Rather no. However, there are measures of a positive nature that lie in the problem of multiple discrimination, for example, with regard to children with disabilities.</t>
  </si>
  <si>
    <t>The legislation contains norms on the prohibition of discrimination, but the lack of effective protection mechanisms does not allow to fully acknowledge the existence in the legislature of the norms for providing protection.</t>
  </si>
  <si>
    <t>Yes. The Law "On employment of the population of the Republic of Belarus"</t>
  </si>
  <si>
    <t>Yes, the Code of Education, but limited, singling out only people with peculiarities of psychophysical development.</t>
  </si>
  <si>
    <t>Yes, the Law on the Social Protection of Persons with Disabilities in the Republic of Belarus, but it is a question of prohibiting discrimination on the basis of disability.</t>
  </si>
  <si>
    <t>Partly yes. Positive measures, first of all, are contained in the labor law, for example, restrictions on the admission to work of women and disabled people (there are both positive and negative sides in practice), there are also measures to stimulate the employment of vulnerable groups. The Parliament in the first reading considered a package of documents regarding the deprivation of legal capacity. An interdepartmental plan was adopted to implement the recommendations adopted by Belarus on the outcome of the second cycle of the UPR in the UN HRC and recommendations addressed to Belarus by the human rights treaty bodies, which for 2017-2019 stipulates the analysis of legislative acts on the inadmissibility of discrimination on any grounds, as well as determining the feasibility of preparing a comprehensive legislative act to prohibit such discrimination. The National Action Plan on Gender Equality for 2017-2020 has been approved.</t>
  </si>
  <si>
    <t>No. However, quasi-anti-discrimination bodies have been created, for example, the National Council for Gender Policy under the Council of Ministers, one of whose tasks is the coordination of state bodies and policies in the field of gender equality. It consists of representatives of the state bodies and CSOs. There are also councils on children and people with disabilities.</t>
  </si>
  <si>
    <t>Yes. There are two cases of discrimination against women (payment of pensions). The most common category is cases of discrimination against people with disabilities: 2-3 cases every month (according to the Office of the Human Rights of Persons with Disabilities). The complexity of specifying the exact number of cases dealt with is due to the unpublished court's cases and the lack of statistics. A full-fledged judicial practice on anti-discrimination cases has not been formed. References to discrimination in judicial decisions are extremely rare, judges show low interest and lack of special training, dealing with this category of cases.</t>
  </si>
  <si>
    <t>From 24 ministries - 2 have women in ministeria positions, so 8.33%</t>
  </si>
  <si>
    <t>Yes. The supreme body of financial and economic control is the State Control Committee. According to the legislation, the control bodies are also the Ministry of Finance, the Ministry of Taxes and Duties, the Ministry of Economy, the National Bank, the Prosecutor's Office.</t>
  </si>
  <si>
    <t>No. Appointment and dismissal of the Chairman of the SCC shall be carried out by the President.</t>
  </si>
  <si>
    <t>No. The number of employees of the SCC bodies is approved by the president. He appoints and dismisses the Chairman of the SCC, his deputies and heads of departments, agrees appointment to posts and dismissal of the chairmen of the regional committees. The Chairman of the SCC ensures the staffing of the SCC and its territorial bodies by employees.</t>
  </si>
  <si>
    <t>Yes. SCC is financed from the republican budget. Accordingly, each year, the cost of its maintenance are provided.</t>
  </si>
  <si>
    <t>Yes and no. There are several regulations that regulate the technical aspects of conducting inspections. For example, Presidential Decree No. 510 "On the improvement of control (supervisory) activities," which also declared the basic principles of control activities, among which the principle of presumption of good faith and innocence of the audited entity. There are Methodological recommendations on the procedure for the bodies of the State Control Committee to control effectiveness (but they have a non-public nature).</t>
  </si>
  <si>
    <t>Yes and no. SCC publishes its annual reports on the website. However, these reports, as a rule, contain information on the results of work, mainly statistical data, i.e. very limited information</t>
  </si>
  <si>
    <t>SCC does not submit a report to the parliament. In accordance with the law, he informs the President about his activities.</t>
  </si>
  <si>
    <t>Yes. For example, the SCC report for 2016 states that "The Government, the National Bank, local executive and regulatory bodies were sent 1,842 letters containing proposals on eliminating identified violations and shortcomings, improving the efficiency of work." The adopted regulatory legal acts implemented 54 proposals of the Committee for Improvement Legislation "(http://www.kgk.gov.by/en/control-deyatelnost-ru/). With the use of information from the SCC, financial sanctions are applied by controlling and law enforcement agencies.</t>
  </si>
  <si>
    <t>No. However, there is the Resolution of the Council of Ministers approved the Strategy for Reforming the Public Financial Management System of the Republic of Belarus</t>
  </si>
  <si>
    <t>The control system is used in ministries and departments. In the structure of the Ministry of Finance, the Main Control and Revision Office of the Ministry of Finance has been established, including by regions, which also monitors the state of departmental control over the financial and economic activities of organizations. Departmental financial control is regulated by the Decree of the President of the Republic of Belarus of June 22, 2010 No. 352 "On departmental control in the Republic of Belarus". It is carried out by the audit and control departments (departments) of ministries and departments in relation to enterprises, organizations and institutions accountable to them.</t>
  </si>
  <si>
    <t>Yes. The main act regulating public procurement is the Law of the Republic of Belarus No. 419-З of 13.07.2012 on "Public Procurement in the Republic of Belarus". It establishes the types and criteria for determining public procurement procedures. At an estimated cost of the annual purchase demand of 1000 base units (about 11 064 euros) and more, an electronic auction or exchange auction is used for special lists of goods, in other cases an open tender.</t>
  </si>
  <si>
    <t>Yes. The law establishes a list of cases of public procurement with the use of a procurement procedure from a source.</t>
  </si>
  <si>
    <t>Yes. The complaint can be submitted to the commission of the Ministry of Antimonopoly Regulation and Trade. The complaint may be filed against the actions (inaction) and / or decisions of the customer (organizer), the commission and (or) its members, the commodity exchange, the operator of the electronic trading platform, the operator of the official site in case of violation of their rights and legitimate interests. Reviews of the practice of handling complaints are published, for example, herehttp://www.mintorg.gov.by/index.php?option=com_content&amp;task=view&amp;id=2896</t>
  </si>
  <si>
    <t>Yes. The Ministry of Trade maintains a list of suppliers (contractors, executors) temporarily not allowed to participate in public procurement procedures. The list includes suppliers, including employees, who have established guilty actions related to the conduct of the public procurement procedure, including giving bribes, against members of the commission and / or responsible persons of the customer (organizer), which have entered into force of the court verdict.</t>
  </si>
  <si>
    <t>Yes, a website has been created on which regulatory information on public procurement is posted (http://www.icetrade.by/articles/view/10)</t>
  </si>
  <si>
    <t>Yes, citizens can access the results of public procurement (http://www.icetrade.by/results)</t>
  </si>
  <si>
    <t>No. Each year a special plan for preparing drafts of laws in the next year is approved by the President and published (see example: http://www.pravo.by/document/?guid=3871&amp;p0=P31500055). Any interested party can send its proposals concerning a draft law to the public agency responsible for its preparation. No mandatory consultations with public are stipulated for legislative acts which are adopted by the Council of Ministers. Any ministry can initiate such discussions and consultations.</t>
  </si>
  <si>
    <t>Yes. The Law "On Civil Service in the Republic of Belarus" N 204-З (14 June 2003). Latest amendments were made on 15 July 2015 and on 9 January 2017.</t>
  </si>
  <si>
    <t>No. There are elements of the code of conduct within the civil service law. Besides, there are certain informal rules which are followed by civil servants. Some institutions have their professional codes of conduct, for example, Code of honor of judge, Code of honor of procuracy officers and some others</t>
  </si>
  <si>
    <t xml:space="preserve">Yes. According to the Article 21 of the Law On fight against corruption (adopted on 15 July 2015 http://www.pravo.by/upload/docs/op/H11500305_1437598800.pdf) </t>
  </si>
  <si>
    <t>No, but officially the recorded reasons for dismissal will be non-political reasons.</t>
  </si>
  <si>
    <t>No, level of salary of civil servants is slightly lower than average salary</t>
  </si>
  <si>
    <t>According to Article 17 of the Law on civil service, public institutions create personnel reserves. Civil servants included in these reserves have priority in filling vacant positions. In fact, it means that practically all civil servant are listed in the personnel reserves</t>
  </si>
  <si>
    <t>According to the Law on civil service (article 28), the competition is optional. In practice, objective competition almost never takes place</t>
  </si>
  <si>
    <t>No. The promotion is intransparent</t>
  </si>
  <si>
    <t>No, promotion is not transparent. In the Law on civil service it is only mentioned that education is one of reasons for promotion</t>
  </si>
  <si>
    <t>no. Lust index said "yes", but I didn't find any proofs</t>
  </si>
  <si>
    <t>No. Article 57 of the Law on civil service lists possible disciplinary actions and states that the choice of the appropriate action is up to head of the body conserned</t>
  </si>
  <si>
    <t>Yes. The Information and Analytical Center under the Presidential Administration of the Republic of Belarus organises yearly monitoring "Opinion of the population on the state of the debureaucratisation work"</t>
  </si>
  <si>
    <t>It is not transparent. The results have no influence in terms of reforms, but we suppose they are considered during the process of decision-making</t>
  </si>
  <si>
    <t>Yes  (National Strategy of SD till 2030 AND National plan of support of Green Economy development till 2020)</t>
  </si>
  <si>
    <t>Partially (for Green Economy - Ministry of Environment is responsible for overall reporting for implementation of the Green Economy plan to the Council of Ministers, however, MoE doesn't sufficient authority for coordination and all implementing bodies do it independently; for SD strategy - coordinated by the Council of Ministers (special WG existed before, but has been disbanded)</t>
  </si>
  <si>
    <t>Yes. Code of Culture was adopted on 24 June 2016</t>
  </si>
  <si>
    <t xml:space="preserve">Reports on the youth in the Republic of Belarus are drafted annually in accordance with the Law of the Republic of Belarus No. 65-Z as of December 7th,
2009 “On Foundations of State Youth Policy” (Article 23). The National Report “On Country sheet on youth policy in Belarus the situation of the youth in the Republic of Belarus in 2015” is prepared by the
Ministry of Education of the Republic of Belarus.
http://pjp-eu.coe.int/documents/1017981/9038134/Country+Sheet+Belarus-2016.pdf/b1bf1b76-b3c9-46e6-8c3d-3fd3b7f7eb58 </t>
  </si>
  <si>
    <t>Resolution of the Minister of Education as of 16.11.2015 #128 "Concept for organisation of youth volunteering movement" https://www.belstu.by/Portals/0/userfiles/15/Koncepciya-organizacii-molodezhnogo-volonterskogo-dvizheniya-v-RB.pdf</t>
  </si>
  <si>
    <t>Yes. Correspondent national legislation still exists, but the vast of the procedures are regulted by supranational (Eurasion Union) legislation</t>
  </si>
  <si>
    <t>Yes. These powers have been delegated to the Eurasian Economic Commission</t>
  </si>
  <si>
    <t>No. Directly and formally not, but the country implements TBT principles and regulations in national legislation</t>
  </si>
  <si>
    <t>60%, Figure reported by the National Committee on Standardization</t>
  </si>
  <si>
    <t>10% Assessment</t>
  </si>
  <si>
    <t>Affiliate</t>
  </si>
  <si>
    <t>Participate in Codex Alimentarius</t>
  </si>
  <si>
    <t>Yes. According to the technical regulation of the Eurasion Union</t>
  </si>
  <si>
    <t>Yes. However, in physical term the volume of supply is miserable</t>
  </si>
  <si>
    <t>4, http://eur-lex.europa.eu/legal-content/EN/TXT/HTML/?uri=CELEX:32016D0601&amp;from=EN</t>
  </si>
  <si>
    <t>Yes. The Law passed in 2015</t>
  </si>
  <si>
    <t>Majority of IRFS have been implented into the national accounting since January 2017, but correspondent changes in the legislation took place earlier. So, for 2015-2016 the situation may be treated as under preparation</t>
  </si>
  <si>
    <t>Onliy electronic signature, not ID card</t>
  </si>
  <si>
    <t>No. There're some restrictions in the sphere of regulation of foreign currency circulation. So, the entity may face restrictions on payments in hard currency, but it can hardly be interpretted as a general practice that allows prohibition of payments</t>
  </si>
  <si>
    <t>36 
http://pravo.by/document/?guid=3871&amp;p0=P31000450</t>
  </si>
  <si>
    <t>Yes. The field is regulated by the Customs Code of the Eurasian Union</t>
  </si>
  <si>
    <t>Yes. The answer to the question may vary depending on the basis of what should be interpreted as effective protection of IP. Positive answer to this question is mainly justified by a pretty large amount of cases dealing with IPR protection in Belarusian courts.</t>
  </si>
  <si>
    <t>no. Only negotiations on Visa facilitation agreement are in progress</t>
  </si>
  <si>
    <t>Yes, the Law on Information, Informatisation and protection of information (2009), which does not fully comply with the EU standards. Insignificant amendments were made to the Law on information, informatisation and data protection in May 2016. However, what concerns data protection, only marginal attention is given to this area in the law. Thus the protection of personal data remains largely underdeveloped in the national legislation.</t>
  </si>
  <si>
    <t>Yes. Belarus plans to issue biometric passports by end 2017-2018</t>
  </si>
  <si>
    <t>No. Negotiations on the agreement are in progress</t>
  </si>
  <si>
    <t>There is no one comprehensive legal document regulating migration policy, but a number of laws and state programmes which define different migration policy aspects. Ministry of interior plans to develop the concept of national migration policy in 2017 http://www.belta.by/society/view/mvd-belarusi-planiruet-nachat-razrabotku-kontseptsii-natsionalnoj-migratsionnoj-politiki-v-2017-godu-222430-2016/</t>
  </si>
  <si>
    <t>There was such a document in 2013, since then it seems Belarus did not prepare migration profiles. It was announced end December 2016 that Belarus would implement since 2017 a project with the EU and IOM, under this project the Migration Profile would be created (https://www.interfax.by/news/belarus/1217582). Ministry of Interior monitors migrations and publishes some information on its website (see example http://mvd.gov.by/main.aspx?guid=9871)</t>
  </si>
  <si>
    <t>The infrastructure exists but needs refresh. The EU allocated 7 mln euro for this purpose http://mvd.gov.by/main.aspx?guid=104233</t>
  </si>
  <si>
    <t>An IBM strategy has been drafted with the support of the EU funded intiative and presented to the leadership of the SBC, but it is unknown when the strategy will be adopted (EU Borders and Shifting Internal Security: Technology, Externalization and Accountability, pp. 132-133 https://books.google.by/books?id=etGbCwAAQBAJ&amp;dq=ibm+strategy+belarus&amp;source=gbs_navlinks_s)</t>
  </si>
  <si>
    <t>Non-EU border length is 2367km (1084 with Ukraine and 1283 with Russia). In 2015 the demarcation of the Belarus-Ukraine border started, in May 2016 it was announced in media that 1/3 of work is done. Based on this, the lenghs of demarcated border was 15% as on May 2016</t>
  </si>
  <si>
    <t>Yes, the Law "On Combating Organized Crime" (2007) regulates state action in the sphere of combatting organised crime. 
State programmes on combatting organised crime and corruption (currently the one for the years of 2016-2018), which contain a timeframe, specific objectives, activities, etc., are operational.</t>
  </si>
  <si>
    <t>Yes, the Law "On measures against money laundering, terrorism financing and spread of weapons
of mass destruction financing"</t>
  </si>
  <si>
    <t>Yes, the State Programme to Counteract Trafficking in Human Beings, Illegal Migration and the Related Unlawful Acts for the years 2016-2018 is in effect.</t>
  </si>
  <si>
    <t>Yes. Comprehensive plan on measures aimed at adoption of effective measures to prevent narcotrafficking, drug use, including among children and youth, social rehabilitation of patients with drug dependence for years 2015-2016 (adopted by deputy Prime-minister on 19.03.2015 г. № 33/100-535)</t>
  </si>
  <si>
    <t>Belarusian energy system is vertically regulated (under managenet of the Ministry of Energy and Belenergo), tariff  policy is defined by the government decisions, tariffs are unclear because of subsidies</t>
  </si>
  <si>
    <t>No (in 2016 Belarus applied for Energy Community Observer status)</t>
  </si>
  <si>
    <t>0,5 (currently Belarus is part of the joint system Belarus-Russia-Estonia-Lithuania-Latvia, however, Baltic countries are on the way to synchronize its electrical systems with the Western European and Nordic countries</t>
  </si>
  <si>
    <t>Yes (In fact, the state policy in the field of environmental protection is determined by two strategies: the National Strategy for Sustainable Development to 2030 and the Strategy for the Protection of the Environment until 2025. The second document is more relevant when answering this question, but this strategy has quite low status (approved by the collegium of the Ministry of Environment only, so in fact it's kind of internal strategy of MoE)</t>
  </si>
  <si>
    <t>Partually</t>
  </si>
  <si>
    <t>No (such behaviour is not a common practice for MoE, staff provide such kind of explanations only in some cases only)</t>
  </si>
  <si>
    <t>Yes (special amendment with detailed indicators per sectors and years of implementation is included to the strategy)</t>
  </si>
  <si>
    <t>Partually (only general directions, detailed plans are described in sectoral plans and programs</t>
  </si>
  <si>
    <t>Irrelevant question</t>
  </si>
  <si>
    <t>Irrelevant question (regulated by other legal acts)</t>
  </si>
  <si>
    <t>Partually (regulated by other acts, e.g. National SD strategy and some sectoral strategies and plans)</t>
  </si>
  <si>
    <t>Partually (detailed data - in sectoral plans and programs)</t>
  </si>
  <si>
    <t>Yes (under the SD strategy)</t>
  </si>
  <si>
    <t>Yes  (different areas of AA protection are covered by a number of strategies and programs, e.g. Strategy on reduction of the harmful effects of transport on the atmospheric air, Strategy on Withdrawal of hydrofluorocarbons from circulation till 2020, State program of mitigation measures on CC etc)</t>
  </si>
  <si>
    <t>Yes (Strategy on Water Resources till 2020)</t>
  </si>
  <si>
    <t xml:space="preserve">Under Consideration (strategy till 2035, to be adopted in the nearest future) +Государственная программа сбора (заготовки) и
переработки вторичного сырья на 2009–2015 + Концепция обращения с коммунальными
отходами и вторичными материальными
ресурсами на 2014–2020 годы была утверждена
Приказом Министерства жилищно-
коммунального хозяйства Республики Беларусь 
годы, утвержденная Указом Президента № 327 за
2009 год, была изменена и дополнена в ноябре
2012 года </t>
  </si>
  <si>
    <t>Yes (National Strategy of Development of the System of Nature Protected Areas till 2030, Стратегия по сохранению и устойчивому
использованию биологического разнообразия на
2011–2020 годы), Стратегия по реализации Конвенции о
водно-болотных угодьях</t>
  </si>
  <si>
    <t>Yes (National plan of implementation of commitments under the Stockholm Convention - till 2028)</t>
  </si>
  <si>
    <t>Yes (SEA regulated by the same law as EIA, adopted in 2016, in force since January 2017)</t>
  </si>
  <si>
    <t>Yes (EIA regulated by the law on the State Environmental Expertise, SEA and EIA (updated in 2016), public EIA - by the law on Environmental Protection and Provision on the Public EIA)</t>
  </si>
  <si>
    <t>Ratified (September 2016)</t>
  </si>
  <si>
    <t>Under preparation (in spring 2017 Belarus adopted the National plan on implementation of commitments under the Paris Agreement, which includes, among other points, preparation of the National mitigation plan and National long-term strategy of low-emissions development - all to be prepared in 2017)</t>
  </si>
  <si>
    <t>No (preparation planned for 2018-2020 in frames of the next phase of Clima East)</t>
  </si>
  <si>
    <t>Yes (adaptation strategy in forestry - adopted, other sectoral policies  - under preparation)</t>
  </si>
  <si>
    <t>No (CC is under responsibility of the Department of Atmospheric Air and Ozon Layer of the Ministry of Environment - along with many other conventions, so that CC is not their primary responsibility)</t>
  </si>
  <si>
    <t>There are no sea ports in Belarus</t>
  </si>
  <si>
    <t xml:space="preserve">n/a
There are no sea ports in Belarus
</t>
  </si>
  <si>
    <t>n/a
There are no sea ports in Belarus</t>
  </si>
  <si>
    <t>1
Road police</t>
  </si>
  <si>
    <t>385
Belarusian road police reports only the number of accidents, which causes hurts and injuries to people. Total number of accidents is higher, but not available publicly</t>
  </si>
  <si>
    <t>Yes. The Electoral Code contains provisions providing for the allocation of free and paid airtime to qualified election contestants. The Election Code requires the Georgian Public Broadcaster (GPB) and Adjara TV to also offer equal airtime to non-qualified contestants, but does not specify the amount of time.</t>
  </si>
  <si>
    <t xml:space="preserve">Yes, but NOT ALL the political parties. The pool of political parties that are entitled to public funds is provided in the Law on Political Union of Citizens. In particular, those parties that passed the 3% threshold in the last parliamentary or local municipal elections are entitled to financing from the state budget annually. A more or less similar rule applies as regards campaign financing. In particular, an  electoral subject that gets 5% or more of votes in the parliamentary elections, or 10 % of votes in the first round of the presidential elections, gets lump sum of 1,000,000 Gel from the State Budget for reimbursing campaign costs. In case of local municipality elections, electoral subject gets 500,000 GEL if it gets 3% or more of votes. </t>
  </si>
  <si>
    <t xml:space="preserve">Partially. Under the Electoral Code (Article 51.15) the GNCC is in charge of conducting media monitoring and assessing media compliance with the allocation of free time, maintaining equal conditions for paid time and the balance in news programmes and talk shows. However, according to the ODIHR/OSCE monitoring report of the Parliamentary Elections of 2016, "The GNCC did not react in a timely and effective manner to most violations detected during the campaign. Most violations were related to non-compliance with disclosure rules in the publication of opinion polls. In this regard, the GNCC’s decisions were at times inconsistent."
</t>
  </si>
  <si>
    <t>Partially. The OSCE/ODIHR election observation mission’s preliminary report termed 8 and 30 October (second round) Parliamentary elections “competitive and administered in a manner that respected the rights of candidates and voters,” but it stated the open campaign atmosphere was affected by “allegations of unlawful campaigning and some incidents of violence.” According to the OSCE/ODIHR’s statement on the October 30 second round, between the first and second rounds, election commissions and courts often did not respect the principle of transparency and the right to effective redress, which weakened confidence in the election administration. OSCE/ODIHR also reported several parties alleged there was political pressure and intimidation on candidates and campaign staff throughout the election process and noted numerous allegations of the misuse of administrative resources. According to OSCE/ODIHR, election observers reported that 31 percent of the vote counts they observed were bad or very bad, while unauthorized individuals participated in the vote count in half of the observations.</t>
  </si>
  <si>
    <t>Mostly yes. According to the OSCE/ODIHR report on Parliamentary Elections of 2016, "The legal framework is conducive to
holding democratic elections, but some provisions of the Election Code lack clarity and leave room for
varied interpretations, particularly in the handling of complaints."</t>
  </si>
  <si>
    <t xml:space="preserve">No.  The current rules for Majoritarian election have significant shortfalls. The existing system unfairly distributes mandates and doesn’t guarantee the proportionality between a specific party’s received votes and seats in the Parliament/local self-governing bodies. In particular, the current system ensured that the ruling party that received only 48,67% of votes in the last parliamentary elections (2016), currently holds constitutional majority in the Parliament – that is more than ¾ of the mandates. </t>
  </si>
  <si>
    <t xml:space="preserve">Yes. Voter lists are posted at precincts and CEC website for public scrutiny with a time limit available for making changes. In case of incorrect information, a political party, member of election commission or an observer organisation could apply to the relevant electoral commission. If the request is not granted by the commission, an interested part could apply to the court. According to the OSCE/ODIHR report on Parliamentary Elections of 2016, "There is general trust in the voter registration process and confidence in the accuracy of voter lists." However, according to the national observer organisations, the government did not fulfill the promise to introduce voter lists with biometric data. </t>
  </si>
  <si>
    <t xml:space="preserve">Partially. According to the OSCE/ODIHR report on Presidential Elections of 2013, the residency requirements imposed on presidential candidates "appear disproportionate and at odds with international standards." OSCE/ODIHR recommended that the issue of dual citizenship be reconsidered in line with international standards. In addition, OSCE/ODIHR in its final report on Parliamentary Elections of 2016 stated that residency requirements for candidacy were disproportionate and contrary to international standards and good practice. Also, the possible post-election disqualification for failure to pass a drug test challenged the 1990 OSCE Copenhagen Document. The organization has also criticized the late legislative changes that have been enacted in the pre-election period. According to the Report “The consequences of late legislative changes and the lack of a formal and efficient communication mechanism between the CEC and the Public Registry affected the inclusiveness of the candidate registration process challenging OSCE commitments and international good practice.”  </t>
  </si>
  <si>
    <t xml:space="preserve">Partially. OSCE/ODIHR in its latest election observation report on Georgia criticized legislation on candidates’ registration as disproportionate. According to the report “the restrictions on language and residency are disproportionate and contrary to international standards and good practice. Further, the possible post-election disqualification for failure to pass a drug test challenges . . .1990 OSCE Copenhagen Document”. As for the registration of the parties, the observation team criticized late legislative amendments introduced during the election period, which introduced new requirements to update party data with the Public Register within 10 days after changes took place and to have a notary present at all general meetings. According to the Report “in the case of the Centrists, there are strong indications that the authorities applied the new requirements in a selective and possibly politically motivated manner. A few other parties were unable to register as potential contestants due to the late amendments. The consequences of late legislative changes . . . affected the inclusiveness of the candidate registration process challenging OSCE commitments and international good practice.” </t>
  </si>
  <si>
    <t xml:space="preserve">Yes. Initiative groups could nominate independent candidates for the position of President, MP, Mayor/Gamgebeli or member of a local self-governing body. </t>
  </si>
  <si>
    <t xml:space="preserve">Partially. According to the NDI survey on Parliamentary Elections of 2016, less than half of those surveyed (47%) thought that the 8 October elections were managed well by election administration. In addition, OSCE/ODIHR report on parliamentary Elections of 2016 stated that “in the pre-election period, the CEC enjoyed a high level of confidence amongst stakeholders. However, allegations were made about the election administration, particularly DECs, lacking impartiality when appointing lower-level commission members. . . Some DEC members were also accused of using unofficially agreed lists when appointing PEC members.” National observer organization ISFED in its final observation report referred to the disputed decisions adopted by CEC and criticized the competition organized by CEC for the appointment of DEC members. </t>
  </si>
  <si>
    <t xml:space="preserve">Yes. The ballot designs as well as method of voting are determined by rules and regulations and are not discriminatory. </t>
  </si>
  <si>
    <t xml:space="preserve">Mostly yes. However, there have been allegations that kindergarten and school teachers and civil servants in Tbilisi and regions have been instructed to mark the ballot paper in a different form when casting a vote, in particular, to circle the sequence number of the election subject in a square form and, also, to make a photo of the choice they make. As for the accessibility, according to the OSCE/ODIHR report on the Parliamentary Elections the authorities made a concerted effort to facilitate access for persons with disabilities. The CEC announced that 1,115 polling stations would be barrier-free, including arrangements for special booths for wheelchair users, and equipping all polling stations with magnifying sheets and tactile frames for visually impaired voters. 
</t>
  </si>
  <si>
    <t xml:space="preserve">Generally yes. Detailed regulations of voting, inking of voters, corrected voter lists, presence of observers at the polling stations serve as a deterrent for fraudulent voting. However, OSCE/ODIHR in its Final Report mentions isolated instances (2 %) when voters with traces of invisible ink were allowed to vote. US Department of State Report refers to the reports of other observer organizations, noting that “NDI and other election observers reported numerous procedural problems at PECs--particularly related to the counting and completion of summary protocols--as well as other violations, including duplicate voting, vote buying, voter invitation cards included with cast ballots, and allegations of ballot box stuffing.” </t>
  </si>
  <si>
    <t xml:space="preserve">In place, but largely ineffective. First, the authorities lack strong political will to prevent and to adequately follow up on the cases of vote buying, despite the fact that there are heavy sanctions provided by the Electoral and Criminal Codes. In addition, OSCE/ODIHR in its Final Report of 2016 Parliamentary Elections recommended that “the law should clearly define timeframes for the State Audit Office to verify and address campaign finance violations. Timely access to relevant information and cooperation with other authorities should be clearly regulated to enable the SAO to provide effective oversight”. </t>
  </si>
  <si>
    <t xml:space="preserve">Partially. According to the OSCE/ODIHR Final Report on Parliamentary Elections of 2016, “the Election Code establishes a timely dispute resolution process for appeals of election commission decisions, but limits the voter’s right to appeal, contrary to international commitments and good practice. Election commissions and courts received 187 complaints during the campaign period, and reviewed them transparently in open sessions informing the parties of the hearings. The lack of an expedited deadline for taking administrative action against electoral offenses and insufficient resources for investigations limit the effectiveness of this remedy. Many electoral stakeholders acknowledged the need to continue reform of the judicial system.” The Report was more critical when assessing the adjudication of appeals between the first and second rounds. In particular, according to the Report “the principle of transparency and the right to effective redress were often not respected in the investigation and adjudication of election disputes by election commissions and courts. All this weakened confidence in the election administration.” </t>
  </si>
  <si>
    <t>Partially. According to the OSCE/ODIHR Report on 2016 parliamentary Elections, the 8 October elections “were competitive, well-administered and fundamental freedoms were generally respected. The calm and open campaign atmosphere was, however, impacted by allegations of unlawful campaigning and some incidents of violence. The election administration and the management of voter lists enjoyed confidence. The media is pluralistic, but some monitored broadcasters lacked balance in their campaign coverage. Debates offered a useful platform for contestants to present their views. Voting proceeded in an orderly manner, but counting was assessed more negatively due to procedural problems and increased tensions.”</t>
  </si>
  <si>
    <t>Vote differential - 40.4%; Davit Bakradze (United National Movement) - 21.72%; Giorgi Margvelashvili (Coalition "Georgian Dream") - 62.12%</t>
  </si>
  <si>
    <t>Vote differential - 21.57% ; United National Movement - 27.11%; "Georgian Dream" - 48.68%</t>
  </si>
  <si>
    <t xml:space="preserve">No. However, concerns has been expressed by international human rights organizations (HRW) about the politicized and/or selective justice (AI) in relation to political opponents. </t>
  </si>
  <si>
    <t>Partially. According to the CPT Report on visit to Georgia of 15 December 2015, the material conditions of detention in all the prisons visited (with the exception of Prison No. 7) were generally acceptable. In relation to Prison No. 7, the CPT notes that the conditions of detention in at least some parts of the establishment were such that they could be considered as amounting to inhuman and degrading treatment. This assessment was shared by the Public Defender, who recommended closing down the institution. In its Report, CPT also expressed concern over the extensive use of solitary confinement, that in CPT’s view, could be considered as amounting to inhuman and degrading treatment. In addition, according to CPT restrictions on contacts with the outside world, combined with de facto solitary confinement and a ban on access to media, could also be considered as amounting to inhuman and degrading treatment</t>
  </si>
  <si>
    <t>No. According to the AI Report on Georgia (2016/2017), "amid concerns about torture and other ill-treatment, and other abuses, by law enforcement officers, the government failed to bring forward legislation creating an independent investigation mechanism for human rights violations committed by law enforcement bodies."</t>
  </si>
  <si>
    <t xml:space="preserve">Yes, the Free Legal Aid Service was created in 2007. In 2013, the Service was separated from the Ministry of Corrections that ensured its greater independence from the executive branch. </t>
  </si>
  <si>
    <t xml:space="preserve">Yes, the Government of Georgia requested publication of the report on the visit to Georgia undertaken in December 2014. The Report was published on 15 December, 2015. </t>
  </si>
  <si>
    <t xml:space="preserve">Yes, the Public Defender of Georgia carries out functions of a National Preventive Mechanism according to the OPCAT criteria since 2009. </t>
  </si>
  <si>
    <t xml:space="preserve">On a legislative level, yes. Under the Constitution (Art. 60), “A member of the Government, an official elected, appointed or approved by the Parliament, shall be entitled and in case of request shall be obliged to attend the sittings of the Parliament, its Committee or Commission, to answer questions raised at a sitting and submit an account of an activity. On request such an official shall be heard by the Parliament, Committee or Commission”. Under the Rules of Procedure of the Parliament (article 221/2), "A group of ten MPs, a faction have a right to address with an inquiry a body accountable to Parliament, Government of Georgia, and a Member of Government, who have to answer this inquiry at the plenary sitting of Parliament. The inquiries are answered on the last Friday of each month’s plenary sitting during the Government Hour." However, in practice, there have been cases when ministers rejected the requests of the parliamentary opposition to answer questions at the plenary session. 
</t>
  </si>
  <si>
    <t xml:space="preserve">
Yes, in cases specified by the Rules of Procedure of the Parliament. According to Article 55 of the Rules of Procedure of the Parliament, Temporary Investigative Commission could be created on the basis of the information of unlawful actions of the state organs or officials that threaten the security of the country, its sovereignty, territorial integrity, political, economic or other interests of the country, etc. The Temporary Investigative Commission could apply to the law-enforcement agencies to start investigation, based on the materials in front of it, or apply to the Parliament to start the impeachment procedure against officials who could be impeached under the constitution.  
</t>
  </si>
  <si>
    <t xml:space="preserve">Ministers are appointed and dismissed by the Prime Minister. The Parliament approves the composition of the Government through the vote of confidence after the Parliamentary elections (in the process of formation of a new government) and in cases defined by the Constitution (when the government ceases to exercise its authority). </t>
  </si>
  <si>
    <t xml:space="preserve">Theoretically yes (Art. 81 of the Constitution). However, the procedure, as being excessively complex and lengthy, make it nearly impossible to remove Prime-minister and Government. </t>
  </si>
  <si>
    <t xml:space="preserve">The President could dissolve the Parliament in cases determined by the Constitution (Art.73 (p)).  </t>
  </si>
  <si>
    <t>The Laws passed by the parliament could be vetoed by the President; however, the President is NOT head of the executive branch. The Parliament can override the veto of the President by majority.</t>
  </si>
  <si>
    <t>The legislature is entitled to initiate bills in all policy areas except for the draft of the state budget and the draft law on structure, authority and procedures of activity of the Government. Only the Government is entitled to submit draft budget to the Parliament. In addition, a draft law which results in increase of expenditure of the State Budget of the current year, reduction of an income or taking of the new financial obligations by the State, may be adopted by the Parliament only after the consent of the Government.</t>
  </si>
  <si>
    <t xml:space="preserve">Yes. All the members of the Parliament are elected. Neither the Government, nor the President could appoint the members of Parliament. </t>
  </si>
  <si>
    <t xml:space="preserve">Yes,  procedure doesn't require involvement of any other agency, but  amendments to the Constitution shall be promulgated for one month public discussion. This provision does not legally oblige the Parliament to take into account the results of the public discussion. The President could veto constitutional changes; however, veto could be overriden by a 3/4 majority. </t>
  </si>
  <si>
    <t xml:space="preserve">The legislature does not have veto power.  </t>
  </si>
  <si>
    <t xml:space="preserve">The Parliament does not approve amnesty as it is the sole institution authorised to enact the amnesty laws. </t>
  </si>
  <si>
    <t>Yes. The Parliament elects the members of the Board of Trustees of the Public Broadcaster (Art. 24-26 of the law of Public Proadcasting)</t>
  </si>
  <si>
    <t>No. Chairs of the Parliamentary Committes are elected by the Parliamentary majority. In practice this does not leave any space for the opposition to have its members elected on the position. Currently, all Committee Chairs are members of the ruling party.</t>
  </si>
  <si>
    <t>Yes. According to the Parliament’s Rules of Procedure (Art. 32) composition of  parliamentary committees shall be determined taking into account the proportional representation of factions in Parliament.</t>
  </si>
  <si>
    <t xml:space="preserve">Yes. During political debates the speaking time is allocated equally to the Majority and Minority (45 minutes each); Factions and Speaker of the Parliament (15 minutes each) and each parliamentarian who is not a member of any Faction (5 minutes). Each parliamentarian, irrespective of its affiliation, is entitled to 5 minutes speech during plenary sessions. </t>
  </si>
  <si>
    <t xml:space="preserve">Governing Party (Majority) - 115 Mandates (76.6 % of 150 mandates); Main opposition party (UNM - before split) - 27 Mandates (18% of 150 mandates); differential: 58.6 %   </t>
  </si>
  <si>
    <t xml:space="preserve">For the period 24 November, 2016 - 12 May, 2017 - share of bills submitted by opposition 7.4 %. Number of bills submitted by the opposition -28; Number of bills submitted in total - 377  
For the period October 2012 – November 2016 – share of bills submitted by opposition 32,71%. Number of bills submitted by opposition 371; number of bills submitted in total - 1134
</t>
  </si>
  <si>
    <t>21 MPs out of 150 (14%) changed their group affiliation after the last Parliamentary Elections due to the split of the main opposition party  UNM into two political groups: "Movement for Liberty - European Georgia" and "United National Movement"</t>
  </si>
  <si>
    <t xml:space="preserve">Yes, General Inspection (GI) at MOI. However, the body is not seen effective in investigating the cases of human rights violations allegedly committed by policemen. In 2016, out of 76 complaints about ill-treatment of detained persons by police officers, according to the GI, in 61 cases were not confirmed, 13 cases have been sent to the Prosecutor's Office and 2 cases have been under investigation in the GI. In 2016 Parliamentary Report, the Ombudsman once again underlined ineffectiveness of the body and requested creation of the independent investigative mechanism. </t>
  </si>
  <si>
    <t xml:space="preserve">No. The Army is not usually used in crowd control operations. While there is a General Inspection within the Ministry, it does not specifically focus on abuses affecting civilians. </t>
  </si>
  <si>
    <t xml:space="preserve">No. The Security Service is not used in crowd control operations. While there is a General Inspection within the Security Service, it does not specifically focus on abuses affecting civilians. </t>
  </si>
  <si>
    <t xml:space="preserve">No, there is no internal confidential complaint mechanism; however, the General Inspection at the MOI have general duty to reveal and follow up on the cases of violation of ethics, disciplinary norms and official duties by the Ministry's staff.  </t>
  </si>
  <si>
    <t>Partially, as the work to introduce the mechanism has been in progress in the reporting period. In particular, the MoD has been working towards adopting a set of procedures that will outline how to make and handle complaints about unacceptable behaviour, including bullying, sexual discrimination, sexual harassment, domestic violence and sexual abuse in close cooperation with UN Women. (as of September, 2016). In addition, from 2014, Monitoring Group on Gender Equality is created at the Ministry of Defence to follow up on the cases of gender discrimination.</t>
  </si>
  <si>
    <t>No, there is no internal confidential complaint mechanism</t>
  </si>
  <si>
    <t xml:space="preserve">Yes, the Parliament can create ad hoc Investigative Commissions; however, according to the Rules of Procedure of the Parliament, the decision on the creation of the Investigative Commissions is adopted by the majority; Accordingly, the parliamentary opposition is unable to establish them, unless the majority so decides. From 2013 to 2015 the Parliament considered 14 proposals to establish Temporary Investigative Commissions. Of these, the Parliament established the Commission only in one case to look into the activities of the Georgian National Communications Commission (to investigate the period under the previous authorities). </t>
  </si>
  <si>
    <t xml:space="preserve">Yes. According to the Law on National Security Council, the Speaker of the Parliament and Heads of Defense and Security and Foreign Relations Committees are permanent members of Council. </t>
  </si>
  <si>
    <t>No, except for the number of military forces that is approved by the Parliament of Georgia (art. 2.2 of the Law on National Security Council)</t>
  </si>
  <si>
    <t xml:space="preserve"> The Presidential decision to declare war or state of emergency comes into effect immediately upon its adoption.  However, the President is obliged to submit this decision to the parliament for approval within 48 hours. The decision loses its legal force if the parliament refuses to approve it. </t>
  </si>
  <si>
    <t xml:space="preserve">Ministers of Defence and Interior are appointed by the Prime Minister. At the initial stage of the formation of the government the candidates for Ministers of Defence and Interior (as all ofther candidates for ministerial positions) are selected by the candidate Prime Minister, who proposes a composition of the Government to the Parliament to gain a vote of confidence. Once the Government gets the vote of confidence, the Prime Minister can change up to 5 ministers in the cabinet without consulting the Parliament. Only if the initial composition of the Government is renewed by one third but not less than 5 members of the Government, the President of Georgia shall present a composition of the Government to Parliament for giving a vote of confidence within one week. However, Chief of the General Staff and Generals are appointed by the President with the consent of the Government. </t>
  </si>
  <si>
    <t xml:space="preserve">Yes. Representation of the parliamentary parties in the Parliamentary Committees and investigative or other temporary Commissions is guaranteed by the Rules of Regulation of the Parliament. </t>
  </si>
  <si>
    <t>The Prime-Minister is obliged to annually report to the Parliament on the course of implementation of the governmental programm. Ministers have a duty to report to the parliament on the request of the MPs. The Head or Deputy Head of the State Security Service is obliged to report to the Parliament annually. The report is presented at the public hearing; however, the question and answer session has been closed for the public (in 2017); In addition, the Ministries of Defence and Internal Affairs are obliged to report to the Trust Group created at the Parliament, including to submit information on secret procurement to the Trust Group. The sessions of the Trust Group are closed</t>
  </si>
  <si>
    <t xml:space="preserve">The Ombudsman does not have competence to undertake investigations in a formal meaning of the word; however, he has the right to have unrestricted access to penitentiary institutions and detention centres; to meet with detained/arrested persons; to request and receive information from state institutions. 
</t>
  </si>
  <si>
    <t>Yes, the Ombudsman reports annually to the Parliament on the human rights situation in the country. The Report as a rule includes information on the situation of human rights in the law enforcement institutions. In addition, the Ombudsman is authorised to report to the Parliament with the special report on specific areas of human rights abuses.</t>
  </si>
  <si>
    <t xml:space="preserve">Yes, there is a dedicated unit responsible for public and media relations at the Ministry of Defence - Department of Strategic Communication and Public Relations </t>
  </si>
  <si>
    <t>Yes, there is a dedicated unit responsible for public and media relations at Ministry ofInterior - Department of Public Relations</t>
  </si>
  <si>
    <t>Yes. Section on Media and Public Relations within the Administration of the State Security Service</t>
  </si>
  <si>
    <t xml:space="preserve">Yes, the website of the Ministry is very informative - it contains information on structure, competences and budget of the Ministry </t>
  </si>
  <si>
    <t xml:space="preserve">Yes, the website contains information about the structure and competences of the Ministry; however, information on the budget is not available </t>
  </si>
  <si>
    <t xml:space="preserve">The website contains very general description of the competences and structure of the State Security Service. It does not contain information about the budget. </t>
  </si>
  <si>
    <t xml:space="preserve">General information without specific details is available at MoD website. </t>
  </si>
  <si>
    <t xml:space="preserve">The Ministry was particularly open to the public and media under the leadership of the previous Minister (in the office from May 2015 to August 2016). The public was regularly informed about the objectives of the Ministry and achieved results. </t>
  </si>
  <si>
    <t xml:space="preserve">Partially. The Minister is not easily accessible for the media. Usually, the Ministry is reacting to the information disseminated in the media rather than practively informing the public. </t>
  </si>
  <si>
    <t xml:space="preserve">The Georgian legislation recognizes the right to freedom of public information. The General Administrative Code puts an obligation to on all of the public institutions to issue requested public information. Access is limited to confidential information – including information containing state secrets, business and personal information. However, not all administrative bodies comply with the obligation imposed by the law. </t>
  </si>
  <si>
    <t xml:space="preserve">According to the monitoring carried out by IDFI (national watchdog organization), Ministry of Defence provided requested information in full in 20 cases out of 27 requests; in three cases information was not comprehensive; and in 4 cases the Ministry failed to ensure IDFI's access to official documents (accessibility of requested official documents 78,9%) </t>
  </si>
  <si>
    <t>State Security Service provided requested information in full in 9 cases out of 19 requests; (accessibility of requested official documents 57,21%)</t>
  </si>
  <si>
    <t xml:space="preserve">Yes. 1. The Head of Institute for Development of Freedom of Information (IDFI) has been detained in December, 2014 in relation to unauthorized transportation of the licensed weapon and was charged with the illegal transportation of firearms. He has been detained for two days before he was released on bail. In the course of his detention, police officers made hints about the IDFI’s activities and civil society campaign he was involved in. Later, Kldiashvili was acquitted. 2. Popular anchor and journalist, Inga Grigolia has received threats that the scenes of her intimate life would be released if she did not leave the country. The threats were contained in a video disseminated over the internet. The investigation in the matter did not turn into any results. </t>
  </si>
  <si>
    <t>Ministry of Defence does not have institutionalised framework for consultations with civil society organisations on security policies and reform, but the Minister and/or deputy ministers used to hold regular consultations with civil society organisations and independent experts on socurity policies and reforms.</t>
  </si>
  <si>
    <t>Ministry of Internal Affairs does not have institutionalised framework for consultations with civil society organisations on security policies and reform, but deputy minister regularly participates in the discussions with civil society organisations and independent experts.</t>
  </si>
  <si>
    <t xml:space="preserve">In the reporting period there have been no parliamentary hearings on abuses by security forces or law enforcement forces. However, civil society is usually present at the discussion of the Ombudsman's report that usually contains information on cases of violation of human rights by law enforcers. </t>
  </si>
  <si>
    <t>Yes. NPM members have unrestricted access to places of detention</t>
  </si>
  <si>
    <t>Yes, in the capacity of individual experts (36 experts from civil socity organizations form part of the Special Preventive Group).</t>
  </si>
  <si>
    <t>No (source: Freedom House, Freedom on the Net 2016, Georgia https://freedomhouse.org/report/freedom-net/2016/georgia)</t>
  </si>
  <si>
    <t>During the reporting period, there have been isolated cases of Government blocking access to WordPress and YouTube in one case in an attempt to restrict access to website which was disseminating videos by a pro-Islamic State group and in the second case to prevent dissemination of sex videos allegedly depicting Georgian politicians. Generally, Georgian users can freely visit any website around the world, upload or download any content, establish their own website, and contact other users via forums, social-networking sites, and instant messaging applications. (source: Freedom House, Freedom on the Net 2016, Georgia https://freedomhouse.org/report/freedom-net/2016/georgia)</t>
  </si>
  <si>
    <t xml:space="preserve">Normative acts (decisions of the Parliament, decrees and orders by executive, Constitutional court decisions) are available through the governmentally supported website of the legislative herald (matsne.gov.ge) and most of them are free. Decisions of the Supreme Court and the Appellate Courts are available on their respective websites.  Decisions of the regional and city courts usually are not available in the internet. </t>
  </si>
  <si>
    <t xml:space="preserve">In progress. The project "Children Safe Online" is implemented by the World Vision Georgia in cooperation with the Ministry of Education and Science and Microsoft Georgia. </t>
  </si>
  <si>
    <t>No. The legislative framework regulating appointment of judges has been improved by the legislative changes introduced after the end of the reporting period (in February, 2017) and its effect has still to be measured. However, in the reporting period, serious concerns has been raised by the President, Public Defender and NGOs regarding the judicial appointments by the High Council of Justice (US Department of State Country Reports on Human Rights Practices for 2016). In 2015, the Public Defender in his annual Parliamentary Report mentioned that “the legislation does not provide for accurate and clear criteria, preconditions and procedures for the appointment and promotion of judges, thereby making it impossible to have a transparent process. The existing legislative environment fails to convince society that a person was appointed in an impartial way as he/she really meets the high status of judge or the promotion of a person was done in an impartial way as he/she was the best among the applicants.” The NGO Coalition for Independent and Transparent Judiciary several times called on the HCOJ to immediately stop “unfair, non-transparent and unconstitutional process of judicial appointments.”</t>
  </si>
  <si>
    <t xml:space="preserve">No. Legislation does not define rules and procedure for the advancement of judges. According to the Law on Common Courts, it is the competence of the High Council of Justice to develop advancement criteria. Relevant changes to the Rules of Procedure of HCOJ have been implemented only in 2015; however, the criteria have been criticized as being vague and arbitrary by civil society organizations. According to the Annual Report of the Public Defender, he was extremely concerned with the formal process of the advancement of judges that was not based on the fair and objective evaluation of the candidates’ professional experience. </t>
  </si>
  <si>
    <t>Partially, depending on the case under consideration. Interference in the judicial independence has been one of the concerns of the international stakeholders and national civil society organizations. According to the Amnesty International “concerns over the lack of judicial independence and selective justice were raised, by both local and international observers.” The US Department of State Country Reports on Human Rights Practices for 2016 noted that “Although the constitution and law provide for an independent judiciary and progress on judicial reforms occurred in late December, there remained indications of interference in the judicial system”. According to the same report, while the judiciary generally enforced the right to a fair trial, “NGOs noted this was not the case in some high-profile, politically sensitive cases.” According to the HRW report for 2016, “Several criminal cases against former officials raised questions about selective justice and politically motivated prosecution.”.</t>
  </si>
  <si>
    <t xml:space="preserve">Partially. The HCoJ prepares the part of the draft state budget concerning expenses of the common courts and submits it to the government. The HCoJ has a right to submit to the Parliament its opinion regarding the part of the draft state budget concerning finances of the common courts before the review of the final revised version at the Parliament of Georgia. Reduction of the current costs of the judiciary may occur only with the prior consent of the HCoJ. The Supreme Court and the Constitutional Court prepare their own budget requests and control the expenditure of funds allocated to them. </t>
  </si>
  <si>
    <t xml:space="preserve">The judges of the Supreme Court are appointed for 10 years with a guaranteed tenure. According to the Law on Common Courts, judges of the city/regional and appellate courts could be appointed for an indefinite period (until reaching retirement age); however, before the lifetime appointment, a judge is appointed for a probation period of three years. Only in case, if his/her activities are evaluated positively by the High Council of Justice, the judge is appointed for the life. The probation period has been severely criticized by the Venice Commission.   </t>
  </si>
  <si>
    <t xml:space="preserve">Judges have not only functional, but absolute immunity. In addition, under the constitution, "No one shall have the right to claim a report of any particular case from a judge."  Although Constitutional and legislative framework provides for the safeguards for the judicial independence, there remained indications of interference in the judicial system in the reporting period. </t>
  </si>
  <si>
    <t xml:space="preserve">Partially. The High Council of Justice has the power to appoint and dismiss judges, except of the Judges of the Supreme Court, who are appointed by the Parliament of Georgia. Eight out of 15 members of the Council are elected by the judicial self-governing body – Judicial Conference. However, in the reporting period HCoJ came under the heavy criticism from the civil society groups and the Ombudsman for the judicial selection and appointment processes that, according to NGOs was “unfair, nontransparent, and unconstitutional”. </t>
  </si>
  <si>
    <t xml:space="preserve">Partially. The Constitutional Court of Georgia has the authority to review and determine constitutionality of legislation and declare the norm/provision unconstitutional. According to the legislation, decision of the Constitutional Court takes effect immediately. However, there have been cases when after declaration of the piece of legislation unconstitutional, the Parliament enacted legislation not in full compliance with the Constitutional Court decision (legislative package on electronic surveillance). In addition, in 2016 the Parliament enacted changes and amendments to the legislation aiming at increasing political influence over the Constitutional Court. </t>
  </si>
  <si>
    <t xml:space="preserve">Yes. In case of a relevant lawsuit by an interested party, the common courts have the power to review administrative acts by public institutions and compel them to act where a legal duty to act exists. </t>
  </si>
  <si>
    <t xml:space="preserve">Yes, the judiciary has ultimate jurisdiction over all cases concerning civil rights and liberties. However, before applying to the court, an individual could appeal to relevant administrative bodies or Ombudsman (in case of discrimination). Under the Constitution, everyone has a right to refer his/her case to common courts and seek remedy for violation of his/her civil rights and liberties. </t>
  </si>
  <si>
    <t xml:space="preserve">Yes. Judges generally have adequate subpoena and contempt powers in both criminal and civil cases and judicial judgements are usually enforced; however, in civil cases with some delays.   </t>
  </si>
  <si>
    <t>Yes (Art. 4.2 of the Law on General Courts)</t>
  </si>
  <si>
    <t>Yes, in February 2013, the Congress of Judges adopted a revised version of the Code of Judicial Ethics. Judges receive trainings in judicial ethics before taking office. Judicial Ethics is usually included as one of the subjects in the training programmes for acting judges.</t>
  </si>
  <si>
    <t xml:space="preserve">Partially – while the legislative framework exists, the HCoJ usually doesn’t follow up on the complaints registered by public or lawyers. In his 2015 Parliamentary Report, the Public Defender underlined that in 2013-2015 the Disciplinary Board did not discuss even a single case of disciplinary liability of judges despite the fact that the Public Defender alone referred number of case to HCoJ with a request to initiate disciplinary proceedings. </t>
  </si>
  <si>
    <t xml:space="preserve">Yes. The Supreme, Constitutional and Appellate Courts publish their decisions on their respective websites. City and regional court decisions are not usually posted on their websites. The video and audio recording of the case proceedings are allowed in the courtroom in a manner prescribed by law. </t>
  </si>
  <si>
    <t xml:space="preserve">Judges enjoy personal immunity that is not limited to functional immunity. According to the Constitution and the law on Common Courts, no one has the right to arrest, detain, or bring criminal proceedings against a judge, search his/her apartment, car, workplace, or conduct a personal search without the consent of the Chairperson of the Supreme Court, except when he/she is caught at the scene of crime, in which case the Chairperson of the Supreme Court shall immediately be notified. Unless the Chairperson of the Supreme Court of Georgia gives his/her consent, the arrested or detained judge shall immediately be released. The consent of the Court Chairperson is required for all types of crimes. Despite the absolute immunity, the research shows, that 22 judges have been convicted in the period between 2000 and 2013. </t>
  </si>
  <si>
    <t>Yes, ratified on 13 March, 2014</t>
  </si>
  <si>
    <t>Yes, ratified on 22 December, 2005</t>
  </si>
  <si>
    <t>Yes, Law on the Elimination of All Forms of Dicrimination (entered into force in May, 2014)</t>
  </si>
  <si>
    <t>Only on certain grounds. As a general principle, the Civil Code provides that it regulates property, family and personal relations of a private nature based on the equality of persons. As a special norm, the Civil Code prohibits any discrimination in family relationships between a wife and a husband (Article 1153).</t>
  </si>
  <si>
    <t>Yes. The General Administrative Code of Georgia envisages general principle of equality before the law and prohibits discrimination (Art. 4); The Code of Administrative Offences provides for a general principle of equality of involved persons irrespective of national, ethnic origin or other grounds (Art. 233).</t>
  </si>
  <si>
    <t xml:space="preserve">Yes. Article 2 of the Labour Code prohibits discrimination on multiple grounds and provides a clear definition of what constitutes discrimination in labour and pre-contractual relationships. </t>
  </si>
  <si>
    <t xml:space="preserve">Partially. The Law on Safety of Products and Free Circulation provides a very general principle of non-discrimination in provision of similar type products on the market. </t>
  </si>
  <si>
    <t xml:space="preserve">Yes. The Law on Higher Education obliges state to ensure elimination of discrimination in higher education on any grounds (Art. 3); The Law on General Education enshrines the right of a pupil, parents, teachers and their unions to exercise the rights provided by the Law without discrimination on any ground. The Law of Georgia on Early and Pre-school Upbringing and Education obligates public institutions to ensure accessibility of early and pre-school education for every child irrespective of their physical, emotional, linguistic, or other characteristics.
</t>
  </si>
  <si>
    <t xml:space="preserve">1. Constitution -  closed; 2. Criminal Code - open; 3. Civil Code - open; 4. General Administrative Code - declaratory principle on the prohibition of "discriminatory measures"; Code of Administrative Offences - open; 5. Labour Code - finishes with "political or other opinion" (not "other ground"); 6. Law on Safety of Products and Free Circulation - does not list grounds, but provides declaratory principle of "uniform and non-discriminatory approach"; 7. Law on Higher Education - open; Law on General Education - does not list grounds, but prohibits discrimination in general terms; Law on Early and Pre-School Upbringing and Education - open; </t>
  </si>
  <si>
    <t xml:space="preserve">Yes - Law on Elimination of All Forms of Discrimination </t>
  </si>
  <si>
    <t xml:space="preserve">Yes - labour Code in labour and pre-contractual relationships </t>
  </si>
  <si>
    <t>Yes. Article 2 (2) of the Law on Elimination of All Forms of Discrimination prohibits direct discrimination.</t>
  </si>
  <si>
    <t>Yes. Article 2 (3) of the Law on Elimination of All Forms of Discrimination prohibits indirect discrimination.</t>
  </si>
  <si>
    <t xml:space="preserve">No. The Law on Elimination of All Forms of Discrimination does not define harassment. While the Law on Gender Equality prohibits harassment at workplace and the Labour Code defines discrimination as implying creation of intimidating, hostile, humiliating or insulting environment, still, none of the law stipulates liability for harassmentnt. </t>
  </si>
  <si>
    <t xml:space="preserve">Yes. While the Law on Elimination of All Forms of Discrimination prohibits victimization, still, it is not defined as a separate form of discrimination.  </t>
  </si>
  <si>
    <t xml:space="preserve">Yes. Article 2(5) of the Law on Elimination of All Forms of Discrimination prohibits instigation to discrimination; However, the Law is not very clear as regards instigation to discrimination. </t>
  </si>
  <si>
    <t xml:space="preserve">Yes - Article 2(6) of the Law on Elimination of All forms of Discrimination </t>
  </si>
  <si>
    <t xml:space="preserve">General provision of the Law on the Elimination of All Forms of Discrimination (Art. 3) that prohibits discrimination in all fields; General Provision in the Law on Product Safety and Free Circulation, providing a general principle on non-discriminatory approach in provision of goods - however, with no enforcement mechanism   </t>
  </si>
  <si>
    <t>Yes - Law on Protection of Health - general prohibition of discrimination on any grounds - closed list; Law on Patients' Rights</t>
  </si>
  <si>
    <t>The victim of discrimination has a right to apply to the Public Defender and/or common courts to prevent discrimination and/or get compensation for discrimination (Law on the Elimination of All Forms of Discrimination). The Law on Social Protection of Persons with Disabilities provides for affirmative actions to prevent existing disadvantages for Persons with Disabilities. However, the law is not implemented in practice. The Law on Gender Equality provides for general provisions to prevent disadvantages stemming from gender specificities, however, the law is very general. The Labour Code provides affirmative actions to create favourable conditions for pregnant women and minors.</t>
  </si>
  <si>
    <t>Yes, the Public Defender (Ombudsman) is vested with the power of oversight ensuring equal treatment and elimination of discrimination by the Law on Elimination of All Forms of Discrimination, (Art. 6.). According to the Law, the Public Defender of Georgia shall monitor issues regarding elimination of discrimination and ensuring equality.</t>
  </si>
  <si>
    <t xml:space="preserve">Partially. Gender Equality Council of the Parliament of Georgia; however, its g=functions are limited only to the promotion of gender equality. </t>
  </si>
  <si>
    <t xml:space="preserve">No, only legislative proposal </t>
  </si>
  <si>
    <t xml:space="preserve">While there is no specialized body, the Law on Elimination of All forms of Discrimination vests the power to oversight fulfilment of the law in the Public Defender of Georgia, who enjoys political independence </t>
  </si>
  <si>
    <t xml:space="preserve">While there is no specialized body, the Law on Elimination of All forms of Discrimination vests the power to oversight fulfilment of the law in the Public Defender of Georgia. The Office of the Public Defender, funded from the state budget and by donor organizations, enjoys financial independence  </t>
  </si>
  <si>
    <t>2 female ministers out of 18 Cabinet members - 11 %</t>
  </si>
  <si>
    <t>Yes, State Audit Office is independent from all three branches of the Government. Any act that can impair its independence is prohibited. The Auditor General is nominated by the Chair of the Parliament and elected by the majority of the Parliament for a five year term. S/he may only be removed from office using impeachment procedure.</t>
  </si>
  <si>
    <t>Yes. SAO web page displays all audit reports published since 2010. SAO is regarded as one of the good performers regarding access to public information, among Georgian state institutions.</t>
  </si>
  <si>
    <t>Yes, the Parliament of Georgia hears the Auditor General annually and may request that an audit be conducted of a specific programme/institution and then hear the findings of the audit.  Considering the situation that the parliament is dominated by a single party yelding Constitutional majority, there is little criticism of the government or real discussion of audit findings. In 2015 SAO sent 166 audit reports to parliament and the Parliament conducted committee hearings over 7 reports. In 2016, 86 audit reports were sent to parliament and on 11 of them parliamentary committees had a hearing.</t>
  </si>
  <si>
    <t>Yes, the Law of Georgia on Public Internal Financial Control was adopted by the Parliament of Georgia in 2010 .</t>
  </si>
  <si>
    <t>Yes. The PIFC has been set up and there is an internal audit department inside the Ministry of Finance  that ensures the development of internal control and co-ordination of various internal audit units.  This department is also charged with developing the PIFC strategy and action plans and report on their implementation.</t>
  </si>
  <si>
    <t xml:space="preserve">Yes, according to the |Ministry of Finance, currently  there are 24 units of Internal Audit in Georgia, including 12 ministries , 5 units of internal audit  in autonomous republic of Adzharia, 5 units in autonomous republic of Abkhazia and one in administration of South Ossetia. In the Ministries the internal audit units were set up on the basis of the pre-existing general inspections units, and in the Autonomous republics they were set up from scratch. </t>
  </si>
  <si>
    <t xml:space="preserve">Yes. There is an internal audit department inside the Ministry of Finance  that ensures the development of internal control and co-ordination of various internal audit units. </t>
  </si>
  <si>
    <t xml:space="preserve">Yes, sole source contracting (simplified tender) is limited to specific conditions. The list of these conditions is provided in the Law of Georgia on State Procurement and includes, inter alia, procurement when the supplier is the only source; when there is tight schedule etc. While the list is specified, it is rather broad and allows for a signifiant portion of all procurements to be conducted non-competitively. Additionally, the justification for using simplified procedures are often dubious. In 2015, 34% of all public procurement was conducted using simplified procedures and in 2016 the figure rose to 37%. </t>
  </si>
  <si>
    <t xml:space="preserve">Yes, the rules to review procurement decisions are defined in the Law of Georgia on State Procurement. Competition and State Procurement Agency set up an appeal and dispute resolution board to which any person or company can appeal if they suspect a violation of procurement rules. </t>
  </si>
  <si>
    <t xml:space="preserve">No, companies convicted of bribery are not prohibited from participating in future procurement bids. Competition and State Procurement Agency keeps a blacklist of companies prohibited from bidding for one year. However, the list of acts that lead to the inclusion of the company in the blacklist does not include bribery conviction. </t>
  </si>
  <si>
    <t xml:space="preserve">Yes, Procurement Legislation is accessible on the official website of the Competition and State Procurement Agency www.procurement.gov.ge Additionally, the state legislative herald is electronically available for free at matsne.gov.ge </t>
  </si>
  <si>
    <t xml:space="preserve">Yes, after the introduction of Unified Electronic System of State Procurement, all results of electronic procurement and simplified electronic procurement are accessible on the official website of Competition and State Procurement Agency. However, if the procurement was not done electronically, the results will not be accessible. </t>
  </si>
  <si>
    <t>Yes. The Government Administration acts as the body co-ordinating strategic planning and policy formulation. In addition majority of Ministries have analytic units, which provide them with analysis and recommendations for poilcy making.</t>
  </si>
  <si>
    <t xml:space="preserve">Yes. The Government Administration acts as the body co-ordinating strategic planning and policy formulation. </t>
  </si>
  <si>
    <t xml:space="preserve">Yes. The policy planning unit of the PASPCD has staff of 8 persons and the legal department has 11 persons. However there is no information available to evaluate staff qualifications. </t>
  </si>
  <si>
    <t>Yes. There is no separate body for cross-sectoral policy co-ordination.  The Government Administration handles such matters, unless other governmental body is designated for coordinating a specific policy.</t>
  </si>
  <si>
    <t>Yes. All policy proposals must be heard and approved at the meeting of the Cabinet before adoption. Prior to Cabinet meetings, all documents on the items on agenda are circulated with all ministries and units for consideration and comments. M286</t>
  </si>
  <si>
    <t>No, there is no policy impact assessment requirement for government-wide policies. However, the State Audit Office (SAO) does have the mandate and practice of conducting performance audits, which may be considered as somewhat close to impact assessment. In 2016 SAO conducted 16 such audits.</t>
  </si>
  <si>
    <t>Yes. Most ministries have own analytic departments and the Government Administration has its own Policy Analysis, Strategic Planning and Co-ordination Department (PASPCD). However the quality of the units is difficult to assess.</t>
  </si>
  <si>
    <t>Yes. The SAO is currently conducting performance audits and financial and complience audits of various ministries, programmes, and entities. However the scope of SAOs work is  limited.</t>
  </si>
  <si>
    <t>Yes. Georgian civil service is regulated by the Law on Civil Service (adopted in 2015) and the Law on the Conflict of Interests and Corruption in Civil Service (adopted in 1997).</t>
  </si>
  <si>
    <t xml:space="preserve">Yes. Article 3 of the Civil Service Law differentiates between the state official, state-political official,  professional civil servant,  administrative contracted persons and auxilliary staff with labor contracts. </t>
  </si>
  <si>
    <t>Yes, the Law on Conflict of Insterests and Corruption in Civil Service provides the general code of conduct for all public sector employees.</t>
  </si>
  <si>
    <t>Yes. The Civil Service Law clearly states the non-political nature of the civil service (Article 15). However, the Georgian legislation does not restrict civil servants’ membership in political parties. Exception to this rule are the police, military servicemen, prosecutors, judges and employees of certain organs of the Ministry of Finance (Law of Georgia on Political Unions of Citizens, Art.10), due to the nature of their work, and impartiality that is of even higher order. Party members who are appointed to these positions must relinquish their membership for the duration of their service. All civil servants are precluded from using their work for party activities. The regulation however is minimal and full of possibilities for abuse.</t>
  </si>
  <si>
    <t>Yes, the Civil Service Law clearly distinguishes between the two (Art. 3, definition of terms). However in practice  political neutrality of the civil service is questionable.</t>
  </si>
  <si>
    <t>Yes.Appropriate provisions are in place in both the Civil Service Law and the Law on Conflict of Interests.  Chapters 3, 3.1, and 4 provide the general rules of conduct and guidance on conflicts of interests as well as the requirements for declaring them.</t>
  </si>
  <si>
    <t>No. The Civil Service Policy is published, in the form of the new Civil Service Law adopted in 2015. However there has been no performance report published to date</t>
  </si>
  <si>
    <t>Yes/NO. Data protection legislation is part of the General Administrative Code of Georgia.  Additionally there is a Personal Data Protection Act of 2011 and the Personal Data Protection nIspector's office was established in summer 2013. However in practice there remains little confidence over the actual protection of personal data and freedom from illegal surveillance. On the other hand, personal data protection is cited as the reason behind unreasonably curtailing freedom of information access, including by the Courts.</t>
  </si>
  <si>
    <t xml:space="preserve">No. While the Civil Service Code explicitly states the nonpartisan nature of the service and establishes protection from discrimination and politically motivated dismissal, in practice there is very little respect for the nonpartisanhsip principles from current or any previous government. The judiciary has been instrumental in restoring the rights of the people dismissed with political motivation. </t>
  </si>
  <si>
    <t>Yes. Civil Service Bureau (CSB) is tasked with developing and coordinating civil service policy.</t>
  </si>
  <si>
    <t>No. The CSB does not have effective accountability mechanisms. While it acts as an analytic unit, issues recommendations and delivers trainings, it does not have sufficient authority to compell ministries to go beyond the clear requirements set in the legislation.</t>
  </si>
  <si>
    <t xml:space="preserve">No. Despite the stipulation in the new Civil Service Law, the law on remuneration in the cilvil service has not been adopted. The official salary ranges are not defined by any law, and the actual salaries are negotiated by individual Ministers and the general spending ceiling is negotiated with the Finance Ministry annually. Salaries therefore can vary  from ministry to ministry. Bonuses are a major part of remuneration in Georgian civil service. Georgian legislation does not provide a clear and impartial systematic method of performance assessment with which bonuses are normally associated. Nor is the size of the bonus – absolute or relative to monthly salary - defined anywhere. The trend is to give “salary supplements”, often in the amount of official monthly salary, to all staff at least once a year, and usually, at the end of each quarter. However, bonuses larger than monthly salaries are not infrequent either. Beyond that, there are instances when “bonuses” are paid to certain staff every month. Since the agencies cannot pay salaries over the set amount for a given position, they tend to pay competitively only through these monthly supplements This is of course not official, but rather a verbal agreement made upon hiring. The grounds for such agreement may vary. On one hand, it may be that civil service is attempting to recruit and sustain highly qualified staff but on the other – it could also be favouritism and corruption. </t>
  </si>
  <si>
    <t>No. Objective assessment remains problematic, despite it being required by the legislation. The usual procedure for recruitment is an oral interview usually conducted by the head of the unit hiring. Presence of a CSB representative is usually recommended, but not required. There is no possibility of independent/outside presence at the interview or other recruiting procedures. Given the high degree of politicisation of the civil service and evidence of patronage and nepotism, objectiveness of the hiring process is highly doubted.</t>
  </si>
  <si>
    <t>Yes. Job descriptions are mandatory, however the level of detail is not prescribed nor are there any clear guidelines. Hence, in practice the job descriptions are very general and vague.</t>
  </si>
  <si>
    <t xml:space="preserve">No. The minimum recruitment legislation is the same across the civil service, however, the way individual agencies choose to recruit, the strategies and personnel they employ for this is not currently regulated or streamlined. CSB’s  single recruitment/vacancy announcement portal for the civil service may ease access to the listings of the vacancies, however would certainly not amount to much change in the actual conduct of the applicant assessment. </t>
  </si>
  <si>
    <t xml:space="preserve">YES/NO. Governmental Ordinance #411, indicated above, states that attestation may be the basis for making promotion/demotion decisions. However, the Ordinance only sketches out the process, the practical effectivness of which is very much doubted. </t>
  </si>
  <si>
    <t>Yes/No. The basis for discipl is provided by the Civil Service Law, however given there is no clear overall assessment criteria or a streamlined performance appraisal system, the broad principles identified in the Law are insufficient.</t>
  </si>
  <si>
    <t>No.There is no training system in place, either for recruits or for current employees. The CSB manages the internship program across the civil service, announced twice annually, but there is no standardized training for the interns.</t>
  </si>
  <si>
    <t>No. Senior civil servants tend not to be any exception to the overall trends in civil service appointment and promotion, which despite the officially apolitical and neutral nature of civil service, are highly politicized.</t>
  </si>
  <si>
    <t>Yes. Citizens can lodge complaints with the internal audit body at each state insitution, and the body may use disciplinary sanctions against civil cervants, after an inquiry. However, there is  little expectation of redress.</t>
  </si>
  <si>
    <t>0.5 elements</t>
  </si>
  <si>
    <t xml:space="preserve">0.3 Officially yes, in practice no. the Governmental Commission lead by Prime Minister on SD was establihsed in 2000 and  last time  updated only in  2005   however, since establishment tehre was no meeting of the commission.  They even not canceling the decree </t>
  </si>
  <si>
    <t>0.5. The Environmental Education for Sustainable development, has action plan for 2012-2014. Now there is ongoing development of new action plan. Thewre is speacila center for Emnvironmental Education created under the MOE</t>
  </si>
  <si>
    <t>0.3 No elements</t>
  </si>
  <si>
    <t>0.5. there is some trainings plus the guide book for teachers from 1-to IX classes, as well as for kindergardens</t>
  </si>
  <si>
    <t xml:space="preserve"> 0.5 Partially... From legislation point of view it is independent but in practically it is not. While its dealing with the companies operating within country in reality final decisions are impacted by the Ministry of Energy. Moreover Regulator plays no role in setting tarrifs in multilaterl negotiations or MoUs/contracts on Greenfield projects, e.g. negotiations with Gazprom regarding North-South Gas pipeline and MoUs/contracts on New energy projects (Hydro, Solar, thermal, wind etc.)</t>
  </si>
  <si>
    <t>0.5 Partially only in case of already exsisting generation facilities. In all other cases like for  greenfield projects (Hydro, Wind, Solar, Coal, Gas etc.) or  in case of setting the new agreements with gas suppliers , like in case of North-South gas pipeline with Gazprom, the Ministry of energy is directly involved and unilaterally set prices</t>
  </si>
  <si>
    <t>partially. Regulator disclose market rules on technical issues for consumers and operators while the rules of defining tarrifs are not clear and raises questions in society. Moreover in energy sector there are number of confidential contracts which needs to be addressed</t>
  </si>
  <si>
    <t xml:space="preserve"> 0 No. Despite the fact that Regulator is working on establishing new Market model of energy sector, it is still vertically integrated </t>
  </si>
  <si>
    <t>0 No. There are mainly two private companies covering whole Georgia  in electricity sector - Russian Telasi (Raoes) operating in Tbilisi and Czech owned Energopro in other parts of the Country, except the Kakheti region (State owned company). Both of them own also the Generation facilities.   law does not give any opportunity  to choose suppliers. In Gas sector there are also two companies: Kaztransgas operating in Tbilisi and   Azerbaijan state owned SOCAR - in rest of the country.</t>
  </si>
  <si>
    <t>Partially in case of large scale generation over 100 KW it is regulated with the MOU while below 100 KW Distribution companies are obliged to ensure access to the grid</t>
  </si>
  <si>
    <t>Under preparation - 0.5. Georgia signed energy community treaty in October, 2016 : it has been ratified only in April 2017. The Treaty  has been developed "protocol concerning the accession of Georgia to the treaty establishing energy community"where has been developed concrete timelines for fulfilling certain directives</t>
  </si>
  <si>
    <t xml:space="preserve">N/A.  Georgia has no land  borders with EU therefore,  it is impossible to have direct interconnections with EU in electricity sector. In Gas sector through Georgia runs Southern Gas  Corridor connecting Caspian Basin with EU. Expansion works are recently ongoing  </t>
  </si>
  <si>
    <t xml:space="preserve">No - 0; Georgia still does not have any legislation related to the energy efficiency. Ministry worked on Energy efficiency action plan, however  the document is still not disclosed as well as status does not known </t>
  </si>
  <si>
    <t>Partially - 0.5, around 10 cities and municipalities are signatories of Mayors agreement with the objective to implement energy efficiency measures but the status of the implementation of the plans is not clear.</t>
  </si>
  <si>
    <t>No-0</t>
  </si>
  <si>
    <t>0.5, Georgia Government  adopts a roadmap for environmental protection under the association agreement and all reforms are under AA, however, as country lacks State environmental policy and strategy there is numerous problems especially for integration of environment in other fields</t>
  </si>
  <si>
    <t xml:space="preserve">1, Yes, Roadmap contains the reforms </t>
  </si>
  <si>
    <t xml:space="preserve">0.5 mainly stengthening functions </t>
  </si>
  <si>
    <t>1. yes</t>
  </si>
  <si>
    <t>No O</t>
  </si>
  <si>
    <t>0 NO</t>
  </si>
  <si>
    <t>0.5 partially</t>
  </si>
  <si>
    <t>0.5 annual report done by external consltant</t>
  </si>
  <si>
    <t>0.5 under preparation</t>
  </si>
  <si>
    <t>0.5 (under preparation, hwoever, de to the dispute among state agencies consenus not reached and  not clear when it will be submitted in final version)</t>
  </si>
  <si>
    <t>0.5 framework law adopted. Ongoing work in accordance with AA</t>
  </si>
  <si>
    <t>0.5 Ongoing work in accordance with AA</t>
  </si>
  <si>
    <t>0.75 Environmental Assessment Code (SEA and EIA) submitted to parlimaent and will adopted by september 2017</t>
  </si>
  <si>
    <t>0.75, Same</t>
  </si>
  <si>
    <t>under preparation 0.5</t>
  </si>
  <si>
    <t>0.5</t>
  </si>
  <si>
    <t>0</t>
  </si>
  <si>
    <t>Yes, The Electoral Code (art.64) states that state-owned media should provide free airtime to all election candidates in a fair and non-discriminatory manner.  According to the revised art. 64¹ (Law no.147  as of 15.07.16), the national broadcasters should provide each candidate  free airtime to present the election programme (5 minutes on TV and 10 minutes on Radio) during  the parliamentary, presidential and republican referendum election campaigns. In addition, the state-owned broadcasters had to provide each candidate 1 minute of daily free airtime for election ads. The airtime for paid election ads (no more than 2 minutes daily per candidate) is granted to all election candidates at the same broadcasting hours. In addition, the national media (including the state-owned one) is obliged to organise election debates with all candidates during parliamentary, presidential and republican referendum campaigns, while the local media (including the state-owned) should organise local election and referenda debates.  During the last 2016 presidential elections only the public broadcaster followed its obligation to organize debates and provide free airtime.  Both the international and national observers concluded that the public broadcaster Moldova 1 generally covered the election campaign in a generally balanced manner during the last 2016 presidential elections. (See the OSCE/ODIHR EOM report - http://bit.ly/2rJYs2X and the final media monitoring report issued by 2 national media NGOs - http://bit.ly/2r9uvZC). The problem is that the state-public broadcaster has a relatively low audience in comparison with other  4  private  broadcasters with nationwide coverage, that displayed an explicitly biased coverage of the contestants.</t>
  </si>
  <si>
    <t xml:space="preserve">Yes, partially. Although since 2016 the political parties have started to receive state subventions, these financial resources could not be transferred to presidential candidates due to lack of regulation regarding the use of public funds for election campaigns. There are no direct public subsidies for campaigning, but candidates may receive interest-free loans from the state, which are  cleared later fully or partially by the state depending on the certain number of votes received by the election candidate.  The CEC establishes the maximum amount for a loan. In 2016, it was about 1500 euro, but no candidate requested such loans.  In addition, the election candidates are provided free air time by state-owned TV and radio companies during election campaign (art. 64¹ of the Electoral Code). </t>
  </si>
  <si>
    <t>Yes. The regulatory authority for audiovisual sector - Broadcasting Coordinating Council  is responsible for monitoring the media coverage of elections by public and private broadcasters and impose sanctions if  the legal provisions on impartiality are violated. As underlined the OSCE/ODIHR EOM, "the law does not define fair, balanced, and impartial coverage, leaving it to the discretion of the BCC" (source -http://www.osce.org/odihr/elections/moldova/300016?download=true) . During the last 2016 presidential elections the BCC conducted quantitative and qualitative monitoring of the campaign coverage only during primetime newscasts, due to limited resources. The BCC applied sanctions to 10 out of 14 monitored TV channels for partisan coverage in elections. The state-owned broadcaster was not sanctioned.  The sanctions were applied gradually and discretionary and included the public warning, maximum fine of about 260 euro and prohibition to broadcast ads for 3 days. Considering that the amount of fines is very low and not dissuasive, all 10 sanctioned TV stations committed repeated violations of the law. The media NGOs criticised the BCC for not responding to massive disinformation, defamation and manipulation campaigns promoted by some private broadcasters affiliated to party and business groups. The BCC independence and impartiality was also questioned by the candidates that were targets of the disinformation campaigns.</t>
  </si>
  <si>
    <t xml:space="preserve">Yes, partially. The national and international observers (OSCE/ODIHR, ENEMO and Promo-Lex) concluded that the legal framework largely provides an adequate basis for conducting democratic elections (see the reports at http://www.e-democracy.md/en/elections/presidential/2016/monitoring/). However, the legal framework for presidential elections was approved hastily and contained certain ambiguities and gaps in regulation. The amended legal framework did not address a number of the longstanding issues raised by the OSCE/ODIHR and the Council of Europe in previous monitoring reports. The Central Electoral Commission lacked in some instances a pro-active approach to deal with these shortcomings of the legal framework. According to the OSCE/ODIHR EOM report "CEC issued a number of regulations, but failed to fully address the legal uncertainties and, in particular, to harmonize deadlines for candidate registration, the campaign period, campaign finance reporting, and dispute resolution in the electoral calendar for the second round established by the updated legal framework" (source - http://www.osce.org/odihr/elections/moldova/300016?download=true).  At the same time, in the first preliminary conclusions, OSCE/ODIHR EOM stressed that "Inconsistent signature verification processes, conflicting legal deadlines, and disproportionate sanctions for campaign violations challenged the right to stand for elections on an equal basis, contrary to OSCE commitments and Council of Europe standards". (source - http://www.osce.org/odihr/elections/moldova/278191?download=true). When validating the legality of 2016 presidential elections, the Constitutional Court recognized that a number of violations took place during the election due to both the inactivity of electoral bodies and  law courts in applying the law and the gaps and ambiguities in the legal framework.  The Constitutional Court stated that these violations could not have influenced the final election outcome and addressed the parliament regarding the need to review legislation to eliminate the legislative gaps. (Source -http://bit.ly/2sdo84C)
</t>
  </si>
  <si>
    <t>Yes, partially. The amendments to the Electoral Code regarding the direct presidential elections were approved in an expedited manner, little over 3 months before elections, after the Constitutional Court (CC) decided to reinstate the direct presidential elections. Public debates were held after the first reading and only upon the official request from CSOs. The debate was conducted in the same hasty manner (with no participation of extra-parliamentary parties), that proved to be insufficient since many gaps and inconsistencies remained. The parliamentary Party of Communists termed the CC decision as unconstitutional, accusing CC of being politically "captured" and boycotted presidential elections. (source-http://www.e-democracy.md/parties/docs/pcrm/201609031/).  At the same time, international and domestic observers (OSCE/ODIHR, ENEMO and Promo-Lex) stated in their reports that elections were held in a political context characterized by a deep political, financial and social crisis, and an overall distrust in state institutions and political parties.  In its decision on validation of presidential elections, the Constitutional Court concluded that these phenomena were mainly generated by the deficiencies of electoral legislation that could lead to judicial insecurity. (source - http://bit.ly/2sdo84C).</t>
  </si>
  <si>
    <t xml:space="preserve">Yes/partially. According to the Electoral Code, the electoral districts correspond to the borders of the second-tier territorial-administrative units of the Republic of Moldova, and of the autonomous territorial unit of Gagauzia, Chisinau and Balti municipalities. Nevertheless, the legislation does not provide clear criteria for constituency delimitation and the conditions for its review. The constituencies' size varies according to the number of population.  As the central authorities don't control the Transnistrian region, no consituencies have been establihed for/ in this region since 1992.   There are not also consistent and transparent criteria for openning polling stations abroad. According to the amended art.29/1 of the Electoral Code, the number of out-of-country polling stations and their locations are determined by the government based on 2 criteria: the participation of voters abroad in the last parliamentary elections and the number of voters registered through a voluntary online registration organized by the CEC.  The  online registration did not have an impact, with only 3,570 registered voters in 2016.  The high voter turnout and shortage of ballots faced by out-of country polling stations in the runoff elections made the vote casting  impossible for a large number of voters. This issue brought back into discussion the criteria for opening polling stations abroad.  OSCE/ODIHR EOM recommeded the authorities that "decisions on locations for polling stations abroad should be taken transparently and based on clear and consistent criteria. Such decisions should be taken in broad consultation with relevant stakeholders well in advance of an election". (source-  source - http://www.osce.org/odihr/elections/moldova/300016?download=true) . As for the seat allocation, under the Electoral Code (art.87), the seats in Parliament are allocated according to the method of greatest remainders. The “remainder seats” are allocated on an equal basis to all parties that pass the threshold, resulting in a possible distribution of a greater number of seats to small parties. </t>
  </si>
  <si>
    <t>Yes, partially.  Since 2014, the CEC uses a centralized State Register of Voters (SRV). The data is continuously updated through an automated process of data import from the State Register of Population. The changes in the SRV could be done by APL and the institution hosting the State Register of Population. The voter lists are generated based on SRV and made available in the premises of the polling stations, and on the CEC official web site 20 days before the Election day for the first round as well as between the two rounds, so that the voters could check their accuracy. However, the issue of the quality of data in the SRV and accuracy of voter lists remains actual, mainly due to the inclusion of numerous deceased voters. The process of exclusion of deceased persons from SRV requires the submission of a death certificate which could be difficult to get for persons who died abroad. This issue could pose a serious risk for invalidating the elections in the future,   as there is no  accurate data on the real number of eligible voters present in-country. All international and domestic observers recommended that a more efficient system for timely database updates should be developed.</t>
  </si>
  <si>
    <t>No. By reinstating the presidential elections, the Constitutional Court  (CC) set down the criteria to stand as presidential candidate. OSCE/ODIHR EOM considered that the requirement to reside at least 10 years in Moldova is a restrictive one and not in line with OSCE commitments and international obligations and standards for democratic elections as well as international good practice. (source-http://www.osce.org/odihr/elections/moldova/300016?download=true). The change in age limit to stand as a candidate was done without a sound legal  basis  and left room for political speculations. According to the amended Electoral Code, political parties, electoral blocs and citizens of RM have the right to nominate a candidate for President (art. 41), but only registered initiative groups of a candidate could collect signatures. The mayors are obliged to certify the signatures. This provision left  room for political parties to use their structures in collecting signatures and to misuse  the administrative resources, and disadvantaged independent candidates. Only 3 out of 14 independent candidates succeeded in collecting the required number of signatures to be registered.   According to ENEMO EOM this situation "creates unequal playfield, which is in contradiction with art. 7.6 of the Copenhagen Document" (source-http://enemo.eu/uploads/file-manager/EOMMoldova/MD_2016_FINALREPORT.pdf).  Another problem concerns the restriction on voters to sign only for one candidate, and the signatures submitted first were considered valid if the voters supported multiple candidates. The OSCE/ODIHR EOM concluded that this provision does not respect the OSCE commitments and international good practice and is contrary to previous OSCE/ODIHR and Venice Commission recommendations.</t>
  </si>
  <si>
    <t xml:space="preserve">Yes. All candidates are registered in an inclusive process, if they fulfill the requirements of registration. Promo-lex EOM concluded that  the registration of candidates
took place, in general, as prescribed by law. The CEC  registered 12 election candidates out of 16 nominated candidates that submitted signatures sheets. 4 candidates were not registered due to insufficient number of required valid signatures after the verification procedure. </t>
  </si>
  <si>
    <t>Yes. If the independent candidates meet all legal requirements, they are registered with no restriction. The citizens could run as independents in parliamentary, local and presidential elections  if they collect a certain number of voters support signatures.  For the 2014 parliamenary elections, CEC registered 4 independent candidates and for the 2016 presidential elections  - 3.  The main problem with the registration of independents, especially for the presidential elections,  concerns the unequal application of registration requirements  for parties and independents.</t>
  </si>
  <si>
    <t>Yes. According to OSCE/ODIHR EOM “overall, interlocutors largely affirmed their confidence in the impartiality of the CEC and its work, as well as in the work of the lower-level election administration”. The last barometer of public opinion released in April 2017 showed that 30% of citizens feel confidence in the CEC, comparable with the degree of trust in Constitutional Court. However, the inconsistent manner the CEC acted while handling complains raised among the election candidates certain doubts regarding the CEC impartiality.</t>
  </si>
  <si>
    <t xml:space="preserve">Yes. The design and text of the ballot is approved by the Central Electoral Commission. Election contestants are listed on a ballot in the order determined by results of the lot daily drawn by the competent election administration body. (art. 48 of Election Code) 
</t>
  </si>
  <si>
    <t>Yes, partially. According to the 2016 OSCE/ODIHR EOM report, 65% of the observed polling stations (PS) were not fully accessible to elderly and disabled voters, while in 27% of PS  observed, the layout was unsuitable for such voters.  Promo-LEX EOM confirmed this situation, although they reported smaller number of inaccessible and not well equipped polling stations (36% PS not accessible for voters  with disabilities and 33% PS not equipped for people with visual impairments) .</t>
  </si>
  <si>
    <t xml:space="preserve">Yes,partially. The Electoral Code (art.38) prohibits the election candidates from using public means and goods (administrative resources) in election campaigns, to offer voters money or gifts, and to distribute goods free of charge, including humanitarian aid or other charity. The Criminal Code imposes a criminal liability for vote buying (art. 181/1) and since 2015 for misuse of administrative resources in election campaign (art. 181/2) (source - http://lex.justice.md/md/331268/). However, the Criminal Code do not criminalize vote buying in the presidential elections, as it is already provided for parliamentary and local elections and referenda.  Although the sanctions for both types of violations were tightened in 2016, the existing loophole was exploited by  political parties during the last presidential elections. Thus, the OSCE/ODIHR EOM  conslusion that "(the election  process) was marred by widespread abuse of administrative resources" (source - http://www.osce.org/odihr/elections/moldova/300016?download=true) was supported by the domestic  Promo-Lex EOM  that found " a series of cases in which administrative resources were used and electoral gifts were given by election candidates" (source- https://promolex.md/wp-content/uploads/2017/01/raport-electoral-final-2016_EN_.pdf), although in a slight decrease as compared to the 2015 local elections. </t>
  </si>
  <si>
    <t xml:space="preserve">Yes/partially. According to the Electoral Code (art.38), the election candidates are prohibited from using public means and goods (administrative resources) in election campaigns, to offer voters money or gifts, and to distribute goods free of charge, including humanitarian aid or other charity. However, the Code does not have a clear penalty provision for vote buying. At the same time, the offering of electoral gifts by all election contestants is a common phenomenon in elections and no election contestant has been penalised for this so far. During the 5 June 2011 local elections, national observers reported a high number of  cases of electoral gifts distribution to voters by candidates.  CEC subsequently asked the Ministry of Interior (MoI) to investigate the matter. No candidate was sanctioned.  In May 2013 an amendment to the Penal Code provision on corruption of voters (art. 181¹) entered into force. The amendment specifies the goods that do/do not fall under the category of electoral gift, and tightens sanctions for vote buying (1 to 5 years of imprisonment or a fine in amount of 200 to 500 conventional units, and ban on holding certain positions or to practise certain activities for a term up to 3 years). (source: http://lex.justice.md/md/347655/). However, the sanctions could be applied only if the gifts are offered during election campaigns, and political parties have been already taking advantage of this loophole. In 2014 there have been already cases observed when some political parties distributed food packages or other goods to the population.  </t>
  </si>
  <si>
    <t>Yes, partially. The international observers found that "there were numerous cases of abuse of administrative resources by parties holding elected office, including pressure on state employees and other voters during the collection of candidate support signatures and campaign activities." (source -  http://www.osce.org/odihr/elections/moldova/300016?download=true). Domestic EOM reported one case of possible massive intimidation of voters by the local paublic administration (LPA) of the town Orhei, lead by the Chair of a party  whose presidential candidate made a public call to boycott presidential elections, after she was excluded from electoral race  by a court decision for not declaring all her expenditures. Immediately after  the first round of elections all voters employed in the LPA institutions of Orhei town  were asked to submit their original ID and inserts (where the stamp "votes" is applied).  Promo-lex also noted in the runoff elections an  significant increase in cases when ballot
papers were photographed as compared to the first round of elections and  previous elections (source-https://promolex.md/wp-content/uploads/2017/01/raport-electoral-final-2016_EN_.pdf)</t>
  </si>
  <si>
    <t xml:space="preserve">Yes. The Electoral  Code (art.63)  provides for observation by authorized observers of the political parties and for non-partisan observation of both international and domestic
organizations, as well as foreign countries. The accreditation process is quite simple for domestic observers. As for the procedure for accreditation of international observers, in is  final report, ENEMO noted that "it is complicated and not completely
transparent, as other bodies (Ministry of Foreign Affairs, Ministry of Internal Affairs, Security Service and Ministry of Justice), besides the CEC are involved in it"  (source - http://enemo.eu/uploads/file-manager/EOMMoldova/MD_2016_FINALREPORT.pdf). For the 2016 presidential elections,  CEC accredited 3,285 citizen observers from 20 civil society organizations and institutions and 636 international observers
from 52 entities. CEC refused the accreditation of at least one international observer from the European Parliament (Siegfried Mureșan from PPE group) based on the fact that he previously openly expressed support of one presidential candidate. Promo-LEX, one of the most active domestic CSOs in the election-related field, conducted longterm and short-term observation, parallel vote tabulation, and out-of-country observation. Both the international observers and domestic observers operated freely without any obstruction, with  few exeptions reported by  Promo-Lex, when its observers where subjects of physical aggression. (source-https://promolex.md/wp-content/uploads/2017/01/raport-electoral-final-2016_EN_.pdf). </t>
  </si>
  <si>
    <t>Yes. Under the Electoral Code (art. 55), the observers and authorised representatives of election candidates (parties, blocs, independent candidates), citizen domestic and international observers,  and media are allowed to observe the counting process.  The political parties that do not participate in elections  are not allowed to accredit observers.  According to both international and domestic EoMs, during the last 2016 presidential elections,  in most of cases, the candidate and citizen observers were able to follow all stages of voting, counting, and tabulation without restriction.</t>
  </si>
  <si>
    <t xml:space="preserve">Yes, partially. All international (OSCE/ODIHR, ENEMO) and domestic (Promo-Lex) EOMs stressed the lack of a clear election-dispute resolution system due to numerous gaps and inconsistencies in the electoral legislation. This led to an insufficient understanding of the complaint resolution mechanism by the election administration, law courts and law enforcement bodies which acted in an inconsistent and belated manner. In particular, OSCE/ODIHR EOM stated that "while the pre-election
complaints and appeals were overall handled by the CEC and courts in an open and transparent manner, an unclear legal framework and inconsistent interpretation of the law by the CEC at times
left stakeholders without effective remedy". One of 6 Addresses issued by the Constitutional Court to the Parliament while validating the elections referred to the need to clarify the law on examination of complaints on the organisation and conduct of elections (source - http://bit.ly/2rOS1f3).  </t>
  </si>
  <si>
    <t>Yes, partially. In 2016 presidential elections OSCE/ODIHR EOM concluded that although the campaign was competitive and fundamental freedoms were respected, the process was marred by widespread abuse of administrative resources, lack of campaign finance transparency, and unbalanced media coverage. This conclusion was shared by both ENEMO EOM and Promo-LEX EOM that stressed in their reports the same problematic aspects of the presidential campaign. The main findings of Promo-Lex EOM were that election was competitive, partially free and satisfactorily organized.</t>
  </si>
  <si>
    <t>The difference between the main 2 presidential candidates was  4.22%: Igor Doron, leader of the parliamentary Party of Socialists of Moldova (in opposition) received- 52.11%, while his opponent, Maia Sandu, leader of an extra-parliamentary newly emerged Action and Solidarity Party - 47,89%.</t>
  </si>
  <si>
    <t>The difference is -0.35%.  The Liberal Democratic Party that was before the 2014 parliamentary elections  the biggest party of the then governing coalition received 20.16% of votes, while the main opposition party - Party of Socialists of Moldova-20,51% of votes. The other parliamentary parties had the following results: the Democratic Party (second member of the governing coalition) - 15.80%, the Party of Communists - 17.48% and the Liberal Party - 9.67%. It is worth to mention, that due to  turncoat phenomenon, the distribution of parliamentary seats has significanly changed since 2014. The current parliamentry majority is held by the Democratic party with 41 seats as compared to 19  back in 2014.</t>
  </si>
  <si>
    <t xml:space="preserve"> According to some statements of members of the Parliamentary Assembly of the Council of Europe, group of Petrenco (Grigore Petrenco, Alexander Roșco, Pavel Grigorciuc,  Mihail  Amerberg, Oleg Buznea, Vladimir Jurat), arrested in september 2015 and detained until mid of 2016, were politically motivated http://www.interfax.com/newsinf.asp?pg=6&amp;id=655217. According to US HR report for 2015 https://www.state.gov/documents/organization/253089.pdf and 2016 https://www.state.gov/documents/organization/265662.pdf, arest of Petrenco group is considered politically motivated . http://amnesty.md/ro/media/lansarea-raportului-anual-20162017-republica-moldova/ </t>
  </si>
  <si>
    <t xml:space="preserve">Yes. In principle the Governement accepts and executes the European judgements. There is a web page of Governamental Agent, where all the judgements are published. http://agent.gov.md/executarea/republica-moldova/ </t>
  </si>
  <si>
    <t>Not at all. Only some penitenciary facilities corespond to existing standards (Goian prison for minors, and Rusca Penitenciary for women has better condition for detention). There are sistemical problems with facilities, especially in Prison no. 13.</t>
  </si>
  <si>
    <t xml:space="preserve">Not at all. There is only a monitoring body -  NMPT . According to the Law 52 from 03.04.2014 NMPT can formulate some recomandations after visiting prisons and other facilities. NMPT doesn't provide its own investigation. http://lex.justice.md/index.php?action=view&amp;view=doc&amp;lang=1&amp;id=352794 </t>
  </si>
  <si>
    <t xml:space="preserve">Partially. According to the law no.133 from 08.07.2011, the  State is obliged  to guarantee the right to privacy. In reality, the case Iordache v. Moldova reveals the absence of safeguards in the relevant domestic law against abusive interception of telephone communications, as a result of which the applicants ran a serious risk of having their telephone tapped. (http://hudoc.echr.coe.int/eng#{"fulltext":["\"CASE OF IORDACHI AND OTHERS v. MOLDOVA\""],"respondent":["MDA"],"documentcollectionid2":["GRANDCHAMBER","CHAMBER"],"itemid":["001-91245"]}). Comitee of Ministers is monitoring the evolution of the execution of this case http://hudoc.exec.coe.int/ENG#{"fulltext":["25198/02"],"EXECState":["MDA"],"EXECIdentifier":["DH-DD(2016)326E"]}. In March 2016, the Republic of Moldova’s Ministry of
Internal Affairs promoted the Draft Law for Amending and Completing Some Legislative Acts, which addresses online behavior by criminalizing certain actions and
providing government authorities with additional surveillance and investigatory powers. These amendments contain provisions that may potentially have a chilling
effect on the freedom of expression and right to privacy. https://promolex.md/wp-content/uploads/2017/02/Moldova-Big-Brother-Amendments_ICNLAnalysis_Draft_15.12.16.pdf </t>
  </si>
  <si>
    <t>Yes. It's in force  since 12 September 1997. It was ratified on 24.07.1997, by the Parlament Decision nr. 1298-XIII.</t>
  </si>
  <si>
    <t xml:space="preserve">Yes. According to the Law Nr. 198-XVI from 26.07.2007, there is a National Council which provides free legal aid for people with limited financial means.  The Council reported that in 2016  almost 49743 people benefited from free legal services, more info see http://www.cnajgs.md/uploads/asset/file/ro/1111/Raportul_de_activitate_al_CNAJGS_2016.pdf </t>
  </si>
  <si>
    <t xml:space="preserve">Yes. According to art. 24 of the Constitution the death penalty is abolished. </t>
  </si>
  <si>
    <t>Yes. It is in force for Republic of Moldova since 1 February 1998. It was ratified on 09.07.1997, by the Parlament Decision nr. 1238-XIII.</t>
  </si>
  <si>
    <t xml:space="preserve">Yes.  CPT visited Moldova in 2015 (14.09.2015 - 24.09.2015) and published its report on Moldova on 30 June 2016 CPT https://rm.coe.int/16806975db . On 16.03.2017 CPT published the response of the Governement on its web site (http://www.coe.int/hy/web/cpt/-/the-cpt-publishes-response-of-the-moldovan-authorities).  </t>
  </si>
  <si>
    <t>Yes. The Optional Protocol was ratified by the Law 66-XI, from 30.03.2006.</t>
  </si>
  <si>
    <t>Yes. According to article 104 (1) of the Constitution the Government presents to the Parliament, including to its standing committees and to MPs the requested information and documents. According to article 104(2) the presence of the members of cabinet is mandatory. Pursuant to article 105 of the Constitution the members of cabinet are obliged to answer to the questions and requests for detailed answers from members of Cabinet. The hearings take place within the standing committees, special committees and plenary sessions of the Parliament. The detailed rules of procedure are described in the Regulations of the Parliament.</t>
  </si>
  <si>
    <t>Yes. The Parliament can start an investigation on the activity of any public authority, with the exception of the judges, prosecutors and criminal investigation bodies, but only with respect to a case that is under pre-trial or trial stage. Any costs associated with the investigation that the standing committees undertake is covered by the Parliament. (article 31 of the Regulations of the Parliament). Additionally, the Parliament may create investigation committees, which can be created to review a particular case, with the involvement of any subject who can provide data about the subject of the investigation (Article 34 of the Regulations of the Parliament).</t>
  </si>
  <si>
    <t>Article 25 of the Law no.619/1995 on state security bodies confers the Parliament oversight functions over state security bodies. Article 20 of the Law on national intelligence service also specifies Parliament oversight over the agency, through the standing committee on national security. The effective oversight over national security bodies is however very much dependant on the Regulations of the Standing Committee. Also, the personnel of the Standing Committee is still rather small to ensure effective overgsight. The specified laws do not cover the activity of the police, therefore their activity is verified by the National Security Standing Committee under general conditions.</t>
  </si>
  <si>
    <t>Yes. Pursuant to art. 98 (1) of the Constitution the President consults the Parliament fractions and appoints the candidate. Based on the Constitutional Court Decision no. 32 from 29.12.2015 the term consultation with the Parliament was interpreted by the Constitutional Court as an obligation and if there is an absolute majority of MPs who support a particular candidate, the obligation of the President is to appoint that candidate. As the Constitutional Court as interpreted the provisions of article 98 of the Constitution, the President is essentially compelled by an absolute majority of the MPs in the Parliament to appoint the candidate prime-minister.</t>
  </si>
  <si>
    <t>Yes. The Parliament approves the members of cabinet, but only when the Government is offered the vote of confidence. The Parliament cannot select certain members of cabinet who are proposed by the candidate Prime-minister, but are offering their vote of confidence for the entire cabinet or reject the canidate Prime-minister, the proposed Government Programme and the cabinet team. During the mandate of the Government the Parliament cannot decide on the appointment of certain ministers after the Prime-minister dismissed certain members. The appointment is made by the President, who can refuse the appointment only once, as recently interpreted by the Constitutional Court in its Decision from 24.01.2017 (not yet published)</t>
  </si>
  <si>
    <t>Yes. The Parliament can innitiate a vote of no confidence pursuant to article 106 (1) of the Constitution, if at least one fourth of its members initiate a motion. The vote of no confidence must be voted by the majority of elected MPs.</t>
  </si>
  <si>
    <t>No. The President holds the right to dissolve the Parliament as provided by article 85 of the Constitution. That is possible if the Parliament did not form the Government within 45 days within at least 2 attempts, if the Parliament did not approve any legislation within 3 months. The President has discretion to use this right and is not obliged by the Constitution to dissolve the Parliament.</t>
  </si>
  <si>
    <t>No. According to article 60(1) of the Constitution the Parliament is the only legislative body. However, the Government may enact legislation through article 106/1 of the Constitution by engaging into a responsibility procedure and if the Parliament does not vote within three days against the approved laws, they enter in force. Also, the President, based on article 93 of the Constitution, may veto once the laws approved by the Parliament and if the same text is approved by the latter, the President is obliged to promulate the law.</t>
  </si>
  <si>
    <t xml:space="preserve">Yes. According to article 72 of the Constitution the Parliament approves laws in all policy areas. The Executive however is one of the authorities which holds right to legislative innitiative and is the major source of bills. Also, if the bill is proposed by the MPs, the executive avis on the bill is mandatory before it is reviewed in the Standing Committees and in the plenary session (article 58 para. 1 of the Regulations of the Parliament). There is a time limit to present the avis of 30 days or less if a different period is indicated by the Chairman of Parliament. Absence of the avis is not a reason not to review the bill. If the amendments are related to the law on budget the avis of the Government is mandatory (article 131 (4) of the Constitution, article 58 (2) of the Regulations of the Parliament). </t>
  </si>
  <si>
    <t>Yes. The Government cannot impound funds allocated to the legislative (article 150 of the Regulations of the Parliament, law no. 797/1996). Any changes in the state budget law must be passed by the Parliament (article 131 of the Constitution).</t>
  </si>
  <si>
    <t xml:space="preserve">Yes. The Parliament controls and manages the funds allocated by the state budget which are at their disposal. The Parliament's budget is a separate budget line in the law on state budget (article 150 of the Regulations of the Parliament - Law no. 797/1996). </t>
  </si>
  <si>
    <t>Yes. All MPs are elected. The Government cannot appoint any members in Parliament.</t>
  </si>
  <si>
    <t>No. The amendment of the Constitution is not possible without the involvement of the Constitutional Court. Article 143 of the Constitution states that the amendments may be approved by the Parliament at least 6 monhts since it was innitiated. The Constitutional Court, according to article 135 of the Constitution issues mandatorily the avis on the draft amendment. Article 142 limits the constitutional amendments and does not allow change of the quality of the state (independent, unitary, sovereign, neutral) unless the majority of citizens have approved it in a referendum. Article 72 of the Constitution requires 2/3 of votes of elected MPs for the Constitutional amendment to be approved. The amendment must be approved within one year from its registration in the Parliament. Otherwise, the bill is considered void and the process must start all over again. Also, based on the Decision of the Constitutional Court nr. 7 from 04.03.2016, if between the first and the second reading the Parliament changes the contents of the bill, a separate mandatory avis must be asked from the Constitutional Court. Otherwise, the constitutional amendment does not comply with the provisions or articles 135, 141 and 143 of the Constitution and have been declared void in the case of constitutional amendments from 2000 on the procedure of election of President.</t>
  </si>
  <si>
    <t>Yes. The amendments to the Constitution innitiated by the citizens (at least 20,000 thoudsand from at least half of the territorial-administrative unit of second level - 36 in total, at least 360 thousand signatures) can be rejected by the Parliament if insufficient votes - 2/3 of elected MPs are not collected. Also, if the amendments are not passed within one year from its entry into the Parliament, the constitutional bill is considered void. (articles 141 and 143 of the Constitution)</t>
  </si>
  <si>
    <t>Yes. Pursuant to article 72 of the Constitution the Parliament approves legislation in the area of amnesty. The most recent law on amnesty is from 2016 - law no. 210 from 29.06.20016 on amnesty on the occasion of 25 years of independence of the Republic of Moldova.</t>
  </si>
  <si>
    <t>Yes. Similar references as above.</t>
  </si>
  <si>
    <t>Yes. The Parliament appoints the members of the Observers Board of the Public television and radio company Teleradio Moldova, through the proposal of the Broadcasting Council, which is also appointed by the Parliament (Broadcasting Code, law no. 260/2006, articles 39-64)</t>
  </si>
  <si>
    <t>No. The law no. 80/2010 on the status of personnel within the offices of public dignity functions holders allows a personal secretary for the Chairman and vice-chairmen of Parliament, chairmen of parliamentary fractions. The MPs may only have a personal assistant. (articles 2 (2), 5 (1/1) of the Law).</t>
  </si>
  <si>
    <t>Yes. However, the position of assistant does not offer high-level policy expertise, unlike the higher positions of councillors.</t>
  </si>
  <si>
    <t>Yes. Currently the electoral system is based on a party list valid for the entire country in one constituency. There is a rather high party threshold of 6%. The votes which are obtained by the parties but do not reach 6% threshold are distributed evenly among the rest of parties who pass the 6% threshold. (article 86, 87 of the Electoral Code). A legislative innitiative to change the Electoral Code, which suggests a mixed electrion system was recently voted by the Parliament in first reading. The second reading is planned in the second half of June, after the opinion of the Venice Commission.</t>
  </si>
  <si>
    <t>Yes. Pursuant to article 17 (2) of the Regulations of the Parliament, proportional representation in the Parliament is taken into account while forming the Standing Committees. The parliamentary groups however are not taken into account, only parliamentary fractions. A legislative amendnment to change the Regulations of the Parliament was registere in the Parliament in April 2017 to offer similar right to parliamentary groups as already available for parliamentary fractions.</t>
  </si>
  <si>
    <t>The speaking time in plenary sittings is allotted on an equitable basis. Each MP has the right to present its view during the plenary sessions and during the sessions of the standing committees. The parliamentary fractions have a slighly higher time allotted to them to present the view of the fraction (7 minutes) compared to 5 minutes for the MPs. Each MP has the right to put 2 questions and ask for one clarification question during the presentation of a draft law. The author of the draft law has at least 7 minutes to present his/her draft law.</t>
  </si>
  <si>
    <t>During 2015-2016 the share of opposition initiativees is 170 to 1051,  or 16%.</t>
  </si>
  <si>
    <t>27 MPs, or 26,7% have changed their political group affiliation.</t>
  </si>
  <si>
    <t>Yes. Yes. The latest was approved for years 2016-2019, by means of Government Decision no. 1011 from 26.08.2016 ( See http://mf.gov.md/files/files/CBTM%202017-2019.pdf).
Remark: Please specify the aggregation level benchmark: the good practices, best practices, IMF FTCE, IBP. Please also consider separating different fiscal indicators, because the availability might differ when considered individualy. Ex: Yes for revenues and expenditures, no for deficit)</t>
  </si>
  <si>
    <t>Yes.  http://mf.gov.md/files/files/CBTM%202017-2019.pdf
 Remark:  Indicators overlap. Please specify the question to be refered to the  relevant budget cycle. Also it would be good to have a benchmark for the ananlysis: the good practices, best practices, IMF FTCE, IBP. Please also consider separating different fiscal indicators, because the availability might differ when considered individualy. In this case, they overlap.</t>
  </si>
  <si>
    <t>Yes. The law on public finances and budgetary-fiscal responsability establishes a clear budgetary  calendar (http://lex.justice.md/md/354213/)
Remark: What is the  benchmark for the ananlysis, and deffinition of availability: the good practices, best practices, IMF FTCE, IBP. 
In case of the availability, also benchmark: IBP, OECD</t>
  </si>
  <si>
    <t>Yes.  The law on public finances and budgetary-fiscal responsability establishes a clear budgetary  calendar (http://lex.justice.md/md/354213/)
Remark: What is the  benchmark for the ananlysis, and deffinition of availability: the good practices, best practices, IMF FTCE, IBP. 
In case of the availability, also benchmark: IBP, OECD</t>
  </si>
  <si>
    <t>Yes.  Please specify the budget cucle and stage, and in this specific question - please specify the Budget (State Budget, Local Budget) . The answer is yes, if we are talking about the execution and monitoring stage.  Also, please consider that healthcare and  education could be finaced via special inter-budgetarry transfers, not refered in this case to the state budget. Remark: What is the  benchmark for the ananlysis, and deffinition of availability: the good practices, best practices, IMF FTCE, IBP. 
In case of the availability, also benchmark: IBP, OECD</t>
  </si>
  <si>
    <t>Yes. The Law regarding use of physical force, special means and firearms nr.218 passed on 19 October 2012. The Law clearly prescribes the principle of proportionality in applying coercive powers, as well as the rules, tactics to be used, restrictions and exceptions. Use of lethal weapons in crowd control is strictly defined and is limited to self-defence and defending people from real threats to their life.</t>
  </si>
  <si>
    <t>Yes.  MIA has a Department of internal security and disciplinary committee dealing with misconduct and abuse of power by MIA personnel.</t>
  </si>
  <si>
    <t xml:space="preserve">There is no law or any other open public document about internal control and enforcement mechanism to deal with abuse of power by security service. </t>
  </si>
  <si>
    <t>Yes.  The Ministry of Interior has an anticorruption phone-line. The Police has an anticorruption phone-line, a confidential complains phone-line, and a confidential complains online service.</t>
  </si>
  <si>
    <t xml:space="preserve">Yes.  The MoD has anticorruption phone-line, confidential complains phone-line, and confidential complains online service. </t>
  </si>
  <si>
    <t>No open/public information available</t>
  </si>
  <si>
    <t>Yes. Regulations of the Parliament allow for the creation of investigation committees and organisation of hearings within the standing committee responsible for public order</t>
  </si>
  <si>
    <t>Yes. Two members of the parliament – Chairman of the Parliament and Chairman of the National Security, Defence and Public Order Commiittee - have been members of the Supreme Security Council during 2015-2016.</t>
  </si>
  <si>
    <t>Yes. According to the Law no.212/2004 on state of emergency, attack and war, the state of emergency, siege, or war is declared by the Parliament  (art. 12).  According to the same provision, the President  declares state of war  as response to a military aggresion  and informs the Parliament immediately.</t>
  </si>
  <si>
    <t>Yes. The Regulations of the Parliament require representation of all political parties in all standing committees, including the ones related to security.</t>
  </si>
  <si>
    <t>yes, with respect to the management institutions (Ministry of Defence, Ministry of Interior, Ministry of Justice, Intelligence and Security Agency) whicih report to the Parliament upon request only. Some reports are public, some reports are not public. No with respect to the National Intelligence Agency on publicity. Reports are presented by all parties to the Parliament Standing Committees. There is a special procedure of review of the reports presented by the National Intelligence Agency.</t>
  </si>
  <si>
    <t>Yes. Article 32 of the Law no. 52/2014 allows allows visiting detention places without a prior notice for all the members of the Prevention Council, including for the ombudsman. The ombudsman can start investigations on elledged cases of violations of human rights by law enforcement agencies.</t>
  </si>
  <si>
    <t>Yes. Pursuant to article 29 of the Law no. 52/2014 the ombudsmand presents yearly reports to the Parliament on the observance of human rights.</t>
  </si>
  <si>
    <t>Partially.  Yes, for general information on competences and budget. No, for information on structure and operational decisions.</t>
  </si>
  <si>
    <t>Partially.  Yes, for general information on competences  . No, for information onoperational decisions.  Incomplete or outdated information on buget and structure.</t>
  </si>
  <si>
    <t>Partially.</t>
  </si>
  <si>
    <t xml:space="preserve">Yes officially. Partially in practice. </t>
  </si>
  <si>
    <t>Yes, only to non-sensible data for the intelligence activity</t>
  </si>
  <si>
    <t>No, if the security and law enforcement bodies are concerned. The investigative journalists reported intimidations from the public officials on sensitive cases, particularly with respect to the banking fraud and conflicts of interests by public officials. See Nations in Transit 2016 report (https://freedomhouse.org/report/nations-transit/2016/moldova)</t>
  </si>
  <si>
    <t>No, irregular consultations.</t>
  </si>
  <si>
    <t>Yes. Regular consultations. Institutionalised formats.</t>
  </si>
  <si>
    <t xml:space="preserve">No. These hearings are considered 'sensisitve' and usually are declared 'closed' at the request of committees or heads of security institutions. </t>
  </si>
  <si>
    <t>Yes. Pursuant to article 32 of the Law no. 52/2014 the Council of Torture Prevention has unrestricted access to places of detention.</t>
  </si>
  <si>
    <t>Yes.  5 out of 7 members of the Council are proposed by the civil society and are seletec by the Ombudsman based on objective criteria (article 31 of the Law no. 52/2014)</t>
  </si>
  <si>
    <t>No. Republic of Moldova decriminalized defamation back in 2009, which makes it one of the earliest countries in the region to adopt this law. However, various groups or individuals continue the practice to file civil defamation cases. There is no data for 2015 and 2016 about the number of defamation cases, mainly due to the fact that courts either refuse to provide this kind of information, either are lacking the personnel staff to monitor this issue and respond to this kind of information requests.
https://freedomhouse.org/report/freedom-press/2016/moldova.</t>
  </si>
  <si>
    <t xml:space="preserve">No. During the last three years were not registered cases of prosecuted, fined or jailed bloggers or online journalists for defamation or liber. </t>
  </si>
  <si>
    <t>No. The Moldovan government did not restrict or disrupt access to the internet or censor online content, and there were no credible reports that the government monitored private online communications without appropriate legal authority.
Nevertheless, in March 2016, a draft law „to combat child pornography and terrorism” was prepared by the Ministry of Internal Affairs. Some of its provisions granted surveillance rights to investigative authorities, including the right to block certain websites and read private emails and text messages. This so-called „big brother law” was considered as an attack on the internet and was denounced by civil society, which asked for amendments to the legislation. 
Different situation is in Transnistrian region. In August 2015, the former Transnistrian leader Yevgeny Shevchuk passed a decree that allowed the Transnistrian official institutions to shut down websites found to be suspicious and promote a number of “forbidden topics,” such as extremism, terrorism, or calls to overthrow the government. 
https://www.state.gov/documents/organization/265662.pdf;
https://freedomhouse.org/report/nations-transit/2017/moldova;</t>
  </si>
  <si>
    <t>Yes/Partially. 
In the case of government and parliament decisions all of them are published on their websites.  
In the case of court cases and judgements also yes. But, in June 2016 the Superior Council of Magistracy approved a new regulation on how to publish the judgments on the joint online platform instante.justice.md. Regarding to the new regulation, which entered in force in January 2017, the possibility of searching/finding decisions by the names of the involved parties has been excluded (the authorities argued this initiative by mentioning the law on Personal Data Protection). In this respect, if the number of the case/decision is not known, it makes impossible to find it (exception is the Supreme Court of Justice decisions which are publishing their judgements on its own website with the names of the involved parties). The decision of depersonalizing the court cases decisions was highly contested by civil society sector and was qualified as a restriction on access to information for journalists. 
https://anticoruptie.md/ro/stiri/inca-o-ingradire-a-accesului-jurnalistilor-la-informatii-dosarele-de-judecata-nu-vor-mai-putea-fi-cautate-dupa-numele-partilor
http://www.jc.md/ministerul-justitiei-ingradeste-accesul-la-informatie/</t>
  </si>
  <si>
    <t xml:space="preserve">No. Even though Republic of Moldova is ranked in the top 10 countries with the highest internet speed, no Safer Internet Programmes on national level has yet been developed/implemented. 
In 2013, non-governmental organisation „La Strada” launched the website Siguronline.md, which has the aim to promote and use the internet safely and responsibly. Siguronline.md also provides relevant information, advice and counseling for the online abuse cases. 
In 2016 a specialized section/department for child protection was set up within the Center for Fight against Cybercrimes (a separate sub-division within General Inspectorate of the Moldovan Police/Ministry of Internal Affairs).
</t>
  </si>
  <si>
    <t xml:space="preserve">Yes. 0.5. Criteria for appointment are to be revised. The interview at the SCM boards and lead by members of the SCM is too formalistic. </t>
  </si>
  <si>
    <t>Yes. 0.5 Although SCM adopted formal criteria, it is not applied equally and with no exemption. More other, there are no criteria for promotion of judges at the Supreme Court of Justice. The promotion at SCJ is done based on the general criteria. This is one non-implemented actions for the implementation of the Justice Sector Reform Strategy since 2014.</t>
  </si>
  <si>
    <t xml:space="preserve">yes. 0.5. It was noticed several times when such rules were not followed by the Superior Council of Magistracy. The SCM at least 2 decisions were annulled by the Supreme Court of Justice for not following the formal procedure for dismissal of a judge. </t>
  </si>
  <si>
    <t xml:space="preserve">Yes. 0.5. It was noticed a tendency of a selective justice while having high level corruption cases examined behind closed doors, with no real motivation of the decision (decisions delivered on material law or with regard to the preventive measures (e.g. arrests). Only isolated cases were identified before. </t>
  </si>
  <si>
    <t>Yes. 1. The Government and Parliament assumed its responsibility to build or reconstruct new court buildings (15 in total). This action is provided in the Justice Sector Reform Strategy (2011-2016). If implemented, Moldova will have the newest court infrastructure in the Europe.</t>
  </si>
  <si>
    <t>Yes. 1. However more actions (as preventive measures) are to be taken by the Superior Council of Magistracy for the general public and on specific cases (e.g. prosecutors, lawyers).</t>
  </si>
  <si>
    <t>Yes. 1. In une 2013, Venice Commission isued the opinion no. 698/2012 of 11 March 2013 on judge's immunity in Moldova. In September 2013, Constitutional Court decided in judge's immunity and recommended law amendments to be adopted. 
In 2015, Minsitry of Justice adopted draft law to ammend the Constitution and in 2016 law amendments for the regulatory legalframework. By 31 December 2016, no law amendments were adopted from this perspective.</t>
  </si>
  <si>
    <t>Yes. 1. The Superior Council of Magistracy has decisive role, including the right to propose the same candidate for the second time, when is mandatory to the President of the country.
Half of the SCM members are selected among judges.</t>
  </si>
  <si>
    <t xml:space="preserve">yes. 0.5. The Constitutional Court has the power to decide on constituionality of legislation and official acts. However, there systemic delays in executing references for amending the legislation by the Parliament. Thus, Constitutional Court's judgements are nor dully enforced. </t>
  </si>
  <si>
    <t>Yes. 1.</t>
  </si>
  <si>
    <t>Yes. 0.5. Judges complain that higher level courts annuls applied fines for parties, lawyers and prosecutors for causing delays and other procedural misconduct. There are cases when the convict is not arrested after the court sentence is read by the court or the person leaves court being informed that can be convicted. This is a clear negligence of the Prosecution and Police.</t>
  </si>
  <si>
    <t>Yes. 1</t>
  </si>
  <si>
    <t xml:space="preserve">Yes. 1. Judges can be removed only for godd cause, for committing grave misconduct, specified in the Law on judges liability. </t>
  </si>
  <si>
    <t>No. 0. A judicial Code of ethics was adopted in April 2017.</t>
  </si>
  <si>
    <t xml:space="preserve">1.Yes. However, the mandate and the competences of the Judicial Inspection is to be revised. </t>
  </si>
  <si>
    <t xml:space="preserve">Yes. 0.5. Not all the court rooms, especially court buildings in Chisinau, are designed to host more than 6 persons, including judges and court staff. More other, high level corruption cases and/or for high public interest are examined behind closed doors. Cases in the Supreme Court of Justice are examined without parties. </t>
  </si>
  <si>
    <t>0.5. By law, all judgements are to be published. Starting with 2016, when courts started to examine high level corruption cases, not all the judgements are accessible. More other, Superior Council of Magistracy and the Agency for Court Administration of the Ministry of Justice changed the some functions of the Integrated Case Management System. As a result, the names of the convicts, the institution he/she worked for, the amount of money in corruption cases even the names of the judges, prosecutors and lawyers were excluded.</t>
  </si>
  <si>
    <t>Yes. 0.5. However there are cases when the Superior Council of Magistracy adopted several decision with no motivation when decided to exclude judge’s immunity</t>
  </si>
  <si>
    <t>No, The Protocol was signed on 20 October 2000, but  not yet ratified by the Republic of Moldova . Sourse: http://www.justice.gov.md/public/files/drepturile_omului/AG_Studiu_de_compatibilitate_Protocol_12.pdf</t>
  </si>
  <si>
    <t xml:space="preserve">Yes, The Convention on the Rights of Persons with Disabilites was ratified in 2010. Sourse: http://lex.justice.md/index.php?action=view&amp;view=doc&amp;lang=1&amp;id=335376 </t>
  </si>
  <si>
    <t>No, International Convention on the Protection of the Rights of All Migrant Workers and Members of Their Families was not signed and ratified</t>
  </si>
  <si>
    <t>No, Moldova signed the  European Charter for Regional Minority Languages  in 2002, but  has not ratified it yet, although an working group on ratification instrument  was set up in  2011. http://www.coe.int/en/web/european-charter-regional-or-minority-languages/promoting-ratification-in-the-republic-of-moldova</t>
  </si>
  <si>
    <t xml:space="preserve">Yes, The Framework Convention  for the Protection of National Minorities was signed and ratified by the Republic of Moldova:. Sourse: http://www.ohchr.org/Documents/Publications/GuideMinorities8en.pdf </t>
  </si>
  <si>
    <t xml:space="preserve">Yes, European Convention on the Legal Status of Migrant Workers was signed and ratified by the Republic of Moldova. Sourse: http://www.assembly.coe.int/nw/xml/XRef/X2H-Xref-ViewHTML.asp?FileID=10291&amp;lang=en 
</t>
  </si>
  <si>
    <t xml:space="preserve">Yes,  the European Convention  on Nationality was signed and ratified by the Republif of Moldova. Sourse: https://rm.coe.int/168007f2c8 </t>
  </si>
  <si>
    <t xml:space="preserve">Yes. The Republic of Moldova adoptet a framework on protection against discrimination -  Law No.121 on Ensuring Equality, of May 25, 2012. Sourse: http://lex.justice.md/md/343361/  The Law on Ensuring Equality (Law No. 121 of 25 May 2012) (the Law on
Ensuring Equality) is the primary non-discrimination statute in Moldova. It prohibits discrimination on a number of grounds and in all spheres of life, subject to limited exceptions. The Law also establishes the regulatory body
charged with hearing complaints of discrimination and promoting equality. The Law provides protection for all people in Moldova from discrimination on a wide variety of grounds, in a large number of areas regulated by law
and prohibits a range of conduct understood to fall within the international right to be free from discrimination. Its exceptions are relatively limited.
Accordingly, the Law goes some way to meeting the abovementioned international obligations.  The Law regulates the prohibition of discrimination in “political, economic,
social, cultural and other spheres of life.However, it does not include discrimination in the areas of family (including marriage), adoption relations
and religious institutions. Sourse: Law on Ensuring Equality (Law No. 121 of 25 May 2012), Article 1(1).  </t>
  </si>
  <si>
    <t xml:space="preserve">Yes. The Constitution of the Republic of Moldova (1994) contains a number of provisions regarding the right to equality and non-discrimination. Article 16, headed “Equality”, provides in its first paragraph that “[t]he foremost duty of the  State shall be the respect and protection of the human person.” This provision imposes both a positive and a negative duty on the government, such that it is both prohibited from taking actions which might infringe a person’s right to equality and required to take action to prevent those within its jurisdiction facing inequality or discrimination.  The list of protected characteristics in Article 16(2) is shorter than lists found in international instruments to which Moldova is a party. The text of the Constitution does not make clear whether the effect of Article 16 is that all rights must be afforded without discrimination on the protected grounds, regardless of their source, or whether only those rights conferred in the Constitution itself must be granted without discrimination.  Article 16 is also problematic in that it expressly applies only to “citizens of the Republic of Moldova”, and not to stateless persons or foreign citizens. Refusal to afford protection from discrimination to non-citizens is at odds with international treaties to which Moldova is a party. Sourse: http://lex.justice.md/document_rom.php?id=44B9F30E:7AC17731 </t>
  </si>
  <si>
    <t xml:space="preserve">Yes. Art. 65/1 (discrimination in education), art. 71/1 (access to public services and goods), art. 260 discrimination in access to public services in electronic communication, post services and IT was abrogated in 2016. Art. 71/2 (preventing activity of the equality council), art. 53/2 al. 2 (harrasment at work). The Criminal Code of the Republic of Moldova regulates and defines all forms of criminal conduct punishable by law. Article 176 of the Code prohibits aggravated discrimination. Under Article 77, social, national, racial, or religious hatred is to be considered an aggravating factor in the commission of an offence. Further, under Article 346, “hate-speech” is criminalised. Article 77(d) contains a closed list of protected grounds, and does not include
several characteristics such as sex, gender identity, or sexual orientation.
Draft amendments to the Criminal Code, which have not yet been passed, would extend the list of characteristics included under Article 77; with the addition of penalty enhancing offences for 37 crimes. These developments are encouraging. However, the total number of penalty-enhancing provisions is very high, reducing their social impact. Moldova should limit the number such sentencing provisions to only “the most frequent forms of hate crimes. Sourse: Organisation for Security and Cooperation in Europe, Opinion on Draft Amendments to the Moldovan Criminal and Contravention Codes Relating to Bias-Motivated Offences, 2016, Paras
28–30, available at: www.legislationline.org/documents/id/19901.
</t>
  </si>
  <si>
    <t xml:space="preserve">yes, art. 24 of the Civil Code.   The Civil Code is silent on substantive issues of discrimination – it does not offer a definition of discrimination and it is not concerned with particular grounds of discrimination – but it has a crucial supportive function. Article 11 sets out the remedies available under the Code. These include: damages,  including for non-pecuniary loss;  invalidation of judicial
acts  and acts of public authorities;  recognition of the right at issue; injunctive relief to suppress acts which violate or threaten to violate the right and restoration of the individual to the condition existing before the violation of the right.146 Accordingly, a variety of remedies may be available to victims of discrimination. Source: http://lex.justice.md/md/325085/ </t>
  </si>
  <si>
    <t xml:space="preserve">Yes,  Articles 7, 54-2(1),  54-2(2), 65-1, 71-1, 71-2; In accordance with Article 7, persons that have committed administrative offences are equal before the law and the same conduct will attract the same liability regardless of “race, nationality, language, religion, sex, political affiliation, wealth, social origins or any other situation.” The Contravention Code contains several administrative offences relevant to equality and non-discrimination. Each offence is punishable by a certain number of penalty units, with each unit amounting to MLD 50 (EUR 2,5) Under Article 65-1, it is an offence to make a distinction, exclusion, restriction or preference based on race, nationality, ethnic origin, language, religion or belief, sex, age, disability, political affiliation or any other criteria. Under Article 54-2(1), it is an administrate offence to make a distinction, exclusion, restriction or preference based on grounds of race, nationality, ethnic origin, language, religion or belief, sex, age, sexual orientation, disability, political affiliation or other criteria, which has the effect of undermining equality of opportunity in employment.  Pursuant to Article 54-2(2), it is an administrative offence for an employer to harass an employee. Harassment is defined as an expression based on race, nationality, ethnic origin, language, religion or belief, sex, age, disability, political affiliation or any other criteria that could create an intimidating or offensive environment at work. Under Article 71-1, it is an administrative offence for a public authority to effect any difference, exclusion, restriction or preference based on grounds of race, nationality, ethnic origin, language, religion or belief, sex, age, disability, political affiliation or any other criterion, manifested in access to health services, social services, banking and finance, transportation, cultural and recreational activity, sale or rental of property and other services. The CPEDEE is empowered to establish contravention of the administrative offences contained in Articles 65-1, 54-2, 71-1 and 71-2. However, only a court can impose the sanctions provided for in respect of each offence. If the contravener pays half the fine within 72 hours from its establishment, the fine is considered to have been executed. If a person fails to pay the fine within 30 days, a court may replace it. Source:  http://lex.justice.md/md/330333. </t>
  </si>
  <si>
    <t xml:space="preserve">Yes. Art. 5, 7, 8, 9, 10, 128, 199. Article 5 of the Labour Code sets out the basic principles of labour relations,
several of which are concerned with non-discrimination in the workplace. Article 8(1) prohibits discrimination in the sphere of labour and employment. The list of protected characteristics includes some that are not protected under the Law on Ensuring Equality, namely social origin, HIV status, place of origin, membership of trade unions, and participation in trade union activities.
Where a characteristic is covered by both the Law on Ensuring Equality and the Labour Code, it is common for people to make a discrimination claim based on both laws. The Labour Code also provides that employers have an obligation to take measures
to prevent sexual harassment in the workplace, to ensure equal opportunities and equal treatment of all, to take measures to prevent victimisation, to ensure that men and women have equal opportunity to combine work and family obligations, and to ensure equal pay for work of equal value. ing women, particularly pregnant women and women with young children. Article 251 prohibits the dismissal of pregnant women, women with children under the age of six, and workers who take parental leave, except in the circumstances defined in
Article 86 of the Labour Code, which sets out “fair” reasons for dismissal. Article 247 prohibits employers from refusing to employ or reducing the wages of pregnant women or women with children under six. Article 250 provides that pregnant women and women with young children (aged up to three years) may be transferred to lighter work, while maintaining
their average wage. Source: http://lex.justice.md/md/326757/ </t>
  </si>
  <si>
    <t xml:space="preserve">Yes.Law on consumer protection  and other laws goverrning economic does not set any exclusions on specific privisions of goods and services. Sourse: http://lex.justice.md/document_rom.php?id=546986A0%3A88685EC5  </t>
  </si>
  <si>
    <t xml:space="preserve">
Yes. Moreover, art. 65/1 of the Contraventional Code ensures punishment for discrimination in education. Art. 2, art. 5, art. 7, art. 37, art. 108, art. 135 of the education code adopted in 2014 .  The Education Code of Moldova (Code No. 152 of 17 July 2014)187 regulates
the education system Article 2 of the Code refers to numerous relevant sources of international law, including the CRC, the CRPD, and the UNESCO Convention against discrimination in education. Non-discrimination is a key aspect of the underlying purpose of the Code. Article 5(d) of the Code provides that the “mission” of education in Moldova includes “promoting dialogue, intercultural spirit of tolerance, non-discrimination and social inclusion”. Article 7 of the Education Code provides that the “fundamental principles of education” include access to education without discrimination, social inclusion, and ensuring equality.1 Article 9 makes clear that access to education is available on an equal basis to all, regardless of citizenship or nationality.
Nevertheless, there is no general prohibition of discrimination found in the Education Code, nor are the provisions on equality of access defined in terms of forms of discrimination or the characteristics protected. </t>
  </si>
  <si>
    <t xml:space="preserve">Closed list: Constitution, Electoral Code, Execution Code, Law on migration of labour force, Law on blood donation  Open list: Criminal Code, Criminal Procedure Code, Code on Administrative offenses, Law on the statute of the criminal investigator, Law on courts organisation etc. most legislation mentions equality as a principle. Moldova has a poor legal framework protecting LGBT persons from discrimination. Neither sexual orientation nor gender identity is included as a protected characteristic under Article 16 of the Constitution. Source: https://promolex.md/wp-content/uploads/2016/08/ENG_doc_1469547155.pdf </t>
  </si>
  <si>
    <t xml:space="preserve">Yes. In 2012 Moldova enacted the Law on Ensuring Equality which prohibits discrimination on the grounds of inter alia race, colour, ethnic origin and language. Article 6(1) of the Contravention Code provides that persons who have committed offenses (contraventions) are equal before the law and public authorities and are subject to liability irrespective of inter alia race. Article 77 of the Criminal Code provides that the commission of a crime due to social, national, racial, or religious hatred shall be considered an aggrevating circumstance. Furthermore, Article 176 of the Code prohibits any violation or restriction of an individual’s rights on the basis of inter alia race, nationality and ethnicity, where the relevant violation was either committed by a person holding a position of responsibility, or resulted in considerable prejudice. Neither Article 176 nor Article 346 includes the grounds of colour or national origin.  Roma persons benefit from the general protections against discrimination, hate crime and hate speech on the basis of race and ethnicity provided in the Law on Ensuring Equality, the Contravention Code, and the Criminal Code. In addition, the Moldovan authorities have adopted a number of specific policy measures targeted at improving the position of Roma in the country. </t>
  </si>
  <si>
    <t>Yes. There are several laws that regulate the use of Romanian, Russian, and other languages on the territory of the Republic of Moldova.Article 1 of Law No. 3465 of 1989 on the functioning of spoken languages on the territory of Moldovan Soviet Socialist Republic states that, as a state language, the Romanian language is used in all spheres of political, economic, social and cultural spheres and ensures interethnic communication in Moldova. Article 24 of the Code of Civil Procedure, provides that civil cases are to be conducted in Romanian, but that individuals who want to initiate a case and who do not speak Romanian language are entitled to review the case
file materials and to speak at trial through an interpreter.</t>
  </si>
  <si>
    <t xml:space="preserve">Yes.The Law on Citizenship of the Republic of Moldova (Law No. 1024 of 2 June 2000) establishes the legal framework for citizenship of Moldova, including how and on whom citizenship is conferred, and outlines the rights and responsibilities which attach to citizenship.
Article 6 differentiates between citizens and non-citizens with Article 6(1) stating that Moldovan citizens are equal before the law and Article 6(3) stating that foreign citizens and stateless persons have their legal status established by law and by international agreements to which Moldova is a party. As identified above, many rights found in Moldovan law are held only by citizens. Article 6(2) provides that only citizens of Moldova have the right to elect and to be elected, to hold positions involving the exercise of public authority and to participate in referendums. Article 7 guarantees non-discrimination amongst citizens of Moldova, irrespective of the means by which citizenship was acquired. This would, for example, prohibit discrimination against a person who acquired their citizenship
by virtue of being a refugee Citizenship, job, domicile, and place of birth, are not found in the Law on Ensuring Equality, for instance. As with Article 1 of the Law on Ensuring Equality, the list of characteristics of is open-ended. The Education Code of Moldova (Code No. 152 of 17 July 2014), Article 9 makes clear that access to education is available on an equal basis to all, regardless of citizenship or nationality. The Law on the Regime for Foreigners in the Republic of Moldova (Law No. 200 of 16 July 2010) regulates the entry, stay and exit of “aliens” in respect of  Moldova’s territory. Pursuant to Article 4(1), aliens legally resident in Moldova enjoy the same rights and freedoms as citizens, guaranteed by the Constitution and international treaties to which Moldova is a party. This does not mean that rights conferred to citizens in the Constitution are, by virtue of the Law, extended to aliens. Rather, where a right is not expressly confined to citizens in the Constitution, then by virtue of Article 4 of the Law, it applies to aliens too. </t>
  </si>
  <si>
    <t xml:space="preserve">Yes. Several laws prohibit discrimination and promote equality on the basis of gender in Moldova. Under Article 16(2) of the Constitution, “all citizens of the Republic of Moldova shall be equal before the law and public authorities, regardless of (…) sex” Similar provisions are found in the Labour Code, Family Code, the Law on Equality of Opportunities between Women and Men, the Law on Ensuring Equality, the Law on Preventing and Combating Domestic Violence, and the Law on Healthcare. </t>
  </si>
  <si>
    <t>Yes. Discrimination on the basis of age is prohibited by the Law on Ensuring Equality, which provides protection from discrimination across a wide range of areas of life.897 In addition, Article 8 of the Labour Code prohibits discrimination at the workplace on the grounds of age</t>
  </si>
  <si>
    <t>Yes.  Having ratified the CRPD in 2012, Moldova enacted the Law on Social Inclusion of Persons with Disabilities, with the express aim of transposing the Convention’s provisions into national law. A number of legal provisions in Moldova regulate the rights of persons with
disabilities. Nevertheless, it is noteworthy that in Article 16 (2) of the Constitution, which provides for equality before the law, disability is omitted from the list of protected characteristics Beyond the Constitution, legislation provides stronger protection for the rights
of persons with disabilities. The Law on Ensuring Equality lists disability as a protected ground of discrimination in Article 1(1). 3 In addition, following the ratification of the CRPD in 2012, the Moldovan Parliament adopted the Law on Social Inclusion of Persons with Disabilities</t>
  </si>
  <si>
    <t xml:space="preserve">Yes,  Moldova has no state religion and the Constitution states that freedom of consciencecis guaranteed and must be exercised in a spirit of tolerance and mutual respect. The freedom of religious worship is guaranteed and religious
bodies are free to organise themselves according to their own statutes under the rule of law. In their mutual relationships religious bodies are forbidden to use, express or incite to hatred or enmity. Religious groups are autonomous vis-a-vis the State and shall enjoy the latter’s support, including that aimed at providing religious assistance in the army, in hospitals, prisons, homes for the elderly and orphanages. Law No. 125 of 2007 on Freedom of Conscience, Thought, and Religion, which implements these constitutional provisions, reiterates that every individual has the right to freedom of religion and that the rights the Law provides must be exercised in the spirit of tolerance and mutual respect. The law guarantees the right to belong to a religion, to change religion or belief, and to practice religion or belief independently or as a group, in public or in privat. One of the most significant concerns related to discrimination on the basis of
religion or belief in Moldova is the privileged status of the Moldovan Orthodox Church (MOC). While Article 31 of the Constitution defines Moldova as a secular state where religious and state institutions are autonomous, in practice the MOC enjoys “privileged treatment in many fields. This is reflected in the legal framework. Article 15 of the Law on Freedom of Conscience, Thought and Religion.A number of other legal provisions in Moldova limit the religious freedom of individuals, and may lead to discrimination on the basis of religion or belief. Article 54(4) of the Code of Administrative Offences makes it an administrative offence for foreign citizens to perform “religious activities (…) in public places without notifying in advance the mayor’s office of that locality”.   </t>
  </si>
  <si>
    <t>Yes. It is provided by art. 16 (Equality) of the Constitution and article 1 of the Law nr. 121 (General Principles)</t>
  </si>
  <si>
    <t>Yes. It is provided by art. 16 of the Constitution and artocle 1 of the Law nr. 121</t>
  </si>
  <si>
    <t>Not applicable. It is not provided by the national legislation</t>
  </si>
  <si>
    <t xml:space="preserve"> Law on Prevention of HIV/AIDS Infection in April 2012, creates a number of protections for persons living
with HIV/AIDS (PLWHIVA). Article 22 of the Law prohibits any discrimination based on HIV status at all stages of employment, while further provisions prohibit discrimination based on HIV status in education, healthcare, and
other services. Soruce: Law on Prevention of HIV/AIDS Infection (Law No. 23-XVI of 16 February 2007) </t>
  </si>
  <si>
    <t>Yes. The Law on Ensuring Equality (Law No. 121 of 25 May 2012) (the Law on Ensuring Equality) is the primary non-discrimination statute in Moldova. It prohibits discrimination on a number of grounds and in all spheres of life, subject to limited exceptions. Article 1 specifies that the Law prohibits discrimination on grounds of “race, colour, nationality, ethnic origin, language, religion or belief, sex, age, disability, opinion, political view, or any other similar criteria.” Definition of discrimination (not extensive are provided also in other nortmative acts - e Law on Ensuring Equal Opportunities between Women and Men,the Law on Social Inclusion of Persons with Disabilities</t>
  </si>
  <si>
    <t xml:space="preserve">Yes, the law nr. 121 define and stipulate liability. Liability for direct discrimination may occur just if the Court issued a decision (the decisions of the court may be enforced according to the Execution Code), The decisions of the Equality Council provide just recomendations which are not mandatory for the persons responsible for discrimination.  In art. 2 Direct discrimination is defined as treating a person less favourably than another person in a comparable situation, based on any of the protected characteristics.
</t>
  </si>
  <si>
    <t>Yes, the law nr. 121 define and stipulate liability. Liability for indirect discrimination may occur just if the Court issued a decision (the decisions of the court may be enforced according to the Execution Code), The decisions of the Equality Council provide just recomendations which are not mandatory for the persons responsible for discrimination. Indirect discrimination is defined in Article 2 of the Law as: [a]ny provision, action, criteria or practice, apparently neutral, which has as effect the disadvantaging of an individual
towards another person, based on the criteria stipulated in the present Law, except where such provision, action, criterion or practice is objectively justified by a legitimate aim and the means of achieving that aim are proportionate, appropriate and necessary.</t>
  </si>
  <si>
    <t>Yes, the law nr. 121 define and stipulate harassment. Liability for direct discrimination may occur just if the Court issued a decision (the decisions of the court may be enforced according to the Execution Code), The decisions of the Equality Council provide just recomendations which are not mandatory for the persons responsible for discrimination. 
Also. the criminal code provides criminal liability for sexual harassment. Pursuant to Article 54-2(2), it is an administrative offence for an employer to harass an employee. Harassment is defined as an expression based on race, nationality, ethnic origin, language, religion or belief, sex, age, disability, political affiliation or any other criteria that could create an intimidating or offensive environment at work. Persons found to have contravened this Article are liable for 130–150 conventional penalty units and 250–400 if they are responsible persons. The Labour Code also provides that employers have an obligation to take measures to prevent sexual harassment in the workplace, (art. 10) Courts may hear prosecutions for criminal offences involving discrimination as set out in the Criminal Code of the Republic of Moldova (No. 985 of 18 April 2002) (Criminal Code) - sexual harassment for discriminatory purpose (Article 173)</t>
  </si>
  <si>
    <t>Yes, the law nr. 121 define and stipulate liability. Liability for victimisation may occur just if the Court issued a decision (the decisions of the court may be enforced according to the Execution Code), The decisions of the Equality Council provide just recomendations which are not mandatory for the persons responsible for discrimination. The Labour Code also provides that employers have an obligation to  take measures to prevent victimisation</t>
  </si>
  <si>
    <t xml:space="preserve">Yes, the law nr. 121 define and stipulate liability. Liability for instigation to discrimination may occur just if the Court issued a decision (the decisions of the court may be enforced according to the Execution Code), The decisions of the Equality Council provide just recomendations which are not mandatory for the persons responsible for discrimination. The criminal legislation does not punish the instigation to discrimination and hate crimes. </t>
  </si>
  <si>
    <t>Yes, the law nr. 121 define and stipulate liability. Liability for failure to provide reasonable accomodation may occur just if the Court issued a decision (the decisions of the court may be enforced according to the Execution Code), The decisions of the Equality Council provide just recomendations which are not mandatory for the persons responsible for discrimination. Chapter V of the Law on the Social iclusion of Persons with Disabilities concerns the employment of persons with disabilities. The Law sets out the rights of persons with disabilities to work and to reasonable accommodation in the work place; it also sets out employers obligations, including in respect
of working hours and holidays, professional development and rehabilitation</t>
  </si>
  <si>
    <t>Yes. It is provided in the Law nr. 121 on equality (article 2)</t>
  </si>
  <si>
    <t>Yes, Art. 3 of the Law nr. 121 (The subjects of the law)</t>
  </si>
  <si>
    <t xml:space="preserve">Yes.The Labour Code of the Republic of Moldova, imposes various obligations on employers intended to ensure equality and non-discrimination in employment, which include: • Ensuring that everyone has equal opportunities and treatment in employment and professional guidance, training and promotion without any kind of discrimination; • Ensuring equal payment for equal work. • Prohibiting discrimination on any ground in internal regulations and policies; • Taking measures to prevent sexual harassment;and • Applying the same criteria for performance review, punishment and dismissal. In addition, the Law on Ensuring Equal Opportunities between Women and Men obliges employers to ensure equal opportunities and treatment in employment, including in respect of professional development, career promotion Yet despite its international obligations and the range of domestic provisions in effect, gender discrimination remains prevalent in the workplace, and women experience inequality in many areas of employment. </t>
  </si>
  <si>
    <t xml:space="preserve">Yes. The Education Code of Moldova (Code No. 152 of 17 July 2014)187 regulates the education system Article 2 of the Code refers to numerous relevant sources of international law, including the CRC, the CRPD, and the UNESCO Convention
against discrimination in education. Non-discrimination is a key aspect of the underlying purpose of the Code. Article 5(d) of the Code provides that the “mission” of education in Moldova includes “promoting dialogue, intercultural spirit of tolerance, non-discrimination and social inclusion”. Article 7 of the Education Code provides that the “fundamental principles of education” include access to education without discrimination, social inclusion, and ensuring equality. Article 9 makes clear that access to
education is available on an equal basis to all, regardless of citizenship or nationality.Nevertheless, there is no general prohibition of discrimination foundin the Education Code, nor are the provisions on equality of access defined interms of forms of discrimination or the characteristics protected.Despite this commitment to equal access and non-discrimination, the Codedoes not provide for specific causes of action or remedies for those deniedaccess to education and subject to discrimination in education. However, the
general remedies in the Civil Code are available. </t>
  </si>
  <si>
    <t>Yes. Under Article 36 of the Moldovan Constitution the right to health protection and a minimum standard of health insurance provided by the State free of charge is guaranteed. This provision is supplemented by both the Law on Healthcare and the Law on Patient’s Rights which both contain additional healthcare guarantees. Article 2 of the Law on Healthcare lists a set of principles which include a guarantee that persons with disabilities can access health services according to their needs. Chapter VI of the Law on the Social
Inclusion of Persons with Disabilities contains several Articles on healthcare including rights to healthcare; to medical and social rehabilitation; to early intervention; to individual rehabilitation programs; and to social inclusion. Under the Law on Mandatory Medical Health Insurance, free medical insurance is issued to all persons with disabilities and in the case of persons with severe disabilities, to their carers. Additionally, under Article 8(b) on the Law on Ensuring Equality, discrimination in access to medical and health
services is prohibited.</t>
  </si>
  <si>
    <t xml:space="preserve">Yes, Law on Employment and Social Protection of Persons Looking for Work (Law No. 102 of 13 March 2003). Law on Ensuring Equal Opportunities between Women and Men (Law No. 5 of 9 February 2006). Law on Preventing and Combating Domestic Violence (Law No. 45 of 1 March 2007). Law on Prevention of HIV/AIDS Infection (Law No. 23-XVI of 16 February 2007).  Law on Social Inclusion of Persons with Disabilities (Law No. 60 of 30 March 2012)
</t>
  </si>
  <si>
    <t>Yes. Some positive actions are provided in the labour code, education code and other law, but they are applicable just for some spheres</t>
  </si>
  <si>
    <t>Yes. By the law nr. 298  from  21.12.2012 it was established the Equality Council.  It became operational in 2013.Source: www.egalitate.md</t>
  </si>
  <si>
    <t>does not exist</t>
  </si>
  <si>
    <t xml:space="preserve">Partially yes. The new las on ombudsman adopted in 2014 does not specify some direct  attributions of the ombudsman in the field of equal trearment and non-discrimination, howewer, the ombudsman contributes to the elaboration of the relevant policies and submit complaints to the Constitutional Court. Source: www.ombudsman.md </t>
  </si>
  <si>
    <t xml:space="preserve">Yes. The CPEDEE is able to hear complaints of discrimination from individuals and legal entities; it can also examine potential discriminatory conduct on its own initiative. (Art. 13 of the Law nr. 121) Where the CPEDEE examines a complaint and considers that unlawful discrimination has occurred, it can make recommendations aimed at ensuring the restoration of the victim’s rights and preventing similar acts from occurring in the future.Where such recommendations are ignored, the CPEDEE
can propose to the relevant authority that disciplinary measures be imposed. Finally, in respect of certain types of discrimination amounting to administrative offences as specified in the Contravention Code (Law No. 218 of 24 October 2008), the CPEDEE can record minutes regarding the contravention and send them to court, which may choose to apply the administrative penalty provided for in the Code. The CPEDEE cannot itself impose sanctions. </t>
  </si>
  <si>
    <t xml:space="preserve">Yes. The CPEDEE is able to hear complaints of discrimination from individuals and legal entities; it can also examine potential discriminatory conduct on its own initiative. (Art. 13 of the Law nr. 121) </t>
  </si>
  <si>
    <t xml:space="preserve">Yes. The CPEDEE can represent the interest of the victims of discrimination in Courts, in case if the decision of the Counsil was challenged in the Court. </t>
  </si>
  <si>
    <t xml:space="preserve">Yes. The CPEDEE can take cases to courts in its own name. </t>
  </si>
  <si>
    <t>No. Not applicable. No. Moldovan legislation does not provide such possibility to write amicue curiae. However, parties in the process can request a third party to provide an expert opinion. It is used very rarely in courts.</t>
  </si>
  <si>
    <t>yes. According to art. 12 of the Law nr. 121</t>
  </si>
  <si>
    <t>Yes, According to the Law Nr. 121  of 25 May.2012 “On ensuring equality” , art. 12, the Council has the right to "initiate proposals to modify the legislation in the field of nondiscrimination".</t>
  </si>
  <si>
    <t>yes. Some cases are presented here: https://promolex.md/wp-content/uploads/2016/08/ENG_doc_1469547155.pdf . But, it will be hard to execute the decisions of the Equality Council considering that the Counsil issues only recommendations.</t>
  </si>
  <si>
    <t>yes. The members of the Council are appointed by the Parliament</t>
  </si>
  <si>
    <t>Yes. The council has it own operational budget.</t>
  </si>
  <si>
    <t>27,78% (5 women out of 18 members of the cabinet), as of 1 december 2016</t>
  </si>
  <si>
    <t>Yes. 1. The Court of Accounts</t>
  </si>
  <si>
    <t>Yes. 1. Periodically, The Court of Accounts and/or Ministry of finance develp rules and procedures to enforce findings and recommencadions.</t>
  </si>
  <si>
    <t xml:space="preserve">Yes. 1. More over, a public debates is held prior adoption of the final report. </t>
  </si>
  <si>
    <t xml:space="preserve">1. Yes. Unfortunately, the Audit Agency is reporting and answering to MPs questions. This practice has to be excluded. The Court of Accounts is doing the audit, thus the audited institution has to provide all the details and explanations. </t>
  </si>
  <si>
    <t>yes. 0.5. The Government is obliged to act on the findings. However, members ot the  Court of Accounts complaints that the Government is not duly implementing the recommendations and does not react promptly on findinds. There are delays in implementing Court of Account's reports.</t>
  </si>
  <si>
    <t>Yes. 1. It was implemented in line with the implementation of the Association Agreement with EU</t>
  </si>
  <si>
    <t>Yes. 0.5. However, journalist found that not all important bids are published. Most problematic are bids at the rayon (district level).</t>
  </si>
  <si>
    <t>Yes, the legislative procedure provides for mandatory consultations (list of legislative acts is presented in the answers from previous years). A new  draft law on normative acts was passed in the second hearing in the Parliament on May 12, 2017, but its provisions regarding public consultations refers to the existing law on the transparency in the decision making process.
No, the Government normally is not issuing green papers, but in some cases with the help of donors, some studies could prepared before certain draft laws are prepared. In the new above-mentioned draft law on normative acts there are provisions on ex-ante impact assessment that would have been done before drafting the normative act. 
Yes, public hearings take place.  
Announcements about the public consultations on draft laws and government decisions are published on the webpages of the ministries, but also on the portal www.particip.gov.md</t>
  </si>
  <si>
    <t xml:space="preserve">It varies from case to case, it doesn’t have an organised and structured nature. Sometimes, collected opinions are generalised in a table of opinions that are attached to the folder of the draft act, but in majority of cases tables of opinions contain only opinions of public authorities as it is not mandatory to include opinions of the third parties. Usually, there are no clear valuable arguments why the opinions are rejected. Tables of opinions are not made publilcly available, just sent to a list of subsscribers. </t>
  </si>
  <si>
    <t>Partially. Formally, at the ministerial level the divisions for policy analysis, monitoring and evaluation are created and are functional. The divisions have on average 3-4 employees. 
Within the State Chancellery General Division on policy and external assistance co-ordination is also functioning. At the interministerial level, there is Interministerial Committee for Strategic Planning, headed by the Prime Minister. Main   challenges nevertheless are: institutional memory of the State Chancellery on strategic planning process were partially lost, the role and capacity of policy divisions at the level of the ministries is uneven and the activity of the interministerial committee does not have an organised and systematic character.</t>
  </si>
  <si>
    <t>Yes.  In May-July 2016 functional review of the State Chancellery was performed. In November 2016 the State Chancellery was reorganised in order to enhance its role of `centre of government`.</t>
  </si>
  <si>
    <t>Yes, in terms of number of staff (18). Nevertheless, during 2015 an important part of the staff of the General Division on policy coordination, external assistance and central public administration reform left the State Chancellery due to various reasons, thus the institutional memory was lost and capacity to co-ordinate has been substantially reduced. Further, the State Chancellery was reorganised in November 2016.  The  former General Division  on policy coordination, external assistance and  central public administration reform was split in two separate divisions - division on policy and external assistance coordination and division on public administration reform. The number of staff was reduced at the level of State Chancellery from 239 to 171 persons and some other persons left the division. At the moment, only the head of the Division for policy and external assistance coordination has a working experience more than two years, having institutional memory from previous team.</t>
  </si>
  <si>
    <t>Yes. There is: 1.Interministerial Committee for Strategic Planning which is responsible for establishing policy priorities, priorities for medium-term budgeting and priorities for external assistance; 2. National Council on Public Administration Reform; 3. National Council on Coordination of Regional Development; 4. National Council on Sustainable Development</t>
  </si>
  <si>
    <t>Yes. There are provisions in the Law on legislative acts and in the Law on normative act of the government. However, clearer provisions are included in the new draft law on normative acts that will replace the existing two laws and which was approved by the Parliament in the second hearing on May 12, 2017</t>
  </si>
  <si>
    <t xml:space="preserve">Yes. According to the Law on legislative acts, Law on normative acts of the Government and other authorities of the public administration all procedures for processing policies are envisaged. Clearer provisions are included in the new draft law on normative acts that will replace the existing two laws and which was approved by the Parliament in the second hearing on May 12, 2017. Additionally,  there is Government decision of 2007 on the Rules for the elaboration and the unified requirements for the policy documents, which also would be improved as the new law on normative acts will enter into force. </t>
  </si>
  <si>
    <t>No. It is not attractive to join civil service because of low salaries and the staff turnover in the last two years was very high. Due to high turnover, lack of guidelines and reduced motivation, evidence-based, transparent and participatory policymaking practices are not in place.</t>
  </si>
  <si>
    <t xml:space="preserve">Yes. The Law on public function and civil servants’ status was approved in 2008 and entered into force in January 2009.
</t>
  </si>
  <si>
    <t xml:space="preserve">Partially. The law on public function and civil servants' status provide a classification of civil servants, but the law does not contain  provisions regarding civil servants with special status, which are regulated by special laws. First, the law does not apply to the Parliament or to some regulatory agencies that are subordinated
to the Government. Second, some employees who execute public powers (such as issuing national
identity cards, passports, driving licences, and land registry titles) are outside the civil service. </t>
  </si>
  <si>
    <t>Yes. The Code of conduct was approved in 2008 and entered into force in January 2009. A special chapter on integrity was introduced in 2016.</t>
  </si>
  <si>
    <t>Yes. According to the articles 15 and 16 of the Law  on public function and civil servants’ status, civil servant are not allowed to perform political activity, to have preferable treatment of political parties and to join political parties.</t>
  </si>
  <si>
    <t>Yes. According to the articles 28 of the Law  on public function and civil servants’ status, civil servants are hired based on competition.</t>
  </si>
  <si>
    <t>Yes. According to the articles 24 of the Law  on public function and civil servants’ status, civil servants are obliged to present annually the declaration of revenues and declaration of personal interests.</t>
  </si>
  <si>
    <t>Yes. There are clear provision in the Law no.16 of 15.02.2008  on conflict of interests. At the same time,  National Integrity Authority, which is supervised by the Parliament, is dealing with conflict of interests.</t>
  </si>
  <si>
    <t xml:space="preserve">Yes. The State Chancellery is drafting annually reports on public functions and civil servants' status, containing information on service policy and overall performance assessment. The report is published on the website of the State Chancellery. </t>
  </si>
  <si>
    <t>Yes. According to the articles 18 of the Law  on public function and civil servants’ status, civil servants have the right to freely access their personal folder and any personal information included in civil service register.</t>
  </si>
  <si>
    <t>Yes. Law no.133 of 08.07.2011 on personal data protection</t>
  </si>
  <si>
    <t>Formally, yes, according to the law 158/2008 on public service the public servant enjoys stability in function, but it allows for subjective dismissals. After new national elections when top dignitaries are changing, some civil servants are forced by different means to resign and to free the job for other persons. This is especially the case when civil servants are politically hired, even if formally based on competition.</t>
  </si>
  <si>
    <t xml:space="preserve">Yes. According to its regulation, the State Chancellery is responsible for promoting and implementing civil service policies. </t>
  </si>
  <si>
    <t xml:space="preserve">Not really at the moment. After the reorganisation of the State Chancellery, the head of the Public Administration Reform Division was changed. Compared to the previous, which had extensive experience in civil service reform, the new one has no experience in civil service policies. At the same time,  the division consisting of 6 persons, has the responsibility to coordinate not only civil service policies, but the entire public administration reform, at both central and local level. </t>
  </si>
  <si>
    <t>Yes. According to its regulation, the State Chancellery is responsible for promoting and implementing civil service policies. At the same time, according to the Government Decision no 201/2009 on implementation of the Law on public functions and civil servants' status, the State Chancellery is responsible to provide methodological support and oversight of the implementation of the law.</t>
  </si>
  <si>
    <t>No. According to the Public Administration Reform Strategy 2016-2020, approved in June 2016, the recruitment and retention of qualified personnel still remains a challenge, particularly due to low salary, both at central public administration level and at the local public administration level.</t>
  </si>
  <si>
    <t>No. Planning and need assessment  is done at the level of each individual public entity.</t>
  </si>
  <si>
    <t>Yes. Automated Informational System “Public Functions and Civil Services Register” was developed in 2011-2014, but at the moment is implemented not in all central public authorities. According to the Public Administration Reform Strategy, the system has to be developed and extended; new functionalities, including the improvement of reporting standards and adding analysis and data processing instruments should be developed. Interoperability of the Public Functions and Civil Services Register with relevant components of other systems, especially regarding the remuneration of civil servants.</t>
  </si>
  <si>
    <t>Yes. According to Government Decision 1022/2013 on administration of government portal of public functions for which public competition is organised, the portal cariere.gov.md was launched and authorities have the responsibility to advertise publicly on it all vacancies.</t>
  </si>
  <si>
    <t>Partially. The recruitment process in described in the Regulation no. 201 on the employment in the civil service through competition from 11.03.2009. Sometimes preferred candidates are employed based on recommendation and not performance during the interview. Recruitment committees have no external participants. They include only members of the hiring authority and are chaired by the deputy manager, who has hierarchical authority over the other committee members. In addition, there are no safeguards to prevent leakage of the written test or interview questions. These are sources of distrust in the recruitment process. The legislation does not foresee internal appeal procedures related to recruitment or dismissal. Dissatisfied candidates must take their dispute to the administrative court.</t>
  </si>
  <si>
    <t>Yes. Job descriptions are prepared and utilized according to the Government decision no. 201 on the implementation of the Law on public function and civil servants status from  11.03.2009, annex nr.3.</t>
  </si>
  <si>
    <t>Partially. Recruitment committees have no external participants. They include only members of the hiring authority and are chaired by the deputy manager, who has hierarchical authority over the other committee members. Thus, the process sometimes is formal.</t>
  </si>
  <si>
    <t>Partially. Formal procedures for the  recruitment of the civil servants are prescribed by the law on public servants, but there is no responsible authority to ensure consistent practices across all public authorities.</t>
  </si>
  <si>
    <t>Yes. Performance appraisal of civil servants takes place once in a year, according to the Law 158/2008 on civil service.</t>
  </si>
  <si>
    <t>Yes. There is a unified appraisal system regulated by the Government Decision 201/2009, followed by a detailed guide.</t>
  </si>
  <si>
    <t>Yes. The legal basis is the law 158/2008 on public function and civil servants’ status.</t>
  </si>
  <si>
    <t>No. Although this is stipulated in the law on public function and civil service status, promotion decision are made arbitrary. Due to the inflation of “good” or “very good” ratings,  performance appraisal does not play an important role in promotions.</t>
  </si>
  <si>
    <t>No. There is no responsible authority to ensure consistent practices across all public authorities.</t>
  </si>
  <si>
    <t>No. There is no appeal for promotion grievances, but there is appeal for evaluation results, which is the base for the promotion.</t>
  </si>
  <si>
    <t>Yes. There is a very detailed regulation on disciplinary commission in the Government Decision no201/2009 on implementation of the Law on public functions and civil servants' status, which ensure transparent procedures.</t>
  </si>
  <si>
    <t xml:space="preserve">Yes. The Government approves on yearly bases professional development plans for civil servants, trainings being provided by the Academy of Public Administration under the State Chancellery. At the same time, there are many on-job training and  specialized courses organized with the support of donors. </t>
  </si>
  <si>
    <t>No. The position of senior civil servant is not well-established in law or in practice and there is too much room for discretion in their appointment. Usually senior civil servants are hired and leave the ministry together with the minister.</t>
  </si>
  <si>
    <t>Partially. Surveys on citizens' satisfaction with public services are organised by the E-Government Centre, but not systematically, rather in the framework of the World Bank project on public services modernisation. The last one was performed in October-December 2015.</t>
  </si>
  <si>
    <t>Yes. The results of surveys are used in planning activities within the framework of projects. Also, the results of last survey were used while drafting Action Plan on Public Services Modernisation 2016-2021.</t>
  </si>
  <si>
    <t>No. But there is a provision in the Public Administration Reform Strategy to adapt and use on permanent basis the Common Assessment Framework.</t>
  </si>
  <si>
    <t>Yes. They usually could complaint to the service provider, although there are no legal provisions on this.</t>
  </si>
  <si>
    <t>No. They are assessed by service providers.</t>
  </si>
  <si>
    <t>There is a Road map and Action Plan for Green Economy. At the end of 2016 it was under development. Now, it is under enforcement and it is planed to be adopted by the Government till the end of 2017</t>
  </si>
  <si>
    <t>There is an interministerial working group on Green Economy</t>
  </si>
  <si>
    <t>the Education Code contains only a general reference on the importance of sustainable development</t>
  </si>
  <si>
    <t>The school curricula (for primary, and for secondary and high schools) were revised in 2015, 2010 and 2006
respectively and a new mandatory civic education module was introduced which also incorporates environment related
aspects. An optional module on ecological education for primary , secondary and hish schools was introduced in the school curricula in 2015.</t>
  </si>
  <si>
    <t>teachers participate in seminars on the modules "Civic education" (mandatory) and "Ecological education" (optional)</t>
  </si>
  <si>
    <t xml:space="preserve">Only several universities offer Environmental studies program </t>
  </si>
  <si>
    <t xml:space="preserve">under preparation </t>
  </si>
  <si>
    <t xml:space="preserve">During 2016, the  Ministries of Environment and Economy have developed a National Road Map for the Green Economy. One of its  priority areas is to promote sustainable public procurements. The Roadmap is pending the public public consultation and  inter-ministerial coordination process.    In 2015 a Ministry of Finance implemented a pilot action plan  for durable public procurement as part of the "Greening economies in the Eastern Neighbourhood Countries", EaP Green Programme. </t>
  </si>
  <si>
    <t>A new law on public procurement, including provisions on sustainable public procurements was adopted in 2015 and enacted in May 2016. In 2016, a National Development Strategy of the procurement system for 2016-2020 and the action plan for its implementation was adopted ( GD no.1332 as of 14.12.2016).  However, the action plan does not contain explicit provisions regarding the implementation of durable public procurements.</t>
  </si>
  <si>
    <t>A new  Education Code and the  Education Strategy 2020 were adopted in 2014, http://lex.justice.md/md/355156/, and http://lex.justice.md/viewdoc.php?action=view&amp;view=doc&amp;id=355494&amp;lang=1</t>
  </si>
  <si>
    <t xml:space="preserve">In May 2005 the Republic of Moldova joined the Bologna Process and consequently in 2005 the Law on Education was amended in order to incorporate the basic Bologna Principles. As a result, a two-cycle system of higher education was introduced in the Republic of Moldova: the first cycle - the Licentiate (with duration of studies of 3 - 4 years) and a second cycle – the Master (1-2 years). Since 2014, when the new Education Code was adopted, the third cycle - doctoral studies was introduced.  </t>
  </si>
  <si>
    <t>A concept of the National Qualifications Framework of the Republic of Moldova (NQFRM) for higher education  was adopted  by the Minister of Education in December 2010.   The NQFRM does not have a functioning register yet both for VET and HE. The register as such is still in development. during 2011-2015, the NQFRM has been approved for 143 qualifications in the field of higher education. In VET 53 professional qualifications were approved in 2015. 14 qualifications in VET were developed and validated in 2016. Following the approval of a new Education Code (2014),  a new  National Qualifications Framework of the Republic of Moldova should have been developed according to the  art. 66 and 97 of the Education Code.  In November 2016 a draft of  NQFRM and providing instructions for its implementation, functioning and administrative supervision were issues and are currently in the process of public consultation.</t>
  </si>
  <si>
    <t>The reorganization and ending of activity for universities is proposed by the Senate and approved by the Government of the Republic of Moldova. Universities are governened by university senates, headed by rectors, while the bureaus of the university senates, headed as well by rectors,  are responsbile for  the operative management. There is not clear separation of powers  and responsabilitites between the management and governing units. The rectors are chosen on a competitive basis for a 5-year term by the the General Assembly of teaching and research staff
and by student representatives in the Senate and the faculty councils, voted by the majority of members, and approved by the founder/Ministry of Education. HEIs have a relative autonomy  regarding the  establishment, reorganization, suspension of activity and liquidation of a Faculty. In all these cases, a  positive consent of the Ministry of Education is required.</t>
  </si>
  <si>
    <t>Universities have the right to organize, perform and improve the teaching and research, to define which specializations are to be offered, to develop curricula and analytical programs in conformity with the national educational standards, to organize admission and enroll students, recruit and promote the academic/non-academic staff, to set up evaluation criteria for academic and research activity, to award academic titles, to elect by vote the administrative and governing bodies, to solve social problems of students, to find additional sources of financing, to establish cooperation with universities, research centres and other institutions from the Republic of Moldova and from abroad. HEIs could not decide on the number of both state and private subsidiesed student places that remains at the discretion of the Ministry of Education.</t>
  </si>
  <si>
    <t>The main source of financing  for public HEIs is the state budget. Budget allocation depends on the so-called "state order(plan)" on the number of students  per each education cycle  and specialization (HD no. 983  as of 22.12.2012). Budgetary financing covers  salaries, stipends , all procurements in order to ensure the educational and scientifical research processes. Public funds for scientific research are provided on a competition basis.  The universities can also get donations and income from other related activities, such as training, research activities, rental of their spaces and equipment, etc. Fees paid by  students who study on a contract base constitute the most significant income of the universities.  The state is the owner of premises used by pulbic universities.</t>
  </si>
  <si>
    <t xml:space="preserve">Every five years all teaching positions are declared vacant and must be occupied on a competitive basis. The prerequisite needed to access these positions are set out in the appropriate regulation, approved by the Government (GD no. 854 
as of   21.09.2010). HEIs could only introduce supplimentary selection  criteria.  After passing the selection procedure, a candidate can sign a contract for a 5-year period. The universities could also decide on promoting the teaching, scientific teaching
and scientific staff and awarding teaching degrees etc. Nevertheless, HEIs are very limited in setting staff salaries and should comply the existing legal framework. A certain freedom exists in establishing incentive payments  and awards.   </t>
  </si>
  <si>
    <t>The Ministry of Education sets a general framework regulation for admisision, but universities could develop and apply their own admission methodology. The  admission to the first cycle is based on the competition of average  mark got in the national exams after the completion of the secondary education (Bacalaureat exams). Besides, the  universities could introduce additional selection criteria or  additional entrance examinations, depending on proposed specializations.  Admissions regulations provide some facilities for certain categories of disadvantaged candidates (up to 15 percent of the total number of candidates in the budget financing admission plan). A first university degree is required for admission to Master's program, but universities  establish their own addmission methodology. (source: http://edu.gov.md/ro/content/admiterea-2017)</t>
  </si>
  <si>
    <t>According to the National Bureau of Statistics, in 2015-2016, the number of foreign students enrolled in Moldovan higher education institutions was 3480, as compared to 81669 (Moldovan students, except foreign students), which  is 4,26%, http://www.statistica.md/public/files/publicatii_electronice/Educatia/Educatia_RM_2016.pdf.</t>
  </si>
  <si>
    <t>The foreign students gerenally enjoy equal rights, except that the foreign students are charged double the amount of university tuition fees set  for domestic students and that according to universities' particular admission rules could be required to  undergo either a Romanian/Russian language testing or a professional motivation assessment.</t>
  </si>
  <si>
    <t>A regulation on life-long learning was approved by the Governemnt decision no.193 as of 
  24.03.2017, http://lex.justice.md/md/369645/</t>
  </si>
  <si>
    <t>Yes, There is an outdated law on culture, adopted in 1999. In addition, in 2014, a Culture Development Strategy "Culture 2020"  and a subsequent Action Plan, were adopted.(http://www.mc.gov.md/en/content/documets-0)</t>
  </si>
  <si>
    <t>Yes, a report was published in 2001. In 2015, the country's cultural policy profile was updated, http://www.culturalpolicies.net/web/moldova.php.</t>
  </si>
  <si>
    <t>Ratified in 2006, http://portal.unesco.org/en/ev.php-URL_ID=35028&amp;URL_DO=DO_TOPIC&amp;URL_SECTION=201.html</t>
  </si>
  <si>
    <t>No, a centralized model of financing cultural produceres is still applied.</t>
  </si>
  <si>
    <t>Yes, a National Youth Development Strategy for 2014-2020 and an action plan for its implementations were approved in  2014. (Government Decision no. 1006/10.12.2014)</t>
  </si>
  <si>
    <t>No, The current Research-development Strategy of Moldova for 2015-2020 lacks clear provisions on promoting national youth research. The Academy of Science is implementing some schemes of ASM for attracting and retaining young people in science. At the same time, there is a mismatch between the educational supply and the needs of labour market, business, Research &amp;Development sector.</t>
  </si>
  <si>
    <t>Yes, there is a  legal framework regulating volunteering ( Law on volunteering no. 121 as of 18 June 2010 and the Government Decision on implementing the Law on volunteering no.158 
as of  12.03.2012)</t>
  </si>
  <si>
    <t xml:space="preserve"> The Labour Code contains some provisions on youth employment and work ( art. 46, 62, 96, 100, 103, 105, 110, 111, 115, 116, 118 121, 152,253-25, 306 etc.) , http://lex.justice.md/md/326757/</t>
  </si>
  <si>
    <t xml:space="preserve">yes, the Law 820/2001 on antidumping, countervailling and safeguard measures </t>
  </si>
  <si>
    <t>100%, source - National Institute of Standardization (www.standard.md), as for 31.12.2016.</t>
  </si>
  <si>
    <t>Evaluation Performed, to be signed in October 2017</t>
  </si>
  <si>
    <t>EU BLA to be signed in October 2017</t>
  </si>
  <si>
    <t>Affiliate member to CEN since 2009</t>
  </si>
  <si>
    <t>Affiliate member to CENELEC since 2014</t>
  </si>
  <si>
    <t>Observer -1 institution - National Institute of Standardization (www.standard.md).</t>
  </si>
  <si>
    <t>No, only after international standard is adopted</t>
  </si>
  <si>
    <t>4, honey, eggs, aqua-culture, poultry</t>
  </si>
  <si>
    <t>1, one product - honey</t>
  </si>
  <si>
    <t>2, fur, leather</t>
  </si>
  <si>
    <t>Under preparation, In February 2017 the Government adopted the measures for implementation of the emnt adopted Hotărârea Guvernului nr.59 din 07.02.2017 cu privire la aprobarea măsurilor de punere în aplicare a sistemului rapid de alertă pentru alimente și furaje la nivel național.​</t>
  </si>
  <si>
    <t>Under preparation. A new  fod safety strategy is under development, after the old strategy for 2011-2015 expired.</t>
  </si>
  <si>
    <t xml:space="preserve">yes, within the National Bank of Moldova </t>
  </si>
  <si>
    <t>yes, National Commission for Financial Markets</t>
  </si>
  <si>
    <t>yes, meanstreamed in the action Strategy and annual plans of the National Commission for Financial Markets</t>
  </si>
  <si>
    <t xml:space="preserve"> 10 000 euro without declaration, more can be done based on customs declaration </t>
  </si>
  <si>
    <t>yes, for payments exceeding  500 thousand MDL (approx. - 25000 euro) by transfer or 100 thousand MDL (5000 Euro) in
cash, the justifications of sources and indentify are required.</t>
  </si>
  <si>
    <t>Yes. Though Moldova obtained the visa-free regime in April 2014, it has to ensure a further fulfillment of the requirements envisaged by Visa Liberalization Action Plan of December 2010. According to the new suspension mechanism (Regulation (EU) 2017/371 amending the Council Regulation (EC) No 539/2001) , the failure to implement one or more benchmarks can trigger the reintroduction of visa regime for some categories of citizens and ultimately for all citizens. In the 3rd year of visa liberalization, 982.764 Moldovan citizens holders of biometric passports travelled to Schengen zone.  http://eur-lex.europa.eu/legal-content/EN/TXT/?uri=CELEX:32017R0371 http://www.border.gov.md/index.php/ro/3517-circa-un-milion-de-moldoveni-au-mers-fara-viza-in-europa</t>
  </si>
  <si>
    <t>No. There is no separate individual document apart from the benchmarks included in the Visa Liberalization Action Plan of December 2010. No national mechanism of co-ordination is in place as the EU monitors the implementation of the benchmarks of the Action Plan. The new Association Agenda for 2017-2019, which includes the priorities related to Association Agreement implementation, reflects the visa-free regime as well. It foresees that if EU has justified concerns about specific benchmarks, it can request relevant information from the Moldovan authorities.</t>
  </si>
  <si>
    <t>Yes. The visa facilitation regime remains in place, based on the bilateral Visa Facilitation Agreement , signed in October 2007 . Actually, it regulates the situation of those citizens who still use non-biometric passports and need visa to travel to EU.  http://visa-free-europe.eu/wp-content/uploads/2012/03/EU-Moldova-Agreement.pdf http://europa.eu/rapid/press-release_IP-07-1478_en.htm?locale=en</t>
  </si>
  <si>
    <t>Yes. Moldova has adopted a Law on data protection in July 2011 that entered into force in 2012.  However, the representatives of the civil society underscore that a number of state authorities commit abuses refusing to enforce properly the provisions on access to information . The most criticized institutions are the Ministry of Justice (the cases audited in the courts), General Prosecutor Office, National Integrity Authority, Ministry of Internal Affairs, and the Presidency Office. This list also include various state owned enterprises such as Moldtelecom (TIC), Metalferos (scrap metal), Registru (identification documents), Posta Moldovei (postal service), MoldovaGaz (gas sector). All these entities face criticism for refusing to offer information of public interests by invoking the personal data protection. According to the Association Agenda for 2017-2019, Moldovan authorities agree to advance the approximation with EU legislation in the field, in particular with the Regulation 2016/679 on General Data Protection Regulation. http://lex.justice.md/md/340495/ http://www.bizlaw.md/2017/02/13/datele-cu-caracter-personal-intre-protectia-demnitarilor-si-limitarea-accesului-la-informatie/</t>
  </si>
  <si>
    <t>Yes. According to Art. 19 of the Law on data protection, the National Centre for Personal Data Protection shall act in full conditions of impartiality and independence. The new director of the Centre was appointed in April 2016. 52 MPs voted for his candidacy.  He assumed publicly that some public servants abusively invoke the law on data protection. He also agreed that the access to public information is crucial for investigative journalists.  Nevertheless, according to the Association Agenda for 2017-2019, the Centre requires more capacity building. http://www.jurnal.md/ro/politic/2016/4/8/eduard-raducan-noul-director-al-centrului-national-pentru-protectia-datelor-cu-caracter-personal/  http://jurnal.md/ro/social/2017/2/26/directorul-centrului-de-protectie-a-datelor-cu-caracter-personal-recunoaste-ca-legea-este-uneori-interpretata-abuziv/</t>
  </si>
  <si>
    <t>Yes. The national legislation is in line with the requirements for issuing biometric passports.  An Action Plan dedicated to ensuring the issuing of biometric passports was implemented in 2010. http://lex.justice.md/md/311641/</t>
  </si>
  <si>
    <t>Yes. Since 1 January 2011, Moldovan authorities is issuing only biometric passports, the documents issued before this date are available until their expiring. According to official data, by March 2017, the authorities issued more than 1.6 mil. biometric passports to citizens with residency on the territories controlled by the constitutional authorities. At the same time, the number of citizens from the Transnistrian region who hold biometric passports overpassed 100.000 persons in 2017 from approx. 75.000 at the end of 2015.</t>
  </si>
  <si>
    <t>Yes. Moldova continues to implement the Readmission Agreement signed in 2007. Without this the visa-free regime would be impossible. This commitment is also envisaged in the Association Agenda for 2017-2019.</t>
  </si>
  <si>
    <t xml:space="preserve">Yes. The Bureau for migration and asylum is in charge with migration management. According to the Association Agenda for 2017-2019, it still requires further strengthening of the legal framework, reception conditions, capacities at the local level for combating illegal stay, and overall improvement of the infrastructure. </t>
  </si>
  <si>
    <t>Yes. Moldova adopted a comprehensive law on asylum in 2008.  http://lex.justice.md/md/330978/</t>
  </si>
  <si>
    <t>Yes. The law on asylum contains provisions on the status of refugees.</t>
  </si>
  <si>
    <t>No serious complaints about the quality of the existing infrastructure were raised. However, according to Association Agenda 2017-2019, the authorities are requested to improve the reception conditions.</t>
  </si>
  <si>
    <t>Yes. Moldova has adopted a strategy on integrated border management (IBM) and an action plan for the period 2015-2017.  The latter followed the initial strategy on IBM of 2010, which was adopted as part of the requirements for obtaining visa-free regime with EU. http://lex.justice.md/index.php?action=view&amp;view=doc&amp;lang=1&amp;id=355944</t>
  </si>
  <si>
    <t>Yes. The strategy on IBM for 2015-2017 contains an action plan that describes the operational aspects of the cooperation and communication within the IBM entities.</t>
  </si>
  <si>
    <t xml:space="preserve">Yes. The Custom Code of 2000 foresees specific competences for the customs service in carrying out investigations that fall under the provisions of the Penal Code. </t>
  </si>
  <si>
    <t>Length of border with Ukraine is 1222 km. Between 10 to 12 km on the perimeter of Transnistrian region are to be demarcated. The demarcation on Ukrainian border is planned to be finished in 2017, with a particular focus on the locality of Giurgiulești and at Novodnestrovsk hydroelectric infrastructure.  Overall, 99% of the border demarcation is completed. http://www.mfa.gov.md/img/docs/Raport-privind-implementarea-AA-2014_2016.pdf</t>
  </si>
  <si>
    <t>Yes. Law of the Republic of Moldova No. 15-XV of February 17, 2005 “On Ratifying the United Nations Convention against Transnational Organized Crime”. However, Moldova acknowledged that it is unable to ensure the full implementation of provisions until the full establishment of the territorial integrity of the country.</t>
  </si>
  <si>
    <t>Yes. Law of the Republic of Moldova No. 17-XV of February 17, 2005 “On Ratifying the Protocol to Prevent, Suppress, and Punish Trafficking in Persons, especially Women and Children, supplemented the United Nations Convention against Transnational Organized Crime”. However, Moldova acknowledged that it is unable to ensure the full implementation of provisions until the full establishment of the territorial integrity of the country</t>
  </si>
  <si>
    <t>Yes. Moldova has extended in 2017 the Strategy on fighting organized crime implemented during 2011-2016 for three more years until 2019.  http://www.moldova.md/ro/content/strategia-nationala-de-prevenire-si-combatere-crimei-organizate-fost-extinsa-pentru-anii</t>
  </si>
  <si>
    <t>Yes. However, the legislation dates from 2007 and requires updating in line with UN Security Council Resolutions and FATF recommendations. In June 2016, the amendment and extending of the existing legislation started aiming to regulating the confiscation procedures.  http://www.cna.md/public/files/proiecteelaborate/anunt_agentia_recup.bunuri_infractiuni.pdf</t>
  </si>
  <si>
    <t>Yes. The Council of Europe monitors Convention’s implementation by Moldova.</t>
  </si>
  <si>
    <t>Yes. Law of the Republic of Moldova No. 67-XVI of March 30 2006 “On Ratifying the Council of Europe Convention on Action against Trafficking in Human Beings”</t>
  </si>
  <si>
    <t>Not adopted. During 2001-2016, the Moldovan government implemented a number of action plans for combatting trafficking in human beings, enacted through governmental decisions. Thus, no framework legislation apart from the strategy for national reference system on protection and assistance of victims of human trafficking (2009-2016) was in place. The approach is going to change in 2017, when a Strategy on prevention and combating of trafficking in human beings will be enacted.  http://particip.gov.md/public/documente/143/anexe/ro_3852_Proiect-Nota-Informativa.pdf</t>
  </si>
  <si>
    <t>Yes. The strategy for national reference system on protection and assistance of victims of human trafficking for 2009-2016  establish a specific assistance mechanism. http://lex.justice.md/md/330608/</t>
  </si>
  <si>
    <t xml:space="preserve">No. Issueing a licence for a company from separatist region, with off-shore and unclear owners behind it in a very urgent manner, which ultimately was subject of critisism for 'arranged' scheme during 2015-2016 for power trade that would not be possible without involvment of Governmental outhorities </t>
  </si>
  <si>
    <t xml:space="preserve"> No. The political influence was obvious given the postponement of tariff review and approval (increase) from 2011 until mid 2015. In 2014, October, there were parliamentary elections. On January 26, 2016,NAER reduced gas tariffs by app. 11%. A week before, PM anounced that Government considers that at least 10% reduction should be approved. Another example is that in 2015, National Council for Security requested NAER to suspend its decision as of 15.07.2015 on tariff increase for natural gas.</t>
  </si>
  <si>
    <t>Partially. Crucial decision such as gas tariff was approved at midnight with no public consultation (2015). Information on tariff adjustment is presented for public consultation partially, often not meeting time requirements.</t>
  </si>
  <si>
    <t>Yes/(0.75). Electricity sector is unbandled. Gas sector will meet the Energy III package requirements by 2020.</t>
  </si>
  <si>
    <t>Yes for electricity sector. No for gas sector.</t>
  </si>
  <si>
    <t>(0.25) Under progress. Interconnection with Romania. First stage - Iasi-Ungheni -comissioned in 2014. Feasibility study performed. Technical design - under preparation. To be comissioned by end of 2019.</t>
  </si>
  <si>
    <t>Yes. The Law on Energy Efficiency Law No. 142 as of 02.07.2010, transposes the 32th Directive on energy services</t>
  </si>
  <si>
    <t>No. Central public adm develops National Program on Energy Efficiency and Action Plan. EE Projects for public buildings/street illumination/etc are developed by LPA or buildings administration</t>
  </si>
  <si>
    <t>Yes. Energy Efficiency Fund</t>
  </si>
  <si>
    <t>Yes. The Environmental Strategy and Action Plan 2014-2023  was aproved by Government on 24.04.2014 (http://lex.justice.md/index.php?action=view&amp;view=doc&amp;lang=1&amp;id=352740)</t>
  </si>
  <si>
    <t>Yes. The development of the strategy started in 2011 with the support of UNDP Moldova office and it there was organised a series of consultation events/meetings with various target groups</t>
  </si>
  <si>
    <t>Yes. It was published on the web page of the Ministry of Environment</t>
  </si>
  <si>
    <t>Yes. In the announcement always is communicate the deadlines for receiving the comments</t>
  </si>
  <si>
    <t>No. Even it was recommended for many times by civil society always to publish the comparabe table, the public authorities still do not do this</t>
  </si>
  <si>
    <t xml:space="preserve">Partially. Some objectives are general, with very vague description and difficult to measure </t>
  </si>
  <si>
    <t>Yes. It is planned to make a deep institutional reform during first 4-5 years of the Strategy. According to Association Agreement MD-EU, the deadline for the institutional reform was in June 2016. Even so, the institutional reform started to be implemented in 2016, but with big difficulties and the final implementation of it should be monitores very carefully. However, the Government of RM proposed to have a complex reform of central public authority in autumn 2016 and the institutional reform in environmental sector stoped till getting new indications. The biggest challenge is that this new reform of the Government structure propose to merge of the Ministry of Environment and Ministry of Agriculture, domains which have conflict of interests because of management of chemical substances, protection versus exploitation of water and soil resources,
management of waste coming from the livestock sector, etc. Environmental civil society express its concern about this intent of the Government through a public declaration address to all decision makers in MD and to development partners - http://environment.md/info/218-Declaraia-Societii-Civile-privind-monitorizarea-Acordului-de-Asociere-pe-aspectele-proteciei-mediului.html. Also, this concern was included in Joint declaration of the EU-Moldova Civil Society Platform for monitoring the implementation of AA (point 20) - http://www.eesc.europa.eu/resources/docs/joint_declaration_final.pdf</t>
  </si>
  <si>
    <t>Partually. There is mentioned that there should be included a person responsable for environmental aspects within local public authorities, but there are nodescription about the responsabilities of this position</t>
  </si>
  <si>
    <t>No. The strategy include the idea about needs of integration of environment into other policy areas, but there are no procedures described about</t>
  </si>
  <si>
    <t>Partually. The Action Plan include a section of sources of financing, but nothing about human resources</t>
  </si>
  <si>
    <t>There is a Water supply and sanitation strategy for 2014-2028 in place (http://lex.justice.md/md/352311/). Also, there where developed Management plans for Dniester River Basin and for Prut-Danube and Black Sea Basin. This plans should be aproved by the Government, but not in the near future</t>
  </si>
  <si>
    <t>The is Waste management strategy for 2013-2027 in place - http://lex.justice.md/viewdoc.php?action=view&amp;view=doc&amp;id=347341&amp;lang=1</t>
  </si>
  <si>
    <t>There is a Strategy for protection of   biodeversity for 2015-2020 - http://lex.justice.md/index.php?action=view&amp;view=doc&amp;lang=1&amp;id=358781</t>
  </si>
  <si>
    <t>There is a National Programme on management of chemicals for 2016-2020 - http://lex.justice.md/index.php?action=view&amp;view=doc&amp;lang=1&amp;id=336557</t>
  </si>
  <si>
    <t>Passed 1st reading in the Parliament of RM in autumn of 2016 and it was adopted by the Parliament in March 2017</t>
  </si>
  <si>
    <t>It is in force from 29.05.2014 - http://lex.justice.md/index.php?action=view&amp;view=doc&amp;lang=1&amp;id=353608</t>
  </si>
  <si>
    <t>Partually. The legislation in general exists (prohibition of poaching, quality of food control, origin of fish should be documented), but weakly implemented</t>
  </si>
  <si>
    <t>It was ratified by the Parliament of the Republic of Moldova on 4th of May 2017</t>
  </si>
  <si>
    <t>Yes, adopted by Government on 10.12.2014 - http://lex.justice.md/index.php?action=view&amp;view=doc&amp;lang=1&amp;id=355945</t>
  </si>
  <si>
    <t>Under preparation. There are drafts of the Strategy on climate change adaptation in forestry and the Strategy on climate change adaptation in health - http://adapt.clima.md/pageview.php?l=ro&amp;idc=305. And under consideration are strategies for climate change adaptation in water, agriculture, transport and energy sectors</t>
  </si>
  <si>
    <t>There is a Climate Change Office, created by Ministry of Environment,  thet is working like a project implementation unit - http://adapt.clima.md/index.php?l=en</t>
  </si>
  <si>
    <t>The State Railway company retains the monopoly  over the rails transportation. In 2013,  an attempt to privatise  the raiways operation was made. In 2015, the discussions about the privatization of Railway Company reopened, due to the continuing increase of losses and debts.</t>
  </si>
  <si>
    <t>Ports can be granted for concession. The operation of Moldova's only port was concessioned to a private company.</t>
  </si>
  <si>
    <t>Airport can be granted for concession.  In 2013, the main international airport (Chisinau airport) was concessioned to a private company</t>
  </si>
  <si>
    <t>Railways company is an integrated monopolist in managing railway infrastructure and in providing passenger and freight transportation services. In 2014 a first step to unbundle this monopoly was made, when the internal structure of the State Railway Company was modified and separate business units for  the infrastructure, freight and passenger transportation were created.</t>
  </si>
  <si>
    <t>National Agency of Road Transport SRA is in charge of all road construction, maintenance and rehabilitation, and of road
safety. The private sector dominates  the road operation.</t>
  </si>
  <si>
    <t>There is a National Agency of Road Transport that is subordonated to the Ministry of Transport, although has a management and budgetary autonomy (http://www.anta.gov.md/content/regulament-0)</t>
  </si>
  <si>
    <t>In 2014 a Civil Aviation Aithority (CAA)  was set up as an independent executive, coordinating and control body the field of civil aviation, subordinated to the  Government. (GD no. 645 of 07.08.2014), http://www.caa.md/eng/responsibilities/</t>
  </si>
  <si>
    <t>No, the Minister of Transport and Roads Infrastructure is responsible for undertaking all  measures to ensure the investigation of railway, naval and civil aviation incidents (GD no. 695 of 18.11.2009)</t>
  </si>
  <si>
    <t>The National Patrol Inspectorate of MIA is responsabile for accident/incident investigation</t>
  </si>
  <si>
    <t>No, Moldova does not have its own dedicated air accident technical investigation agency. The Ministry of Transport  may form an ad hoc committee or if applicable they may allow a foreign accident investigation agency to do the job. (e.g. http://www.mtid.gov.md/ro/rapoarte_investigatie)</t>
  </si>
  <si>
    <t>in 2015 - 712 (2527 accidents), in 2016 - 689 (2445 accidents)</t>
  </si>
  <si>
    <t xml:space="preserve">yes, a Land Transport Infrastructure Strategy for 2008-2017 and  the Transport and Logistics Strategy for 2013-2022 (GD  no. 827 of 28 October 2013)
</t>
  </si>
  <si>
    <t xml:space="preserve">No. However, certain campaign activities (namely, campaigning on public TV and radio channels) of the contestants are financed directly from the state budget of Ukraine. </t>
  </si>
  <si>
    <t>No. Following the 2014 snap parliamentary elections, the OSCE/ODIHR recommended to ensure independence of the National TV and Radio Broadcasting Council (which is in charge of supervising broadcasters during national election camapaigns) during the whole duration of its mandate and to ensure that any possible conflicts of interest of individual member of that Councilduring the pre-election period are avoided. The OSCE/ODIHR also recommended to give consideration to enhancing the capacity of the Council to oversee and fully ensure a broadcast media's compliance with the legislation, as well as to address media-related complaints and impose effective sanctions for violations during the election campaign. These recommendations have not been implemented during 2015 and 2016</t>
  </si>
  <si>
    <t>In 2014 pre-term parliamentary and presidential elections, the key international and domestic election observation missions concluded that elections were generally held in line with the international standards.The  2015 local elections generally complied with the international standards. However, a number of serious irregularities and violations were noted with respected to 2014 and 2015 election campaigns. Following the 2015 local elections, the OSCE/ODIHR stated that certain provisions of the Local Election Law (including those preventing the independent candidates from running in the elections) were contrary to the OSCE Copenhagen document. The OSCE/ODIHR noted the cases of politically motivated decisons of the Territorial Election Commissions, negative implications of the parallel system used in council races, trading of seats on election commissions, isolated instances of threats and phisical attacks targeting the candidates, wide-spread vote buying, use of undeclared funds for political campaigning and other issues.</t>
  </si>
  <si>
    <t xml:space="preserve">The 2015 Local Election Law was adopted in few months before the start of the election campignand without any public consultations, which OSCE/ODIHR views as inconsistent with OSCE commitments and good international practice. Civil society organizations criticized proportional system introduced by that Law for local council elections, which led to overrepresentation of certain communities in the councils and underrepresentation of other communities. THE OSCE/ODIHR also emphasized that exclusion of independent candidates from most council elections is contrary to the OSCE standards, while many previous recommendations for improvement of the election-related recommendations were not addressed by the Government of Ukraine, including recommendations to ensure stability and impartiality of the electoral administration, procedures for candidate registration, transparency of campaign finance and other. The 2011 Parliamentary Election Law was adopted in the same way as 2015 Local Election Law (i.e. without public consultaions and proper deliberation by the legislature) and suffered from a number of flaws, many of which have not been addressed in 2014, when this law was significantly amended. These flaws include lack of clear requirements to establishment of the election district boundaries, lack of provisions aimed to ensure a balanced gender representation among the candidates, lack of instruments aimed to ensure independence of the election commissions, effective and timely tabulation of the election results and other. Another issue of concern among the domestic experts is the fact that the 2014 and 2015 election races (as well as local elections and parliamentary by-elections held in 2015 and 2016) were administered by the Central Election Commission whose legitimacy is undermined by the fact that the terms in office of 12 out 15 of the CEC  members expired in June 2014 (the Commissioners with expired terms have never been replaced). </t>
  </si>
  <si>
    <t>No. According to the Parliamentary Election Law, the election districts should comply, if possible, with a number of requirements. In particular, deviation in the number of voters between the districts should not exceed 12% of the average number of voters in all the districtss; the district boundaries should respect the interests of local communities, national minorities and sub-regional devision of Ukraine. However, all of these requirements are "soft" since, as has been mentioned above, should be respected if possible. The Parliamentary Election Law provides little guidance to the CEC as to how the number of districts in each region should be determined. Neither does it require to hold public consultations while setting the election district boundaries. Based on the 2012 election results, the OSCE/ODIHR EOM recommended to amend the electoral law to provide for a transparent redistricting process, performed well in advance of the next parliamentary elections and based on clear, publicly announced rules, taking into account the existing administrative divisions, and historical, geographical and demographic factors.This 2012 recommendation has never been implemented and the election district boundaries are currently by large the same as they were in 2012 parliamentary elections.</t>
  </si>
  <si>
    <t xml:space="preserve">Yes. All three election laws governing the national and local elections, as well as the State Register of Voters Law provide for a number of mechanisms aimed to ensure the accuracy of the data in the State Register of Voters. In particular, the changes to the voters' data on the Register can only be made by the Register of Voters Maintenance Bodies (which excludes the possibility of multiple inclusions and unreasonable inclusions of the voters into the data base), while any amendments to the State Register of Voters are prohibited on the Election Day. In both 2014 and 2015 elections, the OSCE/ODIHR noted that voter lists are accurate, while experts express general trust into the voter registration system. </t>
  </si>
  <si>
    <t>The Parliamentary Election Law and Presidential Election Law provide for a precise list of documents to be submitted by political parties, MP candidates and  presidential candidates to the Central Election Commission to be registered as electoral subjects. The Law restricts the possibility of refusal of registration or cancellation of registration to formal reasons only (failure to submit all required documents, loss of Ukrainian nationality by a candidate etc.). However, after the 2014 early parliamentary elections, the OSCE/ODIHR stated that the CEC failed to establish templates and did not provide clear instructions for completing the registration documents by parties and candidates, which resulted in the rejection of 640 nominations on technical grounds due to minor ommissions and considered such practice to be contrary to the election law.The OSCE/ODIHR also criticized the Parliamentary Election Law for the lack of instruments aimed to ensure a better representation of women among the elected candidates.The 2015 Local Election Law was criticized by the OSCE/ODIHR for prohibition of the independent candidates to run in the local council elections held based on proportional system, as well as for the lack of mechanism to enforce gender quoya requirement provided for by that law.Similarly to the parliamentary elections, many nominations were rejected by the territorial election commissions based on technical grounds, due to clarity as to how the registration documents be filled. It was also noted by the OSCE/ODIHR that some TECs repeatedly denied registration of certain candidates, despite the CEC and court decisions mandating acceptance of the nominations. In both cases (i.e. in the case of parliamentary and local elections). In both cases, the OSCE/ODIHR viewed the lack of clear guidance for filling the registration documents as inconsistent with the OSCE and Council of Europe's standards.While during the 2014 presidential elections there has been no been serious issues with presidential candidates registration, the OSCE/ODIHR considered the residence requirement for the presidential candidates contrary to the international standards.</t>
  </si>
  <si>
    <t>Yes. While in 2014 and 2015 elections most candidates were registered by the respective election commissions, the OSCE/ODIHR noted unreasonable rejections of certain nominations based on technical ommissions/errors in the registration documents (see above).</t>
  </si>
  <si>
    <t>Yes. In the parliamentary elections independent candidates can be registered in the single mandate districts (however, in the nationwide election district only political parties can nominate candidates). The Presidential Election Law also allows independent candidates to be registered for election. In the local elections independent candidates are allowed only in certain races, such as mayoral elections and council elections held basedon the fiirst-past-the-post electoral system.</t>
  </si>
  <si>
    <t>No. The 2015 annaul national survey conducted by the International Foundation for Electoral Systems revealed that only 32% of the voters feel confidence with the CEC, while 48% did not trust the CEC. The transparency of the CEC to some extent is undermined by the practice of preliminary discussion of the draft resolutions behind the closed doors, i.e. before the formal meetings at which media, parties and candidadates  are present. The CEC also repeatedly refused to provide access to certain documents filed by the candidates to run in the elections. Some members of the CEC faced allegations of corruption (even though such allegations have not been upheld by courts). The overall trust to the CEC is also decreased by the fact that 13 out of 15 CEC members still continue to exercise their powers, even though the terms in office of all of them expired, in 12 cases almost three years ago (i.e. in June 2014.)</t>
  </si>
  <si>
    <t xml:space="preserve"> The 2014 early presidential elections were generally accessible, secure and secret, except for two regions in the Eastern Ukraine, where voting/tabulation was impossible to organise in many territorial districts. With respect to the 2014 early parliamentary elections, the OSCE/ODIHR concluded that in most of the country election day proceeded calmly, with few disturbances, with isolated security incidents and tensions during the vote counting.The violation of the secrecy of vote in national and local elections is by large ensured in practice. Accessibility of the polling stations for the voters with disabilities has been remaining an issue to address, as many voting premises are not adapted to the needs of the people with disabilities. </t>
  </si>
  <si>
    <t>Yes. The procedures for printing the ballot papers, for distribution of the ballot papers to the election commissions, as well as for voting are rather detailed, which can be viewed as an additional mechanism for prevention of electoral fraud. However, in all the national and local elections held in 2014 and afterwards, the OSCE/ODIHR and domestic observers reported the cases of fraudelent voting, although these cases were singular instances rather than common practice.</t>
  </si>
  <si>
    <t xml:space="preserve">Yes. In 2014 presidential and parliamentary elections, the OSCE/ODIHR stated that voting was organized without serious issues, including intimidation. The only category of voters which faced intimidation were Crimean tatars from the temporarily occupied territory of Crimea: the community was intimidated by increased repressions in Crimea by Russian authorities. </t>
  </si>
  <si>
    <t xml:space="preserve">Yes. The procedure for registration of both domestic and international observers in national elections is straightforward and clear. In 2014 presidential elections, the CEC accredited 10 NGOs and international observers from 19 states and 20 international organizations, while  2014 early parliamentary elections were observed by 37 domestic NGOs and international observers from 21 foreign states and 20 international organizations. </t>
  </si>
  <si>
    <t>In 2014 snap parliamenary elections OSCE/ODIHR observers identified a number of problems during vote counting, including presence of unathorized persons, interference of non-PEC members in vote counting, frequent cases when legally prescribed reconciliation procedures were not followed by PEC members, problems with completing vote counting protocol, isolated cases of tensions and unrest. However, these issues were identified only in 10% of the polling stations observed. In the most recent 2014 presidential elections, the OSCE/ODIHR observers positively assessed vote counting in 94% of the polling stations observed. The most common problems during the vote counting were procedural errors and problems with filling the vote counting protocols, in addition to presence of unauthorized people at the polling stations and reconciliation issues. Similar problems were also identified during the 2015 local elections</t>
  </si>
  <si>
    <t>In the national and local elections, candidates, authorised representatives of political parties, candidate proxies as well as observers from political parties, candidates and NGOs are allowed to observe the count.</t>
  </si>
  <si>
    <t>According to the OSCE/ODIHR, handling the complaints by the election commissions in 2014 snap parliamentary elections compromised the right to effective remedy, as significant part of complaints was dismissed  on technical grounds. The adjudication of certain categories of disputes by courts was marked by non-uniform interpretation of the law by different panals of judges of the same court, which effectively undermined legal certainty and the principle of equility before the law. Many cases were also dismissed by courts onprocedural grounds. Rejection of complaints on procedural grounds was also criticized by the OSCE/ODIHR during the presidential election held in 2014, as well as in the 2015 local elections. Following the 2015 local elections, the OSCE/ODIHR stated that some court decisions did not provide sound legal justification, which undermined the right to effective remedy enshrined in in the OSCE and other international documents.</t>
  </si>
  <si>
    <t xml:space="preserve">In 2014 elections, all domestic and internations election observation missions confirmed that the elections were without serious problems (except for the territories near the line of contact in the Ukraine's East), even though a number of violations were report, which, however, did not undermine the overall credibility of the elections. The 2015 local elections were problematic in a number of aspects, but cases of violations were related mainly to specific races where the political tensions were high. </t>
  </si>
  <si>
    <t xml:space="preserve">yes, to a certaine degree, though it can not be considered totally effective and independent </t>
  </si>
  <si>
    <t>yes, since 2013, not this system include not only criminal cases, but provides also secondary legal aid to certaince vulnerable groups, though it is limited and not available to all, free legal aid in criminal cases available to all</t>
  </si>
  <si>
    <t xml:space="preserve">yes, last ad hoc visist in 2016 report not published yet </t>
  </si>
  <si>
    <t>Yes. The Ombudsman Office is defined as the National Preventive Mechanism (NPM)</t>
  </si>
  <si>
    <t>Yes. The parliament and its committees have the right to invite any governmental officials except for President and judges. In case of invitation to participate at the parliamentary session the decision has to be taken by one third of the members of parliament. In addition to the parliament, the executive branch officials can be summoned by the parliamentary committees, special or temporary investigation commission to the sessions where the issues which belong to the competence of the respective committee or commission are discussed.</t>
  </si>
  <si>
    <t>Yes. The Parliament has the right to conduct independent investigations of the chief executive and agencies of the executive by establishment of  temporary commissions of inquiry. However, the law that regulates the activities of the respective commissions was defined as “anticonstitutional” by the Constitutional Court of Ukraine back in 2009. Therefore the activities of the respective commissions lack legislative background.</t>
  </si>
  <si>
    <t>No. The parliament’s powers in this field are limited to defining the basic principles of national security; setting the structure, number of staff and functions of the Armed Forces, Security Service, Ministry of Interior; adoption of the national programmes of reforms in the relevant field etc. The parliament may control the activities of the agencies of coercion via general mechanisms of parliamentary oversight, through the Ombudsman and Accounting Chamber, but, again, the effectiveness of such control is not very high since the parliament is not allowed to vote no confidence in the heads of the relevant agencies. Besides, the Parliament is limited in its right to investigate the activities of the respective bodies by the lack of legislation that regulates the activities of the respective special investigation commissions.</t>
  </si>
  <si>
    <t>The Prime Minister is appointed by the parliament upon the President's proposal. The President is constitutionally required to submit to the Parliament the name of the PM suggested by parliamentary coalition no later than on 15th day after the name was suggested.</t>
  </si>
  <si>
    <t>Yes, the legislature appoints all the ministers on the Prime Minister's proposal, with the only exception of Foreign Minister and Minister of Defense, whose names are suggested to the legislature by the president.</t>
  </si>
  <si>
    <t>Yes. On the proposal of a president or of no less than one-third of its constitutional composition, the Parliament may initiate the vote of no confidence in the government and adopt resolution of no confidence in the Cabinet of Ministers by the majority of its constitutional composition. However, non-confidence in the government cannot be considered by the Parliament of Ukraine more than once during one regular session and within one year from the date of approval of the Government’s Program.</t>
  </si>
  <si>
    <t>The president is entitled to dissolve the parliament in three cases: if the parliament fails to hold its regular meetings during 30 days of the current session, if no new government has been formed in 60 days after the previous government's resignation, and if during 30 days following dissolution of the parliamentary coalition new coalition has not been formed.</t>
  </si>
  <si>
    <t>Yes, but a two-thirds majority is required to override a presidential veto. At the same time president is limited in his right to veto the laws that envisage constitutional amendments.</t>
  </si>
  <si>
    <t>Yes. Any changes to Constitution are invalid without passing through the parliament</t>
  </si>
  <si>
    <t>Yes. Amnesty can be granted by the law adopted by the Parliament and signed by the President of Ukraine</t>
  </si>
  <si>
    <t xml:space="preserve">Yes. Yes, in two major ways: first, through appointment of half the members of the National Broadcasting Council, which regulates the activities of the broadcasting entities, including public (state-owned media); second, through development of the policy in the field of broadcasting and adoption of the relevant laws. The parliament also operates TV-channel “Rada” created by the Decree of the Head of the parliament dated by 28.11.1998. </t>
  </si>
  <si>
    <t>Within Petro Poroshenko Block 18 MPs changed affiliation (including Mp Barna and MP Negoy who returned back to the Block afterwards), within People's Front - 1, within Opposition Block - 1, within Self-help - 6, within Radical Party 1, within ByuT - 1, within People's Will - 7 and within Rennaissance - 0. Total = 35 MPs, which equals to 0.08 = 8%</t>
  </si>
  <si>
    <t>Yes, there are internal control and enforcement mechanisms in police structures. MoI has the department of internal security and the section for monitoring human rights protection in activities of the MoI. There is also the Department of preventive activities within the structure of National Police which includes Human rights unit and the Deparment for Human Rights.</t>
  </si>
  <si>
    <t>Yes, there are internal control and enforcement mechanisms in the Armed Forces. The Army has the Department of the Law Enforcement Service in the Armed Forces of Ukraine. At the same time, it does not work efficiently and it defends the reputation of the army until civil society raises a point for investigation of abuses that affect civilians. However, the Army is not usually used in crowd control operations.</t>
  </si>
  <si>
    <t>Yes, there is a telephone helpline with the number available  at the webpage of the MoI. Also, potential victims can use a letter or e-mail for whistleblowing, contacting the Minister or meet him personally in the framework of established procedures. But it does not guarantee fair and unbiased investigation.</t>
  </si>
  <si>
    <t>Yes, there is a telephone helpline with the number available at the webpage of the MoD. Also, potential victims can use a letter or e-mail for whistleblowing, contacting the Minister or meet him personally in the framework of established procedures. But it does not guarantee fair and unbiased investigation.</t>
  </si>
  <si>
    <t>Yes, there is a telephone helpline with the number available at the webpage of the Security Service. Also, potential victims can use a letter or e-mail for for whistleblowing, contacting the Head or meet him personally in the framework of established procedures. But it does not guarantee fair and unbiased investigation.</t>
  </si>
  <si>
    <t>Yes, it can in accordance with article 89 of the Constitution of Ukraine. The decision to launch parliamentariy investigations and to create the respective commission is to be taken by one-third of the members of the Parliament of Ukraine. However, the investigation commission's findings and conclusions are decisive neither for investigation nor for court. Besides, the Parliament is limited in its right to investigate by the lack of legislation that regulates the activities of the respective special investigation commissions.</t>
  </si>
  <si>
    <t>The management institutions report to the Parliament once a year. The minutes of the sessions are available for general public. Additionally, there are mechanisms for obtaining some information on implementation of policies such as deputy requests and so on, although the respective institutions may provide generalized information lacking details</t>
  </si>
  <si>
    <t>No. Such information is not published by the respective governmental institution</t>
  </si>
  <si>
    <t xml:space="preserve"> Yes. Under Yanukovich regime (in particular at the end of 2013) intimidation and persecution of civil society leaders and media representatives was usual practice. Besides, on November 16, 2016 UN Member States adopted the resolution on the human rights situation in the Autonomous Republic of Crimea and Sevastopol (Ukraine) at the meeting of the Third Committee of the UN General Assembly. Among other things, the document urges Russia to provide unhindered access to the peninsula for the international human rights defenders, including those working under the auspices of the UN.</t>
  </si>
  <si>
    <t>Yes. Civil Council under the MoD exists and was relatively active in 2015-2016. Most of the Council's decisions have been implemented according to the official reports of the Council. However, the weak side if the council is the fact it was composed of GONGOs.</t>
  </si>
  <si>
    <t>Yes, but Civil Council under Security Service is the almost invisible in the media and the least vocal comparing to civil councils under MoD and MoI. The access to the information on the activities of the Council in most cases is available only on a request and is not available at the Security Service website</t>
  </si>
  <si>
    <t>The members formally have unrestricted access to places of detention in accordance with the amendments of the legislation dated October 2012. However, on 25 May 2016, the United Nations Subcommittee on Prevention of Torture (SPT) suspended its visit to Ukraine. The SPT asserts that the Ukrainian government denied its delegation access to several places in the country – places where it suspects people are being deprived of their liberty by the Ukrainian Security Services. </t>
  </si>
  <si>
    <t>National legislation do not provide criminal liability for defamation or libel.</t>
  </si>
  <si>
    <t>There were no reported cases of bloggers or online journalists being prosecuted, fined, or jailed for defamation or libel during the last three years.</t>
  </si>
  <si>
    <t xml:space="preserve">Ukrainian President Petro Poroshenko on May 15, 2017, signed a decree banning public access to Russian social media platforms, news outlets, and a search engine widely used in Ukraine. The ban affects such internet platforms as VKontakte, Odnoklassniki, RBC, and Yandex. In 2015-2016 there were no cases of filtering or blocking Internet content. </t>
  </si>
  <si>
    <t>The Legislation Database, Unified State Register of Court Decisions, Unified Register of pre-trial investigationare available online.</t>
  </si>
  <si>
    <t>During Safer Internet days there have been implemented non-formal lessons on safe internet behaviour based on interaction and communication with children and young people across Ukraine. The aim was to inform young people about some of the rules of internet behaviour, to discuss virtual threats that could harm people in real life, to identify ways to prevent a negative impact of the internet, and to present and discuss information about the No Hate Speech Movement. Also, the members of the national Safer Internet Day Committee developed a manual titled ‘Human rights in the internet' within the project supported by the Joint Programme of the European Union and the Council of Europe ‘Strengthening the Information Society in Ukraine'.</t>
  </si>
  <si>
    <t>Yes. According to the Constitution, a citizen of Ukraine, not younger than 30 and not older than 65 years old, who has higher legal education and at least 5 years of professional experience in the area of law, is competent, possesses integrity, and has command of the state language may be appointed to judicial position. To become a judge, a person must pass a selection examination (in the format of anonymous testing aimed at verifying a candidate's level of general theretical knowledge, command of state language, and personal moral and psychological characteristics), followed by special vetting as set forth by anti-corruption legislation (verification of property declarations, family connections declarations, etc.), further followed by specialized theoretical and practical training at the National School of Judges (during 12 months) and the passage of a qualification examination (written anonymous testing and anonymous performance of a written practical assignment aimed at identifying the level of knowledge, practical skills, and abilities to apply the law and conduct court sessions. Candidates for positions on appellate courts and the Supreme Court must meet increased experience requirements in the area of law (at least 7 and 10 years respectively), and judges, advocates, and legal scholars may apply to these positions.</t>
  </si>
  <si>
    <t>Yes. Advancement of a judge to higher office is done on competitive basis, upon results of qualification evaluation. Criteria for qualification evaluation include: competence (professional, personal, social, etc.), professional ethics, and integrity. The Public Integrity Council - a body established by civic organizations on the basis of a law - takes part in the evaluation. The Public Integrity Council issues opinions and provides information on the integrity of judges and candidates for judicial positions. These opinions are not decisive; however, two thirds of High Qualification Commission of Judges must vote to overcome them. These selection rules are being applied in practice for the appointment of judges to the new Supreme Court at the end of 2016 - beginning of 2017.</t>
  </si>
  <si>
    <t xml:space="preserve">Yes. According to the Constitution, grounds for removal of a judge include inability to perform judicial duties due to health condition; violation of requirements prohibiting occupying multiple offices by a judge; commission of a significant disciplinary misconduct and gross or systematic disregard of judicial duties, which are incompatible with the status of a judge or have revealed a judge's incompatibility to the office; submitting a resignation application or resigning on a judge's own initiative; not consenting to the transfer to another court in the event of liquidation or reorganization of a judge's current court; and violating the duty to verify the legality of sources of origin of property. The Law sets forth the list of types of disciplinary misconducts. The procedure for reviewing and issuing a decision on removal of a judge from office is carried out by an independent judicial governance body - the Superior Council of Justice, while its disciplinary chambers serve as disciplinary bodies. Such system started to functioning at the beginning of 2017. </t>
  </si>
  <si>
    <t>Yes, partially. Despite significant cuts in the power of court presidents, they remain influential players who, given their support by judicial teams, can exert unlawful influence over judges. Discussing cases with court presidents and confirming court decisions with them is generally tolerated among judges. The problem relating to attempts at political influence over judges has also not been resolved, even though the scale of such influence on the part of the current government is smaller than it was when Viktor Yanukovych was in power. Since many of the judges lack integrity, law enforcement authorities have accumulated quite some dirt against them; thus, judges are prepared to comply with any sort of instructions to prevent the use of this damaging information against them.</t>
  </si>
  <si>
    <t>Yes, partially. Lobbying for financing is based on personal contacts, rather than on legal mechanisms. Funds allocated to  the judicial branch are administered by the State Court Administration, which is accountable to the Council of Judges of Ukraine (however, starting from 2017, the  Superior  Council of Justice, which the State Court Administration will report to, will be responsible for the courts budget). The Supreme Court administers its own funds.</t>
  </si>
  <si>
    <t>Yes, partially. The Law "On the judiciary and status of Judges" guarantees state protection of judges and their families. A judge is entiled to receiving the protection measures that are provided by the Court Protection Service. The Court Protection Service and law enforcement authorities are required to undertake measures needed for ensuring the security of judges and their family members, as well as the protection of their property, upon application by a judge. However, in practice, judges are not sufficiently protected from attacks. Murders of judges go unsolved for years. No visible measures are taken to prevent such instances. In practice, the Court Protection Service has not been established, and functions relating to protection of the courts are carried out by the National Police - although, for a rather lengthy period of 2015-2016, the majority of the courts received no security, since these functions fell within the competence of the Court Protection Service that did not exist.</t>
  </si>
  <si>
    <t>Yes. A judge is appointed by the President upon recommendation by the Superior Council of Justice, following passage of the competition by a candidate. Judges are guaranteed to remain in office until reaching the age of 65.</t>
  </si>
  <si>
    <t xml:space="preserve">Yes. According to the law, a judge cannot be detained, held in custody, or arrested without the consent of the Superior Council of Justice, unless there is a criminal guilty verdict against the judge, except for the detention during or immediately after the commission of grave or especially grave crime (including obtaining illigal benefits). </t>
  </si>
  <si>
    <t>Yes. A determinative role in making decisions on appointment, career and removal of judges belongs to the High Qualification Commission of Judges and the Superior Council of Justice. By law, the High Qualification Commission of Judges consists of 16 members: 8 оf which elected by the Congress of Judges of Ukraine from among judges or retired jusges with at least ten years of judicial experience. As for the Superior Council of Justice, according to the Constitution, it includes 21 members, 10 of which elected by the Congress of Judges of Ukraine from among judges or retired judges, plus the Head of the Supreme Court ex officio. However, although  judges make up the majority of the Supreme Council of Justice before 2019, not all of them were elected by judges.</t>
  </si>
  <si>
    <t>Yes, partially. Since 1996, a Constitutional Court is functioning in Ukraine, which is authorised to review the constitutionality of acts of Parliament, President, and Government, as well as to perform some other functions. Unconstitutional acts lose effect from the date of the decision of the Constitutional Court, unless otherwise in provided for by the decision, but no earlier than the date of it issuance. However, the lawmakers do not always adhere to the demands by the Constitutional Court to fill certain gaps in the legal framework. The Constitutional Court does not have any leverage to correct this situation. Moreover, The Constitutional Court of Ukraine remains weak and politically dependent. In 2016, it issued only 7 decisions.</t>
  </si>
  <si>
    <t xml:space="preserve">Yes. To review administrative acts, Ukraine has created a system of administrative courts and introduced administrative justice. In 2010, administrative courts received a power to impose huge penalties on an official who did not report on the implementation of a court’s decision or did not comply with it. Half of this penalty is collected by the State Budget, while the other half is given to a person who won the court case. The constitutionality of the President’s and the Government’s acts can be reviewed by the Constitutional Court. </t>
  </si>
  <si>
    <t>Yes, partially. According to the Constitution of Ukraine, jurisdiction of the courts extends to all legal disputes. However, there are also instances when the courts of different specialisations simultaneously refuse to accept certain cases to review, on the grounds that these cases must be heard by a court of different specialisation. Also, mechanisms for compensation of damages caused as a result of delays in judicial proceedings are similarly lacking. It should be mentioned that, due to constitutional amendments on justice adopted in 2016, persons who believe that a law of Ukraine applied in a final judicial decisions concerning them contradicts the Constitution of Ukraine were given the ability to directly apply to the Constitutional Court with relevant constitutional complaint. However, the Constitutional Court currently does not review such complaints due to the lack of legislatively regulated procedure for their review. There are also provisions for compensation of material or moral damages caused to individuals or legal entities by the acts and actions that were found unconstitutional; however, the relevant law has not been adopted since 1996, and therefore, compensation is not being carried out.</t>
  </si>
  <si>
    <t xml:space="preserve">Yes. Court decisions can be reviewed only by courts through appellate and cassation proceedings, as well as certain other court procedures, exclusively upon a petition by participants to the proceedings. Judges can be subjected to disciplinary sanctions for decisions issued, if a disciplinary body sees certain abuses, which are clearly defined by the Law as the grounds for disciplinary responsibility of judge. </t>
  </si>
  <si>
    <t>Yes, partially. The Law provides that assignment of a judge or a panel of judges to hear a particular case is done via an automated system. However, in practice, opportunities remain for "manual" mode of case assignment. According to a Regulation on automated case management system for the courts, which was adopted by the Council of Judges of Ukraine, meetings of judges may set forth special rules for automated case assignment in certain instances. Thanks to this, court persidents retained their influence over this process, because meetings of judges sometime entrust these functions specifically to court presidents.</t>
  </si>
  <si>
    <t>Yes. A judge may not participate in hearing a case in the following instances: he or she previously took part in the proceedings for this case as a witness, expert, specialist, interpreter, representative, or court secretary; he or she is directly or indirectly interested in the outcome of the case; he or she is a family member or close relative of a party or other persons participating in the case; there are other circumstances that give rise to doubts in a judge's objectivity and lack of bias; or the procedure for assigning a judge to a case through an automated case management system was violated.</t>
  </si>
  <si>
    <t>Yes, partially. In 2012, a framework Law "On Rules of Ethical Conduct", governing all professional ethics codes, was adopted and extends to judges. In February 2013, the Congress of Judges adopted a fully revised version of the Code of Judicial Ethics. However, its provisions are duplicative of existing legislation in many respects, while at the same time failing to provide answers to a lot of practical questions. However, in February 2016 the Council of Judges approved the official commentary to the Code of Judicial Ethics in order to interpret the Code. Judicial ethics trainings are being conducted; however, they are not practical in nature and are limited to simple commentary on the Code’s provisions.</t>
  </si>
  <si>
    <t>Yes. According to the Law “On Judiciary and Status of Judges”, anyone can apply to the Superior Council of Justice with a complaint (application) on judge's disciplinary offence. Disciplinary proceedings agains judges carried out  by disciplinary chambers of the Superior Council of Justice. Citizens may submit complaints on their own or through an advocate, legal entities - through an advocate, and government and local self-governance bodies - through their leadership or representatives. Prior to filing the relevant disciplinary complaint, an advocate is required to verify the facts that may give rise to a judge's disciplinary responsibility. An advocate may be brought to disciplinary responsibility, as provided by law, for knowingly submitting an unjustified disciplinary complaint. The Superior Council of Justice approves a template for disciplinary complaint and posts it on the official web portal of the judiciary. The complaint must be filed in writing and must containt information clearly defined by the law.</t>
  </si>
  <si>
    <t>Yes, partially. According to the Law “On Judiciary and Status of Judges” and procedural codes, hearings of all cases are open, except when considering the case in a closed session. In most local courts, a person can get inside the building upon presentation of a passport to the guard and stating the reason for visiting the court. Despite the legal requirements, in some courts the guards do not allow entrance into the courtrooms of people who are not trial participants.</t>
  </si>
  <si>
    <t>Yes. Texts of all court decisions and dissenting opinions of judges are to be included in the electronic register of court decisions (http://reyestr.court.gov.ua), which is open to the public and free of charge. In practice, some courts do not yet provide their decisions to the register. Nevertheless, with the launch of the registry, it has become an important source of information about the courts’ activity. As for the recording of court proceedings, there is a mandatory audio recording of trials. But CD recordings of the trial can be provided only to persons who are participants of the proceedings. However, everyone has the right to use a personal recorder in any open trial.</t>
  </si>
  <si>
    <t xml:space="preserve">Yes, partially.  The respective procedures exist but they can hardly be called effective. Despite the the movement toward implementation of European standards, the system of disciplinary responsibility of judges  functions purely in practice. Given the large number of reports of illegal conduct, disciplinary bodies are not able to handle them effectively. As for immunity, in accordance with the new Constitutional amendments, its application does not extend to cases, when a judges was apprehended during or immediately after commission of grave or especially grave crime. </t>
  </si>
  <si>
    <t>yes, it is the Law of Ukraine "On Principals of preventing and combating discrimination in Ukraine" (adopted 2012, amended 2014, further amendments needed had not passed second hearing and still are awaiting in the Parliament, draft law 3501)</t>
  </si>
  <si>
    <t xml:space="preserve">Yes (Art 161) was amended in June 2014 to include disability among protected characteristics, though the mechanism and wording of the article stayed unchanged. Criminal code provides punishment for hate crimes only for 3 grounds. </t>
  </si>
  <si>
    <t>Yes, Art. 12 of the Labour Code of Ukraine</t>
  </si>
  <si>
    <t xml:space="preserve">Yes, these are Law of Ukraine “On Advertisement", "On Ocuupation of population", "On the rights od customers", etc. </t>
  </si>
  <si>
    <t>Yes, Art/ 3 of the Law of Ukraine "On Education”</t>
  </si>
  <si>
    <t>no, only the Labor Code</t>
  </si>
  <si>
    <t>yes, the Law of Ukraine "On Assosiation of Citizens"</t>
  </si>
  <si>
    <t>yes (only for cases concernng disability)</t>
  </si>
  <si>
    <t xml:space="preserve">0.5 </t>
  </si>
  <si>
    <t xml:space="preserve">yes on discrimination ,no decissions on hate crime or hate speech </t>
  </si>
  <si>
    <t xml:space="preserve">3 ministers 12.5% </t>
  </si>
  <si>
    <t>Partially. There are some sporadic cases when consultations influenced the content of the approved policy. Nevertheless, one cannot say the impact of consultations and policy analysis, analytical overviews and opinions by civil society organizations and think tanks are strong. The Government does not inform or provide feedback and explanations on why this or that proposal was or was not adopted.</t>
  </si>
  <si>
    <t>Yes. Secretariat of Cabinet of Ministries</t>
  </si>
  <si>
    <t>Partially. There is a mechanism of parliamentary committees where cross-sectoral issues are addressed. Though this mechanism is still not perfect.</t>
  </si>
  <si>
    <t> Yes. The rules and procedures prescribe the procedure on inter-ministerial consultations and coordinated approval</t>
  </si>
  <si>
    <t> Yes. The governmental rules and procedures envisage such procedures. Nevertheless, they are inefficient and are currently under revision.</t>
  </si>
  <si>
    <t>No. Three are non-governmental think tanks. However, the connection between them and the State is week. The Government does not commission services from such centers. The existing system of state analytical institutes of quite inefficient and ineffective.</t>
  </si>
  <si>
    <t> No. In real terms, there is no such system to evaluate the implementation of state policies. There is a formal practice of generalizing statistical indicators.</t>
  </si>
  <si>
    <t>No. There are no such departments in the ministries tasked only with policy-making. However, the reform to upgrade the structure of ministries and to create policy-making departments has been launched.</t>
  </si>
  <si>
    <t> Yes. The new Law on civil service entered into force in 2016.</t>
  </si>
  <si>
    <t>Yes. The new law on civil service provides clear-cut distinction between political and administrative categories of staff. There are three categories of civil servants.</t>
  </si>
  <si>
    <t> Yes. There is a set ethical code of conduct for civil servants</t>
  </si>
  <si>
    <t>Yes. The highest category of civil servants cannot be part of political parties or be politically active or be a people’s deputy. A civil servant is not at liberty to demonstrate their political views.</t>
  </si>
  <si>
    <t>Yes. The law on civil service makes a clear distinction between political and administrative positions</t>
  </si>
  <si>
    <t> Yes The law on civil service  and the special service on prevention of corruption regulate these matters. However, there are still cases when some civil servants have hidden conflict of interests and do not follow the rules.</t>
  </si>
  <si>
    <t>Partially. There is an e-declaration system in place. However, the existing system is inefficient and does not prove its effectiveness in practice.</t>
  </si>
  <si>
    <t> Yes. Every civil servant has access to his/her profile.</t>
  </si>
  <si>
    <t> Yes. There is a special law on personal data protection.</t>
  </si>
  <si>
    <t>Such system exists formally. However, the new law on civil service is in place only for one year, and there was no possible way to test it fully, as there were no changes of the Government.</t>
  </si>
  <si>
    <t>Yes. There is a National Agency on Civil Service-related Issues</t>
  </si>
  <si>
    <t>Yes. The National Agency has wide-ranging authority in terms of the implementation of human resources policy</t>
  </si>
  <si>
    <t>Yes. There is a Special Commission on the issues of the highest category of civil servants. The commission is in charge of the competitive selection of the highest category of civil servants. Without commission’s decision, the Government has no right of firing state secretaries of ministries before their term expires. There is a mechanism for civil servants to protect their rights in court.</t>
  </si>
  <si>
    <t>No. The current levels of pay are not competitive compared with the business sector. Though, recently the level of pay on the lowest positions has gone up. The Government is introducing the reformative positions to attract high-quality personnel through a separate procedure. However, this reform is only in its initial stage.</t>
  </si>
  <si>
    <t>No. The current system on carrier planning for civil servants exists purely on paper and is inefficient.</t>
  </si>
  <si>
    <t> No. The single personnel management system is so far only in its creation stage.</t>
  </si>
  <si>
    <t>Yes. All existing vacancies should be posted on the official website of the National Agency on Civil Service-related Issues.</t>
  </si>
  <si>
    <t> Yes. According to the new law the fully competitive selection mechanism was introduced for those willing to become a civil servant.</t>
  </si>
  <si>
    <t>Partially. The existing system is inefficient and is under revision.</t>
  </si>
  <si>
    <t>Yes. Specially created commissions are in charge of the competitive selection process. The National Agency on Civil Service-related Issues is authorized to handle and monitor the state of the selection process.</t>
  </si>
  <si>
    <t>Yes. The selection process procedures are set. However, the capacity of the selection committees in terms of effective and efficient selection is low. HR companies are engaged but not systematically.</t>
  </si>
  <si>
    <t> No. This system is only in its initial stage. With this in view, the Government is constantly hampering the approval process for the new performance evaluation system for civil servants. The old system formally do exist, but it is not in line with the requirements of the new law.</t>
  </si>
  <si>
    <t> Yes. Formally the system exists, however it is inefficient and is not in line with the modern requirements. Its biggest drawback is its subjectiveness</t>
  </si>
  <si>
    <t>Yes. Formally the system exists, however it is inefficient and is not linked to the performance evaluation system for civil servants.</t>
  </si>
  <si>
    <t>Yes. Formally the system exists, however it is inefficient.</t>
  </si>
  <si>
    <t>Yes. There is a clear appeal procedure, including the one through court appeals</t>
  </si>
  <si>
    <t>Yes. The procedure envisages the creation of special disciplinary commissions with participation of trade unions and civil society organizations</t>
  </si>
  <si>
    <t> Yes. The system exists, however it is not perfect. The main challenge is that there is literally no needs assessment, with the gap between the programmes and needs.</t>
  </si>
  <si>
    <t>Yes. The new selection system for the highest positions was created. However, there are still cases of attempts to politically influence this process. </t>
  </si>
  <si>
    <t>Yes. However, these are sporadically arising initiatives. There is no systematic practice in place.</t>
  </si>
  <si>
    <t>No. Practically, speaking the results of some of these sporadical initiatives are almost always disregarded.</t>
  </si>
  <si>
    <t>No. There are a few initiatives. Neither systematic, nor standardized practice exists. Most widely these systems are used by local self-governing authorities.</t>
  </si>
  <si>
    <t>Yes, it is limited by article 35 of the Law On Public Procurement". Negotiated procedure (sole sourcing) is an exceptional procedure used by the contracting authority where the contracting authority awards a procurement contract after holding negotiations with one or several tenderers. The contracting authority shall apply the negotiated procedure as an exception (7 exceptions are stated in the law). This norm complies with EU directives.</t>
  </si>
  <si>
    <t>Any company can file a complaint against any procurement procedure to Complaint Review Authority which is Antimonopoly Committee of Ukraine. To file a complaint company has to pay UAH 5000 (goods and services) or UAH 15000 (works) to state budget.</t>
  </si>
  <si>
    <t>YES.According to Article 17 of the Law On Public Procurement every bidder has to submit information whether it is included in the Unified State Register of Perpetrators of Corruption or Corruption-related Offences. If yes - procuring entity has to disquilify such bidder.</t>
  </si>
  <si>
    <t>YES.Main principle of new public procurement system ProZorro is "everyone sees everything". All information on every procurement is available on prozorro.gov.ua portal without registration. Everyone has access not only to general information on procurement, but also to requirements, decisions, contracts and every documents submitted by all bidders. In addition central data base has open API with which anyone can develop analytical tools. One of such is bi.prozorro.org.</t>
  </si>
  <si>
    <t>Yes.According to the new Law On Public Procurement" which was adopted in december 2015 and came into force on Augst 1st 2016 all tenders above UAH 200 000 are to be conducted through open procedure (competetive bidding) unless there is reasonable excuse (exception), the list of which are stated in the same Law. Moreover, new Law obliged all procuring entities to report on contracts above UAH 50 000 and gave them opportunity to conduct simplified competetive procedure. For the moment about 40% of below the threshold tenders are competetive.</t>
  </si>
  <si>
    <t xml:space="preserve">0.5 In national educational standards (atpresent are at the final stage of development) there are some normative competencies and programme learning outcomes devoted to sustainable development knowledge and skills.  </t>
  </si>
  <si>
    <t>0.5 In some educational programmes (specialties in environmental engineering, ecology, enerdy, chemical technology et) there are special courses devoted to sustainable development issues.</t>
  </si>
  <si>
    <t>Yes. In 2014 a new Law on Higher Education is adopted, which is in line with EU standards</t>
  </si>
  <si>
    <t>Is introduced in 2014 in the new Law. Since 2016 universities got the licinces to tech PhD students (before 2014 this kind/level of education was separated from Bachelor and Master education and was considered as research work without essentioal part of education). Until 2019 new2ly established PhD education will exist in parallel with previous system. Former research degrees (kandidate of science) by the Law got the same status/level/recognition as new PhD degrees.</t>
  </si>
  <si>
    <t>Yes, introduced in 2009 by the special Order of the Minister of Higher Education. At present all Ukrainian universities are obliged to use ECTS in accordance with new (dated 2015) Guidelines.</t>
  </si>
  <si>
    <t>NQF provides the necessary information about the educational qualifications to be used by experts. Professional qualifications at present are not includud into NQF.</t>
  </si>
  <si>
    <t>According to the new Law on Higher Education (adopted in 2014) all universities have a full autnomy concerning any internal organisational issu</t>
  </si>
  <si>
    <t>According to the new Law on Higher Education (adopted in 2014) all universities have a full autnomy concerning academic issues. Universities have a full right to introduce educational programmes by the decision of their councils.</t>
  </si>
  <si>
    <t xml:space="preserve">According to the new Law on Higher Education (adopted in 2014) all universities have a significant autnomy concerning financial issues. But at present it is limited by some other laws and important changes in national legislation must be adopted to give universities a real financial autonomy. </t>
  </si>
  <si>
    <t>According to the new Law on Higher Education (adopted in 2014) all universities have a full autnomy concerning any internal personnel issues.</t>
  </si>
  <si>
    <t>Equal acces to higher education is garanted by the Law. The sudent enrollment is done on the base of external independent examinations (EIE). In some spocialties (fine arts, architecture et) in addition to the EIE results universities have the possibility to introduce also entrance examinations. But the results of these examinations can not be more than 50% of the total evaluation.</t>
  </si>
  <si>
    <t>Equal rights, the only limitation for foreign students is that they have to pay fees for their education (excluding those who study on the base of different international agreements)</t>
  </si>
  <si>
    <t xml:space="preserve">LLL concept is included into the new Law on Higher Education. There are special faculties/institutes for postdiploma education in majority of universities. Some universities of the third age are also being estableshed. </t>
  </si>
  <si>
    <t>Long-term strategy on development of culure in Ukraine has been approved by the regulation of the Cabinet of Ministers on 01.02.2016</t>
  </si>
  <si>
    <t xml:space="preserve">Cultural Policy Review has been conducted in 2007. Three strategic priorities have been identified:
1) Integrity of the national cultural and linguistic space; 2) Actualisation of the national cultural heritage;
3) Protectionism for national cultural industries. </t>
  </si>
  <si>
    <t>Convention is ratified by the Law N 1811-VI (on 20.01.2010)</t>
  </si>
  <si>
    <t xml:space="preserve">There are programs for competition-based support to cultural producers on both national and local levels. Local one is more efficient, so far. In addition to this, local budgets provide co-funding opportunities for cultural producers in terms of co-support for projects with core funding provided by international donors and organizations. </t>
  </si>
  <si>
    <t>Law on Youth exists, at the same time, it is out of the date thus and so, Ministry of Youth and Sports in cooperation with RPR and CSO activists proposed the Draft Law on Youth (has been voted in the first reading and sent on the follow-up revision)</t>
  </si>
  <si>
    <t>Annauly, Ministry of Youth and Sports of Ukraine in cooperation with international donors conduct sociological research on youth (Values, needs, contentment with state policies, etc)</t>
  </si>
  <si>
    <t>Law on Volunteering exists, it covers only provisions for legalisation of volunteering in Ukraine without any provisions for its development and execution, at the same time, this Law is not up to European practicies and struggles to meet effitient adoption; new Draft Law on Volunteering is on the stage of preparation.</t>
  </si>
  <si>
    <t xml:space="preserve">There is no legislative environment for the youth work in UA. The only active programme works under the system of experimental support programme by the Ministry of Youth and Sports. </t>
  </si>
  <si>
    <t xml:space="preserve">No, VLAP fulfiled in 2016 </t>
  </si>
  <si>
    <t xml:space="preserve">Yes, such mechanizm was created but after VLAP fulfillment its activity was stoppted </t>
  </si>
  <si>
    <t>0.67</t>
  </si>
  <si>
    <t>0.8</t>
  </si>
  <si>
    <t xml:space="preserve">0.5 State monopoly, but reforms of corporatization underway </t>
  </si>
  <si>
    <t>0.5 Roads of general usage are state-owned - first private roads are expected to be constructed in 2017-2018</t>
  </si>
  <si>
    <t>YES All seaports are state-owned - in 2015 Ukrainian government included sea-ports in privatization list</t>
  </si>
  <si>
    <t>0.5     2 airports are state owned, the rest are municipal property - some of those municipal airports are planned to be given in concession</t>
  </si>
  <si>
    <t>YES Private companies can provide port services</t>
  </si>
  <si>
    <t>YES Private companies can provide airport services</t>
  </si>
  <si>
    <t>0.5 Private companies are engaged in maintenance</t>
  </si>
  <si>
    <t>0.5 Private cars owners use state railways</t>
  </si>
  <si>
    <t>0.5 Program of reform till 2021, which involve unbundling of monopoly</t>
  </si>
  <si>
    <t>0.5 Reform to demonopolize Ukravtodor in 2015-2016 is 30% completed</t>
  </si>
  <si>
    <t>YES Different services are separated from infrastructure</t>
  </si>
  <si>
    <t>0.5  No independent regulator - project to create National commission on transport regulation was unrealised in 2016</t>
  </si>
  <si>
    <t>0.5  No independent regulator - a number of different bodies in government have some regulating functions</t>
  </si>
  <si>
    <t>0.5 Autonomous State aviation service of Ukraine</t>
  </si>
  <si>
    <t>YES State service of Ukraine on safety of transport created in 2015</t>
  </si>
  <si>
    <t>YES Independent air incidents investigating body</t>
  </si>
  <si>
    <t>YES State strategy for transport 2020</t>
  </si>
  <si>
    <t>10</t>
  </si>
  <si>
    <t>NO DATA BY COUNTRY YET</t>
  </si>
  <si>
    <t>not filling in</t>
  </si>
  <si>
    <t>Were sectoral Strategies on climate change adaptation adopted? Yes/No/ Under preparation/Under consideration at the adopting body</t>
  </si>
  <si>
    <t xml:space="preserve">  Water quality and management are reulated by RA Water Code. Now the basin management plans are developing. In 2016 plans for 2 bassins are adopted,  plans for other 3 water bassins are in the process of elaboration. </t>
  </si>
  <si>
    <t>Linear transformation, benchmarks defined by Lithuania (best: 21.37) and worst performing EaP country in 2014 (Azerbaijan: 52.87), Press Freedom Index 2014</t>
  </si>
  <si>
    <t>Linear transformation, benchmarks defined by Lithuania (26.7) and worst performing EaP country (Armenia, 9.1%) in 2016</t>
  </si>
  <si>
    <t>Linear transformation, benchmarks defined by Lithuania (74.4%) and worst performing EaP country (Georgia: 50) in 2016</t>
  </si>
  <si>
    <t>Not fully. Candidates since the moment of their registration have equal rights to use state media, which in its turn are obliged to ensure equal opportunities for candidates' election speeches, publication of candidates' programs and agitation. In practice, the best conditions are created for the candidates supported by the state; coverage of campaigning activities of opposition candidates in news and political programs is practically absent. For example, during the presidential elections of 2015, 65% of the time in the news program of the state television was devoted to A. Lukashenko.</t>
  </si>
  <si>
    <t>Yes. Each party has the right to publish its election program in state-owned newspapers Holos Ukrainy, Uriadovyi Courier, and in one regional printed media in every region of Ukraine. Each party and MP candidate is provided with free airtime on state TV and radio channels (for each party: 60 minutes on national public television, 60 minutes on national public radio, 20 minutes on regional TV channels in every region, and 20 minutes on regional radio channels in every region; for each MP candidate: 20 minutes on regional TV channel and 20 minutes on regional radio channel in the respective region). However, in 2014 snap parliamentary elections ), the OSCE/ODIHR noted that the contestants received extensive media coverage, but it was focused on a limited number of parties and candidates.National media monitoring reports produced in relation to 2014 parliamentary elections suggest that the issue of placing hidden political advertising (so-called jeansa) remained pronounced in those elections, even though the public TV channels were engaged into such a practice much less compared to private TV channels.</t>
  </si>
  <si>
    <t>The Special Investigation Service was established to investigate cases of torture. However, it is worth to mention that hardly any of the investigations into possible police ill-treatment (whether carried out by the SIS or the Prosecutor’s Office) had actually led to court proceedings resulting in criminal sanctions.</t>
  </si>
  <si>
    <t>Parttialy. Moldova has a poor legal framework protecting LGBT persons from discrimination. Neither sexual orientation nor gender identity is included as a protected characteristic under Article 16 of the Constitution. The Constitutional guarantee of non-discrimination is supplemented by the 2012 Law on Ensuring Equality. Article 2 of the Law defines “discrimination”, extending protection to those grounds listed under Article 1(1); namely, “race, colour, nationality, ethnic origin, language, religion or belief, sex, age, disability, political affiliation or any other similar criteria. However, unlike the list of protected characteristics contained in Article 16 of
the Constitution, the list in Article 1(1) of the Law on Ensuring Equality is left open-ended, by virtue of the words “or any other similar criteria”; as such, it is possible for the Moldovan courts to conclude that grounds which are not explicitly stated in the Law are protected Article 7 of the Law on Ensuring Equality explicitly recognises the right to non-discrimination on the basis of sexual orientation in the field of employment. Under Article 77(d) of the Criminal Code, social, national, racial, or religious hatred is to be considered an aggravating factor in the commission of a crime. Neither gender identity nor sexual orientation is included within the scope of
this provision.</t>
  </si>
  <si>
    <t>No. The general management and control over the activities of the State Control Committee and its territorial bodies is exercised by the president, he also decides on his education, reorganization and liquidation of his departments and regional committees. The law noted that the Chairman of the SCC bears personal responsibility for the state of ideological work  in it and its territorial bodies.</t>
  </si>
  <si>
    <t>Yes. However, the Moldovan and Romania authorities announced the beginning of the negotiations for installing common control at border on April 2017. This will mean to establish “one-stop-shop” at the existing customs checkpoints between the two countries (9 checkpoints). On May, the European Commission admitted the drafts of the project for the renovation of three out of 9 customs points. The EU will allocate for this project 10 mil. EUR within the framework of the Romania-Moldova Operational Program for 2014-2020.    Moldova initiated discussion with Ukraine on common control of the border in 2015 . The first common control was set at Kuciurgan-Pervomaisk customs point, situated on the Transnistrian segment of the border, on July 2017. The second one will be at the Panlanca-Maiaka-Udobnoe checkpoint, administered by the official authorities of Moldova and Ukraine.  http://www.capital.ro/ue-aproba-un-proiect-de-78-mil-euro-pentru-romania-si-moldova.html  http://radiochisinau.md/rmoldova-si-ucraina-vor-sa-inceapa-controlul-comun-la-punctul-de-trecere-a-frontierei-cuciurganpervomaisk-la-31-mai---49650.html</t>
  </si>
  <si>
    <t>0,5                                                    ARMENIA AND GEORGIA HAVE A PROJECT ON POWER INTERCONNECTION IN THE PIPELINE, WITH FINANCIAL SUPPORT FROM THE EU</t>
  </si>
  <si>
    <t>Partially - 0.5. There is no direct borders with EU countries but Southern Gas Corridor is linking Caspian basin with EU via Georgia. Recently expansion works are ongoing                           WHAT ABOUT THE LNG EXPORTS FROM BATUMI TO ROMANIA</t>
  </si>
  <si>
    <t>Yes, 1</t>
  </si>
  <si>
    <t>Does your country implement energy efficiency related legislation? Yes/No</t>
  </si>
  <si>
    <t xml:space="preserve">Does your country comply with Trafficking Victims Protection Act (TVPA)’s minimum standards – tier ranking 
Data taken from 2015 report: </t>
  </si>
  <si>
    <t xml:space="preserve">0,5 yes IS UNDER PREPARATION </t>
  </si>
  <si>
    <t xml:space="preserve">Does your contry apply a one-stop-shop approach? Yes/No/Under preparation               </t>
  </si>
  <si>
    <t>0 (Tier 3)</t>
  </si>
  <si>
    <t xml:space="preserve">Pathially, There is the access  only the general information about the  budget, no classifications and information about the structure. There is no  information budget and operational decisions available on the website www. Mod. Gov.az. Only available information about  high - level position  of ministry. </t>
  </si>
  <si>
    <t>If there are no opposition representatives in parliament, the coding should be 0, that is, no effective parliamentary oversight.              1-0</t>
  </si>
  <si>
    <t xml:space="preserve"> 15%    23 MPs in the Parliament (total number of MPs 150). Gender empowerment measures are in place in the form of financial bonuses for a party having at least 30% of different gender candidates in the paty list.</t>
  </si>
  <si>
    <t>12,1% (51 MPS out of 422)</t>
  </si>
  <si>
    <t>27,3% (30 MPs out of 110)</t>
  </si>
  <si>
    <t xml:space="preserve">21,8% (22 MPs out of 101) </t>
  </si>
  <si>
    <t>10,7% (14 MPs out of 131)</t>
  </si>
  <si>
    <t>According to the NQF: Intermediate qualification; Bachelor; Master; and Doctor. According to the law, the academic staff of a higher education institution shall consist of professors, associate professors and assistant professors.</t>
  </si>
  <si>
    <t>Azerbaijan is not part of  MLA&amp;BLA Signatories. Not yet, a new application has been received from the national accreditation body of Azerbaijan on 31 January 2017. It is under review by the Secretariat before submission to the Executive Committee.</t>
  </si>
  <si>
    <t>No (to be financed from own resources of the organizations, credit resources, funds of national and local budgets etc)</t>
  </si>
  <si>
    <t>At present there are about 64 000 of foreign students in Ukraine. The total student population is about 1 370 000. So, the proportion is about 1/20 or 0,05 %</t>
  </si>
  <si>
    <t>2015 - 4,3%
2016 - 4,8%</t>
  </si>
  <si>
    <t>6643,   it is 5 % of total students</t>
  </si>
  <si>
    <t>1
 IF THERE IS NO BODY (SEE ABOVE) HOW IT CAN HAVE SUPERVISE PROVISIONS?</t>
  </si>
  <si>
    <t>0,3 (2WL)</t>
  </si>
  <si>
    <t>Georgia’s obligations taken through the 2015 Paris Agreement on climate change officially came into force January 2017</t>
  </si>
  <si>
    <t>FIGURES USED FOR CALCULATING POPULATION- AND GDP-ADJUSTED VALUES</t>
  </si>
  <si>
    <t>Population (mn) 2015, World Development Indicators</t>
  </si>
  <si>
    <t>GDP (mn, current US-$) 2015, World Development Indicators</t>
  </si>
  <si>
    <t>GDP per capita (EUR)</t>
  </si>
  <si>
    <t xml:space="preserve"> GDP (PPP mn US-$) 2015, World Development Indicators</t>
  </si>
  <si>
    <t xml:space="preserve"> GDP, PPP mln EUR  IMF</t>
  </si>
  <si>
    <t>Lithuania</t>
  </si>
  <si>
    <t>Yes. A national anti-drug strategy for 2011-2018 is in place.  See http://lex.justice.md/index.php?action=view&amp;view=doc&amp;lang=1&amp;id=337243</t>
  </si>
  <si>
    <t xml:space="preserve">Yes. The forest is belonging to the first category and legally can not be used for Industrial purposes (industrial cuttings are forbidden, only sanitary cuttings are permitted). But time to time we observe the crosspassing of the regulatory control. </t>
  </si>
  <si>
    <t>Energy intensity. Specify the consumption of energy per unit of GDP; TPES Tons of oil  equivalent (toe) / GDP in '000 USD (at PPP) - IEA Key World Energy statistics 2017   https://www.iea.org/publications/freepublications/publication/KeyWorld2017.pdf  DATA is for 2015</t>
  </si>
  <si>
    <t>CO2 intensity, kg CO2 per '000 USD GDP (at PPP) - IEA Key World Energy statistics 2017   https://www.iea.org/publications/freepublications/publication/KeyWorld2017.pdf DATA is for 2015</t>
  </si>
  <si>
    <t>Yes, on legal bases. The Law on Higher Education defines responsibilities and roles of administration for public HEIs whereas the private HEIs are free to choose any management system. The managerial bodies (managerial entities) of a higher education institution established under public law shall be the Academic Council (AC), the Senate, the Rector and the Chancellor. The Academic Council (AC) - the highest representative body at public HEIs – makes decisions concerning research and educational issues. AC drafts and approves the strategic development plan of the HEI, approves the study and research programs and is in general responsible for the academic processes at the HEI. AC members shall be elected by all the members of the academic staff of the basic educational units of the higher education institution and by the representatives of the students’ self-governance. The representative body of a HEI established under public law shall be the Council of Representative (Senate), which shall be elected from amongst the representatives of the basic structural units of the HEI, separately by the students and the academic staff, pro rata to their number in the basic educational units. The Council of Representative with the administrative and financial issues. The students (being the members of the self-governing bodies) shall represent one third of the entire Council of Representatives. In public HEIs, the Rector is the head of the higher education institution and is therefore the highest academic official. He/she represents the HEI in the academic and research fields both within the country and abroad. He/she is therefore entitled to enter into agreements and transactions on behalf of the HEI. Public higher education institutions shall be represented in financial and economic relationships by the Head of Administration (Chancellor). Within the structure of higher education institutions autonomy of faculty is guaranteed as well on legislative level. The Faculty Council elects a Dean, while the Council of Representatives elects a Head of the Administration Division and the Academic Council elects a Rector. However, there are occasions when the state indirectly interferes in the elections of the Rector/the Acting Rector as well as while electing other HEI governing body representatives. Moreover, the students that are not the members of the students self-governance bodies, do not have right to take part in Academic Council’s elections. According to the regulations student has to become a member of the students self-governance body to gain right of voting in the elections. http://ghn.ge/com/news/view/153166</t>
  </si>
  <si>
    <t>The Policy Review Report was not prepared currently. The cultural policy short compendiums have been prepared - http://www.culturalpolicies.net/web/profiles-news.php?pcid=1180  ; http://www.culturalpolicies.net/web/georgia.p</t>
  </si>
  <si>
    <t>Launched (signed) /Ratified on October 1, 2008, but still needs support in implementation - http://unesco.ge/?page_id=534;  https://matsne.gov.ge/ka/document/view/1205118  ; The one of the priorities of EU Assocaition Agenda  is to support the implementation of this Convention - http://www.osgf.ge/files/2016/EU%20publication/Angarishi_A4_kulturuli_memkvidreoba_Cor_(3).pdf  ; 11 meetings were held by Geogrian NGO YTA Union on this - UNESCO Convention  for Civil Society groups - The awareness of the convention is low (Source: Implementation of EU-Georgia Association Agenda - 2014-2016</t>
  </si>
  <si>
    <t xml:space="preserve">The Regulation of the Ministry of Culture and Monument Protection of Georgia - http://www.culture.gov.ge/getattachment/About-Us-(2)/Ministry-Regulations/debuleba.pdf.aspx ;  For example, in the first part of 2016 from the 336 project proposals submitted to the Ministry 118 projects were selected on cometition based and funded.  </t>
  </si>
  <si>
    <t>Effectiveness of anti-monopoly policy, Global competitiveness report 2016-17
http://reports.weforum.org/global-competitiveness-index/downloads/</t>
  </si>
  <si>
    <t>Extent of market dominance, Global Compeititveness Report
Global competitiveness report 2016-17
http://reports.weforum.org/global-competitiveness-index/downloads/</t>
  </si>
  <si>
    <t>Intensity of local competition, Global Competitiveness Report
Global competitiveness report 2016-17
http://reports.weforum.org/global-competitiveness-index/downloads/</t>
  </si>
  <si>
    <t xml:space="preserve">Partially. While the election environment was dramatically improved after the 2012 parliamentary elections, still, OSCE/ODIHR in its Final Report of 2016 Parliamentary Elections noted that “OSCE/ODIHR EOM received numerous allegations regarding pressure on public employees, including requirements to attend campaign events, intimidation of campaign staff and voters”. During 2016 Parliamentary Elections voting was mostly assessed as good or very good by OSCE/ODIHR observers; however, still, according to the Report “in 3 per cent of observed polling stations, signs of voter intimidation were noted”. </t>
  </si>
  <si>
    <t xml:space="preserve">Partially. According to the OSCE/ODIHR Final Report on Parliamentary Elections of 2016, “the counting process was assessed markedly worse – 31 per cent of counts were assessed as bad or very bad. The negative assessments of counting were related to PECs not following procedures rather than deliberate falsification: PEC members did not invalidate unused ballots before counting (27 per cent), did not pack unused and spoiled ballots properly (20 per cent), did not mix ballots of the mobile and stationary boxes (9 per cent), valid and invalid ballots were not determined in a consistent and reasonable manner (9 and 11 per cent, respectively), and protocol data was not properly cross-checked after counting (11 per cent). In half of the observations, unauthorized individuals participated in the count. Tensions or unrest in the vicinity of the polling station was observed in almost 13 per cent of cases. Persons attempting to disrupt or obstruct the process and intimidate PEC members was also observed in 5 per cent of cases.” </t>
  </si>
  <si>
    <r>
      <t xml:space="preserve">Vote differential between winner and best-performing rival in most recent presidential elections: Difference between vote shares in percentage points </t>
    </r>
    <r>
      <rPr>
        <sz val="11"/>
        <color indexed="10"/>
        <rFont val="Calibri"/>
        <family val="2"/>
      </rPr>
      <t>(N/A if not a popular vote for president)</t>
    </r>
  </si>
  <si>
    <r>
      <t xml:space="preserve">Human rights, </t>
    </r>
    <r>
      <rPr>
        <sz val="11"/>
        <color rgb="FF000000"/>
        <rFont val="Calibri"/>
        <family val="2"/>
      </rPr>
      <t>P</t>
    </r>
    <r>
      <rPr>
        <sz val="11"/>
        <color rgb="FF000000"/>
        <rFont val="Calibri"/>
        <family val="2"/>
      </rPr>
      <t xml:space="preserve">rotection against </t>
    </r>
    <r>
      <rPr>
        <sz val="11"/>
        <color rgb="FF000000"/>
        <rFont val="Calibri"/>
        <family val="2"/>
      </rPr>
      <t>T</t>
    </r>
    <r>
      <rPr>
        <sz val="11"/>
        <color rgb="FF000000"/>
        <rFont val="Calibri"/>
        <family val="2"/>
      </rPr>
      <t>orture</t>
    </r>
  </si>
  <si>
    <t xml:space="preserve">Yes. In its Annual Report for 2017 HRW referred to the GYLA report concerning alleged torture and ill-treatment by law enforcement officials. According to the HRW Report “GYLA received at least 62 allegations of torture and ill-treatment in 12 months since November 2015; 45 of them concerned abuse by police, and 17 by prison staff. According to GYLA, authorities failed to effectively investigate those allegations.” In its turn, AI mentions the failure of the authorities to create an independent investigation mechanism for human rights violations committed by law enforcement bodies “amid concerns about torture and other ill-treatment, and other abuses, by law enforcement officers, the government failed to bring forward legislation creating.” The Public Defender in his 2016 Annual Parliamentary Report underlined that ill-treatment at police detention isolators persisted throughout 2016. According to the US Department of State Report on Georgia “although the number and severity of allegations of such abuse by penitentiary employees decreased, the Public Defender’s Office reported that mistreatment of detained persons by police officers remained an acute problem.” </t>
  </si>
  <si>
    <t>Yes, according to part 5 of Article 40 of the law “On advocacy”, Aa public defender office provides legal aid for suspect or accused in all criminal cases. Therefore, in criminal cases the service is free for suspect, accused and detained persons. But the same Article specifies the categories of persons who have a right to receive free legal aid from Public defender office of the RA in all other cases. Particularly, besides accused/suspected in criminal cases the public defender provides legal assistance people convicted for crime,  a member of a family registered in the unified database of socially vulnerable families, whose socioeconomic index is above zero, as well as for several other groups with low income.Howers, the free legal service is heavily is drooping in regions.</t>
  </si>
  <si>
    <t xml:space="preserve">The parliament’s power in this field is limited to the general mechanisms of parliamentary oversight. As an additional mechanism the Rules of the Procedure of the Parliament foresees creation of the Trust Group entitled to carry out only budgetary control of the special programmes and secret activities of the relevant institutions; however, again, effectiveness of such control is not very high since the Trust Group could only address the Parliament with the proposal to create Investigative Commission if it considers that relevant authorities abuses power.     </t>
  </si>
  <si>
    <r>
      <rPr>
        <b/>
        <sz val="11"/>
        <color indexed="48"/>
        <rFont val="Calibri"/>
        <family val="2"/>
      </rPr>
      <t>Yes</t>
    </r>
    <r>
      <rPr>
        <sz val="11"/>
        <color indexed="48"/>
        <rFont val="Calibri"/>
        <family val="2"/>
      </rPr>
      <t>.</t>
    </r>
    <r>
      <rPr>
        <sz val="11"/>
        <color rgb="FF000000"/>
        <rFont val="Calibri"/>
        <family val="2"/>
      </rPr>
      <t xml:space="preserve"> The ecexutive lacks the power to impound funds appropriated by the Parliament. </t>
    </r>
  </si>
  <si>
    <r>
      <t xml:space="preserve">Conditions for opposition   
</t>
    </r>
    <r>
      <rPr>
        <sz val="11"/>
        <color indexed="10"/>
        <rFont val="Calibri"/>
        <family val="2"/>
      </rPr>
      <t xml:space="preserve"> </t>
    </r>
  </si>
  <si>
    <t xml:space="preserve">According to the monitoring carried out by IDFI (national watchdog organization), Ministry of Internal Affairs provided requested information in full in 15 cases out of 48 requests; in two cases information was not comprehensive; and in 31 cases the Ministry failed to ensure IDFI’s access to public information (accessibility of requested official documents 33%). Ministry of Justice was identified as one of the most closed public institutions, as according to the monitoring report the Ministry failed to answer all 27 requests for public information (accessibility of public information 0%).    </t>
  </si>
  <si>
    <t xml:space="preserve">Partially. Grounds for removal of judges are defined by the Law on Common Courts of Georgia. Apart from that, the Law on Disciplinary Proceedings against Judges considers the grounds for initiating disciplinary process. Some of the grounds were deemed to be vague and, based on NGOs' long-term advocacy campaign, they were taken out from the law (in 2012). However, concerns remain that the system of disciplinary punishment is not consistent on institutional and legislative level and creates ground for arbitrary interpretation. There have not been cases of dismissal of judges in the reporting period except for the removal of the Head of the Tbilisi Court, who according to the Public Defender, has been dismissed by High Council of Justice in violation of the Law on Disciplinary Proceedings. </t>
  </si>
  <si>
    <t xml:space="preserve">Partially. Generally, the cases are assigned to judges according to their specific area of expertise. Before the relevant amendments to the Law on Common Courts are enacted from 1 July, 2017 (which introduces automatic, electronic system of case distribution), cases are distributed through the sequential order - the sequential order implies the assignment of cases to judges
according to the sequence of the cases filed with a court and sequence of the judges. According to the civil society organizations, the existing system of case distribution could be easily (and allegedly was frequently) abused in the high profile cases, when the cases were assigned to judges loyal to the authorities.
</t>
  </si>
  <si>
    <r>
      <rPr>
        <b/>
        <sz val="11"/>
        <color indexed="48"/>
        <rFont val="Calibri"/>
        <family val="2"/>
      </rPr>
      <t>No.</t>
    </r>
    <r>
      <rPr>
        <sz val="11"/>
        <color rgb="FF000000"/>
        <rFont val="Calibri"/>
        <family val="2"/>
      </rPr>
      <t xml:space="preserve"> The grounds for removal of the judge from the deliberation on the particular case are open ended (workload or other reasons) and creates ground for the abuse. The decision is taken by the chairperosn of the relevant court. </t>
    </r>
  </si>
  <si>
    <t xml:space="preserve">Partially. The Constitution of Georgia as well as the Organic Law on Common Courts establishes the principle of openness of court hearings; in cases determined by law, court proceedings could be closed. Court hearings are usually open for photo, video and audio recording (since 2013). However, US Department of State refers to the report of GYLA, according to which “[in the reporting period] courts were inconsistent in their approaches to closing hearings to the public and at times did not provide an explanation for holding a closed hearing.” </t>
  </si>
  <si>
    <t xml:space="preserve">Yes/No. The SAO sends its findings and files to prosecution services in case of criminal violations for further investigation and prosecution. In 2015 SAO sent 66 cases to the Prosecutor's Office and 22 cases in 2016, however there is no report of how many of these were acted upon. In addition, in 2016 SAO made 189 recommendations, of which 89 (47%) were acted upon. </t>
  </si>
  <si>
    <r>
      <t xml:space="preserve">Partially. </t>
    </r>
    <r>
      <rPr>
        <sz val="11"/>
        <color rgb="FF000000"/>
        <rFont val="Calibri"/>
        <family val="2"/>
      </rPr>
      <t>There are respective requirements in terms of the need to consult with stakeholders, including with civil society organizations in the process of public policy development, drafting of new legislation by respective ministers.</t>
    </r>
  </si>
  <si>
    <t>No. The state capacity for strategic planning and policy analysis is very low. The public administration reform sets the build-up of this very capacity as one of its strategic priorities. The state ministries and secretariat reform envisages creation of respective institutional mechanisms for strategic planning and policy analysis.</t>
  </si>
  <si>
    <t> Partially. The Secretariat is still being reorganized. Cabinet of Ministers rules and procedures are inefficient and envisages only the need to provide obligatory expert analysis of draft government decisions and coordinate with separate subdivisions of the Secretariat of the Cabinet of Ministers. Such rules and procedures are inefficient and are not in line with the classical requirements for the public policy development cycle.</t>
  </si>
  <si>
    <r>
      <rPr>
        <i/>
        <sz val="11"/>
        <color indexed="57"/>
        <rFont val="Calibri"/>
        <family val="2"/>
      </rPr>
      <t>Healthy lives and wellbeing:</t>
    </r>
    <r>
      <rPr>
        <sz val="11"/>
        <color rgb="FF000000"/>
        <rFont val="Calibri"/>
        <family val="2"/>
      </rPr>
      <t xml:space="preserve"> Maternal mortality ratio (per 100.000 birth rate) (source: WB, WHO)</t>
    </r>
  </si>
  <si>
    <r>
      <t>Suicide mortality rate</t>
    </r>
    <r>
      <rPr>
        <sz val="11"/>
        <color rgb="FF000000"/>
        <rFont val="Calibri"/>
        <family val="2"/>
      </rPr>
      <t xml:space="preserve"> (per 100,000 per year)</t>
    </r>
  </si>
  <si>
    <r>
      <t>Water and sanitation:</t>
    </r>
    <r>
      <rPr>
        <sz val="11"/>
        <color rgb="FF000000"/>
        <rFont val="Calibri"/>
        <family val="2"/>
      </rPr>
      <t xml:space="preserve"> </t>
    </r>
  </si>
  <si>
    <r>
      <t>Domestic material consumption (tonnes</t>
    </r>
    <r>
      <rPr>
        <sz val="11"/>
        <color rgb="FF000000"/>
        <rFont val="Calibri"/>
        <family val="2"/>
      </rPr>
      <t xml:space="preserve"> per capita</t>
    </r>
    <r>
      <rPr>
        <sz val="11"/>
        <color rgb="FF000000"/>
        <rFont val="Calibri"/>
        <family val="2"/>
      </rPr>
      <t xml:space="preserve">) </t>
    </r>
    <r>
      <rPr>
        <sz val="11"/>
        <color indexed="12"/>
        <rFont val="Calibri"/>
        <family val="2"/>
      </rPr>
      <t>http://uneplive.unep.org/country/data/MD#charts</t>
    </r>
  </si>
  <si>
    <t>Yes. The migration profile is regularly updated.. Since 2005, the authorities drafted three reports, the latest one covered the period 2010-2015. http://bma.gov.md/ro/content/fost-elaborat-raportul-analitic-%E2%80%9Dprofilul-migra%C8%9Bional-extins-al-republicii-moldova-anii-2010</t>
  </si>
  <si>
    <t xml:space="preserve">Yes, both the international and domestic EOM assessed positively the voting, counting and tabulation procedures, reporting only minor irregularities. The Parallel Vote Tabulation carried out by Promo-Lex in all in-country polling stations during the both rounds of presidential elections largely confirmed the official election results. Although national observers reported some discrepancies in counting protocols, they could not influence the final election results (source-http://bit.ly/2qzulH0 and http://bit.ly/2se63Dt). </t>
  </si>
  <si>
    <t>In October 2006, Azerbaijan passed a law on gender equality, which defines gender-based discrimination as any distinction, exclusion or restriction exercised on the basis of gender, including sexual harassment</t>
  </si>
  <si>
    <t>partialy</t>
  </si>
  <si>
    <t>1
total number of students 39 772 (2016) , foreign students 5100 (12,82 %)</t>
  </si>
  <si>
    <t>2017 data, worst 2015 data</t>
  </si>
  <si>
    <t>Yes. Moldova has joined them in 2001.  The law on asylum of 2008 contains a number of relevant procedures.</t>
  </si>
  <si>
    <t xml:space="preserve"> Borders 3472 km (825 km water border).  Border land length - 2657km. Around 11.8 % Iran- N/A (765 km border); Georgia- 300 of 480 km; Russia- 0  out of 390 km; Turkey- 15 km. Azerbaijan-Georgia border has not been fully demarcated according to the Georgia assessment.         </t>
  </si>
  <si>
    <t>Yes, published on www.psrc.am</t>
  </si>
  <si>
    <t>(0.5) Under progress. Feasibility study  performed. Vulcanesti-Isaccea line approved for construction. MoE is working on financing scheme for the HVTL/Interconnector</t>
  </si>
  <si>
    <t xml:space="preserve">3
</t>
  </si>
  <si>
    <r>
      <rPr>
        <sz val="10"/>
        <rFont val="Calibri"/>
        <family val="2"/>
      </rPr>
      <t xml:space="preserve">12.71% </t>
    </r>
    <r>
      <rPr>
        <sz val="10"/>
        <rFont val="Calibri"/>
        <family val="2"/>
      </rPr>
      <t>In the most recent parliamentary elections held in 2014, the strongest party, the People's Front received 22.14% of the valid votes cast, while the key opposition party, the Opposition Bloc, received 9.43% of the votes.</t>
    </r>
  </si>
  <si>
    <r>
      <rPr>
        <sz val="10"/>
        <color indexed="10"/>
        <rFont val="Calibri"/>
        <family val="2"/>
      </rPr>
      <t>added by Jeff: United Opposition Party (1 seat): 2.16%. Pro-government parties and independents (I took the votes from the CEC and deducted the votes for the one independent candidate, Elena Aninism), providing: 83.3% for the pro-government bloc (this is probably a little higher than in reality as there were doubtless some losing independents who were not pro-government, but I don’t have a breakdown avaialable). This gives a differential of 81.14%.</t>
    </r>
    <r>
      <rPr>
        <sz val="10"/>
        <rFont val="Calibri"/>
        <family val="2"/>
      </rPr>
      <t xml:space="preserve">
 There is no ruling party in Belarus. 64 of the 110 elected MPs are nonpartisan, the rest in their majority are representatives of pro-government parties: 3 members of the Belarusian Patriotic Party, 3 from the Republican Party of Labor and Justice, 6 from the Communist Party of Belarus, and 1 from the Liberal Democratic Party. In 2016, two representatives of independent organizations were elected to the National Assembly for the first time after a long break: deputy chair of the "Skaryna Belarusian Language Association" and a member of the opposition United Civil Party.</t>
    </r>
  </si>
  <si>
    <r>
      <rPr>
        <sz val="10"/>
        <color indexed="10"/>
        <rFont val="Calibri"/>
        <family val="2"/>
      </rPr>
      <t>Added by Jeff (2012 results, as 2017 results had been entered, and we are looking at 2015-2016, for which the latest results were 2012): 13.9%. During most recent legislative elections on 5 May 2012, the strongest party - Republican Party of Armenia received 466 440 votes (44.02%). The main opposition "Prosperous Armenia" party  received 454 673 votes (30.2%).</t>
    </r>
    <r>
      <rPr>
        <sz val="10"/>
        <rFont val="Calibri"/>
        <family val="2"/>
      </rPr>
      <t>Vote differential: 21.82% . In the most recent  legilstative elections, on April 2, 2017, the winner, RPA received 49.17 % and the 2nd largest force, Tsarukyan Alliance (based on "Prosperous Armenia" party) received 27.35 %</t>
    </r>
  </si>
  <si>
    <r>
      <rPr>
        <sz val="10"/>
        <color indexed="10"/>
        <rFont val="Calibri"/>
        <family val="2"/>
      </rPr>
      <t>In Azerbaijan, there are a host of pro-government parties and lots of independents, nearly all pro-government, but the governing party has a majority of seats already on 47.2% of the votes. Pro-government independent MPs took another 40.5%, giving 87.7% Opposition parties boycott the elections, so 0% for them, leaving a differential of 87.7%.</t>
    </r>
    <r>
      <rPr>
        <sz val="10"/>
        <rFont val="Calibri"/>
        <family val="2"/>
      </rPr>
      <t xml:space="preserve">   In the most recent, 1 November 2015 Parliamentary Elections, conducted under a majoritarian system, the ruling New Azerbaijan Party (YAP) received 71 seats in the parliament. The rest of the seats were distributed among pro-government “independents” and pro-government small parties. The major opposition parties did not take any seat in the parliament.</t>
    </r>
  </si>
  <si>
    <r>
      <t>Seat differential between governing party / coalition and main opposition party / alliance, Difference between seat shares in % points  as of</t>
    </r>
    <r>
      <rPr>
        <b/>
        <sz val="11"/>
        <rFont val="Calibri"/>
        <family val="2"/>
      </rPr>
      <t xml:space="preserve"> December 2016</t>
    </r>
    <r>
      <rPr>
        <b/>
        <sz val="11"/>
        <rFont val="Calibri"/>
        <family val="2"/>
      </rPr>
      <t xml:space="preserve">  (1st chamber of parliament.). </t>
    </r>
  </si>
  <si>
    <t>57.1% belong to the governmental coalition, although voting discipline is low, so difference of 14.2%</t>
  </si>
  <si>
    <r>
      <t xml:space="preserve">November 2014 - coallition (minority Government) - 40 MPs (supported by Party of Communists - 21 MPs), versus 40 MPs from the opposition. At the end of 2016 the coalition was formed of 57 MPs (including 10 non-affiliated MPs) and the opposition counting 44 MPs </t>
    </r>
    <r>
      <rPr>
        <sz val="10"/>
        <rFont val="Calibri"/>
        <family val="2"/>
      </rPr>
      <t>, so 12.87%</t>
    </r>
  </si>
  <si>
    <r>
      <rPr>
        <sz val="10"/>
        <color indexed="8"/>
        <rFont val="Calibri"/>
        <family val="2"/>
      </rPr>
      <t xml:space="preserve">98.2%  </t>
    </r>
    <r>
      <rPr>
        <sz val="10"/>
        <color indexed="8"/>
        <rFont val="Calibri"/>
        <family val="2"/>
      </rPr>
      <t>There is one opposition party representaive in Parliament, and one more from independent CSO</t>
    </r>
  </si>
  <si>
    <r>
      <t xml:space="preserve">jeff added: I think the answer is No. The Parliament does not introduce laws that the President would veto. </t>
    </r>
    <r>
      <rPr>
        <sz val="10"/>
        <rFont val="Calibri"/>
        <family val="2"/>
      </rPr>
      <t>Yes</t>
    </r>
  </si>
  <si>
    <t xml:space="preserve">The document was adoptrd, but it is not fully the SD Strategy in a content, because the environemntal pillar was included only as a minor fragment, not as one of three equal and integrated parts </t>
  </si>
  <si>
    <t>Intergpvernmental Hogh-lever WG co heade by First Vice-PM (Minister of Economy) and the Head of UNDPcountry  office was established for the implementation of SDGs in Ukfraine</t>
  </si>
  <si>
    <t>exterfnal trainings and guidelines</t>
  </si>
  <si>
    <t>some in Kyiv Politechnical University</t>
  </si>
  <si>
    <t xml:space="preserve">  0.2</t>
  </si>
  <si>
    <t>12, 5</t>
  </si>
  <si>
    <t>none</t>
  </si>
  <si>
    <t>4 Mar 2017</t>
  </si>
  <si>
    <t>0 (checked), there is some legislation but it does corresponds the EU framework policy, rather based on the punishment and fining of the drug users. ccording to the current legislation drug use, keep and purchase for the purpose of personal use in small quantities (5gr/0.17oz in case of marijuana) is punishable either by fine up to 250 USD or administrative imprisonment up to one month, while in case of relapse during the following year a drug user can be penalized with the fine up to 2,500 USD and imprisoned up to one year. The use of even small quantities of other drugs may lead to 7-10 years of improsonment.   in 2015 Constitutional Court of Georgia declared unconstitutional the imprisonment because of purchase and keeping marijuana for personal use (up to 70 gr/2.35oz). Primary prevention of drug use by both the Georgian government and international donors has received limited attention so far. From the late 1990s on there has been sporadic activity, insufficient funding, limited projects and beneficiaries, and a lack of quality control mechanisms for prevention activities. Currently, drug prevention activities are either substituted by general programmes promoting a healthy lifestyle or they are, to some extent, integrated into HIV-prevention activities.</t>
  </si>
  <si>
    <t>Yes. Vote buying is precluded mainly through the possibility of observation of elections (including voting and ballot counting) by the observers, as well as through the provisions of the Criminal Code of Ukraine that provides for the criminal liability for vote buying. However, there are no effective mechanisms in place to prevent distribution of goods and services to voters by candidates in relation to their election campaigning. Such a practice is formally prohibited under the election laws, but the Criminal Code of Ukraine provides for criminal liability only for distribution of goods and services to legal persons, rather than to individuals. In practice, the cases of vote buying and distribution of goods and services combined with election campaigning are not rare in both national and local elections and were noted by the domestic and international observers.The key election observation NGO, Civil Network OPORA, highlighted that vote buying and distribution of goods and services to voters are not effectively investigated by police. There have been only singular cases when vote buying resulted in real criminal punishments. Also, those punished were only those directly involved into vote buying schemes, while candidates in whose favor vote buying was organized escaped liability.</t>
  </si>
  <si>
    <t>The Ukrainian NQF is adopted by the Cabinet of Ministers in 2011, but still is not self certified. In 2016 the Ministry of Education and Science in cooperation with the Association of employers has adopted the Action plan to develop the National System of Qualifications in which the NQF is to be an integral part.</t>
  </si>
  <si>
    <t>No political prisoners = 1, one or several political prisoners = 1</t>
  </si>
  <si>
    <t>Yes = 1; no = 0</t>
  </si>
  <si>
    <t>Based on 2014 figures, 0: 50%, 1: 0%</t>
  </si>
  <si>
    <t>Linear transformation, benchmarks defined by Lithuania (best: 24) and worst performing EaP country in 2014 (Belarus: 93)</t>
  </si>
  <si>
    <r>
      <t>Did you</t>
    </r>
    <r>
      <rPr>
        <b/>
        <sz val="11"/>
        <rFont val="Calibri"/>
        <family val="2"/>
      </rPr>
      <t>r</t>
    </r>
    <r>
      <rPr>
        <b/>
        <sz val="11"/>
        <rFont val="Calibri"/>
        <family val="2"/>
      </rPr>
      <t xml:space="preserve"> country ratify the Optional Protocol to the UN Convention against Torture (OPCAT) and other Cruel, Inhuman or Degrading treatment or +punishment? Yes/No</t>
    </r>
  </si>
  <si>
    <r>
      <t>Yes</t>
    </r>
    <r>
      <rPr>
        <sz val="10"/>
        <color indexed="8"/>
        <rFont val="Calibri"/>
        <family val="2"/>
      </rPr>
      <t xml:space="preserve"> (3 October 2016)</t>
    </r>
  </si>
  <si>
    <t xml:space="preserve">The total number of foreign students in 2015/2016 academic year in 60 public and non-public universities and in 12 branches was 3207. Jeff adds: 95 300 students total in previous index, so doubtless similar number, giving 3.37%
</t>
  </si>
  <si>
    <t>ukr</t>
  </si>
  <si>
    <t>md</t>
  </si>
  <si>
    <t>bel</t>
  </si>
  <si>
    <t>geo</t>
  </si>
  <si>
    <t>arm</t>
  </si>
  <si>
    <t>az</t>
  </si>
  <si>
    <t>lith</t>
  </si>
  <si>
    <t>eap worst (from last index)</t>
  </si>
  <si>
    <r>
      <t>The lifelong learning (LLL) is one of the main priorities of the “Strategic directions of development of education and science in Georgia” elaborated, but not approved by the Ministry of Education (http://www.mes.gov.ge/uploads/strategia..pdf). The LLL is integrated into the "Government Program of Georgia, Basic Data and Directions" of the government of Georgia and is supported by the framework legislation regulating the educational system of Georgia. No separate LLL concept/national document on national level designed, although some LLL aspects are reflected in the Law of Georgia on Higher Education (According to the legislation the state should ensure the lifelong learning opportunity in higher educational institutions - http://mes.gov.ge/publicInfo/wp-content/uploads/2013/12/</t>
    </r>
    <r>
      <rPr>
        <sz val="10"/>
        <rFont val="Menlo Regular"/>
        <family val="2"/>
      </rPr>
      <t>უმაღლესი</t>
    </r>
    <r>
      <rPr>
        <sz val="10"/>
        <rFont val="Calibri"/>
        <family val="2"/>
      </rPr>
      <t>-</t>
    </r>
    <r>
      <rPr>
        <sz val="10"/>
        <rFont val="Menlo Regular"/>
        <family val="2"/>
      </rPr>
      <t>განათლების</t>
    </r>
    <r>
      <rPr>
        <sz val="10"/>
        <rFont val="Calibri"/>
        <family val="2"/>
      </rPr>
      <t>-</t>
    </r>
    <r>
      <rPr>
        <sz val="10"/>
        <rFont val="Menlo Regular"/>
        <family val="2"/>
      </rPr>
      <t>შესახებ</t>
    </r>
    <r>
      <rPr>
        <sz val="10"/>
        <rFont val="Calibri"/>
        <family val="2"/>
      </rPr>
      <t>-</t>
    </r>
    <r>
      <rPr>
        <sz val="10"/>
        <rFont val="Menlo Regular"/>
        <family val="2"/>
      </rPr>
      <t>საქართველოს</t>
    </r>
    <r>
      <rPr>
        <sz val="10"/>
        <rFont val="Calibri"/>
        <family val="2"/>
      </rPr>
      <t>-</t>
    </r>
    <r>
      <rPr>
        <sz val="10"/>
        <rFont val="Menlo Regular"/>
        <family val="2"/>
      </rPr>
      <t>კანონი</t>
    </r>
    <r>
      <rPr>
        <sz val="10"/>
        <rFont val="Calibri"/>
        <family val="2"/>
      </rPr>
      <t xml:space="preserve">..pdf)  and developed accordingly (National Qualifications Framework, learning outcomes as a basis for curriculum development, etc.). Several Higher Education Institutions (HEIs) elaborated their own LLL regulations (source: https://eacea.ec.europa.eu/sites/eacea-site/files/countryfiche_georgia_2017.pdf). </t>
    </r>
  </si>
  <si>
    <r>
      <t>Recruitment, promotion</t>
    </r>
    <r>
      <rPr>
        <b/>
        <sz val="11"/>
        <rFont val="Calibri"/>
        <family val="2"/>
      </rPr>
      <t>,</t>
    </r>
    <r>
      <rPr>
        <b/>
        <sz val="11"/>
        <rFont val="Calibri"/>
        <family val="2"/>
      </rPr>
      <t xml:space="preserve"> and disciplinary procedures</t>
    </r>
  </si>
  <si>
    <t>3.2.2</t>
  </si>
  <si>
    <t>3.2.3</t>
  </si>
  <si>
    <t>3.2.4</t>
  </si>
  <si>
    <t>3.2.5</t>
  </si>
  <si>
    <t>3.2.6</t>
  </si>
  <si>
    <t>3.2.7</t>
  </si>
  <si>
    <t>3.2.8</t>
  </si>
  <si>
    <t>3.2.9</t>
  </si>
  <si>
    <t>3.2.10</t>
  </si>
  <si>
    <t>3.3.3</t>
  </si>
  <si>
    <r>
      <rPr>
        <sz val="11"/>
        <rFont val="Calibri"/>
        <family val="2"/>
      </rPr>
      <t>Education and life-long learning opportunities:</t>
    </r>
    <r>
      <rPr>
        <i/>
        <sz val="11"/>
        <color indexed="8"/>
        <rFont val="Calibri"/>
        <family val="2"/>
      </rPr>
      <t/>
    </r>
  </si>
  <si>
    <r>
      <t>Resili</t>
    </r>
    <r>
      <rPr>
        <b/>
        <sz val="11"/>
        <rFont val="Calibri"/>
        <family val="2"/>
      </rPr>
      <t>ent infr</t>
    </r>
    <r>
      <rPr>
        <b/>
        <sz val="11"/>
        <rFont val="Calibri"/>
        <family val="2"/>
      </rPr>
      <t>a</t>
    </r>
    <r>
      <rPr>
        <b/>
        <sz val="11"/>
        <rFont val="Calibri"/>
        <family val="2"/>
      </rPr>
      <t>structure, sustainable industrialisation and innovation</t>
    </r>
  </si>
  <si>
    <t>2.1.1</t>
  </si>
  <si>
    <t>2.1.2</t>
  </si>
  <si>
    <t>2.1.3</t>
  </si>
  <si>
    <t>2.1.3.1</t>
  </si>
  <si>
    <r>
      <rPr>
        <b/>
        <sz val="11"/>
        <color indexed="8"/>
        <rFont val="Calibri"/>
        <family val="2"/>
      </rPr>
      <t>2</t>
    </r>
    <r>
      <rPr>
        <b/>
        <sz val="11"/>
        <color indexed="8"/>
        <rFont val="Calibri"/>
        <family val="2"/>
      </rPr>
      <t>.1.3.1.1</t>
    </r>
  </si>
  <si>
    <r>
      <rPr>
        <b/>
        <sz val="11"/>
        <color indexed="8"/>
        <rFont val="Calibri"/>
        <family val="2"/>
      </rPr>
      <t>2</t>
    </r>
    <r>
      <rPr>
        <b/>
        <sz val="11"/>
        <color indexed="8"/>
        <rFont val="Calibri"/>
        <family val="2"/>
      </rPr>
      <t>.1.3.1.2</t>
    </r>
  </si>
  <si>
    <r>
      <rPr>
        <b/>
        <sz val="11"/>
        <color indexed="8"/>
        <rFont val="Calibri"/>
        <family val="2"/>
      </rPr>
      <t>2</t>
    </r>
    <r>
      <rPr>
        <b/>
        <sz val="11"/>
        <color indexed="8"/>
        <rFont val="Calibri"/>
        <family val="2"/>
      </rPr>
      <t>.1.3.2</t>
    </r>
  </si>
  <si>
    <r>
      <rPr>
        <b/>
        <sz val="11"/>
        <color indexed="8"/>
        <rFont val="Calibri"/>
        <family val="2"/>
      </rPr>
      <t>2</t>
    </r>
    <r>
      <rPr>
        <b/>
        <sz val="11"/>
        <color indexed="8"/>
        <rFont val="Calibri"/>
        <family val="2"/>
      </rPr>
      <t>.1.3.3</t>
    </r>
  </si>
  <si>
    <r>
      <rPr>
        <b/>
        <sz val="11"/>
        <color indexed="8"/>
        <rFont val="Calibri"/>
        <family val="2"/>
      </rPr>
      <t>2</t>
    </r>
    <r>
      <rPr>
        <b/>
        <sz val="11"/>
        <color indexed="8"/>
        <rFont val="Calibri"/>
        <family val="2"/>
      </rPr>
      <t>.1.3.4</t>
    </r>
  </si>
  <si>
    <r>
      <rPr>
        <b/>
        <sz val="11"/>
        <color indexed="8"/>
        <rFont val="Calibri"/>
        <family val="2"/>
      </rPr>
      <t>2</t>
    </r>
    <r>
      <rPr>
        <b/>
        <sz val="11"/>
        <color indexed="8"/>
        <rFont val="Calibri"/>
        <family val="2"/>
      </rPr>
      <t>.1.3.5</t>
    </r>
  </si>
  <si>
    <r>
      <rPr>
        <b/>
        <sz val="11"/>
        <color indexed="8"/>
        <rFont val="Calibri"/>
        <family val="2"/>
      </rPr>
      <t>2</t>
    </r>
    <r>
      <rPr>
        <b/>
        <sz val="11"/>
        <color indexed="8"/>
        <rFont val="Calibri"/>
        <family val="2"/>
      </rPr>
      <t>.1.3.6</t>
    </r>
  </si>
  <si>
    <r>
      <rPr>
        <b/>
        <sz val="11"/>
        <color indexed="8"/>
        <rFont val="Calibri"/>
        <family val="2"/>
      </rPr>
      <t>2</t>
    </r>
    <r>
      <rPr>
        <b/>
        <sz val="11"/>
        <color indexed="8"/>
        <rFont val="Calibri"/>
        <family val="2"/>
      </rPr>
      <t>.1.3.7</t>
    </r>
  </si>
  <si>
    <r>
      <t xml:space="preserve">Competition and </t>
    </r>
    <r>
      <rPr>
        <b/>
        <sz val="11"/>
        <rFont val="Calibri"/>
        <family val="2"/>
      </rPr>
      <t>s</t>
    </r>
    <r>
      <rPr>
        <b/>
        <sz val="11"/>
        <rFont val="Calibri"/>
        <family val="2"/>
      </rPr>
      <t>tate aid</t>
    </r>
  </si>
  <si>
    <r>
      <rPr>
        <b/>
        <sz val="11"/>
        <color indexed="8"/>
        <rFont val="Calibri"/>
        <family val="2"/>
      </rPr>
      <t>2</t>
    </r>
    <r>
      <rPr>
        <b/>
        <sz val="11"/>
        <color indexed="8"/>
        <rFont val="Calibri"/>
        <family val="2"/>
      </rPr>
      <t>.2.1</t>
    </r>
  </si>
  <si>
    <r>
      <rPr>
        <b/>
        <sz val="11"/>
        <color indexed="8"/>
        <rFont val="Calibri"/>
        <family val="2"/>
      </rPr>
      <t>2</t>
    </r>
    <r>
      <rPr>
        <b/>
        <sz val="11"/>
        <color indexed="8"/>
        <rFont val="Calibri"/>
        <family val="2"/>
      </rPr>
      <t>.2.2.</t>
    </r>
  </si>
  <si>
    <r>
      <rPr>
        <b/>
        <sz val="11"/>
        <color indexed="8"/>
        <rFont val="Calibri"/>
        <family val="2"/>
      </rPr>
      <t>2</t>
    </r>
    <r>
      <rPr>
        <b/>
        <sz val="11"/>
        <color indexed="8"/>
        <rFont val="Calibri"/>
        <family val="2"/>
      </rPr>
      <t xml:space="preserve">.2.3. </t>
    </r>
  </si>
  <si>
    <r>
      <rPr>
        <b/>
        <sz val="11"/>
        <color indexed="8"/>
        <rFont val="Calibri"/>
        <family val="2"/>
      </rPr>
      <t>2</t>
    </r>
    <r>
      <rPr>
        <b/>
        <sz val="11"/>
        <color indexed="8"/>
        <rFont val="Calibri"/>
        <family val="2"/>
      </rPr>
      <t>.2.4.</t>
    </r>
  </si>
  <si>
    <r>
      <rPr>
        <b/>
        <sz val="11"/>
        <rFont val="Calibri"/>
        <family val="2"/>
      </rPr>
      <t>2</t>
    </r>
    <r>
      <rPr>
        <b/>
        <sz val="11"/>
        <rFont val="Calibri"/>
        <family val="2"/>
      </rPr>
      <t>.3.2</t>
    </r>
  </si>
  <si>
    <r>
      <rPr>
        <b/>
        <sz val="11"/>
        <color indexed="8"/>
        <rFont val="Calibri"/>
        <family val="2"/>
      </rPr>
      <t>2</t>
    </r>
    <r>
      <rPr>
        <b/>
        <sz val="11"/>
        <color indexed="8"/>
        <rFont val="Calibri"/>
        <family val="2"/>
      </rPr>
      <t>.4.1</t>
    </r>
  </si>
  <si>
    <r>
      <rPr>
        <b/>
        <sz val="11"/>
        <rFont val="Calibri"/>
        <family val="2"/>
      </rPr>
      <t>2</t>
    </r>
    <r>
      <rPr>
        <b/>
        <sz val="11"/>
        <rFont val="Calibri"/>
        <family val="2"/>
      </rPr>
      <t>.4.2</t>
    </r>
  </si>
  <si>
    <r>
      <t xml:space="preserve">Transport: </t>
    </r>
    <r>
      <rPr>
        <b/>
        <sz val="11"/>
        <rFont val="Calibri"/>
        <family val="2"/>
      </rPr>
      <t>R</t>
    </r>
    <r>
      <rPr>
        <b/>
        <sz val="11"/>
        <rFont val="Calibri"/>
        <family val="2"/>
      </rPr>
      <t xml:space="preserve">egulatory </t>
    </r>
    <r>
      <rPr>
        <b/>
        <sz val="11"/>
        <rFont val="Calibri"/>
        <family val="2"/>
      </rPr>
      <t>P</t>
    </r>
    <r>
      <rPr>
        <b/>
        <sz val="11"/>
        <rFont val="Calibri"/>
        <family val="2"/>
      </rPr>
      <t>olicy</t>
    </r>
  </si>
  <si>
    <r>
      <t>Is the countries' National Accredita</t>
    </r>
    <r>
      <rPr>
        <b/>
        <sz val="11"/>
        <color indexed="8"/>
        <rFont val="Calibri"/>
        <family val="2"/>
      </rPr>
      <t>t</t>
    </r>
    <r>
      <rPr>
        <b/>
        <sz val="11"/>
        <color indexed="8"/>
        <rFont val="Calibri"/>
        <family val="2"/>
      </rPr>
      <t>ion Body an associate members of the EA?</t>
    </r>
  </si>
  <si>
    <t>yes. 0.5. Yes, Partially. Random assignment of cases is functioning in all courts and The Courts Administration Agency is publishing periodical reports on its web site (http://aaij.justice.md/ro/rapoarte/rapoarte-privind-repartizarea-aleatorie), but the system is vulnerable to manipulations. The Integrated Case Management System, through which random assignment is done, shall be adjusted to exclude the current vulnerabilities. In last years, were several signs that the random distribution of cases is affected. unfortunately was lack of reaction from judge's self-administration body (The Superior Council of Magistracy)</t>
  </si>
  <si>
    <t>I would suggest the score 0.5, as the law does not state explicitly the prohibition of discrimination on gender identity grounds.  The article 1 of the Law no 121 (on Equality) specifies that the Law prohibits discrimination on grounds of “race, colour, nationality, ethnic origin, language, religion or belief, sex, age, disability, opinion, political view, or any other similar criteria.” It does not explicitly prohibit discrimination on grounds of citizenship, place of domicile, gender identity, sexual orientation, health and HIV/ AIDS status. However, the phrase “or any other similar criteria”, means that further grounds of discrimination may be protected insofar as they can be shown to be similar to the included grounds.</t>
  </si>
  <si>
    <r>
      <t xml:space="preserve">Yes, sometimes. The National Mecanism to Prevent Torture (NMPT) started to work only in October 2016, since then at least 6 reports have been  published on the web page of Ombudsman. http://ombudsman.md/en/content/national-mechanism-prevention-torture-0  </t>
    </r>
    <r>
      <rPr>
        <sz val="10"/>
        <rFont val="Calibri"/>
        <family val="2"/>
      </rPr>
      <t xml:space="preserve">. Yes, 2016 US Department HR report on Moldova states that during the first half of 2016 year, the Prosecutor General’s Office received 331 allegations of torture and mistreatment, 151 of which involved criminal police, 42 traffic police, and 68 other police units, including the Carabinieri (a special police force responsible for public order and border policing) and customs officers. Prosecutors initiated 63 criminal cases and sent 17 cases to court. </t>
    </r>
    <r>
      <rPr>
        <sz val="10"/>
        <rFont val="Calibri"/>
        <family val="2"/>
      </rPr>
      <t xml:space="preserve"> </t>
    </r>
  </si>
  <si>
    <t>Yes, partially. The majority of OPCAT criteria were introduced in the provision of Law Nr. 52 from 03.04.2014, there is a special chapter nr. V which regulated the activity of NMPT.  Unfortunately members of NMPT were elected with a big delay ( in October 2016), while the Secretariat of MNP was created only in February 2017 .  0.5, because the new Council for the Prevention of Torture was appointed with a big delay in October 2016 and had limited time to prove its effectiveness. The new Council was selected and appointed through an open competition from candidates of the civil society. The new composition of the Council generally fulfils the UN OPCAT (Article 18) criteria. The council is gender balanced, their members are representing the civil society and different ethnic minorities. The forth criteria (to have an independent personnel) was accomplished only in February 2017, when the secretariat of MNP was created.</t>
  </si>
  <si>
    <t>No. Exception - the Director of the Security and Intelligence Service is appointed by Parliament. Yes with respect to the Minister of Defence and the Minister of Interior when the Parliament approves the cabinet. Later, if the minister is dismissed, the Prime-minister appoints the new minister and the President appoints him/her. No - with respect to the Supreme Chief of Staff, generals. Appointment of the Chief of the Intelligence Service is divided between the President and the Parliament, with the Parliament having the final say.</t>
  </si>
  <si>
    <r>
      <t>Partially. Formally, the policy coordination unit at the level of State Chancellery is responsible for co-ordinating and for assessing the impact of government-wide policies, but officially there is no guideline for this kind of assessment. A draft guideline on ex-ante on impact assessment was piloted during 2012-2014, but it was not formally approved as there are no requirements on ex-ante in the existing law on normative acts. After turnover of the staff at the level of the State Chancellery, impact assessment capacities are reduced.</t>
    </r>
    <r>
      <rPr>
        <sz val="10"/>
        <rFont val="Calibri"/>
        <family val="2"/>
      </rPr>
      <t xml:space="preserve">  During 2010-2015, in the context of the central public administration reform, the State Chancellery was piloting, the ex-ante impact assessment of public policies. With the support of development partners, guidelines were drafted, a training course was developed at the Academy of Public Administration, civil servants from line ministries were trained, about 60 public policy proposals using impact assessment methodology were produced. In 2014, as the CPAR project ended, assistance for ministries in applying ex-ante impact assessment approach also was stopped. As a result, ministries were not willing to use the ex-ante impact assessment methodology as it requires a lot of time and efforts and is not mandatory according to the law. Nevertheless, during 2014 the State Chancellery managed to persuade the ministries to continue applying ex-ante impact assessment on their own. But in February 2015, the process stopped, as ministries refused to use it anymore and there was not support of decision makers to continue the implementation of ex-ante. Due time, the institutional memory of the State Chancellery regarding ex-ante impact assessment was fully lost during 2015 (the core staff coordinating and promoting the process has left the State Chancellery). Lacking support of development partners, impact assessment approach is not anymore promoted. 
It is worth to mention that the State Chancellery, together with the Ministry of Justice, prepared a new law on normative acts, containing mandatory provisions on ex-ante impact assessment, but it was approved by the Parliament only in July 2017 after 6 years since it was drafted (nevertheless until now, November 2017, it did not enter into force). 
</t>
    </r>
  </si>
  <si>
    <r>
      <t xml:space="preserve">Partially. Formally, State Chancellery is mandated to provide policy and methodological advice to the ministries, but the capacity is very low due to high turnover. </t>
    </r>
    <r>
      <rPr>
        <sz val="10"/>
        <rFont val="Calibri"/>
        <family val="2"/>
      </rPr>
      <t xml:space="preserve"> During 2015 all staff from the Policy Coordination Unit of the State Chancellery which had experience in coordinating, promoting and advising ministries on ex-ante impact assessment has left. Lacking assistance of development partners and having no institutional capacity, the ex-ante impact assessment in not anymore required and used.</t>
    </r>
  </si>
  <si>
    <t xml:space="preserve">No. A guideline on intermediate and ex-post evaluation was drafted by the State Chancellery and piloted only for 5 policies in 2013, but it was not formally approved. It is not used at the moment. Ministry of Justice is monitoring the process of normative acts implementation. Or, a normative act is not really a public policy, rather an instrument to implement public policies. So, monitoring of normative acts is not at all evaluation of policy implementation.
In 2013 within CPAR project methodology on intermediate and ex-post evaluation of public policy was developed and piloted for 5 policies. As in the case of ex-ante, due to lack of institutional memory, lack of external assistance, lack of backup in the law on normative acts and lack of support of decision makers, ex-post evaluation of public policies was abandoned in 2015.
</t>
  </si>
  <si>
    <r>
      <t>No. There are no such provisions in the law.</t>
    </r>
    <r>
      <rPr>
        <sz val="10"/>
        <rFont val="Calibri"/>
        <family val="2"/>
      </rPr>
      <t xml:space="preserve"> According to the law, the promotion of a civil servant is approved by the head of respective institution, based on performances. There are no provisions about third parties which could oversee the PROMOTION process. In the answer from 2014 it is mentioned about a commission created by the Prime Minister for high level civil servants, which are state secretaries in our case. Firstly, this commission is involved in the process of selection of candidates for the positions of state secretaries, not for their PROMOTION.  Secondly, what the commission is doing is not overseeing, but full-fledged involvement in the selection. Thirdly, state secretaries are already in the highest level in civil service, they cannot be promoted. Also, the Court of Accounts, as it was mentioned previously, is not overseeing the promotion of civil servants. It is doing the control of how financial resources are used and how public patrimony is administrated. </t>
    </r>
  </si>
  <si>
    <t xml:space="preserve">yes, the Ministry of Economy, legal framework provided by the Government Decision  1678/2002 (approving the Regulation  of the Investigative Body of Anti-Dumping, Compensatory and Safeguard Measures) and  GD 1324/2002 (on setting up  the Investigative Body for anti-dumping, relief and safeguard measures). YES or 1. Moldova has a national authority for dumping investigation. Is sufficient or not – we do not know, because we did not have any dumping investigation. We had a safeguards investigation and it has been done successfully by the Ministry of Economy. The text provided in the cell, ’ the Ministry of Economy, legal framework provided by the Government Decision  1678/2002 (approving the Regulation  of the Investigative Body of Anti-Dumping, Compensatory and Safeguard Measures) and  GD 1324/2002 (on setting up  the Investigative Body for anti-dumping, relief and safeguard measures). has been provided, just to justify that all there is legislation in force in respect to a national investigation authority. </t>
  </si>
  <si>
    <r>
      <t>Yes, but only in cases where national standards are not developed for those specific cases</t>
    </r>
    <r>
      <rPr>
        <sz val="10"/>
        <rFont val="Calibri"/>
        <family val="2"/>
      </rPr>
      <t xml:space="preserve">. Yes, partially (ONLY in cases where national standards are not developed for the specific cases).  Currently Moldova is under amending its Law on Accounting- Source - http://mf.gov.md/sites/default/files/documente%20relevante/raport_dcfta_semestrul_i2017.pdf, see page 14-16.  I also consulted auditors and other specialists, and they confirmed not in all cases. In Moldova still reporting for public and private differs – even if in the corporate accounting we are more advanced, in the public sector the transposition will take longer period. We are currently on amending our legislation - SO – reply 0.5 – it can be confirmed. </t>
    </r>
  </si>
  <si>
    <r>
      <t>No, it' s under preparation, as Moldova is not a  member of IOSC yet</t>
    </r>
    <r>
      <rPr>
        <sz val="10"/>
        <rFont val="Calibri"/>
        <family val="2"/>
      </rPr>
      <t>. MD: NO. Moldova do not have a strategy or a roadmap which provides for the implementation of the International Organisation of Securities Commissions' “Objectives and Principles of Securities Regulation”. I got this answer from the National Commission for Financial Market, had of Foreign Unit – Diana Railean, who stated that in spite all principle of IOSCO are applied by the RM, there is no dedicated strategy or roadmap focusing or providing the implementation of these objectives and principles.</t>
    </r>
  </si>
  <si>
    <t>Yes, Moldova has a National Strategy on Migration and Asylum 2011–2020. The Strategy aims at developing inter-sectorial policies in the areas of legal migration, asylum system, irregular migration, integrated border management, visa policy, observance of human rights and freedoms, etc., and acknowledges the need to correlate migration management with the economic, political, and social policies.document that would regulate the migration. the first Action plan for 2011-2015 approved in December 2011, and in June 2016 the Action Plan for 2016-20120 was approved. However, along the time, a complex set of laws were adopted dealing with various aspects of migration: “On labor migration” of 2008; “On national identity documents” and “On exit and entry into the Republic of Moldova” both updated in 2016 etc. The Moldovan Government has recognized the need for a coordinated and integrated approach to manage migration through for instance the National Development Strategy 2012–2020, which includes a focus on harnessing remittances and youth emigration, as well as the National Strategy on Migration and Asylum 2011–2020. The Strategy aims at developing inter-sectorial policies in the areas of legal migration, asylum system, irregular migration, integrated border management, visa policy, observance of human rights and freedoms, etc., and acknowledges the need to correlate migration management with the economic, political, and social policies. In December 2011, the first Action plan for implementation of the National Strategy on Migration and Asylum for 2011-2015 was approved, while in June 2016, the Action Plan for 2016-</t>
  </si>
  <si>
    <t>1 Law on Electricity No. 106, as of 27.05.2016, Law on Natural Gas No. 108 as of 27.05.2016, Law on Renewable Energy Sources No. 10 as of 26.02.2016. Law on Energy is pending for the second hearings in the Parliament.</t>
  </si>
  <si>
    <r>
      <t>Internet use (%)</t>
    </r>
    <r>
      <rPr>
        <b/>
        <sz val="11"/>
        <color indexed="8"/>
        <rFont val="Calibri"/>
        <family val="2"/>
      </rPr>
      <t xml:space="preserve"> https://data.worldbank.org/indicator/IT.NET.USER.ZS</t>
    </r>
  </si>
  <si>
    <r>
      <t>Agriculture value added, % GDP</t>
    </r>
    <r>
      <rPr>
        <b/>
        <sz val="11"/>
        <color indexed="8"/>
        <rFont val="Calibri"/>
        <family val="2"/>
      </rPr>
      <t xml:space="preserve"> https://data.worldbank.org/indicator/NV.AGR.TOTL.ZS</t>
    </r>
  </si>
  <si>
    <r>
      <t>Industry value added as a proportion of GDP (%)</t>
    </r>
    <r>
      <rPr>
        <b/>
        <sz val="11"/>
        <rFont val="Calibri"/>
        <family val="2"/>
      </rPr>
      <t xml:space="preserve"> https://data.worldbank.org/indicator/NV.IND.TOTL.ZS</t>
    </r>
  </si>
  <si>
    <r>
      <t>Services value added as a proportion of GDP (%)</t>
    </r>
    <r>
      <rPr>
        <b/>
        <sz val="11"/>
        <rFont val="Calibri"/>
        <family val="2"/>
      </rPr>
      <t xml:space="preserve"> https://data.worldbank.org/indicator/NV.SRV.TETC.ZS</t>
    </r>
  </si>
  <si>
    <t>6.00</t>
  </si>
  <si>
    <t>3.2.10.1</t>
  </si>
  <si>
    <t>3.2.10.2</t>
  </si>
  <si>
    <t>Forest. Share and changes in share</t>
  </si>
  <si>
    <t>1,0.5,1</t>
  </si>
  <si>
    <r>
      <rPr>
        <b/>
        <sz val="11"/>
        <rFont val="Calibri"/>
        <family val="2"/>
      </rPr>
      <t>Share</t>
    </r>
    <r>
      <rPr>
        <b/>
        <sz val="11"/>
        <rFont val="Calibri"/>
        <family val="2"/>
      </rPr>
      <t xml:space="preserve"> of nature protected area, %</t>
    </r>
    <r>
      <rPr>
        <b/>
        <sz val="11"/>
        <rFont val="Calibri"/>
        <family val="2"/>
      </rPr>
      <t xml:space="preserve"> change</t>
    </r>
  </si>
  <si>
    <t>Share of nature protected area, %</t>
  </si>
  <si>
    <t>Share of forest area, %</t>
  </si>
  <si>
    <r>
      <t>Share of forest area, %</t>
    </r>
    <r>
      <rPr>
        <b/>
        <sz val="11"/>
        <rFont val="Calibri"/>
        <family val="2"/>
      </rPr>
      <t xml:space="preserve"> change</t>
    </r>
  </si>
  <si>
    <t>No. US Department of State stressed in its report for 2016: "The constitution provides for an independent judiciary, but authorities did not respect judicial independence" (https://www.state.gov/j/drl/rls/hrrpt/humanrightsreport/index.htm?year=2016&amp;dlid=265398#wrapper) All judges are appointed by the president (by the Law) and during the appointment procedure their candidacy must be approved by the chair of local executive committee (on practice). Executive power interfere the process and can influence courts’ decisions. On the other hand the implementation of the courts decisions is very effective, so: they definitely HAVE adequate subpoena, contempt, and/or enforcement powers, which are utilised, BUT these powers are NOT respected and supported by other branches of government in ALL politically motivated cases and in SOME other criminal or civil cases</t>
  </si>
  <si>
    <t xml:space="preserve">Do independent international organizations or national human rights institutions (e.g. Ombudsman) report cases of torture or other cruel, inhumane or degrading treatment in police detention centres? (sources: Human Rights Watch’s World Reports, US Department of State country reports, Ombudsman’s (NPM’s) reports)   </t>
  </si>
  <si>
    <r>
      <t>yes</t>
    </r>
    <r>
      <rPr>
        <sz val="10"/>
        <rFont val="Calibri"/>
        <family val="2"/>
      </rPr>
      <t xml:space="preserve">. Quote from US State Department report: problems reported during the year included: alleged beatings and torture of
detainees and prisoners, as well as harsh conditions in government-run prisons and
detention facilities. There is also another report: https://www.hrw.org/news/2016/07/21/ukraine-torture-disappearances-east
</t>
    </r>
  </si>
  <si>
    <r>
      <t>0.5</t>
    </r>
    <r>
      <rPr>
        <sz val="10"/>
        <rFont val="Calibri"/>
        <family val="2"/>
      </rPr>
      <t xml:space="preserve"> The expert Fedchenko answered:
as a list:
Constitution - open 
Law against discrimination - open 
Labor Code - open 
Law on education - open 
Law on goods and services - open 
Law on occupation - open 
Law on Advertisement - open 
Criminal code - one article (161) open, all others are closed 
</t>
    </r>
  </si>
  <si>
    <r>
      <t>no, only the Labor Code</t>
    </r>
    <r>
      <rPr>
        <sz val="10"/>
        <rFont val="Calibri"/>
        <family val="2"/>
      </rPr>
      <t xml:space="preserve">. The expert believe that it is not enough. 
rows 216 and 217 - the answer "NO" is because the protection from discrimination is not limited to the sphere of labor. it should also be granted in other spheres of social life 
the question itself (in row 210) is asking about legislation (not limiting it to labor code) so the answer is about all legislation 
theoretically (and this is an argument from the State) an open list should be enough, in practice this is not something we can automatically expect for granted from Ukrainian courts (keeping in mind that some of them still have no idea that we have law against discrimination - the last court decision with the quote that there are no law about prohibition of discrimination in Ukraine I found dated from 2016). 
</t>
    </r>
  </si>
  <si>
    <r>
      <t>No. There are no such mechanisms in place. There is no comprehensive policy impact assessment as such</t>
    </r>
    <r>
      <rPr>
        <sz val="10"/>
        <color indexed="8"/>
        <rFont val="Calibri"/>
        <family val="2"/>
      </rPr>
      <t>. There are no really functioning mechanisms. There were formalized procedures but they did not deal with literally what is called ASSESSING THE IMPACT OF GOVERNMENT або PROVIDING POLICY ADVICE FOR MINISTRIES. Formally something with regards to assessing Government’s programs had been done but the impact has never been assessed due to procedures. Now in 2017 these procedures are regulated (Concept on reforming the Ministries). But that will be score for 2017.</t>
    </r>
  </si>
  <si>
    <r>
      <t xml:space="preserve">In April, 2016, the Constitutional Court ruled unconstitutional legislation that allowed state security services to have direct, unrestricted access to telecom operators’ networks to monitor communications. The Public Defender and national NGOs say that a new piece of legislation adopted afterwards is not in compliance with the Constitutional Court decision. According to the Public Defender’s Annual Report, infringement on the right to private life was one of the most problematic issue throughtout 2016. In March, unknown persons threatened to release sex tapes implicating cabinet members, an opposition figure, and a television journalist if they did not quit their jobs by March 31. The threats were made through YouTube videos of secretly recorded videos purportedly showing their private lives, with blurred out faces, which were quickly removed. Authorities launched an investigation that according to the Public Defender was insufficient as the perpetrators are not identified.   </t>
    </r>
    <r>
      <rPr>
        <sz val="10"/>
        <rFont val="Calibri"/>
        <family val="2"/>
      </rPr>
      <t xml:space="preserve">, the legislation allows the law enforcement agencies to wire tap telephone conversations without adequate safeguards in place (Constitutional court judgement). Prior to parliamentary elections, wiretapped conversations aired at TV channels were daily news – investigations started with no results. In addition, tapes containing sex life of the politician was uploaded on the web. 621 days after the launch of the investigation - no results. </t>
    </r>
  </si>
  <si>
    <t xml:space="preserve">Deviation between actual aggregate expenditure and budgeted expenditure: Average % of budgeted expenditure, (2013-2015). </t>
  </si>
  <si>
    <t>Based on rounded 2014 figures: 1:0; 0:15%</t>
  </si>
  <si>
    <t>(0.58)- 94.2% (*2013 - 93.2%, 2014 - 93.3%, 2015 - 96.2%)</t>
  </si>
  <si>
    <t>Deviation for 2015 is -0.4%, if taken corrected budgeted expenditures (made through changes in the initial budgeted expenditures passed by the Law on 2015 State Budget), and it is +7.9% if taken initial budgeted expenditures (see http://parliament.am/legislation.php?sel=show&amp;ID=5521&amp;lang=arm )</t>
  </si>
  <si>
    <t>Average: 8.2% The level of execution of the state budget - in 2013 - 96,4 %, in 2014 - 94,7%, in 2015 -84,3%.</t>
  </si>
  <si>
    <t xml:space="preserve">The actual difference between the medium values of addopted expenditures and real expenditures is - 3.1% for the relevant period. Also it should be noted that the budget law suffered multiple rectifications, for the aforementioned period. 
http://www.mf.gov.md/reports/17?y=2013&amp;m=y 
http://www.mf.gov.md/files/reports/Raport%202014%20.pdf
http://www.mf.gov.md/files/reports/BS%20toate_0.pdf </t>
  </si>
  <si>
    <r>
      <t>2015- 98,6%; 2014- 98,6%; 2013- 98,2%</t>
    </r>
    <r>
      <rPr>
        <sz val="10"/>
        <color indexed="8"/>
        <rFont val="Calibri"/>
        <family val="2"/>
      </rPr>
      <t>, average deviation: 1.53%</t>
    </r>
  </si>
  <si>
    <t>average is 1.05     2015: 101%; 2014: 98.9%</t>
  </si>
  <si>
    <r>
      <rPr>
        <b/>
        <sz val="11"/>
        <rFont val="Calibri"/>
        <family val="2"/>
      </rPr>
      <t>Is</t>
    </r>
    <r>
      <rPr>
        <b/>
        <sz val="11"/>
        <rFont val="Calibri"/>
        <family val="2"/>
      </rPr>
      <t xml:space="preserve"> the central public administration develop</t>
    </r>
    <r>
      <rPr>
        <b/>
        <sz val="11"/>
        <rFont val="Calibri"/>
        <family val="2"/>
      </rPr>
      <t>ing</t>
    </r>
    <r>
      <rPr>
        <b/>
        <sz val="11"/>
        <rFont val="Calibri"/>
        <family val="2"/>
      </rPr>
      <t xml:space="preserve"> energy efficiency projects? Yes/No</t>
    </r>
  </si>
  <si>
    <t>0.5, Following the 2015 Constitutional amendments, a new Constitutional Law on Human Rights Defender entered into force in December 2016. The Law addresses the issue of ensuring the proper functioning of the National Preventive Mechanism
and the Expert Council on Torture Prevention, however the Law is nut functioning yet. The experts gave this clarification in this respect:” Despite the fact that the grounds for the functioning of the National preventive mechanism were established, the Torture and Violence Prevention Division under the Human rights defender office failed to perform its duties effectively in 2015 and in the beginning of 2016 because of lack of required resources (Report to the Armenian Government on the visit to Armenia carried out by the European Committee for the Prevention of Torture and Inhuman or Degrading Treatment or Punishment (CPT) from 5 to 15 October 2015, page 14).</t>
  </si>
  <si>
    <t>Does your contry has the ACAA or any other mutual recognition agreement with the EU?</t>
  </si>
  <si>
    <r>
      <t>Fully operational gas interconnections? Yes/No/Unde</t>
    </r>
    <r>
      <rPr>
        <sz val="11"/>
        <rFont val="Calibri"/>
        <family val="2"/>
      </rPr>
      <t>r</t>
    </r>
    <r>
      <rPr>
        <sz val="11"/>
        <rFont val="Calibri"/>
        <family val="2"/>
      </rPr>
      <t xml:space="preserve"> progress</t>
    </r>
  </si>
  <si>
    <t xml:space="preserve">1851/45.2=41 As for 2015: 64 accidents in air transport, 0 accidents in sea transport, 602 accidents in railways and 1185 accidents in road transport </t>
  </si>
  <si>
    <t>Starting a business. WB Doing Business Report 2017 http://www.doingbusiness.org/</t>
  </si>
  <si>
    <t>Does your country have national or international (e.g. EU/EEU) authority, investigating dumping and unfair trade practices? Yes/No</t>
  </si>
  <si>
    <t xml:space="preserve">Vote differential between government party/parties/candidates and opposition party/parties/candidates represented in parliament, most recent legislative elections: Difference between vote shares in percentage points </t>
  </si>
  <si>
    <r>
      <rPr>
        <sz val="11"/>
        <color rgb="FF000000"/>
        <rFont val="Calibri"/>
        <family val="2"/>
      </rPr>
      <t>b</t>
    </r>
    <r>
      <rPr>
        <sz val="11"/>
        <color rgb="FF000000"/>
        <rFont val="Calibri"/>
        <family val="2"/>
      </rPr>
      <t>. An HR institution with a broad mandate (e.g. Ombudsman)</t>
    </r>
  </si>
  <si>
    <r>
      <rPr>
        <sz val="11"/>
        <color rgb="FF000000"/>
        <rFont val="Calibri"/>
        <family val="2"/>
      </rPr>
      <t>c</t>
    </r>
    <r>
      <rPr>
        <sz val="11"/>
        <color rgb="FF000000"/>
        <rFont val="Calibri"/>
        <family val="2"/>
      </rPr>
      <t>. A governmental agency</t>
    </r>
  </si>
  <si>
    <t xml:space="preserve">Is your country implementing, or has your country completed implementation of, a Visa liberalisation Action Plan? </t>
  </si>
  <si>
    <t>If visa liberalisation already in place, answer 1. If the Action Plan exists,  have your government adopted a domestic document for its implementation and set up a national co-ordination mechanism? Yes/No</t>
  </si>
  <si>
    <r>
      <rPr>
        <i/>
        <sz val="11"/>
        <color indexed="57"/>
        <rFont val="Calibri"/>
        <family val="2"/>
      </rPr>
      <t>Poverty:</t>
    </r>
    <r>
      <rPr>
        <sz val="11"/>
        <color rgb="FF000000"/>
        <rFont val="Calibri"/>
        <family val="2"/>
      </rPr>
      <t xml:space="preserve"> people living on less than 1.90$ per day (% of population)</t>
    </r>
  </si>
  <si>
    <r>
      <t xml:space="preserve">Gender equality and women's empowerment: </t>
    </r>
    <r>
      <rPr>
        <sz val="11"/>
        <rFont val="Calibri"/>
        <family val="2"/>
      </rPr>
      <t xml:space="preserve"> existing rank from Gender Inequality Index, undp http://hdr.undp.org/en/data  </t>
    </r>
  </si>
  <si>
    <r>
      <t xml:space="preserve">Quality of overall infrastructure (1-7) </t>
    </r>
    <r>
      <rPr>
        <sz val="11"/>
        <rFont val="Calibri"/>
        <family val="2"/>
      </rPr>
      <t>https://www.statista.com/statistics/264753/ranking-of-countries-according-to-the-general-quality-of-infrastructure/    for Belarus: http://icbs.palityka.org/wp-content/uploads/2014/09/01-02_Kostina.pdf</t>
    </r>
  </si>
  <si>
    <t>Raw data (end of 2017)</t>
  </si>
  <si>
    <t xml:space="preserve">Do the legislative framework and existing practices ensure effective protection of the right to privacy? </t>
  </si>
  <si>
    <t>Does the legislature conduct independent investigations of the chief executive and the agencies of the executive? Yes/No</t>
  </si>
  <si>
    <t>Does the legislature exercise its powers of oversight over the agencies of coercion (the military, police, intelligence services)? Yes/No</t>
  </si>
  <si>
    <t>Does the legislature have a dedicated research capacity (well-staffed professional research department/library)? Yes/No</t>
  </si>
  <si>
    <t xml:space="preserve">Seat differential between governing party / coalition and main opposition party / alliance, Difference between seat shares in % points  as of December 2017  (1st chamber of parliament.). </t>
  </si>
  <si>
    <t>Media Sustainability Index: Plurality of News Sources, IREX,   https://www.irex.org/resource/media-sustainability-index-msi#europe-eurasia</t>
  </si>
  <si>
    <t>In practice, are judges appointed based on objective criteria (such as the passing of an exam, performance in law school, other training, experience, professionalism, and reputation in the legal community)? Yes/No</t>
  </si>
  <si>
    <t>In practice, are judges advanced through the judicial system on the basis of objective criteria such as ability, integrity, and experience? Yes/No</t>
  </si>
  <si>
    <t>In practice, are judges removed from office or otherwise punished only for specified official misconduct and through a transparent process, governed by objective criteria? Yes/No</t>
  </si>
  <si>
    <t>Has your country signed and ratified the UN Anti-Corruption Convention? No (0), Signed, but not ratified (0.5), Ratified (1)</t>
  </si>
  <si>
    <t xml:space="preserve">Has your country signed and ratified the Council of Europe Criminal Law Convention on Corruption? No (0), Signed, but not ratified (0.5), Ratified (1) </t>
  </si>
  <si>
    <t xml:space="preserve">Has your country signed and ratified the Council of Europe Civil Law Convention on Corruption? No (0), Signed, but not ratified (0.5), Ratified (1) </t>
  </si>
  <si>
    <t>If visa liberalisation already in place, answer 1. If the Action Plan exists,  has your government adopted a domestic document for its implementation and set up a national co-ordination mechanism? Yes/No</t>
  </si>
  <si>
    <t>Is there an EU-compatible mechanism for prevention of illegal unreported and unofficial fishery? Yes/No/Partially</t>
  </si>
  <si>
    <t xml:space="preserve">Control of legality of trade in forestry Yes/No/Partially </t>
  </si>
  <si>
    <t xml:space="preserve">Have cases been brought under the Council of Europe Criminal Law Convention on Corruption?
No (0), Yes, but no convictions in the period January - December 2017 (0.5), Yes, with convictions in the period January - December 2017 (1)
</t>
  </si>
  <si>
    <t xml:space="preserve">Have cases been brought under the Council of Europe Civil Law Convention on Corruption?
No (0), Yes, but no convictions in the period January - December 2017 (0.5), Yes, with convictions in the period January - December 2017 (1)
</t>
  </si>
  <si>
    <t>Have cases been brought under the UN Anti-Corruption Convention?
No (0), Yes, but no convictions in the period January - December 2017 (0.5), Yes, with convictions in the period January - December 2017 (1)</t>
  </si>
  <si>
    <t>Protection of Civil and Political Rights</t>
  </si>
  <si>
    <t>Do independent international organisations or national human rights institutions (e.g. Ombudsman) report cases of allegedly politically motivated prosecution or allegedly politically motivated trials? (sources: Human Rights Watch’s World Reports, US Department of State country reports, Ombudsman’s reports)? Yes/No</t>
  </si>
  <si>
    <t>No political prisoners = 1, one or several political prisoners = 0</t>
  </si>
  <si>
    <t>Worst EAP 2014 (baseline yr)</t>
  </si>
  <si>
    <t>Narrative answers</t>
  </si>
  <si>
    <t>Narrative answers in columns S-X</t>
  </si>
  <si>
    <t>Are there laws in place to prohibit the use/abuse of "administrative resources" and to ensure a level "playing field"? Yes/No</t>
  </si>
  <si>
    <t>Are there measures in place to monitor the use/abuse of "administrative resources" and to apply sanctions to ensure a level "playing field"? Yes/No</t>
  </si>
  <si>
    <t>Equal access to media</t>
  </si>
  <si>
    <t>Use/abuse of "administrative resources"</t>
  </si>
  <si>
    <t>Financial reporting</t>
  </si>
  <si>
    <t>Does your electoral legislation include a mechanism for financial reporting by political parties? Yes/No</t>
  </si>
  <si>
    <t>Have cases been brought/sanctions been applied under the legislation on financial reporting? Yes/No</t>
  </si>
  <si>
    <t>Is there legislation in place that allows effective monitoring of political party finances, including donations from private individuals and legal persons? (sources could be: GRECO reports, OSCE/ODIHR reports)  Yes/No</t>
  </si>
  <si>
    <t>Technological tools</t>
  </si>
  <si>
    <t>Election Observation</t>
  </si>
  <si>
    <t>Are measures in place to monitor the integrity of the vote within military units? Yes/No</t>
  </si>
  <si>
    <t>Independent Investigations of Executive</t>
  </si>
  <si>
    <t>Powers of oversight of agencies of coercion</t>
  </si>
  <si>
    <t>Does the legislature (including parliamentary committees) have the professional staff with expertise in legal oversight to assist legislators in the review of legislation? Yes/No</t>
  </si>
  <si>
    <t>Does the legislature (including parliamentary committees) have the professional staff with expertise in budgetary oversight to assist legislators in oversight of state budget and expenditure? Yes/No</t>
  </si>
  <si>
    <t>Is there a formal budget for legislative staff? Yes/No</t>
  </si>
  <si>
    <t xml:space="preserve">Share of adopted bills/resolutions submitted by the opposition/ number of total bills/resolutions adopted, in the most recent completed  legislative period (The ratio is calculated from data for the most recent completed legislative period because data on an annual basis may be skewed by the occurence of elections and ensuing changes in parliamentary power constellations.) </t>
  </si>
  <si>
    <t>Does the government provide multi-year fiscal forecasts of revenue and expenditure aggregates? Yes/No</t>
  </si>
  <si>
    <t>Does the government provide multi-year fiscal forecasts of potential deficit financing? Yes/No</t>
  </si>
  <si>
    <t>1.3.4</t>
  </si>
  <si>
    <t>1.3.4.1</t>
  </si>
  <si>
    <t>1.3.4.2</t>
  </si>
  <si>
    <t>1.3.4.3</t>
  </si>
  <si>
    <t>1.3.4.4</t>
  </si>
  <si>
    <t>Access to Information</t>
  </si>
  <si>
    <t>Are the plenary meetings of the legislature open to the public? Yes/No</t>
  </si>
  <si>
    <t>Are the meetings of parliamentary committees open to the public? Yes/No</t>
  </si>
  <si>
    <t>Is a comprehensive Freedom of Information law in place? Yes/No</t>
  </si>
  <si>
    <t>Do the authorities provide the information as requested and in a timely manner? Yes (1), partially (0.5), No (0)</t>
  </si>
  <si>
    <t>Does civil society and media have access, on request, to official documents held by public authorities? (In compliance with the provisions of Council of Europe Convention on Access to Official Documents, 2009)  Yes/No</t>
  </si>
  <si>
    <t>Accountability of legislature</t>
  </si>
  <si>
    <t>Is there comprehensive legislation covering cyber-crime and cyber-security? Yes (1)/Partially (0.5)/No (0)</t>
  </si>
  <si>
    <t>UN Anti-Corruption Convention</t>
  </si>
  <si>
    <t>Council of Europe Criminal Convention</t>
  </si>
  <si>
    <t>Council of Europe Civil Convention</t>
  </si>
  <si>
    <t>Is there in place a functioning anti-corruption institution that investigates and prosecutes corruption cases? Yes/No</t>
  </si>
  <si>
    <t>Anti-Corruption Strategy and Action Plan</t>
  </si>
  <si>
    <t>Is there in place a special body that elaborates general anti-corruption strategies and action plans?</t>
  </si>
  <si>
    <t>Is there in place an anti-corruption strategy and action plan?</t>
  </si>
  <si>
    <t>Is the anti-corruption strategy/action plan regularly reviewed (at least every two years) based on a comprehensive analysis of the state of its implementation, its validity and the corruption situation in different areas?</t>
  </si>
  <si>
    <t>Criminal Corporate Liability</t>
  </si>
  <si>
    <t>Is there criminal corporate liability for corruption? Yes/No</t>
  </si>
  <si>
    <t>Illicit enrichment</t>
  </si>
  <si>
    <t>Is illicit enrichment illegal? Yes/No</t>
  </si>
  <si>
    <t>Confiscation of Assets</t>
  </si>
  <si>
    <t>Are legal provisions available to order the confiscation of assets in corruption cases? Yes/No</t>
  </si>
  <si>
    <t>Declarations of Assets</t>
  </si>
  <si>
    <t>Are there laws requiring the declaration of assets of politicians and public officials? Yes/No</t>
  </si>
  <si>
    <t>Whistleblower Protection</t>
  </si>
  <si>
    <t>Is whistleblower protection legislation in place? Yes/No</t>
  </si>
  <si>
    <t>Beneficial Ownership</t>
  </si>
  <si>
    <t>Are there legal provisions requiring the disclosure of beneficial ownership of companies?  Yes/No</t>
  </si>
  <si>
    <t xml:space="preserve">Have sanctions been applied for failure to comply with disclosure requirements?
No (0), Yes, but not in the period January - December 2017 (0.5), Yes, with sanctions applied in the period January - December 2017 (1)
</t>
  </si>
  <si>
    <t>Does your country have a dedicated body/council that conducts arbitration in the case of disputes related to public procurement? Yes/No</t>
  </si>
  <si>
    <t>Does your country have a functional e-procurement system? Yes (1), partially (0.5), No (0)</t>
  </si>
  <si>
    <t>Does the Government issue green papers or ex-ante policy options for public deliberation before starting the work on a draft law?Yes/No</t>
  </si>
  <si>
    <t>Regulatory Impact Assessment</t>
  </si>
  <si>
    <t>Is regulatory impact assessment carried out in practice? Yes, always (1), usually, but not always (0.5), No (0)</t>
  </si>
  <si>
    <t>Public Consultations</t>
  </si>
  <si>
    <t>Does the legislative procedure provide for mandatory consultations with the public , e.g. civil society organisations, stakeholders at the stage of preparatory and draft laws (before the draft law or secondary legislative act is due to be adopted by the Council of Ministers (or Prime Minister, or Minister) and submitted to Parliament?  Yes/No</t>
  </si>
  <si>
    <t>Are the public consultations held? Yes (1), usually, but not always (0.5)/No, or rarely (0)</t>
  </si>
  <si>
    <t>Does the Government inform the public as to which amendments to draft legislative acts are being tabled as a result of the consultation process? Yes, nearly always (1), Often, yes (0.5)/No, or rarely (0)</t>
  </si>
  <si>
    <t>Are public hearings practised with the participation of civil society organisations and other stakeholders to discuss a draft law in the Parliament? Yes, nearly always (1), Often, yes (0.5)/No, or rarely (0)</t>
  </si>
  <si>
    <t>1.9.3</t>
  </si>
  <si>
    <t>1.9.3.1</t>
  </si>
  <si>
    <t>1.9.3.2</t>
  </si>
  <si>
    <t>1.9.3.3</t>
  </si>
  <si>
    <t>1.9.3.4</t>
  </si>
  <si>
    <t>1.9.3.5</t>
  </si>
  <si>
    <t xml:space="preserve">Is the principle of local self-government recognized in the constitution/domestic legislation? 
(yes/no) yes, in the constitution – 1; yes, by the ordinary legislation – 0,5, no - 0
</t>
  </si>
  <si>
    <t xml:space="preserve">Does the legislative framework allow for the direct election of the members of the local councils or assemblies? 
(yes/no) yes – 1, no – 0
</t>
  </si>
  <si>
    <t xml:space="preserve">Does the legislation allow for the direct election of mayors (heads of the executive branch at the local level)? 
(yes/no) yes – 1; yes, but it can be overridden by the executive (president) - 0.5; no – 0.
</t>
  </si>
  <si>
    <t xml:space="preserve">Are the powers and responsibilities of local authorities prescribed by the constitution or by statute? 
(yes/no) yes, by the constitution – 1; yes, by ordinary legislation – 0,5, no, by the governmental decree or bylaw – 0  
</t>
  </si>
  <si>
    <t xml:space="preserve">Are local authorities normally consulted in due time and with appropriate rights in the planning and decision-making process for all matters that concern them directly?  
Yes, always - 1; yes, often – 0.5; time to time, no – 0. </t>
  </si>
  <si>
    <t xml:space="preserve">Are local authorities able to determine their own internal administrative structures? 
(yes/no) yes – 1; no – 0
</t>
  </si>
  <si>
    <t xml:space="preserve">Are local municipalities entitled to approve their own budget?”
Yes, - 1, only with the approval of the central authority – 0,5; no – 0 
</t>
  </si>
  <si>
    <t xml:space="preserve">Are local authorities entitled to independently take loans? 
Yes – 1, only with the approval of the central authority – 0,5; no – 0 
</t>
  </si>
  <si>
    <t xml:space="preserve">Are the local authorities entitled to abolish or regulate local tax rates? 
Yes – 1, could regulate, but does not have authority to abolish or vice versa – 0,5, no – 0 
</t>
  </si>
  <si>
    <t xml:space="preserve">Does the legislative framework allow local authorities to have recourse to a judicial remedy in order to secure free exercise of their powers? 
(yes/no) yes – 1; yes, no – 0. 
</t>
  </si>
  <si>
    <t xml:space="preserve">Do the elected officials post their schedules publicly? 
(yes/no) yes – 1; sometimes - 0.5, no – 0. 
</t>
  </si>
  <si>
    <t xml:space="preserve">Do local authorities have a dedicated open government page? 
(yes/no) yes – 1; yes, but it is not kept up to date - 0.5, no – 0.
</t>
  </si>
  <si>
    <t xml:space="preserve">Do local authorities ensure that their meetings are public by posting agendas and meeting materials in advance? 
(yes/no) yes – 1; sometimes - 0.5, no – 0. 
</t>
  </si>
  <si>
    <t xml:space="preserve">Are local authorities obliged to hold public consultations before making policies/decisions that concern citizens directly (e.g. Infrastucture, transport links)?  
Yes, it is required by law - 1, yes, because local statutes require it - 0.5, no - 0
</t>
  </si>
  <si>
    <t>Are there effective mechanisms for ensuring that the information in the voter register is accurate? Yes/No</t>
  </si>
  <si>
    <t>Can monitors/observers observe elections and fulfil their functions without obstacles or intimidation?  Yes/No</t>
  </si>
  <si>
    <t>Are technological tools (online streaming of vote, cameras in polling stations, biometric voter machines, etc.) used to ensure integrity of the voting process?  Yes/No</t>
  </si>
  <si>
    <t xml:space="preserve">In case of reported/alleged fraud, are these tools applied and do penalties result based on their findings?  Yes/No
Are measures in place to monitor the integrity of the vote within military units? Yes/No
</t>
  </si>
  <si>
    <t>Is speaking time in plenary sittings allotted on an equitable basis or according to the respective weight of political groups?   Yes/No</t>
  </si>
  <si>
    <t>Have these legal provisions been applied?
No (0), Yes, but not consistently (0.5), Yes (1)</t>
  </si>
  <si>
    <t>Is there an effective legislative framework in place that provides for the transparency of media ownership? Yes/No</t>
  </si>
  <si>
    <t>If there have been reported cases of illicit enrichment, have cases been brought under the corresponding legislation? 
There have not been reported cases (N/A), There have been reported cases, but no cases brought (0). Yes, but no convictions in the period January - December 2017 (0.5), Yes, with convictions in the period January - December 2017 (1).</t>
  </si>
  <si>
    <t>If there have been reported cases of corporate liability for corruption, have cases been brought under the corresponding legislation? 
There have not been reported cases (N/A), There have been reported cases, but no cases brought (0). Yes, but no convictions in the period January - December 2017 (0.5), Yes, with convictions in the period January - December 2017 (1).</t>
  </si>
  <si>
    <t xml:space="preserve">If there have been reported cases of breach of the requirements for declarations of assets, have sanctions been applied? 
There have not been reported breaches (N/A). There have been reported breaches, but no cases brought (0). Yes, cases have been brought, but no sanctions applied in the period January - December 2017 (0.5), Yes, with sanctions applied in the period January - December 2017 (1).
</t>
  </si>
  <si>
    <t xml:space="preserve">If there have been reported incidents facing whistleblowers, have cases been brought under the corresponding legislation? 
There have not been reported cases (N/A). There have been reported incidents, but no cases brought (0). Yes, but no convictions in the period January - December 2017 (0.5), Yes, with convictions in the period January - December 2017 (1).
</t>
  </si>
  <si>
    <r>
      <t xml:space="preserve">Democratic Rights and Elections, including Political Pluralism
</t>
    </r>
    <r>
      <rPr>
        <sz val="11"/>
        <rFont val="Calibri"/>
        <family val="2"/>
      </rPr>
      <t xml:space="preserve">
If there were no elections in the reporting period, answer on the basis of the most recent corresponding elections (parliamentary, presidential or municipal).</t>
    </r>
  </si>
  <si>
    <t>Local government</t>
  </si>
  <si>
    <t>Intra-executive policy formulation and co-ordination</t>
  </si>
  <si>
    <t>Comprehensiveness of the strategy document</t>
  </si>
  <si>
    <t>a) planned institutional reforms (yes, no, partially)</t>
  </si>
  <si>
    <t>b) institutional reform, including enforcement and control agency (s)  (yes, no, partially)</t>
  </si>
  <si>
    <t>c) division of competence for the environmental administration at national, regional, and municipal levels (yes, no, partially)</t>
  </si>
  <si>
    <t>d) procedure for decision-making (yes, no, partially)</t>
  </si>
  <si>
    <t>e) procedure for the implementation of decisions  (yes, no, partially)</t>
  </si>
  <si>
    <t>f) procedures for promotion of integration of environment into other policy areas (yes, no, partially)</t>
  </si>
  <si>
    <t>g)identification of necessary human and financial resources  (yes, no, partially)</t>
  </si>
  <si>
    <t>h) review mechanism  (yes, no, partially)</t>
  </si>
  <si>
    <t>Market Economy and DCFTA Alignment</t>
  </si>
  <si>
    <t>Is the countries' National Accreditation Body an associate member of the EA?</t>
  </si>
  <si>
    <t>2.1.3.6</t>
  </si>
  <si>
    <t>Competition and state aid</t>
  </si>
  <si>
    <t>2.2.1</t>
  </si>
  <si>
    <t>2.2.2.</t>
  </si>
  <si>
    <t xml:space="preserve">2.2.3. </t>
  </si>
  <si>
    <t>2.2.4.</t>
  </si>
  <si>
    <t xml:space="preserve">Energy: Legislation Convergence and Energy Policy </t>
  </si>
  <si>
    <t>Fully operational gas interconnections? Yes/No/Under progress</t>
  </si>
  <si>
    <t>2.3.2</t>
  </si>
  <si>
    <t>Is the central public administration developing energy efficiency projects? Yes/No</t>
  </si>
  <si>
    <t>Was the procedure of stakeholder involvement sufficient? Yes/No/Partially</t>
  </si>
  <si>
    <t>Is the deadline for comments communicated? Yes/No</t>
  </si>
  <si>
    <t>The comparabe table of included and not included comments and analysis with explanation was issued and published on the internet? Yes/No</t>
  </si>
  <si>
    <t>If yes, are its goals and objectives measurable? Yes/Partially/No</t>
  </si>
  <si>
    <t>2.4.2</t>
  </si>
  <si>
    <t>Were National Action Plans on climate change mitigation adopted?:  Yes/No/ Under preparation/ Under consideration at the adopting body</t>
  </si>
  <si>
    <t>Transport: Regulatory Policy</t>
  </si>
  <si>
    <r>
      <t>Water and sanitation:</t>
    </r>
    <r>
      <rPr>
        <sz val="11"/>
        <rFont val="Calibri"/>
        <family val="2"/>
      </rPr>
      <t xml:space="preserve"> </t>
    </r>
  </si>
  <si>
    <r>
      <t>Domestic material consumption (tonnes</t>
    </r>
    <r>
      <rPr>
        <sz val="11"/>
        <rFont val="Calibri"/>
        <family val="2"/>
      </rPr>
      <t xml:space="preserve"> per capita) http://uneplive.unep.org/country/data/MD#charts</t>
    </r>
  </si>
  <si>
    <t>Agriculture value added, % GDP https://data.worldbank.org/indicator/NV.AGR.TOTL.ZS</t>
  </si>
  <si>
    <t>Resilient infrastructure, sustainable industrialisation and innovation</t>
  </si>
  <si>
    <t>Industry value added as a proportion of GDP (%) https://data.worldbank.org/indicator/NV.IND.TOTL.ZS</t>
  </si>
  <si>
    <t>Services value added as a proportion of GDP (%) https://data.worldbank.org/indicator/NV.SRV.TETC.ZS</t>
  </si>
  <si>
    <t>Internet use (%) https://data.worldbank.org/indicator/IT.NET.USER.ZS</t>
  </si>
  <si>
    <t>Ensure sustainable consumption and production patterns: Sustainable consumption and production (SCP) national action plans or SCP mainstreamed as a priority or a target into national policies Yes/No/Partially</t>
  </si>
  <si>
    <t>Share of forest area, % change</t>
  </si>
  <si>
    <t>Share of nature protected area, % change</t>
  </si>
  <si>
    <t>Education and Cultural Policy</t>
  </si>
  <si>
    <t>Education Policy ( questions that are not covered by AA)</t>
  </si>
  <si>
    <r>
      <t xml:space="preserve">Vote differential between winner and best-performing rival in most recent presidential elections: Difference between vote shares in percentage points </t>
    </r>
    <r>
      <rPr>
        <sz val="11"/>
        <rFont val="Calibri"/>
        <family val="2"/>
      </rPr>
      <t>(N/A if not a popular vote for president)</t>
    </r>
  </si>
  <si>
    <t>Human rights and Protection against Torture</t>
  </si>
  <si>
    <t>Does the government execute the final judgments of the European Court of Human Rights?     Yes, fully-1, Partially – for instance, when the country pays compensation but does not take actions directed by the Court in the judgment (for instance, does not initiate a new investigation), No – 0 . No judgements – N/A.</t>
  </si>
  <si>
    <t xml:space="preserve"> Is the death penalty abolished by law? Yes/No</t>
  </si>
  <si>
    <t>Did your country ratify the Optional Protocol to the UN Convention against Torture (OPCAT) and other Cruel, Inhuman or Degrading treatment or +punishment? Yes/No</t>
  </si>
  <si>
    <t>State Accountability</t>
  </si>
  <si>
    <t>Under the law, can the legislature conduct independent investigations of the chief executive and the agencies of the executive? Yes/No</t>
  </si>
  <si>
    <t>Under the law, does the legislature have effective powers of oversight over the agencies of coercion (the military, police, intelligence services)? Yes/No</t>
  </si>
  <si>
    <t>Does the legislature appoint the prime minister? Is the legislature able to appoint the PM against the will of the president? Yes/No</t>
  </si>
  <si>
    <t>Can the legislature alone, without the involvement of any other state agencies, change the Constitution? Yes/No</t>
  </si>
  <si>
    <t>Does each legislator have a personal assistant? Yes/No</t>
  </si>
  <si>
    <r>
      <t xml:space="preserve">Conditions for opposition   
</t>
    </r>
    <r>
      <rPr>
        <sz val="11"/>
        <rFont val="Calibri"/>
        <family val="2"/>
      </rPr>
      <t xml:space="preserve"> </t>
    </r>
  </si>
  <si>
    <t>Are the chairs of parliamentary committees allocated on the basis of proportional representation? Yes/No (answer No (0) when the ruling parties control enough seats in Parliament to take all seats in committees on a proportional basis)</t>
  </si>
  <si>
    <t>Are parliamentary committees composed on the basis of proportional representation? Yes/No  Yes/No (answer No (0) when the ruling parties control enough seats in Parliament to take all seats in committees on a proportional basis)</t>
  </si>
  <si>
    <t xml:space="preserve">Share of bills submitted by the opposition: Number of bills submitted by opposition deputies / number of total bills submitted, most recent completed legislative period (This ratio refers to submitted bills as adopted bills may have been changed significantly so that they may no longer represent opposition positions. The ratio is calculated from data for the most recent completed legislative period because data on an annual basis may be skewed by the occurence of elections and ensuing changes in parliamentary power constellations.) </t>
  </si>
  <si>
    <t xml:space="preserve">Cohesion of parliamentary groups: Number of MPs who changed their group affiliation during the most recent completed legislative period / total number of deputies. </t>
  </si>
  <si>
    <t>Does the legislative framework provide for the advancement of judges through the judicial system on the basis of objective criteria such as ability, integrity, and experience? Yes/No</t>
  </si>
  <si>
    <t>Does the legislative framework provide for the removal from office of judges or their punishment otherwise only for specified official misconduct and through a transparent process, governed by objective criteria? Yes/No</t>
  </si>
  <si>
    <t>May judges be removed from a case only for good cause, such as a conflict of interest or an unduly heavy workload? Yes/No</t>
  </si>
  <si>
    <t>b. An HR institution with a broad mandate (e.g. Ombudsman)</t>
  </si>
  <si>
    <t>c. A governmental agency</t>
  </si>
  <si>
    <t>Recruitment, promotion, and disciplinary procedures</t>
  </si>
  <si>
    <t>Freedom of the Press: 2017 Index value/Freedom House (Rating) https://freedomhouse.org/report/freedom-press-2016/table-country-scores-fotp-2016</t>
  </si>
  <si>
    <t>Press Freedom Index: 2017 Index value /Reporters without borders https://rsf.org/en/ranking</t>
  </si>
  <si>
    <t>To what extent can individuals form and join independent political or civic groups? Score Bertelsmann Transformation Index 2017 https://www.bti-project.org/en/reports/country-reports/</t>
  </si>
  <si>
    <t>Have there been court decisions on cases of discrimination, including hate crime and hate speech, in 2017? Yes/No</t>
  </si>
  <si>
    <t>Number of women in ministerial positions = % of the total Number  (2017)</t>
  </si>
  <si>
    <t>Transparency International, CPI 2017 score (rank) http://www.transparency.org/research/cpi/</t>
  </si>
  <si>
    <t>Control of corruption, Worldwide Governance Indicators, 2017 Score, Table View, Governance
Score
(-2.5 to +2.5)  http://info.worldbank.org/governance/wgi/index.aspx#reports</t>
  </si>
  <si>
    <t xml:space="preserve">Intellectual property rights protection from Global Competitiveness Report 2017
https://www.weforum.org/reports/global-competitiveness-report-2015 
</t>
  </si>
  <si>
    <t>International students in your country (university level), 2017: Number of students / Per total number of students</t>
  </si>
  <si>
    <t>Population (mn) 2017, World Development Indicators</t>
  </si>
  <si>
    <t>GDP (mn, current US-$) 2017, World Development Indicators</t>
  </si>
  <si>
    <t xml:space="preserve"> GDP (PPP mn US-$) 2017, World Development Indicators</t>
  </si>
  <si>
    <t>Personal autonomy and individual rights (Freedom House, Freedom in the World 2018, subscore https://freedomhouse.org/sites/default/files/Sub%20Category%20Scores%20FIW%202016.xlsx https://freedomhouse.org/content/freedom-world-data-and-resources</t>
  </si>
  <si>
    <t>Freedom of expression and belief (Freedom House, Freedom in the World 2018, subscore https://freedomhouse.org/sites/default/files/Sub%20Category%20Scores%20FIW%202016.xlsx https://freedomhouse.org/content/freedom-world-data-and-resources</t>
  </si>
  <si>
    <t xml:space="preserve">To what extent are civil rights guaranteed and protected, and to what extent can citizens seek redress for violations of these rights? Bertelsmann Transformation Index 2018 https://www.bti-project.org/en/data/ https://www.bti-project.org/en/reports/country-reports/ </t>
  </si>
  <si>
    <t>2016/2017 data available</t>
  </si>
  <si>
    <t>To what extent can these groups operate and assemble freely? Civil Society sub-score from Nations in Transit 2018 https://freedomhouse.org/report/nit-2018-table-country-scores</t>
  </si>
  <si>
    <t>Associational and organizational rights: Freedom House, Freedom in the World 2018, Subscore https://freedomhouse.org/sites/default/files/Aggregate%20Category%20and%20Subcategory%20Scores%20FIW2003-2018.xlsx</t>
  </si>
  <si>
    <t>12% (50 out of 416)</t>
  </si>
  <si>
    <t>21.8% (22 out of 101)</t>
  </si>
  <si>
    <t>34.5% (38 out of 110)</t>
  </si>
  <si>
    <t>16.0% (24 out of 150)</t>
  </si>
  <si>
    <t>10.7% (14 out of 131)</t>
  </si>
  <si>
    <t>info for Belarus is not available</t>
  </si>
  <si>
    <t>Effectiveness of anti-monopoly policy, Global competitiveness report 2017-18
http://reports.weforum.org/global-competitiveness-index/downloads/</t>
  </si>
  <si>
    <t>Extent of market dominance, Global Compeititveness Report
Global competitiveness report 2017-18
http://reports.weforum.org/global-competitiveness-index/downloads/</t>
  </si>
  <si>
    <t>Intensity of local competition, Global Competitiveness Report
Global competitiveness report 2017-18
http://reports.weforum.org/global-competitiveness-index/downloads/</t>
  </si>
  <si>
    <t>GRECO recommendations, % of latest recommendations fully implemented (linear transformation, 0 least, 1 most), https://www.coe.int/en/web/greco/evaluations/about https://www.coe.int/en/web/greco/evaluations/round-4</t>
  </si>
  <si>
    <t xml:space="preserve">Does your country comply with Trafficking Victims Protection Act (TVPA)’s minimum standards – tier ranking https://www.state.gov/documents/organization/271339.pdf
Data taken from 2015 report: </t>
  </si>
  <si>
    <t>Paris agreement status: Signed/Ratified https://treaties.un.org/Pages/ViewDetails.aspx?src=TREATY&amp;mtdsg_no=XXVII-7-d&amp;chapter=27&amp;clang=_en</t>
  </si>
  <si>
    <t>20/06/2017 signed and ratified</t>
  </si>
  <si>
    <t>21 Sep 2016 signed and Acceptance</t>
  </si>
  <si>
    <t>8 May 2017 signed and Approval</t>
  </si>
  <si>
    <t>23/03/2017 signed and ratified</t>
  </si>
  <si>
    <t>09/01/2017 signed and ratified</t>
  </si>
  <si>
    <t>02/02/2017 signed and ratified</t>
  </si>
  <si>
    <t>0.5?</t>
  </si>
  <si>
    <t>The last, before the reporting period, elections in Belarus took place in autumn 2016: the election of deputies of the House of Representatives of the National Assembly of the Republic of Belarus of the sixth convocation. In February 2018 elections of deputies to the Local Councils of Deputies were held.</t>
  </si>
  <si>
    <t>In accordance with Art. 46 of the Electoral Code since the candidates’ registration they have enjoyed equal rights to use state media. In practice, media monitoring conducted by the OSCE / ODIHR EOM showed that, apart from the allocated free time in the state media, there was practically no coverage of candidates' agitation activities in news and political programs. State television devoted 82% of the coverage to the President and government officials, 7% to the Central Electoral Comission chairperson, while all other candidates combined received 1% of the coverage in a prime time, and they were mentioned only collectively without any references to specific individuals.</t>
  </si>
  <si>
    <t>The CEC's Supervisory Board for Mass Media (Nabludatalnyj Sovet po SMI, NSS) was established by the CEC resolution to monitor of the coverage of the election campaign in the media and the consideration of disputes concerning media. For the first time an independent representative, the Belarusian Association of Journalists, was appointed from among 8 other members of NSS. However, as the OSCE / ODIHR notes, the NSS does not guarantee the observance of the principle of impartiality, and the lack of systematic monitoring of the media does not guarantee the effectiveness of the NSS.</t>
  </si>
  <si>
    <t>No. All expenses for the production of printed agitation products are paid exclusively from the funds of electoral funds created by the candidates. From the state budget funds, the CEC produces and distributes only general information materials about all candidates. The electoral fund can consist of the contributions of the candidate himself, as well as contributions of individuals and legal entities. ODIHR / OSCE Recommendation: "It is worth considering the possibility of renewing direct state funding for election campaigns as a means of equalizing the conditions for campaigning of candidates"</t>
  </si>
  <si>
    <t>Yes. Art. 73 of the Electoral Code stipulates that all candidates have equal rights and bear equal responsibilities. Candidates are not entitled to take advantage of their official position in the interests of election. In practice, this norm is systematically violated. The report of the public campaign "Human Rights Defenders for Free Elections" notes that “in support of pro-government candidates, an administrative resource was often used, for them were created opportunities that were inaccessible to other candidates”.</t>
  </si>
  <si>
    <t xml:space="preserve">No. The OSCE / ODIHR report notes that widespread abuse of administrative resources has led to the creation of unequal opportunities for candidates. And different cases of using the administrative resource are indicated. </t>
  </si>
  <si>
    <t>No. In February 2016, an interdepartmental expert working group was established to study previous ODIHR / OSCE recommendations on improving the electoral process. The CEC took into account 2 out of 30 proposals of this group. The key recommendations of the OSCE / ODIHR, the Venice Commission of the Council of Europe, and the Belarusian human rights defenders were not taken into account, which did not allow a qualitative change in the nature of the electoral campaign towards its greater democracy and transparency. "Human rights defenders for free elections" indicate that without detailed regulation of the procedure for the formation of electoral commissions, system of voting and counting of votes, it is impossible to ensure elections that would meet international standards.</t>
  </si>
  <si>
    <t>Yes. Candidates are required to submit financial reports to the commission that registered them. Banks are required to submit weekly reports on transactions on the electoral funds accounts to the electoral commission.</t>
  </si>
  <si>
    <t>Yes. The candidate can be deprived from registration for exceeding the allowed spending limit by more than 20%, for using funds other than the electoral funds, for using funds or material support from foreign sources. The report of internal observers recorded the fact of issuing a written warning related to the misuse of electoral fund.</t>
  </si>
  <si>
    <t>No. One of the recommendations of the OSCE / ODIHR was “to increase transparency it is necessary to publish all reports on the financing of the election campaign in a timely manner, including all incomes and expenditures. An independent and professional body should audit the reports on the financing of election campaigns on the basis of honest and objective criteria”</t>
  </si>
  <si>
    <t>No. The OSCE / ODIHR Election Observation Mission notes that the legal rules on the registration of candidates, especially those relating to financial reporting and the collection of signatures in support of candidates, allowed their selective application and arbitrary decisions, which does not correspond to paragraphs 7.5 and 24 of the Document of the 1990 Copenhagen OSCE Conference, and other international standards and good practices. The recommendation is: in order to strengthen inclusiveness and transparency, the Electoral Code should contain clear and reasonable criteria and mechanisms for registering candidates.</t>
  </si>
  <si>
    <t>No. Refusals to register candidates, whether nominated by parties or by collecting signatures, are common. In 2016, only 82.69% of the total number of nominated candidates was registered, of which 63.11% were put forward by collecting signatures, and 84.18% were nominated by parties (the indicator improved compared to 2012). In addition, the process of registration of political parties is generally difficult, the last time a political party in Belarus, despite numerous attempts, was registered in 2000.</t>
  </si>
  <si>
    <t>No. The OSCE / ODIHR EOM recommendations pay attention to strengthening public confidence to the electoral bodies. In particular, the following recommendations are given: the mechanism for the formation of the CEC should be reviewed with a view to ensuring sufficient safeguards for the independence and impartiality of the commission, as well as for enhancing public confidence to the electoral bodies; In order to ensure impartiality of electoral bodies and increase the level of public confidence, local government officials should not simultaneously be members of election commissions or interfere in their work.</t>
  </si>
  <si>
    <t>No. The campaign "Human Rights Defenders for Fair Elections" notes that the elections "as a whole did not meet a number of key international standards for holding democratic and free elections. First of all, due to the lack of equal access to the state media for all candidates, the lack of impartial election commissions, the use of administrative resources, the numerous facts of compelling voters to participate in early voting, the closure of a number of election procedures for observers. "</t>
  </si>
  <si>
    <t>Not fully. According to the Electoral Code, candidates are not allowed to give money, gifts and other material values, carry out preferential sales of goods, etc., during their pre-election campaigning. At the same time, in practice, cases of presenting gifts to voters, receiving bonuses in the workplace for participation in the electoral process are common.</t>
  </si>
  <si>
    <t>No. The citizens usually are forced for early voting by the administrations of enterprises and educational institutions. The threats of applying disciplinary punishment to those who do not vote are widespread.</t>
  </si>
  <si>
    <t>No. The rights of observers are broadened: observers were given the right to receive information on voter lists, to be located closer to the table at which votes are counted, and to observe the procedure for the transfer of protocols with the results of district commissions. At the same time, they do not able to observe all the activities of the commissions, check voter lists or receive certified copies of the protocols of the election commission. The rights granted to them are often violated.</t>
  </si>
  <si>
    <t>No. The tools such as electronic voting, stationary installations for voting, electronic bullot boxes, cameras in polling stations are not used.</t>
  </si>
  <si>
    <t>No. 95.31% of domestic observers state that there is no open and transparent vote count for all members of the commission and observers. The counting of votes in most district election commissions is not transparent, by all members of the commission simultaneously, without voicing the results of the vote, reflected in the voting ballot"</t>
  </si>
  <si>
    <t>Partly. In the national and local elections, candidates, authorised representatives of political parties, candidate proxies as well as observers from political parties, candidates and NGOs are allowed to observe the count.</t>
  </si>
  <si>
    <t>No. Military units in practice are one of the places where compulsory early voting is conducted.</t>
  </si>
  <si>
    <t>No. According to the report of the OSCE / ODIHR in 2016, 1,066 complaints were filed for violations during the early voting and on the election day. Election commissions dismissed almost all complaints and appeals. In general, the process of resolving complaints does not provide the necessary legal protection and leaves possible violations without punishment.</t>
  </si>
  <si>
    <t>No. The OSCE / ODIHR notes that parliamentary elections were organized effectively, but despite some initial steps by the authorities, a number of long-standing systemic flaws remain unresolved. Domestic observers note that the elections did not meet a number of key international standards for holding democratic and free elections.</t>
  </si>
  <si>
    <t>The presidential election of 2015, according to the Central Electoral Commission: Alexander Lukashenko - 5 102 478 votes, which amounted to 83.5%. Gaidukevich Sergey - 201 945 votes (3.3%), Tatyana Korotkevich - 271 426 votes (4.4%), Nikolay Ulakhovich - 102 131 (1.7%). 386,225 voters (6.3%) did not support any of the candidates. In addition, 48,808 ballots were recognized as invalid (0.8%).</t>
  </si>
  <si>
    <t>In 2016, two representatives of independent organizations were elected to the House of Representatives of the National Assembly for the first time after a long break: deputy chairwoman of the Public Association "Belarusian language society by F. Skaryna" and the member of the opposition United Civil Party. 64 of the 110 elected deputies are nonpartisan, the rest are mostly representatives of pro-government parties: 3 members of the Belarusian Patriotic Party, 3 from the Republican Party of Labor and Justice, 6 from the Communist Party of Belarus, and 1 from the Liberal Democratic Party.</t>
  </si>
  <si>
    <t>No. But human rights organizations of Belarus declare the presence at the beginning of 2018 of two political prisoners: Mikhail Zhemchuzhny and Dmitry Polienko (recognized by Amnesty International as a prisoner of conscience)</t>
  </si>
  <si>
    <t>Yes. In the report of the US Department of State for 2017: the case of the White Legion is mentioned as politically motivated detentions. Human Rights Watch notes that in the spring of 2017, at least 700 people were arbitrarily detained in connection with political protests, including about 100 journalists and 60 human rights defenders. At least 177 people were brought to administrative responsibility for far-fetched charges. In August 2017, a criminal case against the leadership of an Independent Trade Union of Workers in the Radio-electronic Industry on tax evasion was started.</t>
  </si>
  <si>
    <t>A US Department of State report for 2017 states that the KGB, OMON and other security forces, often without documents and in civilian clothes, from time to time beat detainees, ill-treated individuals during investigations. Conditions in prisons and detention centers remain unsatisfactory and in many cases pose a threat to life and health. Authorities routinely abuse prisoners.</t>
  </si>
  <si>
    <t>ECfHR judgments and CPT reports N/A for Belarus. The terms of detention in prisons do not meet international standards.</t>
  </si>
  <si>
    <t>No. There are no independent bodies in Belarus authorized to conduct independent and periodic visits to places of detention, including psychiatric hospitals, without prior notification. Public supervisory councils are created in the country, the main function of which is to monitor the activities of bodies and institutions that carry out punishment and other measures of criminal sanctions. However, special commissions visit penitentiary institutions only with the consent of the chief of the Department of Execution of Punishments of the Ministry of Internal Affairs on prior information to the head of the penitentiary institution. Members of the commission do not have the competence to receive and investigate complaints on human rights violations. The Parliament has established a Commission on Human Rights, National Relations and the Media. However, it also does not have the authority to investigate allegations of torture.</t>
  </si>
  <si>
    <t>Effective protection of privacy is not ensured. The US Department of State report for 2017 notes: "Authorities used wiretapping, video surveillance, and a network of informers”.</t>
  </si>
  <si>
    <t>Practicaly no. Art. 62 of the Constitution declares the principle of the free provision of legal aid, but limits the provision of assistance with a number of cases that are directly prescribed by the law. At the same time, there is no comprehensive law regulating the provision of such assistance. The possibility of state subsidization of legal aid is foreseen today only in criminal cases. At the same time, the provision of such assistance is based solely on the mechanism of compulsory protection, limited in scope and not taking into account the financial situation of citizens.</t>
  </si>
  <si>
    <t>According to the law on the National Assembly (NA), during the sessions of the NA chambers, one meeting per month is reserved for the questions of the MPs and the answers of the Government. The chambers of the National Assembly have the right, after consultation with the precedent, to hear information from Prime Minister on the implementation of the Government's program of activities approved by the House of Representatives. The Prime Minister and other members of the government have the right to attend the sessions of the chambers of the National Assembly, including closed ones. The joint meetings often have a formal character.</t>
  </si>
  <si>
    <t>No, the National Assembly can not initiate an investigation against the Prime Minister and members of the government. According to the legislation, the parliament can make a decision only to start an investigation against the president in cases of committing treason to the state or other particularly serious crime.</t>
  </si>
  <si>
    <t>No. In accordance with the legislation, control over the activities of the bodies of internal affairs is exercised by state bodies authorized by the President of the Republic of Belarus.</t>
  </si>
  <si>
    <t>No. The Prime Minister, in accordance with the Constitution, is appointed to office by the President with the consent of the House of Representatives.</t>
  </si>
  <si>
    <t>No. In accordance with the Constitution, the President determines the structure of the Government, appoints and dismisses Deputy Prime Ministers, Ministers and other members of the Government, decides on the resignation of the Government or its members</t>
  </si>
  <si>
    <t xml:space="preserve">Yes. The House of Representatives may express a vote of no confidence to the Government. The issue of expressing a vote of no confidence to the Government is considered on the initiative of at least one-third of members of the House of Representatives. The question of confidence to the Government can not be raised within a year after the approval of its program.
</t>
  </si>
  <si>
    <t>The powers of the House of Representatives may be terminated ahead of schedule if it expresses a vote of no confidence to the Government or in case of a two-fold refusal to give consent to the appointment of the Prime Minister.</t>
  </si>
  <si>
    <t>The Constitution of the Republic of Belarus does not use the term "veto". However, in essence the "veto power" is provided in Part 7 of Art. 100 of the Constitution, which stipulates that if the president disagrees with the text of the law, the President returns him with his objections to the House of Representatives, which must consider the law with the objections of the President no later than thirty days. If the law is adopted by the House of Representatives by a majority of not less than two-thirds, it, along with the President's objections, shall be sent to the Council of the Republic within five days, and it must also review it no later than in twenty days. The law is considered adopted if it is approved by a majority of not less than two-thirds of the Council of the Republic. The law, after the House of Representatives and the Council of the Republic overcomes the President's objections, should be signed by the President within five days. The law enters into force also in case if it is not signed by the President at that time. Thus, the President (who is not a representative of the executive branch according to Constitution) has the right of a "suspensive veto", as it can be overcome by Parliament.</t>
  </si>
  <si>
    <t>According to the Constitution, the legislature has the right to initiate laws in all areas. An exception is the draft of the national budget, which is drafted and submitted to the President for submission to Parliament by the government. The House of Representatives and the Council of the Republic, upon the proposal of the President, may delegate to it legislative powers to issue decrees having the force of law. It is not allowed to delegate authority to the President to issue decrees on the national budget for the next financial year and on approval of the report on the execution of the national budget for the fiscal year. The government has the right of legislative initiative.</t>
  </si>
  <si>
    <t>The Ministry of Finance in the process of execution of the republican budget has the right to introduce changes in the quarterly distribution of the revenues of the republican budget; income of the republican budget within the approved annual income; quarterly distribution of republican budget expenditures; expenditures of the republican budget for departmental, program and economic classifications of budget expenditures within the approved annual budget assignments according to the functional classification of budget expenditures, etc.</t>
  </si>
  <si>
    <t>Financing of the activity of the National Assembly chambers is carried out in accordance with the cost estimated by each of the chambers within the limits of the funds provided by the national budget. The budget for each of the chambers is drawn up annually and approved by the National Assembly chambers. The material, technical and financial provision of the activity of the Chambers is carried out by the Office of the President.</t>
  </si>
  <si>
    <t>Eight members of the upper chamber of the National Assembly - the Council of the Republic - are appointed by the President of the Republic of Belarus. In accordance with the conclusions of international and domestic election observers, the election of deputies is conducted with numerous violations, accordingly, it is difficult to talk about free choice by citizens of all other members of Parliament.</t>
  </si>
  <si>
    <t>No. The parliament (two chambers) can change some parts of the Constitution autonomously. However, such a question can be raised by the initiative of the President or at least 150,000 citizens of the Republic of Belarus who have the right to vote. Sections relating to the constitutional order, personality, society and state, the president, parliament, government, court, the operation of the Constitution and the procedure for its modification can only be changed through a referendum.</t>
  </si>
  <si>
    <t>Yes. The amnesty law (unlike the amnesty by the president) is adopted by the House of Representatives, approved by the Council of the Republic of the National Assembly and signed by the President of the Republic of Belarus. In practice, amnesty can actually be initiated by the president</t>
  </si>
  <si>
    <t>Yes. But parliament does not approve the amnesty, since it is an institution authorized to pass amnesty laws.</t>
  </si>
  <si>
    <t>No. In accordance with Presidential Decree (April 24, 2003, No. 174) "On Certain Issues of the National State TV and Radio Company of the Republic of Belarus" National State TV and Radio Company is responsible and reports to the President of the Republic of Belarus. The President appoints and dismisses its chairman.</t>
  </si>
  <si>
    <t>Yes. A deputy of the House of Representatives, a member of the Council of the Republic has the right to have no more than five assistants, including no more than two assistants who work on a paid basis. The rest of assistants perform their duties on a voluntary basis.</t>
  </si>
  <si>
    <t>Yes. According to the decision of the MP. Deputies independently determine the number and candidatures of their assistants, distribute duties between them, direct their activities and monitor their performance of duties. The duties of assistants include, among other things, conducting office work, organizing meetings, studying public opinion, carrying out constant monitoring of the socio-political and socio-economic situation, making proposals aimed at improving the laws.</t>
  </si>
  <si>
    <t>House of Representatives and a member of the Council of the Republic shall be paid at the expense of the national budget by transferring funds to the accounts of the relevant organizations with their subsequent transfer to the budget of the expenses of the House of Representatives and the Council of the Republic, respectively, through the Ministry of Finance of the Republic of Belarus. The wage costs of assistants working on a paid basis are reimbursed in the same manner. The total monthly wage fund for assistants working on a pay basis is set at the rate of the official salary of the chief specialist of the secretariats of the chambers of the National Assembly of the Republic of Belarus.</t>
  </si>
  <si>
    <t>Yes. Legislation establishes that deputies, on behalf of the leadership of the chambers, are provided with documents adopted by the chambers of the National Assembly of the Republic of Belarus, as well as with other information and reference materials. MPs are provided with an office, office equipment, communication facilities that provide the necessary conditions for work. Organization of material and technical support is provided by the Organizational Department.</t>
  </si>
  <si>
    <t>Yes. Assistance in the work of Parliament is carried out by the Secretariat and departments. In particular, the Department for drafting bills and interaction with the Standing Committee on Budget and Finance.</t>
  </si>
  <si>
    <t>Yes. Assistance with draft laws is provided by the Secretariat, the General Legal Department and the Departments for Laws Preparation and Interaction with the Standing Committees</t>
  </si>
  <si>
    <t>No. In Parliament there is no proportional representation in committees (such a concept is not used at all in the legislation)</t>
  </si>
  <si>
    <t>No. In accordance with the Parliament Regulations, the time limit for speeches is set equally for everyone, independently of membership in the political (deputy) group.</t>
  </si>
  <si>
    <t>No. State bodies have broad powers to restrict public access to a wide range of issues.</t>
  </si>
  <si>
    <t>No. General issues of freedom of information are regulated by the Law of the Republic of Belarus of November 10, 2008 No. 455-З "On Information, Informatization and Protection of Information". There is no separate special law on access to information held by state bodies and local self-government</t>
  </si>
  <si>
    <t>State bodies, as a rule, meet the deadline for appeals in accordance with the Law of the Republic of Belarus "On appeals of citizens and legal entities". At the same time, there is no indication in the law of the possibility of requesting information. It is common practice to restrict access to information, even in cases where it is prohibited by law - on the activities of government agencies, their budgets; on certain facts of violation of law; on the rights of citizens.</t>
  </si>
  <si>
    <t>No. In accordance with the Regulations of the House of Representatives of the National Assembly, its meetings are held openly. The House of Representatives, if required by the interests of the state, may decide to hold a closed session by a majority vote of its entire membership. At the same time, the Regulation stipulates that the invited (representatives of other state bodies, public associations, scientific institutions, experts and other specialists to provide necessary information and opinions on the issues under consideration, as well as other persons) may attend the meetings only with the consent of the President of the House of Representatives or his deputy.</t>
  </si>
  <si>
    <t>No. Representatives of interested organizations, mass media accredited to the House of Representatives can participate only by invitation.</t>
  </si>
  <si>
    <t xml:space="preserve">The Law regarding use of physical force, special means and firearms.There is no prohibition to use lethal weapons in crowd control, but the exceptions are very strictly defined. </t>
  </si>
  <si>
    <t>There are a Internal Security Services in all law enforcement agencies</t>
  </si>
  <si>
    <t>military counterintelligence service of Department of state security (KGB)</t>
  </si>
  <si>
    <t>Internal Security Services in all separate secret agencies</t>
  </si>
  <si>
    <t>In fact existing complaint mechanism doesn't work</t>
  </si>
  <si>
    <t xml:space="preserve">Only formaly </t>
  </si>
  <si>
    <t>Only formally, because the Parliament is only a decorative institution</t>
  </si>
  <si>
    <t>The speakers of the two chambers are members of the SC.</t>
  </si>
  <si>
    <t>This is a constitutions demand but only for war and emergency situation declaring</t>
  </si>
  <si>
    <t xml:space="preserve">In culture and economy parliaments commissions </t>
  </si>
  <si>
    <t>Only partially, about general results and security environment within the country and outside</t>
  </si>
  <si>
    <t>No ombudsmen in Belarus</t>
  </si>
  <si>
    <t>Only press-services or press-secretary. There Is no body for public relations</t>
  </si>
  <si>
    <t>Only general information on competences. No information on operational decisions.  Incomplete or outdated information on buget and structure.</t>
  </si>
  <si>
    <t>Only common amount of budget money. But army gets money not only from budget, but from special closed state funds too</t>
  </si>
  <si>
    <t xml:space="preserve">Once a year and only common information about actual structure </t>
  </si>
  <si>
    <t xml:space="preserve">Regulary </t>
  </si>
  <si>
    <t xml:space="preserve">Partially in practice. </t>
  </si>
  <si>
    <t>Partially in practice.  Only for non-sensible data for the intelligence activity</t>
  </si>
  <si>
    <t xml:space="preserve">Regular practice in Belarus </t>
  </si>
  <si>
    <t>Officially it is not forbidden. But in fact we have not such practice in Belarus</t>
  </si>
  <si>
    <t>Yes. In December 2017 and January 2018, access to Belarusian news online resources belaruspartisan.org and charter97.org was blocked, as “materials on the sites contains information that could likely harm the national interests of the Republic of Belarus”. There is continuous pressure on the independent television channel Belsat.</t>
  </si>
  <si>
    <t>Yes. According to the information of the Belarusian Association of Journalists, 101 cases of detention of journalists for the performance of their professional duties were recorded in 2017 (for comparison, in 2016 - 13 cases of detention).</t>
  </si>
  <si>
    <t>Yes. The report of the Belarusian Association of Journalists for 2017 notes numerous cases of intimidation and obstruction of journalists' activities.</t>
  </si>
  <si>
    <t>Yes. Six articles of the Criminal Code provide criminal liability for defamation and libel: Art. 188 "Libel", art. 189 "Insulting", art. 367 "Defamation against the President of the Republic of Belarus" (maximum sanction - up to 5 years of imprisonment), art. 368 "Insulting of the President of the Republic of Belarus" (up to 3 years of imprisonment), art. 369 "Insulting of a representative of authorities", art. 391 "Insulting of a judge or assessor"</t>
  </si>
  <si>
    <t>Yes. In 2015, the Resolution of the Operational and Analytical Center under the President of the Republic of Belarus and the Ministry of Information and Informatization approved the Regulations on the procedure for restricting access to information resources (and their parts) located in the global computer network Internet.</t>
  </si>
  <si>
    <t>Partially. The series of articles on cybercrime were introduced in the Criminal Code: Art. 212, 349-355. The department for the detection of crimes in the sphere of high technologies was created. There is a permanent increase in the number of crimes in the sphere of high technologies: in 2017 this indicator increased by 25% (from 2471 in 2016 to 3099 in 2017). There is no law on personal data protection.</t>
  </si>
  <si>
    <t>Yes. The Code on Judicial System and Status of Judges contains qualification (education, work experience, passing the qualification examination) and ethical requirements for candidates for judges.</t>
  </si>
  <si>
    <t>No. Judges of general jurisdiction at all levels are appointed by the president, respectively, the main criterion for their appointment is loyalty.</t>
  </si>
  <si>
    <t>Yes. The Code on the Judicial System and the Status of Judges raises the question of the promotion of a judge in the service, depending on the professional knowledge, length of service and work experience.</t>
  </si>
  <si>
    <t>No. The Presidential Administration examines the judge when deciding on his reassignment and sends the relevant request to the Security Council of the Republic of Belarus, which organizes the examination of the candidate through special services. The process takes place in a closed regime for society, only decrees on the appointment and release of judges are published. The criteria, with the exception of the general requirements for candidates governed by the President, as well as the Security Council when deciding, are unknown and not brought to the attention of candidates for judges and the public. Human rights defenders point out that one of the criteria for making a positive decision by the Security Council when holding a special audit in respect of a judge is to issue decisions satisfactory to the Security Council.</t>
  </si>
  <si>
    <t>No. The President has special authority when bringing a judge to disciplinary responsibility: he is entitled to bring to justice, including dismissal, any judge without instituting disciplinary proceedings. At the same time, the President's decision on termination of the judge's powers can be taken both on the proposal of the Chairman of the Supreme Court and without such proposal. The Code on Judicial System does not provide for the possibility of the judge appealing the decisions of the President on disciplinary punishment.</t>
  </si>
  <si>
    <t>No. Judicial decisions can be influenced by other branches of government, primarily the presidential one.</t>
  </si>
  <si>
    <t>Partially. The costs for the activities of the courts are provided by the republican budget. The Supreme Court is empowered to provide material and technical support to the activities of courts of general jurisdiction, bodies of the judiciary community. The size of the salaries of judges is determined not by law, but by Decree of the President of December 4, 1997, No. 625 "On streamlining the remuneration of judges, material and technical support of the courts of the Republic of Belarus".</t>
  </si>
  <si>
    <t>Code of the Republic of Belarus on Judicial System and Status of Judges provides that the judges are appointed for 5-years terms and can be reappointed for a new term or termless. Therefore, the decision to appoint a judge for a fixed term or termless is taken voluntarily and without any clear criteria foreseen by the law. The analysis carried by the Belarusian Helsinki Committee for the period from 01.2014 to 03.2017 showed that 93% of all judges are appointed for the fixed term.</t>
  </si>
  <si>
    <t>No. The President appoints the judges of general court and half of members of the Constitutional Court (second half are elected by the upper house of the parliament). For qualifying examination of the judges, disciplinary proceeding the qualification boards of judges are created. According to the law, the qualification board of judges is composed of judges of relevant level, representatives of public bodies, academic lawyers, other experts in the law. In practice such boards are composed mainly of judges. For example, 9 of 10 members of the board of the Minsk city court are judges and 1 is university professor.</t>
  </si>
  <si>
    <t>Rather no. There is no system of administrative courts in the country. There is no institute for individual complaints of citizens to the Constitutional Court. According to the Constitution, decisions of local Councils of Deputies, executive bodies restricting or violating the rights of citizens, can be appealed in court. Illegal actions of officials may be appealed as well.</t>
  </si>
  <si>
    <t>The procedure for appealing against actions (omissions) of state bodies to a higher authority was also established. The final decision in accordance with the law is taken by the court. In practice, in many cases, the decision depends on other branches of power, primarily the presidential one.</t>
  </si>
  <si>
    <t>No. The US Department of State report for 2017 states: "The constitution provides for an independent judiciary, but authorities did not respect judicial independence and impartiality. Observers believed corruption, inefficiency, and political interference with judicial decisions were widespread. Courts convicted individuals on false and politically motivated charges brought by prosecutors, and observers believed that senior government leaders and local authorities dictated the outcomes of trials".</t>
  </si>
  <si>
    <t>Yes, in accordance with the law. In practice, other branches of government can influence appeals. President also has a right to amnesty</t>
  </si>
  <si>
    <t>Practically no. The decisions of the Constitutional Court are published. There is no practice of publishing all decisions of the other courts, including the Supreme Court. Selected decisions of the Supreme are published in the printed edition of the National Register of Legal Acts of the Republic of Belarus. The website of the Supreme Court publishes reviews of judicial practice, excerpts from court decisions, decisions of the judicial collegium for intellectual property. Court cases are issued for familiarization with them in the courtroom on a written application and only with the permission of the chairman of the court, his deputy or judge to a limited number of persons.</t>
  </si>
  <si>
    <t>Yes (3 October 2016)</t>
  </si>
  <si>
    <t>No. Belarus lacks effective legislative mechanisms to ensure equality and protection against discrimination. The existence in the Belarusian legislation of general provisions on the principles of equality and non-discrimination, which are not further disclosed in the text of laws and are not effectively implemented, can not serve as a substitute for special comprehensive anti-discrimination legislation.</t>
  </si>
  <si>
    <t>Yes. Article 22 - all are equal inthe face of the law and have the right to equal protection in the face of the law without any discrimination, art. 32 - women are provided with the provision of equal opportunities with men; Women and men, adults and minors have the right to equal compensation for work.</t>
  </si>
  <si>
    <t>Yes. Article 3. - general principles of equality and criminal prosecution without discrimination, art. 190, 199</t>
  </si>
  <si>
    <t>Partially. Art. 2 Civil Code - principle of equality of participants in civil legal relations: subjects of civil law have the right without any discrimination to equal protection of rights and legitimate interests. Article 12 of the Civil Procedural Code - all citizens of Belarus are equal in the face of the law and the court irrespective of their origin, social and property status, race and nationality, sex, education, language, attitude to religion, political and other beliefs, kind and nature of occupation, place of residence, time of residence in the given locality and other circumstances.</t>
  </si>
  <si>
    <t>Yes. Art. 4.2. - the general principles of equality and bringing to administrative liability without discrimination</t>
  </si>
  <si>
    <t>Yes. Art. 14 - prohibition of discrimination in the sphere of labor relations</t>
  </si>
  <si>
    <t>Yes. The Advertising Law recognizes unethical advertising containing textual, visual and / or sound information that violates the generally accepted norms of morality and morals, including offensive words, comparisons, images regarding race, nationality, appearance, age group, gender, language, profession, social category, religious, political and other convictions of citizens.</t>
  </si>
  <si>
    <t>Rather no. Article 2 of the Education Code, among the main directions of the state policy in the sphere of education, calls for ensuring the accessibility of education, including for persons with disabilities in accordance with their state of health and educational opportunities, at all levels of basic and additional education. It is also stated that foreign citizens and stateless persons who have been granted refugee status or asylum in the Republic of Belarus have the equal right to education with the citizens of the Republic of Belarus, except as otherwise provided by legislative acts, international treaties of the Republic of Belarus.</t>
  </si>
  <si>
    <t>There is no comprehensive definition of discrimination in the legislation. The definition of "discrimination" is given only in the labor legislation</t>
  </si>
  <si>
    <t>Partially yes. Criminal Codes' Art. 190 (violation of the equality of citizens), art. 199 (unreasonable refusal to hire or dismiss a woman on the grounds of her pregnancy), art. 128 (torture). At the same time, there are no clear definitions of discrimination.</t>
  </si>
  <si>
    <t>Partially yes. Positive measures, first of all, are contained in the labor law, for example, restrictions on the admission to work of women and disabled people (there are both positive and negative sides in practice), there are also measures to stimulate the employment of vulnerable groups. The Parliament in the first reading considered a package of documents regarding the deprivation of legal capacity. An interdepartmental plan was adopted to implement the recommendations adopted by Belarus on the outcome of the second cycle of the UPR in the UN HRC and recommendations addressed to Belarus by the human rights treaty bodies, which for 2017-2019 stipulates the analysis of legislative acts on the inadmissibility of discrimination on any grounds, as well as determining the feasibility of preparing a comprehensive legislative act to prohibit such discrimination. The National Action Plan on Gender Equality for 2017-2020 has been approved.</t>
  </si>
  <si>
    <t>Rather no. In 2017, Belarus did not have a full-fledged judicial practice on anti-discrimination cases. References to discrimination in trials are very rare. Judges show little interest in examining issues of violation of equality and lack of special training in dealing with cases involving discrimination.</t>
  </si>
  <si>
    <t>Out of 24 ministers - 1 is woman (Minister of Labor and Social Protection of Population)</t>
  </si>
  <si>
    <t>Ratified, the Law of the Republic of Belarus of 25 November 2004</t>
  </si>
  <si>
    <t>Domestic anti-corruption legislation was developed on the basis of international treaties. Due to the fact that judicial decisions are not published, it is difficult to carry out an analysis on the basis of which document a case was initiated. The number of criminal cases related to corruption in Belarus is increasing. So, in 2017 in Belarus 1885 cases (in 2016 - 1593) of corruption crimes were registered.</t>
  </si>
  <si>
    <t>Ratified, the Law of the Republic of Belarus of May 26, 2003</t>
  </si>
  <si>
    <t>Ratified, Law of the Republic of Belarus of December 26, 2005 No. 75-З</t>
  </si>
  <si>
    <t>Information is not published. The Belarusian state also did not give permission for the publication of the GRECO report on the situation with corruption. In accordance with the Law on Combating Corruption, damage caused by the commission of an offense that creates conditions for corruption, or corruption offense, is compensated in accordance with the procedure established by legislative acts (a ten-year statute of limitations is established, calculated from the date of their commission).</t>
  </si>
  <si>
    <t>A comprehensive anti-corruption institute has not been established. The fight against corruption is primarily carried out by the prosecutor's office, bodies of internal affairs and state security. In the General Prosecutor’s Office the department on combating corruption and organized crime has been established, there is also the main department for combating organized crime and corruption in the frameworks of Ministry of Internal Affairs.</t>
  </si>
  <si>
    <t>The special body was not created. The interdepartmental bodies have been set up by the presidential decree, so called, coordination meetings on combating crime and corruption of the republican, regional and district levels. One of the objectives of the meetings is to determine the strategy and tactics of action to combat corruption.</t>
  </si>
  <si>
    <t xml:space="preserve">There is no comprehensive strategy and action plan. In May 2017 the republican coordination meeting adopted a program to combat crime and corruption for 2017-2019.
</t>
  </si>
  <si>
    <t>A new state program on combating crime and corruption is periodically adopted. Thus, the Program for Combating Crime and Corruption for 2013-2015 was adopted. The absence of publicity for complex reports on the implementation of programs makes it difficult to assess to which extent the new plan is based on the analysis of the implementation of the previous plan.</t>
  </si>
  <si>
    <t>No. Only administrative liability of legal entities for money laundering has been introduced.</t>
  </si>
  <si>
    <t>In the Criminal Code there is no article directly containing the concept of unjustified enrichment. At the same time, a number of articles of the Criminal Code provide  liability for crimes involving unjustified enrichment. First of all, this concerns bribes.</t>
  </si>
  <si>
    <t>Yes. So, for example, according to the materials of the Information and Analytical Center under the Administration of the President of the Republic of Belarus, the largest number of corrupt individuals were brought to criminal liability in 2017 for: committing theft by abuse of authority - 337 persons, bribe taking - 156 persons.</t>
  </si>
  <si>
    <t>Yes. A number of articles of the Criminal Code, which contain liability for corruption crimes, provide confiscation of property as measures of  liability. For example, a bribe can be punished with imprisonment for up to seven years with confiscation of property.</t>
  </si>
  <si>
    <t>Yes. Thus, according to the information of the Prosecutor General's Office, in connection with corruption crimes it was seized in 2017 the amount of property of 32.4 million rubles . (approximately EUR 14.09 million)</t>
  </si>
  <si>
    <t>Yes. Annual declarations on incomes and property are presented by persons appointed to the highest state posts of the Republic of Belarus, other positions included in the personnel register of the Head of State of the Republic of Belarus; their spouse; their minor children, including adopted children; adult close relatives, living with them and leading a common household (as a rule, in the state bodies in which they hold positions). Annual declarations of income and property is presented by public officials holding a responsible position and persons who have entered the civil service by election; as well as the above-mentioned members of their families (to the head of the Administration of the President of the Republic of Belarus). The following shall be subject to the mandatory declaration: 1) property belonging to the obligated person on the right of ownership at the date of submission of the declaration; 2) property that was in actual possession, use on a paid or gratuitous basis for 183 days or more during the year; 3) information on shares in the statutory funds of organizations. Declarations are not published.</t>
  </si>
  <si>
    <t>Yes. Based on the materials of the Information and Analytical Center under the Administration of the President of the Republic of Belarus the violations of the anti-corruption legislation relating to income and property declarations are widespread. Article 36 of the Law on Combating Corruption establishes civil liability for the reliability of information specified in the annual declarations of income and property. In cases where there is an apparent excess of the value of the property owned and other expenses amounting to at least 25% for the period when officials held positions, property received from legitimate sources, property and other expenses in an amount clearly exceeding the confirmed income shall be withdrawn (collected ) or the value of such property is charged to the state income.</t>
  </si>
  <si>
    <t>No. There is no spetial provisions for the corruption crimes whistblower protection. Criminal Code provedes only general forms of protection for the whistleblowing of any crime. As well as  Art. 431 of Criminal Code gives a possibility to A person who has given a bribe to be released from criminal liability if this person voluntarily informe about the deed after giving a bribe.</t>
  </si>
  <si>
    <t>N/A. There is no publicly avaliable information</t>
  </si>
  <si>
    <t>Yes. The provisions on beneficial owners (owners) are set out only in banking legislation (beneficial owners of the bank), as well as legislation to prevent the legalization of proceeds from crime and the financing of terrorism. Thus, in the latter it is fixed that persons performing financial transactions, when identifying customers-organizations on the basis of constituent, registration and other documents (their copies) establish and record, including information on beneficial owners, and if as a result of measures for the identification of the customer, the beneficial owner is not reliably established - information about the person performing the functions of the sole executive body of the client-organization, or the person heading its collegial executive erg.</t>
  </si>
  <si>
    <t>The sactions are nor envisaged</t>
  </si>
  <si>
    <t>No, the Law on KGC states that the Head of the SCC is exempted from the office by the President of the Republic of Belarus, without specifying additional criteria</t>
  </si>
  <si>
    <t>Yes and no.There are several regulations that regulate the technical aspects of conducting inspections. For example, Presidential Decree No. 510 "On the perfection of control (supervisory) activities," which also declared the basic principles of control activities, among which the principle of presumption of good faith and innocence of the audited entity. Elements of performance audit are applied point-by-point (in separate programs). There are Methodological recommendations on the procedure for the control of effectiveness (but they have a non-public nature).</t>
  </si>
  <si>
    <t>Yes and no. SCC publishes its annual reports on the website. However, these reports, as a rule, contain information on the results of work, mainly technical statistical data, i.e. a very reduced amount of information. The report for 2017 as of July 15, 2018 was not published</t>
  </si>
  <si>
    <t>SCC in its reports indicates that the state bodies are implementing some proposals of the SCC on improving legislation. At the same time, there is no publicly available detailed information on which particular proposals are sent based on the results of the inspections, which of them are being implemented. Other controlling and law enforcement agencies use the information from the KGC for the application of financial sanctions.</t>
  </si>
  <si>
    <t>No. The current legislation of the Republic of Belarus did not reflect the notion of "internal control and audit". The Resolution of the Council of Ministers approved the Strategy for Reforming the Public Finance Management System of the Republic of Belarus, including the actualizing problems in this area</t>
  </si>
  <si>
    <t xml:space="preserve">The regulatory impact assessment mechanism was not in place in 2017. It is foreseen by the bill "On normative acts", introduced to the parliament on 12.01.2016; the bill passed at the second reading on 27.06.2018 (http://www.house.gov.by/ru/zakony-ru/view/o-normativnyx-pravovyx-aktax-respubliki-belarus-75/). It is still not in force, it needs to be signed by the President </t>
  </si>
  <si>
    <t>According to the law "On normative acts" in force in 2017 (№ 361-З of 10.01.2000), the policy-maker MAY initiate a public consultation. The precedure is not described. Each year a special plan for preparing drafts of laws in the next year is approved by the President and published (see example: http://center.gov.by/plan-podgotovki-zakonoproektov-na-2017-god/). Any interested party can send its proposals concerning a draft law to the public agency responsible for its preparation. No mandatory consultations with public are stipulated for legislative acts which are adopted by the Council of Ministers. Any ministry can initiate such discussions and consultations.</t>
  </si>
  <si>
    <t>The procedure is not regulated, so the institutions that organise the public consultations usually make them not easy to participate in (one of the important problems - short time limit). Although, there is huge block of legislative acts introduced by the President that are never discussed</t>
  </si>
  <si>
    <t xml:space="preserve">In previous Index this question was scored 0.5 (partially). Nothing changed, but we would like to score it 1 - the Apparatus has enough capacity, it has developed structure of specialized divisions and units </t>
  </si>
  <si>
    <t>In previous Index this question was scored 0. Nothing changed, but we would like to score it 1: the  policy precessing is regulated by the Law on Normative Acts</t>
  </si>
  <si>
    <t>Local government and self-government is regulated by the Constitution (Section V) and the Law "On local government and self-government" (2010)</t>
  </si>
  <si>
    <t>Yes. But the civil society and international community have deep concerns on the freedom and fairness of the election process</t>
  </si>
  <si>
    <t>Heads of regional executive committees are nominated by the President; heads of local executive committees are nominated by the regional head as agreed by the President</t>
  </si>
  <si>
    <t>The Constitution only prescribes exclusive jurisdiction of local councils; the Law on Local Government and Self-Government provides details on powers and responsibilities of local authorities (representative and executive bodies)</t>
  </si>
  <si>
    <t>All the decisions are developed by the executive councils. The councils are not elected fairly, they do not represent local interests, therefore there is no real need to consult with them</t>
  </si>
  <si>
    <t>Yes, Councils do have this right</t>
  </si>
  <si>
    <t>The local budget is developed by the local executive committee, the council only approves it</t>
  </si>
  <si>
    <t>According to the Article 17 p.1.7, the Councils can impose local taxes; the legislation does not have provisions on the rights of local authorities to abolish local taxes</t>
  </si>
  <si>
    <t>The Law on Civil Service only lists the public bodies whose staff is considered as sivil servants; this list is not exhaustive (p.1.11 - other public bodies); there is no typology of civil servants</t>
  </si>
  <si>
    <t>No. There are elements of the code of conduct within the civil service law. Besides, there are certain informal rules which are followed by civil servants. Some institutions have their professional codes of conduct, for example, Code of honor of judge, Code of honor of procuracy officers and some others. Development of the codes of ethics is listed by the Law On fight against corruption (15 July 2015 № 305-З) as one of anti-cprruption measures ( article 5)</t>
  </si>
  <si>
    <t>No and yes. On the one hand, in 2017 civil servants' salaries were 30% higher than average salary (source https://finance.tut.by/news566501.html). On the other hand, most civil servants are paid less than in business sector, high rate of average sivil servants' salaries is because of huge salaries of small groups (e.g. ministers). Experts state that this does not motivate young and qualified people to choose civil service ( source: http://www.zautra.by/art.php?sn_nid=26944)</t>
  </si>
  <si>
    <t>Supranational level, within Eurasian Union</t>
  </si>
  <si>
    <t>Supranational level, within Eurasian Union (Special Department of the Eurasian Commision is authorized for such investigations, while there is no such authority at the national level)</t>
  </si>
  <si>
    <t>Formally no, as not being the member of WTO. However, national legislation tends to have adopted TBT regulations</t>
  </si>
  <si>
    <t>Assessment</t>
  </si>
  <si>
    <t>http://www.european-accreditation.org/ea-members#2</t>
  </si>
  <si>
    <t>http://www.european-accreditation.org/mla-and-bla-signatories#1</t>
  </si>
  <si>
    <t>Companion Standardization Body</t>
  </si>
  <si>
    <t>http://www.etsi.org/membership/current-members</t>
  </si>
  <si>
    <t>Participates in Codex Alimentarius</t>
  </si>
  <si>
    <t>National law assumes application of international standards, but only in case if they are not contradicting to national ones and/or Eurasian Union ones</t>
  </si>
  <si>
    <t>Formally yes, but the ammount in 2017 was extremely miserable (some diary products to Netherlands and fish products to Germany and Lithuania; total revenues for these exports were just around USD 4 million)</t>
  </si>
  <si>
    <t>https://webgate.ec.europa.eu/sanco/traces/output/non_eu_listsPerCountry_en.htm#</t>
  </si>
  <si>
    <t>No. Current legislation (Law 'On quality and safety of animal products and food..') is going to be ammended, but these ammendments are aimed at unification within EEU, hence still will be distinct with the EU</t>
  </si>
  <si>
    <t>Yes, Belarus joined the convention in 2011</t>
  </si>
  <si>
    <t>Yes, http://www.customs.gov.by/ru/sistema_riskov-ru/</t>
  </si>
  <si>
    <t>Yes, but not on the national, but supranational level (EEU Customs Code foresees this institute)</t>
  </si>
  <si>
    <t>There are official announcements about movement towards such approach, but de-facto ot differs</t>
  </si>
  <si>
    <t>http://pravo.by/document/?guid=3871&amp;p0=P31000450</t>
  </si>
  <si>
    <t>No, but accounting according to national standards and international standards is actually close to being used parallely. Furthermore, majority of international standards have been implemented into the national practice</t>
  </si>
  <si>
    <t>A similar service exists, but only for the largest operator Beltelecom; however, it can be hardly treated as universal service</t>
  </si>
  <si>
    <t>Regulated by the National Bank</t>
  </si>
  <si>
    <t>Regulated by the Ministry of Finance</t>
  </si>
  <si>
    <t>Yes, there's a deposit insurance scheme</t>
  </si>
  <si>
    <t>There're no direct restrictions for payments, but there're restrictions for foreign currency operations, which may touch payments</t>
  </si>
  <si>
    <t>No, as not the member of WTO</t>
  </si>
  <si>
    <t>Somehow contradictory, but more yes than no</t>
  </si>
  <si>
    <t>No, only special Ministry is authorized for doing this job</t>
  </si>
  <si>
    <t>Yes, the Ministry of Economy tries to trace these figures</t>
  </si>
  <si>
    <t>No, but some lists associated with national agenda exist</t>
  </si>
  <si>
    <t>Formally only a few economic areas are 'protected' by the government, but de-facto there're more limitations. If answer 0.5 is ok for this question, it would better describe the situation</t>
  </si>
  <si>
    <t>No, only those issues directly dealing with MART (Ministry of Antimonopolistic Regulation and Trade) are to be approved by it</t>
  </si>
  <si>
    <t xml:space="preserve">No http://eng.belta.by/politics/view/makei-belarus-eu-will-sign-visa-facilitation-readmission-agreements-sooner-or-later-108857-2018/ </t>
  </si>
  <si>
    <t xml:space="preserve">Yes http://mvd.gov.by/ru/main.aspx?guid=9871 </t>
  </si>
  <si>
    <t>Yes http://mvd.gov.by/ru/main.aspx?guid=5301</t>
  </si>
  <si>
    <t>Yes http://mvd.gov.by/main.aspx?guid=76513</t>
  </si>
  <si>
    <t>The new version of the Education Code was not adopted. BELARUS ROADMAP FOR HIGHER EDUCATION REFORM in the line with the values and tools of the EHEA is not implemented. http://media.ehea.info/file/20180205-06-Sofia/02/5/BFUG_BG_SR_58_4a_AG2FinalReport_889025.pdf</t>
  </si>
  <si>
    <t>Bologna's architecture is only beginning to be implemented in the system of higher education. While the third cycle is not included in higher education, there is no short cycle.</t>
  </si>
  <si>
    <t>The existing system does not meet the standards of ECTS. It is planned to bring it closer to the requirements of  the ECTS Guide 2015  in the next 3 years</t>
  </si>
  <si>
    <t xml:space="preserve">Legislative base for DS is absent. It is planned to introduce the DS after the adoption of the new edition of the Education Code.
</t>
  </si>
  <si>
    <t xml:space="preserve">NQF of higher education is under development.
NQF LLL is also being developed but has not yet advanced further than the third step out of 10/11
</t>
  </si>
  <si>
    <t xml:space="preserve">according to EUA methodology
the level of organizational autonomy of Belarusian universities is estimated at 24 points out of 100 possible
</t>
  </si>
  <si>
    <t>The assessment of the academic autonomy of Belarusian universities does not exceed 10%.</t>
  </si>
  <si>
    <t>the level of financial autonomy we will have to estimate in 26.5 points out of 100 possible</t>
  </si>
  <si>
    <t>the level of personnel autonomy of the Belarusian higher school is  equal to 25%.</t>
  </si>
  <si>
    <t xml:space="preserve">Admission to higher education is regulated by decrees of the president and the law.
Admission is based on the results of centralized testing (EIE) and the average score of the certificate of secondary education.
For some specialties (art, physical culture and sports) additional testing is conducted.
Institutes of higher education are practically deprived of independence in relation to admission procedures
</t>
  </si>
  <si>
    <t>International students http://www.belstat.gov.by/upload/iblock/7d7/7d7f7db31a881d4dc406ce639181d3d9.pdf 
15 356 
4,56%
of the total number of students</t>
  </si>
  <si>
    <t xml:space="preserve">The training of foreign students is regulated by separate legislative norms.
They are subject to other rules for admission to the university, the amount of tuition fees is not regulated, and the choice of the place of residence during the period of study is limited.
</t>
  </si>
  <si>
    <t xml:space="preserve">The legal basis of LLL is laid down by the   Resolution of the Council of Ministers of the Republic of Belarus of 15.07.2011 No 954 "On Certain Issues of Additional Adult Education". However, a significant drawback of the LLL system in Belarus is the lack of mechanisms for recognizing the results of nonformal and informal education.
</t>
  </si>
  <si>
    <t>Yes. Code of Culture adopted in 2016; Government program Belarus Culture for 2016-2020</t>
  </si>
  <si>
    <t>Yes. Law of the Republic of Belarus No. 65-Z as of December 7th,
2009 “On Foundations of State Youth Policy” + State program "Education and youth policy" for 2016-2020"</t>
  </si>
  <si>
    <t>Report on the youth in the Republic of Belarus is drafted annually in accordance with the
Law “On Foundations of State
Youth Policy” (Article 23). The Youth Policy and Sociocultural Communication Department at the National Institute
for Higher Education has been carrying out the scientific research on the topic "Professional
and Competent Culture of a Specialist in Youth Work" since 2016. Furthermore,
the Department issues the academic journal “Modern youth and society” and “Education
in co-creation“, were number of academic articles dealing with varies youth work issues
have been published.
More information: http://www.nihe.bsu.by/index.php/ru/dep-m
21
In 2017, the online media resource on youth information on the Internet portal of the Association
of Youth Workers, Belarus was launched,
https://youthworker.by/ru/normativnye-dokumenty (Source: https://youthworker.by/images/_library/Template_country_info_youth_work_BELARUS_2017.pdf)</t>
  </si>
  <si>
    <t>Yes. Resolution of the Ministry of Education of the Republic of Belarus No. 128 of 16 November 2015 “The concept of the organisation of youth volunteer movement in the Republic of Belarus”</t>
  </si>
  <si>
    <t>The Labour Code contains some provisions on youth employment and work</t>
  </si>
  <si>
    <t xml:space="preserve">Partially.
</t>
  </si>
  <si>
    <t xml:space="preserve">Partially. </t>
  </si>
  <si>
    <t xml:space="preserve">Partially, meaning in theory and not in practice. </t>
  </si>
  <si>
    <t xml:space="preserve">Yes.  </t>
  </si>
  <si>
    <t xml:space="preserve">Yes
</t>
  </si>
  <si>
    <t xml:space="preserve">Yes.
</t>
  </si>
  <si>
    <t xml:space="preserve">Yes/Partially. 
</t>
  </si>
  <si>
    <t xml:space="preserve">In progress. </t>
  </si>
  <si>
    <t xml:space="preserve">Partially yes. </t>
  </si>
  <si>
    <t>Partially yes.</t>
  </si>
  <si>
    <t>Open, in the framework law.</t>
  </si>
  <si>
    <t>signed and ratified</t>
  </si>
  <si>
    <t>Yes, but no convictions</t>
  </si>
  <si>
    <t xml:space="preserve">yes, legally. </t>
  </si>
  <si>
    <t>Usually, but not always</t>
  </si>
  <si>
    <t>Yes, in the Constitution</t>
  </si>
  <si>
    <t xml:space="preserve">Yes  </t>
  </si>
  <si>
    <t>Yes, by ordinary legislation</t>
  </si>
  <si>
    <t>Time to time, no</t>
  </si>
  <si>
    <t>Could regulate, but does not have authority to abolish or vice versa</t>
  </si>
  <si>
    <t>Sometimes</t>
  </si>
  <si>
    <t>Yes, it is required by law</t>
  </si>
  <si>
    <t>Do not work in practice</t>
  </si>
  <si>
    <t>Yes partially</t>
  </si>
  <si>
    <t>0.3 / TIER 2</t>
  </si>
  <si>
    <t>yes for electricity. No for gas</t>
  </si>
  <si>
    <t>under progress</t>
  </si>
  <si>
    <t>partial state monopoly</t>
  </si>
  <si>
    <t xml:space="preserve">
</t>
  </si>
  <si>
    <t>equal rights</t>
  </si>
  <si>
    <t xml:space="preserve">No. 
</t>
  </si>
  <si>
    <t>in progress</t>
  </si>
  <si>
    <t>The regulatory authority for audiovisual sector - Broadcasting Coordinating Council  is responsible for monitoring the media coverage of elections by public and private broadcasters and impose sanctions if  the legal provisions on impartiality are violated. As underlined the OSCE/ODIHR EOM, "the law does not define fair, balanced, and impartial coverage, leaving it to the discretion of the BCC" (source -http://www.osce.org/odihr/elections/moldova/300016?download=true) . During the last 2016 presidential elections the BCC conducted quantitative and qualitative monitoring of the campaign coverage only during primetime newscasts, due to limited resources. The BCC applied sanctions to 10 out of 14 monitored TV channels for partisan coverage in elections. The state-owned broadcaster was not sanctioned.  The sanctions were applied gradually and discretionary and included the public warning, maximum fine of about 260 euro and prohibition to broadcast ads for 3 days. Considering that the amount of fines is very low and not dissuasive, all 10 sanctioned TV stations committed repeated violations of the law. The media NGOs criticised the BCC for not responding to massive disinformation, defamation and manipulation campaigns promoted by some private broadcasters affiliated to party and business groups. The BCC independence and impartiality was also questioned by the candidates that were targets of the disinformation campaigns.Furthemore, according to OSCE/ODIHR most media are strongly associated with major political forces and a concentration of ownership
diminishes political pluralism, especially on TV. Pressure and interference from media owners
result in self-censorship by journalists. The OSCE/ODIHR EOM media monitoring results, as
well as monitoring activities of the regulatory body, revealed clear political bias of major
broadcasters while covering the campaign. Politically affiliated TV stations portrayed some
contestants in an increasingly negative tone, especially in the run-up to the second round, which
further polarized the campaign. Some politically aligned broadcasters emphasized divisive topics,
often with seemingly unsubstantiated information. The Audio-visual Co-ordination Council failed
to enforce the obligation to provide fair, balanced, and impartial campaign coverage, compromising
the level playing field for candidates.</t>
  </si>
  <si>
    <t xml:space="preserve"> It is not stipulated exactly that the state funds are designed for electoral campaigns also, but the use of state budget allocations
is for exactly the same destinations of expenses in both the inter-electoral and electoral periods, thus the money are used for electoral campaigns as well:
    a) expenses for the maintenance and / or rental of the premises;
      b) staff costs;
    c) press and promotional material expenses;
    d) travel expenses in the country and abroad;
    e) Telecommunication expenses;
    f) expenses for receiving delegations from abroad;
    g) payment of membership fees to the international organizations of which the party is part;
    h) investments in movable and immovable goods necessary for the activity of the respective party;
    i) office expenses;
    j) Audit costs (external / mandatory);
    k) expenses for the organization of meetings, public demonstrations, seminars and other training courses for party members, carried out on the territory of the country;</t>
  </si>
  <si>
    <t xml:space="preserve"> The Electoral Code stipulates that in election campaigns abuse of state resources is interdicted. Furtemore The code of Administrative offences envisages situations of abuse of state resources.
Article 52 of the Electoral Code:
7) Candidates can not use public funds and resources (administrative resources) in electoral campaigns, and public authorities / institutions assimilated to them can not convey to the electoral contestants public goods or other favors except on a contractual basis, on equal terms all electoral competitors. In practice, incumbent candidates misuse administrative resources on a large scale during the electoral campaigns. In the presidential election 2016, the free nature of suffrage was affected by restrictions such as limits on opportunities for voters to form their own opinions in a campaign characterized by negative PR and the manipulation of public opinion, and by vote buying
and the use of administrative resources. (See Promo-LEX Final Report on Presidential Election Observation https://bit.ly/2MYZz62 )</t>
  </si>
  <si>
    <t>The Electoral Code doesn't provide any sanction for abuse of administrative resources, only the Contravention Code, disproportionate sanctions. Furthemore, the OSCE/ODIHR noted in its observation report on the 2016 presidential election that “continued instances of abuse of
administrative resources detracted from the process” and called for the introduction of an effective enforcement mechanism “to promote a level playing field among contestants and ensure the separation of state and party interests.” (See OSCE/ODIHR Final Presidential Election Observation Report https://bit.ly/2KVsw5A)</t>
  </si>
  <si>
    <t xml:space="preserve"> Even if both International (OSCE/ODIHR) and National (Promo-LEX) Observation Missions mentioned that the legal framework largely provides an adequate basis for conducting democratic elections and that amendments to the Election Code established the conditions for holding the presidential election and partially addressed some previous OSCE/ODIHR and Council of Europe recommendations,
including with regard to out-of-country voting and measures to promote women’s participation;
However, most general aspects of the election legislation remained largely unchanged, and a number of previous recommendations including on signature collection and verification, the financing and conduct of the electoral campaign, sanctions on election violations, campaign
restrictions, and the holding of a second round were not addressed. Futhemore, findings on  implications of the parallel system used in council races, trading of seats on election commissions, isolated instances of threats and phisical attacks targeting the candidates, wide-spread vote buying, use of undeclared funds for political campaigning and other issues.   "Inconsistent legal deadlines, selective implementation of rules during signature collection and verification, and disproportionate sanctions for campaign violations, challenged the right to stand
for elections on an equal basis, contrary to paragraph 7.6 of the 1990 OSCE Copenhagen Document", furthemore -Overall, the regulatory system and its implementation continues to be insufficient to ensure transparency, integrity and accountability of campaign finances, and did not enjoy public confidence. [See OSCE/ODIHR Final Report on Presidential Election in Moldova 2016, https://bit.ly/2KVsw5A]  </t>
  </si>
  <si>
    <t xml:space="preserve">On July 20th 2017, Parliament of the Republic of Moldova through the Law no 154, modified the electoral system from a Proportional one to a Mixed one. According to the Opinion of the Venice Commission, The “merged” draft was supported by a strong majority vote in first reading in parliament on 5 May. Nevertheless, several parliamentary political parties did not support the draft, and many parties have stated that the proposed reform does not serve the interests of the country. There is also no consensus within society as to which electoral system is preferred.
Consensus should not be achieved only to change the electoral system, but on the choice of the system itself. The debate has been concentrated on aspects and advantages of the proposed amendments only. A thorough public debate, however, should discuss all positive and negative effects of the amendments, as well as other possible options to reform. It cannot therefore be said that the reform was adopted by broad consensus after extensive public consultations with all relevant stakeholders. Moreover, the procedure for the adoption of the draft in first reading, while in line with frequent parliamentary practice in the Republic of Moldova, was very swift without opportunity for meaningful and inclusive parliamentary
debate which is required for such a fundamental change. The Venice Commission and the OSCE/ODIHR therefore recommend, if electoral reform is to be conducted, that it receives genuine consensus after a thorough debate in Parliament and in society on its precise content, especially given the existing polarisation around the issue. </t>
  </si>
  <si>
    <t xml:space="preserve"> In regards to the modified electoral legislation based on the adopted mixed electoral system in 2017, Promo-LEX organization monitored the process of implementing the recommendations stipulated by the Venice Commission in their Joint Opinion with OSCE/ODIHR. So from about 7
recommendations already implemented, Promo-LEX deduced a number of 5 implemented with deviations from the legal norm or process delays (some of them are the independence of the National Commission for constitution of constituencies, the delimitation of constituencies based on the 10% deviation, the constitution of the circumscriptions abroad, the clear criteria for the constitution constituencies for the Transnistrian region etc. See Promo-LEX analysis - https://promolex.md/wp-content/uploads/2018/01/Analysis_Mixed_Venice-Commission_ODIHR_press.pdf). First of all a positive aspect is that the process for the delimitation of
constituencies was launched with at least one year before the election, another executed Rec of the Venice commission was that the created constituencies needed not be formed from parts of the UTAG mixed with other parts of the country. On the other hand there were not organized public consultations on the subject of constitution of uninominal constituencies, either by the Commission or by the Government. In addition, the proposals and discussions received from the outside environment, such as the Promo-LEX Association, were ignored. Secondly, In the draft for constituency demarcation, submitted for consideration the deviation for constituting these constituencies was foreseen by no more than 15%. Promo-LEX signalized the issue due to the inclusion of the Venice Commission recommendations on the 10% limit in the text of the Electoral Code, the legal norm was not executed, constituencies being constituted with a deviation of more than 10%. In addition, the implementation was flawed, and because the number of voters in the lists was used in the deviation calculation, without taking into account the total number of voters in RSA. In addition, even if some criteria for creation of uninominal constituences in the Transdnestrian region were stipulated in the Electoral Code, some key aspect were left unaddressed, such as the issues on the conduct of the campaign in those constituences and the use of foreign funds from the Moldovan citizens who work abroad.(See Promo-LEX analysis - https://bit.ly/2MYZz62)</t>
  </si>
  <si>
    <t>According to the Electoral Code, 1) Political parties and electoral blocs, in the case of parliamentary and presidential elections, shall submit to the Central Electoral Commission within 3 days of the opening of the account with the mention "Electoral Fund" and subsequently weekly, a report on the accumulated funds and expenditures made in the electoral campaign, both in electronic format and on paper, under the signature of the responsible persons. The model of the report is approved by the Central Electoral Commission. (Source Article 43, para 1 of the Electoral Code  nb. 1381  of 21.11.1997 as of 29.12.2017) In practice, For the last Natinal scrutiny,  On 28 October 2016, in accordance with Article 382  of the Electoral Code and the schedule approved by the CEC26, out of the 12 ECs in the electoral race, 11 ECs (Marian Lupu (PDM), Mihai Ghimpu (PL), Iurie Leanca (PPPPEM), Andrei Nastase (PPPDA), Inna Popenco (MSPRR), Dumitru Ciubasenco (PPPN), Maia Sandu (PPPAS), Igor Dodon (PPPSRM), Silvia Radu (IC), and Valeriu Ghiletchi (IC), Ana Gutu (IC)) submitted their reports on cash flow and expenses for the period 30 September – 28 October 2016; 1 EC (Maia Laguta (IC)) submitted a declaration that no expenses had been incurred. On 11 November 2016, 2 ECs (Igor Dodon, Maia Sandu) submitted their final reports, including the period of the second round of the election, 3–11 November. (See the Final Report on Presidential Election Observation elaborated by Promo-LEX - https://bit.ly/2MYZz62)</t>
  </si>
  <si>
    <t xml:space="preserve">According to the Venice Commission Report CDL - AD(2017)027, more generally, it would appear that the regime of sanctions available for infringements of party and campaign funding rules, has not proved to be dissuasive and effective to date, as required by international standards.
In addition to the shortcomings addressed by the preceding recommendations, the levels of fines available under the above-mentioned CAO and
CC provisions – which are measured in conventional units of MDL 50 (approximately € 2.5) – appear too low, especially when compared to the amounts at stake in the area of political financing.
 In particular, this concerns administrative fines: for example, the failure by election candidates to present financial reports is subject to administrative fines ranging from approximately € 150 to € 225. According to information provided by the CEC, in the last year administrative sanctions were imposed on political parties in 15 cases, mostly for nonsubmission of financial reports, while more than half of the parties concerned did not react or send the required information. Other sanctions such as criminal ones or deregistration of
candidates have not been applied in practice since the enactment of the reforms. (See the Joint Opinion on the Legal Framework of the Republic of Moldova Governing the Funding of Political Parties and Electoral Campaigns Adopted by the Council for Democratic Elections at its 60th meeting
(Venice, 7 December 2017), CDL-AD(2017)027) </t>
  </si>
  <si>
    <t xml:space="preserve"> The Joint Opinion on The Legal Framework of the Republic of Moldova Governing the Funding of Political Parties and Electoral Campaigns
Adopted by the Council for Democratic Elections at its 60th meeting (Venice, 7 December 2017), stipulated that the different amendments have led to some inconsistencies in the legal framework and introduced some provisions that are difficult to apply in practice and, thus, fail to
be effective. Overall, a lack of comprehensive monitoring and insufficient enforcement of the rules seem to be the main concerns. In this regard, it must be stressed that effective reform of political financing in the Republic of Moldova is not only a question of adopting legislative texts,
but also depends on the political will and the practical implementation of the provisions to create a truly transparent system and a level playing field for all political parties. It is crucial that any new regulations be construed in such a way that they can be effectively implemented. Futhemore, the recommendation from the Venice Commission and OSCE/ODIHR envisaged: significant enhancement of the supervision and enforcement of the rules on party and campaign financing. The Central Electoral Commission (CEC), or other assigned body, should be given sufficient resources, including an appropriate number of staff specialised in financial auditing, as well as a clear mandate and obligation to audit financial reports of political parties and electoral contestants, to verify the accuracy of the information submitted, initiate investigations of possible irregularities, and to
make use of enhanced powers for coordination with law enforcement and other relevant bodies [paragraph 74]; and D. Strengthen the regime of sanctions available for infringements of party and campaign funding rules, including by expanding parties’ deprivation of public funds to
violations other than the failure to execute summons by the CEC and by increasing the levels of administrative fines [paragraphs 77 to 79] (See the Joint Opinion - file:///C:/Users/User/Downloads/Opinia%20pe%20finantare%20Decembrie%202017%20(3).pdf)</t>
  </si>
  <si>
    <t>Since 2014, the CEC uses a centralized State Register of Voters (SRV). The data is continuously updated through an automated process of data import from the State Register of Population. The changes in the SRV could be done by the Local Public Administration and the institution hosting the State Register of Population. The voter lists are generated based on SRV and made available in the premises of the polling stations, and on the CEC official web site 20 days before the Election day for the first round as well as between the two rounds, so that the voters could check their accuracy. However, the issue of the quality of data in the SRV and accuracy of voter lists remains actual, mainly due to the inclusion of numerous deceased voters. The process of exclusion of deceased persons from SRV requires the submission of a death certificate which could be difficult to get for persons who died abroad. This issue could pose a serious risk for invalidating the elections in the future,  as there is no accurate data on the real number of eligible voters present in-country. According to Promo-LEX Final Report on Presidential Elections, the quality of the data in the SRV is still an issue that
puts the electoral process at a risk of being corrupted. Before the election campaign started, the
CEC presented data from the SRV on the number of voters several times. Promo-LEX
EOM had then drawn attention to the fact that how the information was shown – the presentation of the
data without any explanatory comments, the continued growth in the number of voters, and the
number of voters without residence – has caused society to distrust the integrity of the voter lists
and, therefore, of the entire electoral process. In conclusion, all international and domestic observers recommended that a more efficient system for timely database updates should be developed. (See Promo-LEX Final Report on Presidential Elections 2016 - https://bit.ly/2MYZz62 )</t>
  </si>
  <si>
    <t>Taking into account that no other national scrutiny took place after the 2016 Presidential Election, the referrence in 2017 will be the same. First of all by reinstating in 2016 the presidential elections, the Constitutional Court  (CC) set down the criteria to stand as presidential candidate. OSCE/ODIHR EOM considered that the requirement for registration as a candidate - to reside at least 10 years in Moldova is a restrictive one and not in line with OSCE commitments and international obligations and standards for democratic elections as well as international good practice. (source-http://www.osce.org/odihr/elections/moldova/300016?download=true). The change in age limit to stand as a candidate was done without a sound legal  basis  and left room for political speculations. According to the amended Electoral Code, political parties, electoral blocs and citizens of RM have the right to nominate a candidate for President (art. 41), but only registered initiative groups of a candidate could collect signatures. The mayors are obliged to certify the signatures. This provision left room for political parties to use their structures in collecting signatures and to misuse  the administrative resources, and disadvantaged independent candidates. Only 3 out of 14 independent candidates succeeded in collecting the required number of signatures to be registered.   According to ENEMO EOM this situation "creates unequal level playing field, which is in contradiction with art. 7.6 of the Copenhagen Document" (source-http://enemo.eu/uploads/file-manager/EOMMoldova/MD_2016_FINALREPORT.pdf).  Another problem concerns the restriction on voters to sign only for one candidate, and the signatures submitted first were considered valid if the voters supported multiple candidates. The OSCE/ODIHR EOM concluded that this provision does not respect the OSCE commitments and international good practice and is contrary to previous OSCE/ODIHR and Venice Commission recommendations. Moreover, based on the presidential election of 2016, Promo-LEX EOM found, after the signature sheets had been verified by the CEC, more than 8 thousand cases of mismatches between the domicile of the people who signed and the communities where the signatures were collected. However, the local authorities that had checked the lists had no objections and either ignored the mistakes intentionally or due to inattentiveness. This fact shows the inefficiency and irrelevance of this local responsibility, at least for national elections (See Promo-LEX Report - https://bit.ly/2MYZz62). Secondly, after changing the electoral Code in 2017, in order to register in the electoral competition, candidates need to present integrity certificates. Thus, art. 49, letter f) from the electoral Code stipulates that certificate of integrity, released, under the law, by
The National Integrity Authority (NIA), will contain the following information about the candidate:
  - the existence of restrictions legal / judicial to run or to take office public functions;
  Information on the existence / non-existence of the finding documents remaining definitive on the regime declaration of property and personal interests, to incompatibility and to confiscation of unjustified wealth, other acts that are not prescribed. According to the National Election Observation Organization Promo-LEX, even if the Code was completed, there is still a need for a clear definition of the concept of integrity and the source of this criminal record as long as electoral authorities consider the facts indicated in this document to be irrelevant (be it positive or negative) and only applies sanctions for the failure to present it. It is important to be mentioned that the presentation of this document to CEC is strictly related to the capacity of NIA. (See Promo-LEX analysis of the implementation of Venice Commission Rec on the Mixed System - https://bit.ly/2KJyAi2)</t>
  </si>
  <si>
    <t xml:space="preserve">According to The Joint Opinion on the draft laws on amending and completing certain legislative acts (ELECTORAL SYSTEM FOR THE ELECTION OF THE PARLIAMENT) adopted by the Council for Democratic Elections at its 59th meeting (Venice, 15 June 2017)
 The law added a letter f) to Article 49, according to which the list of documents that must be submitted in respect of a candidate should include the “integrity record of the candidate issued under the law”. The concept of “integrity” contemplated by this provision
and the source of the record are unclear and may be a method of excluding candidates on arbitrary criteria. As such this provision needs to be clarified with more precise definition of this concept (see the joint opinion - https://bit.ly/2JdJwPl). Similarly, According to the National Election Observation Organization Promo-LEX, even if the Code was completed, there is still a need for a clear definition of the concept of integrity and the source of this criminal record as long as electoral authorities consider the facts indicated in this document to be irrelevant (be it positive or negative) and only applies sanctions for the failure to present it. It is important to be mentioned that the presentation of this document to CEC is strictly related to the capacity of NIA. (See Promo-LEX analysis of the implementation of Venice Commission Rec on the Mixed System - https://bit.ly/2KJyAi2) </t>
  </si>
  <si>
    <t>If the independent candidates meet all legal requirements, they are registered with no restriction. The citizens could run as independents in parliamentary, local and presidential elections  if they collect a certain number of voters support signatures.  For the 2014 parliamenary elections, CEC registered 4 independent candidates and for the 2016 presidential elections  - 3.  The main problem with the registration of independents, especially for the presidential elections,  concerns the unequal application of registration requirements  for parties and independents.</t>
  </si>
  <si>
    <t>Taking into account that no other national scrutiny took place after the 2016 Presidential Election, the referrence in 2017 will be the same. According to the 2016 OSCE/ODIHR EOM for Presidential Election “overall, interlocutors largely affirmed their confidence in the impartiality of the CEC and its work, as well as in the work of the lower-level election administration”. The last barometer of public opinion released in April 2017 showed that 30% of citizens feel confidence in the CEC, comparable with the degree of trust in Constitutional Court. However, the inconsistent manner the CEC acted while handling complains raised among the election candidates certain doubts regarding the CEC impartiality. Consequently, in the last Opinion of the Venice Comission on changing the Electoral Law, it was clearly mentioned that "the responsibility vested with the CEC to establish single-mandate constituencies for the majoritarian component is based on vague criteria that pose a risk of political influence on this aspect of the work of the CEC "which proves the general perception among the actors nationally and internationally. (See the Opinion - https://bit.ly/2JdJwPl).</t>
  </si>
  <si>
    <t xml:space="preserve">Since, there was no scrutiny on the new adopted  electoral system, mentions will be made on the basis of the last 2016 presidential scrutiny. Thus, the design and text of the ballot is approved by the Central Electoral Commission. Election contestants are listed on a ballot in the order determined by results of the lot daily drawn by the competent election administration body. (art. 53 of Election Code - https://bit.ly/2Jcsdy2 ) </t>
  </si>
  <si>
    <t>Since, there was no scrutiny on the new adopted  electoral system, mentions will be made on the basis of the last 2016 presidential scrutiny. According to the 2016 OSCE/ODIHR EOM report, 65% of the observed polling stations (PS) were not fully accessible to elderly and disabled voters, while in 27% of PS  observed, the layout was unsuitable for such voters.  Promo-LEX EOM confirmed this situation, although they reported smaller number of inaccessible and not well equipped polling stations (36% PS not accessible for voters  with disabilities and 33% PS not equipped for people with visual impairments). See Promo-LEX EOM Final Report - https://bit.ly/2MYZz62)</t>
  </si>
  <si>
    <t xml:space="preserve">The Electoral Code (art.52, para 7) prohibits the election candidates from using public means and goods (administrative resources) in election campaigns, to offer voters money or gifts, and to distribute goods free of charge, including humanitarian aid or other charity. The Criminal Code imposes a criminal liability for vote buying (art. 181/1) and since 2015 for misuse of administrative resources in election campaign (art. 181/2) (source - http://lex.justice.md/md/331268/). However, the Criminal Code do not criminalize vote buying in the presidential elections, as it is already provided for parliamentary and local elections and referenda.  Although the sanctions for both types of violations were tightened in 2016, the existing loophole was exploited by  political parties during the last presidential elections. Thus, the OSCE/ODIHR EOM  conslusion that "(the election  process) was marred by widespread abuse of administrative resources" (source - http://www.osce.org/odihr/elections/moldova/300016?download=true) was supported by the domestic  Promo-Lex EOM  that found " a series of cases in which administrative resources were used and electoral gifts were given by election candidates" (source- https://promolex.md/wp-content/uploads/2017/01/raport-electoral-final-2016_EN_.pdf), although in a slight decrease as compared to the 2015 local elections. </t>
  </si>
  <si>
    <t xml:space="preserve">According to the Electoral Code (art.52, para 7), the election candidates are prohibited from using public means and goods (administrative resources) in election campaigns, to offer voters money or gifts, and to distribute goods free of charge, including humanitarian aid or other charity. However, the Code does not have a clear penalty provision for vote buying. At the same time, the offering of electoral gifts by all election contestants is a common phenomenon in elections and no election contestant has been penalised for this so far. During the 5 June 2011 local elections, national observers reported a high number of  cases of electoral gifts distribution to voters by candidates.  CEC subsequently asked the Ministry of Interior (MoI) to investigate the matter. No candidate was sanctioned.  In May 2013 an amendment to the Penal Code provision on corruption of voters (art. 181¹) entered into force. The amendment specifies the goods that do/do not fall under the category of electoral gift, and tightens sanctions for vote buying (1 to 5 years of imprisonment or a fine in amount of 200 to 500 conventional units, and ban on holding certain positions or to practise certain activities for a term up to 3 years). (source: http://lex.justice.md/md/347655/). However, the sanctions could be applied only if the gifts are offered during election campaigns, and political parties have been already taking advantage of this loophole. In 2014 there have been already cases observed when some political parties distributed food packages or other goods to the population.  In the 2016 Presidential Elections, in their Final Report, EOM Promo-LEX wrote that "The free nature of suffrage was affected by limits on opportunities for voters to form their own opinions in a campaign characterized by negative PR and the manipulation of public opinion, and by vote buying
and the use of administrative resources". (See the report - https://bit.ly/2MYZz62)  </t>
  </si>
  <si>
    <t xml:space="preserve"> Taking into account that no other national scrutiny took place after the 2016 Presidential Election, the referrence in 2017 will be the same. The international observers found that "there were numerous cases of abuse of administrative resources by parties holding elected office, including pressure on state employees and other voters during the collection of candidate support signatures and campaign activities." (source -  http://www.osce.org/odihr/elections/moldova/300016?download=true). Domestic EOM reported one case of possible massive intimidation of voters by the local paublic administration (LPA) of the town Orhei, lead by the Chair of a party  whose presidential candidate made a public call to boycott presidential elections, after she was excluded from electoral race  by a court decision for not declaring all her expenditures. Immediately after  the first round of elections all voters employed in the LPA institutions of Orhei town  were asked to submit their original ID and inserts (where the stamp "votes" is applied).  Promo-lex also noted in the runoff elections an  significant increase in cases when ballot
papers were photographed as compared to the first round of elections and  previous elections. Furthemore, in the runoff election, Promo-LEX reported on massive waves of voter organized transportation and thus recommended the legal regulation of organised voter transportation  (See https://bit.ly/2MYZz62) </t>
  </si>
  <si>
    <t xml:space="preserve">The Electoral  Code (art.68)  provides for observation by authorized observers of the political parties and for non-partisan observation of both international and domestic organizations, as well as foreign countries. The accreditation process remained unchanged in 2017 and as before provided to be quite simple for domestic observers. As for the procedure for accreditation of international observers, in is  final report, ENEMO noted that "it is complicated and not completely transparent, as other bodies (Ministry of Foreign Affairs, Ministry of Internal Affairs, Security Service and Ministry of Justice), besides the CEC are involved in it"  (source - http://enemo.eu/uploads/file-manager/EOMMoldova/MD_2016_FINALREPORT.pdf). For the 2016 presidential elections,  CEC accredited 3,285 citizen observers from 20 civil society organizations and institutions and 636 international observers from 52 entities. CEC refused the accreditation of at least one international observer from the European Parliament (Siegfried Mureșan from PPE group) based on the fact that he previously openly expressed support of one presidential candidate. Promo-LEX, one of the most active domestic CSOs in the election-related field, conducted longterm and short-term observation, parallel vote tabulation, and out-of-country observation. Both the international observers and domestic observers operated freely without any obstruction, with  few exeptions reported by  Promo-Lex, when its observers where subjects of physical aggression. (source-https://promolex.md/wp-content/uploads/2017/01/raport-electoral-final-2016_EN_.pdf). </t>
  </si>
  <si>
    <t xml:space="preserve">Taking into account that no other national scrutiny took place after the 2016 Presidential Election, the referrence in 2017 will be the same. According to its methodology that any observer should be impartial, apolitical and nonpartisan, CEC refused the accreditation of at least one international observer from the European Parliament (Siegfried Mureșan from PPE group) based on the fact that he previously openly expressed support of one presidential candidate. Promo-LEX, one of the most active domestic CSOs in the election-related field, conducted longterm and short-term observation, parallel vote tabulation, and out-of-country observation. Both the international observers and domestic observers operated freely without any obstruction, with  few exeptions reported by  Promo-Lex, when its observers where subjects of physical aggression. (source-https://promolex.md/wp-content/uploads/2017/01/raport-electoral-final-2016_EN_.pdf). </t>
  </si>
  <si>
    <t>Taking into account that no other national scrutiny took place after the 2016 Presidential Election, the referrence in 2017 will be the same. Central Election Commission employed the State Automated Information System “Elections” (SAISE), an online voter verification system. This was the third election in which the CEC employed this system. It ensures that prior to receiving a ballot, each potential voter at any polling station can be checked against a nationwide database to determine if s/he had already voted. The SAISE was available at all polling stations and provided a
safeguard against multiple voting. In addition, the SAISE served as a tool for prompt tabulation and the announcement of preliminary results. The system, with very few exceptions, was fully functional, contributing considerably to the integrity of the process and enhancing trust. Additionally, Central Election Comission has a live streaming of vote on the Election Day but no cameras in the polling stations or biometric voter machines.</t>
  </si>
  <si>
    <t xml:space="preserve">Taking into account that no other national scrutiny took place after the 2016 Presidential Election, the referrence in 2017 will be the same. Even if SAISE System was implemented and used for the third time for the 2016 Presidential Election, the SAISE didn't function 100% effectively, according to OSCE/ODIHR there were 12 cases where the Internet connection or software problems were encountered. (See OSCE/ODIHR Final Report on Presidential Election - https://bit.ly/2KVsw5A). Similarly, according to Promo-LEX EOM for the Presidential Election, this system has allowed multiple voting to be prevented and given the CEC the ability to monitor voter turnout online. Still, technical problems with “Election” SAISE indicates that it is not yet transparent enough to inspire trust from society, Promo-LEX found problems in the functioning of SIASE in 28 PS in the 1st round and 42 cases in 31 PS in the 2nd round. (See Promo-LEX final Report on Presidential Elections  - https://bit.ly/2MYZz62)  </t>
  </si>
  <si>
    <t xml:space="preserve">Taking into account that no other national scrutiny took place after the 2016 Presidential Election, the referrence in 2017 will be the same. Both the international and domestic EOM assessed positively the voting, counting and tabulation procedures, reporting only minor irregularities. The Parallel Vote Tabulation carried out by Promo-Lex in all in-country polling stations during the both rounds of presidential elections largely confirmed the official election results. Although national observers reported some discrepancies in counting protocols, they could not influence the final election results (source-http://bit.ly/2qzulH0 and http://bit.ly/2se63Dt). </t>
  </si>
  <si>
    <t>Taking into account that no other national scrutiny took place after the 2016 Presidential Election, the referrence in 2017 will be the same. Yes. Under the Electoral Code (art. 55), the observers and authorised representatives of election candidates (parties, blocs, independent candidates), citizen domestic and international observers,  and media are allowed to observe the counting process.  The political parties that do not participate in elections  are not allowed to accredit observers.  According to both international and domestic EoMs, during the last 2016 presidential elections,  in most of cases, the candidate and citizen observers were able to follow all stages of voting, counting, and tabulation without restriction.</t>
  </si>
  <si>
    <t>According to the Electoral code, the military can vote only for Parliamentary and Presidential elections while cannot vote for General Local Elections. In the same time they are restricted from being elected in any of the mentioned types of elections. According to art. 30, para 4) of the Electoral Code, persons who satisfy their military service vote at the polling station in the locality in which the military unit is deployed, thus observers from any PS have full access to the voting process of the military as well, in this way ensuring the integrity of the vote. (See the Electoral Code https://bit.ly/2Jcsdy2)</t>
  </si>
  <si>
    <t>According to Promo-LEX Opinion on Venice Comission Reccomendations to the Parliament of Moldova, after the Electoral legislation was changed in order to be harmonized to the regularities of the mixed electoral system, many issues in the system of complaints and appeals still remained unresolved; moreover, issues related to the termination of the mandates of deputies in the area of territorial competence of first level instance courts were also under great uncertainty. The procedure for settling complaints and appeals has remained unregulated: how and by which court will the appeal be examined, since in a uninominal electoral constituency there are several raions (districts), which can be subject to different courts. (See Promo-LEX Opinion "Only 12 out of 32 European Recommendations Regarding the Mixed Electoral System were Implemented" https://bit.ly/2sN8mzx and Venice Commission Report https://bit.ly/2JdJwPl)</t>
  </si>
  <si>
    <t xml:space="preserve"> Referring to the last scrutiny,  in 2016 presidential elections OSCE/ODIHR EOM concluded that although the campaign was competitive and fundamental freedoms were respected, the process was marred by widespread abuse of administrative resources, lack of campaign finance transparency, and unbalanced media coverage. This conclusion was shared by both ENEMO EOM and Promo-LEX EOM that stressed in their reports the same problematic aspects of the presidential campaign. The main findings of Promo-Lex EOM were that election was competitive, partially free and satisfactorily organized. A total of 12 candidates, who reflected the political pluralism of society, entered the race. The free nature of suffrage was affected by restrictions on the ability of citizens abroad to cast their votes, as well as limits on opportunities for voters to form their own opinions in a campaign characterized by negative PR and the manipulation of public opinion, and by vote buying and the use of administrative resources. Overall, the procedural administration of the electoral process was transparent and in accordance with legislation. (See Promo-LEX Final Report on Presidental Election https://bit.ly/2MYZz62)</t>
  </si>
  <si>
    <t>The difference between the main 2 presidential candidates was  4.22%: Igor Dodon, leader of the parliamentary Party of Socialists of Moldova (in opposition) received - 52.11%, while his opponent, Maia Sandu, leader of an extra-parliamentary newly emerged party - Action and Solidarity Party - 47,89%.</t>
  </si>
  <si>
    <t>The difference is - 0.35%.  The Liberal Democratic Party that was before the 2014 parliamentary elections the most popular party of the previous governing coalition received 20.16% of votes, while the main opposition party - Party of Socialists of Moldova - 20,51% of votes. The other parliamentary parties had the following results: the Democratic Party (second member of the governing coalition) - 15.80%, the Party of Communists - 17.48% and the Liberal Party - 9.67%. It is worth to mention, that due to  turncoat phenomenon, the distribution of parliamentary seats has significantly changed since 2014. The current parliamentry majority is held by the Democratic party with 42 seats as compared to 19 back in 2014 (http://parlament.md/StructuraParlamentului/Fractiuniparlamentare/tabid/83/language/en-US/Default.aspx)</t>
  </si>
  <si>
    <t xml:space="preserve">In the joint statement dated 08.02.2017,   members of the Parliamentary Assembly expressed concerns about  illegal extradition of Mr. Platon-Kobalev and  inhumane conditions of detention. The document called on the Moldovan authorities "to respect all their commitments in the field of human rights and to refrain from any intimidation of politicians, activists and key witnesses".  The  US Human Rights Report for 2017 mentioned that "selective justice was a growing problem". </t>
  </si>
  <si>
    <t>Independent international organisations do report such cases: The US Human Rights Report (2018) made reference to  Amnesty International Report on Moldova for 2016-2017;  the document mentions that the the case against the so-called "Petrenco group" and a number of other criminal prosecutions prompted concerns about political influence over the justice sector.  The ombudsman report for 2017 does not mention alleged cases of politically motivated prosecution or trials( see http://ombudsman.md/sites/default/files/document/attachments/raport_2017_engl.pdf).</t>
  </si>
  <si>
    <t xml:space="preserve"> The country pays compensations but does not take actions directed by the Court in the judgment. </t>
  </si>
  <si>
    <t>All credible reports on Moldova (CPT) point to inadequate detention conditions, at odds with the CPT and ECfHR standards.</t>
  </si>
  <si>
    <t>The NTPM lacks investigative powers.</t>
  </si>
  <si>
    <t xml:space="preserve">While the law is in place, practical implementation is not ensured. A recent report published by Legal Resources Centreof Moldova expresses concerns about the high ratio of requests for intercepting phone conversations, authorised by courts (98%)(https://crjm.org/wp-content/uploads/2016/02/Document_Analitic-Interceptari_WEB_Logo_FOSI.pdf). During 2017 there have been leaks of private conversations of some opposion leaders, along with private life scenes and failure of the authorities to sanction such abuses. </t>
  </si>
  <si>
    <t xml:space="preserve"> It's in force  since 12 September 1997. It was ratified on 24.07.1997, by the Parlament Decision nr. 1298-XIII.</t>
  </si>
  <si>
    <t xml:space="preserve">According to the Law Nr. 198-XVI from 26.07.2007, there is a National Council which provides free legal aid for people with limited financial means.  The Council reported that in 2016  almost 49743 people benefited from free legal services, more info see http://www.cnajgs.md/uploads/asset/file/ro/1111/Raportul_de_activitate_al_CNAJGS_2016.pdf </t>
  </si>
  <si>
    <t xml:space="preserve"> According to art. 24 of the Constitution the death penalty is abolished. </t>
  </si>
  <si>
    <t>It is in force for Republic of Moldova since 1 February 1998. It was ratified on 09.07.1997, by the Parlament Decision nr. 1238-XIII.</t>
  </si>
  <si>
    <t xml:space="preserve">CPT visited Moldova in 2015 (14.09.2015 - 24.09.2015) and published its report on Moldova on 30 June 2016 CPT https://rm.coe.int/16806975db . On 16.03.2017 CPT published the response of the Governement on its web site (http://www.coe.int/hy/web/cpt/-/the-cpt-publishes-response-of-the-moldovan-authorities).  </t>
  </si>
  <si>
    <t>The Optional Protocol was ratified by the Law 66-XI, from 30.03.2006.</t>
  </si>
  <si>
    <t>he OPCAT criteria were introduced in the provision of Law Nr. 52 from 03.04.2014, there is a special chapter nr. V which regulated the activity of NMPT.  The new Council was selected and appointed through an open competition from candidates of the civil society. The new composition of the Council generally fulfils the UN OPCAT (Article 18) criteria. The council is gender balanced, their members are representing the civil society and different ethnic minorities. The forth criteria (to have an independent personnel) was accomplished only in February 2017, when the secretariat of MNP was created.</t>
  </si>
  <si>
    <t>According to article 104 (1) of the Constitution the Government presents to the Parliament, including to its standing committees and to MPs the requested information and documents. According to article 104(2) the presence of the members of cabinet is mandatory. Pursuant to article 105 of the Constitution the members of cabinet are obliged to answer to the questions and requests for detailed answers from members of Cabinet. The hearings take place within the standing committees, special committees and plenary sessions of the Parliament. The detailed rules of procedure are described in the Regulations of the Parliament.</t>
  </si>
  <si>
    <t>The Parliament can start an investigation on the activity of any public authority, with the exception of the judges, prosecutors and criminal investigation bodies, but only with respect to a case that is under pre-trial or trial stage. Any costs associated with the investigation that the standing committees undertake is covered by the Parliament. (article 31 of the Regulations of the Parliament). Additionally, the Parliament may create investigation committees to review a particular case, with the involvement of any subject who can provide data about the subject of the investigation (Article 34 of the Regulations of the Parliament).</t>
  </si>
  <si>
    <t>During 2017 the Parliament did not initiate any independent investigations of the chief executive or the agencies of the executive</t>
  </si>
  <si>
    <t>Article 25 of the Law no.619/1995 on state security bodies confers the Parliament oversight functions over state security bodies. Article 20 of the Law 753/1999 on national intelligence service also specifies Parliament oversight over the agency, through the standing committee on national security. The effective oversight over national security bodies is however very much dependant on the Regulations of the Standing Committee. Also, the personnel of the Standing Committee is still rather small to ensure effective overgsight. The specified laws do not cover the activity of the police, therefore their activity is verified by the National Security Standing Committee under general conditions.</t>
  </si>
  <si>
    <t>During 2017 the Parliament initiated a series of hearings with the participation of the Ministry of Interior, Security and Intelligence Service, the General Prosecutors' Office on aspects of treason, mercenary activity. The proposals to hear the report from the oposition on particular aspects from the agencies of coercion were rejected by the Parliament majority. The MPs used their oversight tool of questions to these agencies and received answers, which usually were evasive.</t>
  </si>
  <si>
    <t>Pursuant to art. 98 (1) of the Constitution the President consults the Parliament fractions and appoints the candidate. Based on the Constitutional Court Decision no. 32 from 29.12.2015 the term consultation with the Parliament was interpreted by the Constitutional Court as an obligation and if there is an absolute majority of MPs who support a particular candidate, the obligation of the President is to appoint that candidate. As the Constitutional Court has interpreted the provisions of article 98 of the Constitution, the President is essentially compelled by an absolute majority of the MPs in the Parliament to appoint the candidate prime-minister.</t>
  </si>
  <si>
    <t>The Parliament approves the members of cabinet, but only when the Government is offered the vote of confidence. The Parliament cannot select certain members of cabinet who are proposed by the candidate Prime-minister, but are offering their vote of confidence for the entire cabinet or reject the canidate Prime-minister, the proposed Government Programme and the cabinet team. During the mandate of the Government the Parliament cannot decide on the appointment of certain ministers after the Prime-minister dismissed certain members. The appointment is made by the President, on the proposal from the Prime-minister, who can refuse the appointment only once, as interpreted by the Constitutional Court in its Decision no. 2 from 24.01.2017. Based on the Decision no. 28 from 17.10.2017 of the Constitutional Court, if the President refuses the second time the appointment of the same candidate proposed by the Prime-minister, there are legal conditions to suspend the President from duty. That however did not involve any additional measures, such as sanctions for the President for abuse of power and no legal action was taken by the Prosecutor General to initiate a criminal investigation on the case.</t>
  </si>
  <si>
    <t>The Parliament can innitiate a vote of no confidence pursuant to article 106 (1) of the Constitution, if at least one fourth of its members initiate a motion. The vote of no confidence must be voted by the majority of elected MPs.</t>
  </si>
  <si>
    <t>The President holds the right to dissolve the Parliament as provided by article 85 of the Constitution. That is possible if the Parliament did not form the Government within 45 days within at least 2 attempts, if the Parliament did not approve any legislation within 3 months. The President has discretion to use this right and is not obliged by the Constitution to dissolve the Parliament.</t>
  </si>
  <si>
    <t>According to article 60(1) of the Constitution the Parliament is the only legislative body. However, the Government may enact legislation through article 106/1 of the Constitution by engaging into a responsibility procedure and if the Parliament does not vote within three days against the approved laws, they enter in force. Also, the President, based on article 93 of the Constitution, may veto once the laws approved by the Parliament and if the same text is approved by the latter, the President is obliged to promulgate the law.</t>
  </si>
  <si>
    <t xml:space="preserve">According to article 72 of the Constitution the Parliament approves laws in all policy areas. The Executive however is one of the authorities which holds right to legislative innitiative and is the major source of bills. Also, if the bill is proposed by the MPs, the executive avis on the bill is mandatory before it is reviewed in the Standing Committees and in the plenary session (article 58 para. 1 of the Regulations of the Parliament). There is a time limit to present the avis of 30 days or less if a different period is indicated by the Chairman of Parliament. Absence of the avis is not a reason not to review the bill. If the amendments are related to the law on budget the avis of the Government is mandatory (article 131 (4) of the Constitution, article 58 (2) of the Regulations of the Parliament). </t>
  </si>
  <si>
    <t>The Government cannot impound funds allocated to the legislative (article 150 of the Regulations of the Parliament, law no. 797/1996). Any changes in the state budget law must be passed by the Parliament (article 131 of the Constitution).</t>
  </si>
  <si>
    <t xml:space="preserve"> The Parliament controls and manages the funds allocated by the state budget which are at their disposal. The Parliament's budget is a separate budget line in the law on state budget (article 150 of the Regulations of the Parliament - Law no. 797/1996). </t>
  </si>
  <si>
    <t>All MPs are elected. The Government cannot appoint any members in Parliament.</t>
  </si>
  <si>
    <t>The amendment of the Constitution is not possible without the involvement of the Constitutional Court. Article 143 of the Constitution states that the amendments may be approved by the Parliament at least 6 monhts since it was innitiated. The Constitutional Court, according to article 135 of the Constitution issues mandatorily the avis on the draft amendment. Article 142 limits the constitutional amendments and does not allow change of the quality of the state (independent, unitary, sovereign, neutral) unless the majority of citizens have approved it in a referendum. Article 72 of the Constitution requires 2/3 of votes of elected MPs for the Constitutional amendment to be approved. The amendment must be approved within one year from its registration in the Parliament. Otherwise, the bill is considered void and the process must start all over again. Also, based on the Decision of the Constitutional Court nr. 7 from 04.03.2016, if between the first and the second reading the Parliament changes the contents of the bill, a separate mandatory avis must be asked from the Constitutional Court. Otherwise, the constitutional amendment does not comply with the provisions or articles 135, 141 and 143 of the Constitution and have been declared void in the case of constitutional amendments from 2000 on the procedure of election of President.</t>
  </si>
  <si>
    <t>The amendments to the Constitution innitiated by the citizens (at least 20,000 thoudsand from at least half of the territorial-administrative unit of second level - 36 in total, at least 360 thousand signatures) can be rejected by the Parliament if insufficient votes - 2/3 of elected MPs are not collected. Also, if the amendments are not passed within one year from its entry into the Parliament, the constitutional bill is considered void. (articles 141 and 143 of the Constitution)</t>
  </si>
  <si>
    <t>Pursuant to article 72 of the Constitution the Parliament approves legislation in the area of amnesty. The most recent law on amnesty is from 2016 - law no. 210 from 29.06.20016 on amnesty on the occasion of 25 years of independence of the Republic of Moldova.</t>
  </si>
  <si>
    <t>The Parliament appoints the members of the Observers Board of the Public television and radio company Teleradio Moldova, through the proposal of the Broadcasting Council, which is also appointed by the Parliament (Broadcasting Code, law no. 260/2006, articles 39-64)</t>
  </si>
  <si>
    <t>The law no. 80/2010 on the status of personnel within the offices of public dignity functions holders allows a personal secretary for the Chairman and vice-chairmen of Parliament, chairmen of parliamentary fractions. The MPs may only have a personal assistant. (articles 2 (2), 5 (1/1) of the Law).</t>
  </si>
  <si>
    <t>However, the position of assistant does not offer high-level policy expertise, unlike the higher positions of councillors.</t>
  </si>
  <si>
    <t xml:space="preserve"> The Pursuant to article 13  (1) letter l) of the Regulations of the Parliament (Law no. 797/1996) the Permanent Bureau of the Parliament approves the budget of the Parliament, which includes budget lines for the staff of the Parliament.</t>
  </si>
  <si>
    <t>The organigram of the Parliament has a distinctive Informational and Analytical Research Department, with a total of 13 persons. The department is however understaffed, as there is on average 1,3 people per 10 MPs.</t>
  </si>
  <si>
    <t>Each standing Committee has dedicated personnel to support their work. The staff varies from 4 to 8 people, depending on the Standing Committee. The most personnel is offered to the Legal and Budget Standing Committees (7 and 8 respectively). The personnel of the Standing Committees is not particularly trained in budget oversight.</t>
  </si>
  <si>
    <t>The Secretariat of the Parliament has a dedicated Legal Department, which prepares the legal opinions on all draft legislation. The Standing Committess also hold personnel to assist in their work, between 4 and 8 people, depending on the Standing Committee.</t>
  </si>
  <si>
    <t>Pursuant to article 17 (2) of the Regulations of the Parliament (Law no. 797/1996), the composition of the Standing Committees, including of the chairmen, vice-chairmen and of the secretaries of the Standing Committees is decided based on the proportionate representation of the party factions in the Parliament. In 2017, out of 9 standing committees, 6 were chaired by MPs from the Parliament majority and 3 from the opposition party factions (2 from the socialist party and 1 from the liberal party). A large number of MPs are not represented (the party faction of Liberal democrats and of the Communist Party) at the level of chairmen of standing committees. During the Parliament legislature of 2014-2018 about 40 MPs have migrated from one party faction to another or became non-affiliated, the party faction of the democractic party has thus increased from initial 19 to 42.</t>
  </si>
  <si>
    <t>Pursuant to article 17 (2) of the Regulations of the Parliament, proportional representation in the Parliament is taken into account while forming the Standing Committees.</t>
  </si>
  <si>
    <t>November 2014 - coallition (minority Government) - 40 MPs (supported by Party of Communists - 21 MPs), versus 40 MPs from the opposition. At the end of 2016 the coalition was formed of 57 MPs (including 10 non-affiliated MPs) and the opposition counting 44 MPs , so 12.87%. In 2017 the structure of the majority remained unchanged in terms of numbers, but one party faction left the majority with a parliamentary group entering the majority instead (liberal party left, PPEM group joined).</t>
  </si>
  <si>
    <t>Pursuant to the Report of the Parliament on legislative activity (for the period of 01/01/2017-31/07/2017), out of total of 109 laws initiated by MPs, 56 were initiated by the opposition party factions in the Parliament, or 51%</t>
  </si>
  <si>
    <t>There is no data available on the Parliament website with respect to the statistical data on initiated/approved bills by opposition and by the majority</t>
  </si>
  <si>
    <t>During 2015-2017 about 40 MP changed their politial affiliation, moving to a different party faction or becoming non-affiliated, which is 40% of the total of 101 MPs.</t>
  </si>
  <si>
    <t>Generally yes, if speaking about the provisions of the Convention. However, in practice, starting 2017,  the access topublic information has considerably worsened. The increasing number of refusal  to provide information is motivated by public authorities through application of legislation on data protection, on protection of state secrecy, fiscal or commercial secrecy or lack of information that normally has to be on the official websites.</t>
  </si>
  <si>
    <t>the current law was adopted back in 2000 and in spite of several amendments still contains loopholes and relaxed sanctions for refusing acces to information. A new law was adopted in first reading in July 2016 and is still pending the second reading.</t>
  </si>
  <si>
    <t>yes, after pre-registration . The meetings are also transmitted online.</t>
  </si>
  <si>
    <t>yes , after pre-registration. The meetings are also transmitted online.</t>
  </si>
  <si>
    <t>http://mf.gov.md/ro/content/bugetul-de-stat-2017</t>
  </si>
  <si>
    <t>http://mf.gov.md/ro/content/bugetul-de-stat-2017
http://mf.gov.md/sites/default/files/sites/default/files/atasamente/comunicate/cbtm_2018-2020.pdf
http://mf.gov.md/ro/buget/cadrul-bugetar-pe-termen-mediu</t>
  </si>
  <si>
    <t>http://mf.gov.md/ro/trezorerie/rapoarte-privind-executarea-bugetului/rapoarte-lunare</t>
  </si>
  <si>
    <t>http://mf.gov.md/ro/trezorerie/rapoarte-privind-executarea-bugetului/rapoarte-anuale</t>
  </si>
  <si>
    <t>http://mf.gov.md/ro/content/bugetul-de-stat-2017
http://mf.gov.md/sites/default/files/sites/default/files/atasamente/comunicate/cbtm_2018-2020.pdf</t>
  </si>
  <si>
    <t>The Law regarding use of physical force, special means and firearms nr.218 passed on 19 October 2012. The Law clearly prescribes the principle of proportionality in applying coercive powers, as well as the rules, tactics to be used, restrictions and exceptions. Use of lethal weapons in crowd control is strictly defined and is limited to self-defence and defending people from real threats to their life.</t>
  </si>
  <si>
    <t xml:space="preserve">  Abuse of power is defined by Criminal Code and investigated by Prosecutor Office. Additionally, the Ministry of Internal Affairs has a Department of internal security and a disciplinary committee dealing with misconduct and abuse of power by MIA personnel. Also, within the General Police Inspectorate there is a Personnel Inspection Division dealing with complains regarding misconduct of police officers. http://politia.md/ro/advanced-page-type/competente-3</t>
  </si>
  <si>
    <t>The task to investigate the cases of misconduct / abuse of power by MoD personnel is attributed to the Inspection Department of the MoD, internal disciplinary committee and General Prosecutor Office. However, the Army personnel have never been used for crowd control operations and there are no regulations defining abuses that affect civilians.</t>
  </si>
  <si>
    <t xml:space="preserve">There is no law or any other open public document about internal control and enforcement mechanism dealing with the abuse of power by security and intelligence service personnel. </t>
  </si>
  <si>
    <t xml:space="preserve">  The Ministry of Interior and Police General Inspectorate have anticorruption phone-lines, a confidential complaint phone-lines, and confidential complaint online services. In 2017 MoI and GPI published reports about complaints and investigations.</t>
  </si>
  <si>
    <t xml:space="preserve">The MoD has anticorruption phone-line, confidential complaint phone-line, and confidential complaint online service. There are no publicly available data regarding the results of complaints. </t>
  </si>
  <si>
    <t xml:space="preserve">The security and intelligence service has a "hot phone-line" and anticorruption phone-line. There are no publicly available data regarding complaints against security service personnel. There is no law or any other open public document about internal confidential complaint mechanism against illegal and discriminatory actions and orders within security and intelligence service. </t>
  </si>
  <si>
    <t xml:space="preserve"> According to the Rules of Procedure the Parliament can create ad hoc Investigative Commissions and organise hearings in plennary sessions or at standing committees.  </t>
  </si>
  <si>
    <t>The members of the Supreme Security Council are established by Presidential decree. Two members of the Parliament – Chairman of the Parliament and Chairman of the National Security, Defence and Public Order Commiittee - have been members of the Supreme Security Council during 2017.</t>
  </si>
  <si>
    <t>According to the Law nr.212/2004 the state of emergency, siege, or war is declared by the Parliament (art. 12).  According to the same law, the President can declare the state of war as response to a military aggression and have to inform the Parliament immediately.</t>
  </si>
  <si>
    <t>The appointments to highest ranks of security and armed forces are proposed by the Prime-minister and signed by the President.</t>
  </si>
  <si>
    <t xml:space="preserve"> The Regulation of the Parliament (rules of procedures) requires representation of all political parties in all standing committees.</t>
  </si>
  <si>
    <t>Ministry of Defence, Ministry of Interior, Ministry of Justice, Intelligence and Security Agency report to the Parliament upon request only. Depending on Parliament decision some reports are public, some reports are not.</t>
  </si>
  <si>
    <t xml:space="preserve"> Article 32 of the Law no. 52/2014 allows allows visiting detention places without a prior notice for all the members of the Prevention Council, including for the ombudsman. The ombudsman can start investigations on elledged cases of violations of human rights by law enforcement agencies.</t>
  </si>
  <si>
    <t>According to the Law no. 52/2014 the ombudsman presents yearly reports to the Parliament on the observance of human rights.</t>
  </si>
  <si>
    <t xml:space="preserve">The national legislation recognizes the right to access the public information. However the Ministry can refuse access to any internal documents declaring them confidential. </t>
  </si>
  <si>
    <t xml:space="preserve">The national legislation recognizes the right to access the public information. However the Agency can refuse access to any internal documents declaring them confidential. </t>
  </si>
  <si>
    <t>Regular consultations. Institutionalised formats.</t>
  </si>
  <si>
    <t xml:space="preserve"> Usually such hearings have been considered 'sensitive' and declared 'closed' at the request of committees members, or heads of security institutions.</t>
  </si>
  <si>
    <t xml:space="preserve"> Pursuant to article 32 of the Law no. 52/2014 the Council of Torture Prevention has unrestricted access to places of detention.</t>
  </si>
  <si>
    <t>5 out of 7 members of the Council are proposed by the civil society and are seleted by the Ombudsman based on objective criteria (article 31 of the Law no. 52/2014)</t>
  </si>
  <si>
    <t xml:space="preserve">Starting with 2011, Public Broadcaster Service – PBS (public TV and radio) became more independent and the government control and interference ceased. However, starting with 2017, the situation started to worsen again. Media experts’ expertise and monitoring reports published by media organizations (Independent Journalism Center, Association for Independent Press) mention that editorial freedom of PBS shrinks. Case of presenting the public interest topic in a much politicized manner were registered; favoring (ex: PDM, Political Party “SHOR”) or de-favoring concrete political parties (ex: PAS, PPDA); etc. 
In terms of independent media outlets, one of the most efficient tool of government interference (direct or indirect) is via media regulatory bodies, Broadcasting Coordination Council (BCC), for example. During last five years, media experts and community stressed about this challenge: lacking of real independent and politicization of sectoral regulatory bodies (according to Moldovan legislation the members of BCC are proposed and voted by political parties from Parliament).
In 2017, the most controversial case of indirect government interference on functioning media outlets was the case of TV8, a private TV Channel. In August 2017, the Analitic Media Group–the company owning the TV8 license–submitted a request to the BCC asking the transfer of the broadcasting license to the public association Media Alternativa, an independent journalists’ association created specifically to manage this media outlet. The BCC, however, refused and postponed several times the examining of TV8’s ownership changes, justifying its decision by arguing that the concession would be accepted only after the Analitic Media Group resolved the court disputes in which it was involved. The decision to postpone and delay the concession geared towards harassing this outlet. It was not until only mid-December that the BCC approved the request for concession of the broadcasting license of TV8 from ‘Analitic Media Grup’ to the Public Association ‘Media Alternativa’. This case once again proved that the regulatory institutions in the media sector are under political influence. 
</t>
  </si>
  <si>
    <t xml:space="preserve">Cases of prosecuting, fining or jailing journalists were not registered. </t>
  </si>
  <si>
    <t xml:space="preserve">According to national and international reports, in 2017 and first half of 2018, number of cases of journalists'  intimidation  increased. 
http://media-azi.md/en/moldovan-press-status-index-2017-report
https://freedomhouse.org/report/nations-transit/2018/moldova </t>
  </si>
  <si>
    <t>Republic of Moldova decriminalized defamation back in 2009, which makes it one of the earliest countries in the region to adopt this law. However, various groups or individuals continue the practice to file civil defamation cases. There is no data for 2017 about the number of defamation cases, mainly due to the fact that courts either refuse to provide this kind of information, either are lacking the personnel staff to monitor this issue and respond to this kind of information requests.</t>
  </si>
  <si>
    <t xml:space="preserve">However, one case needs to be mentioned here. Vladimir Botnari, former chief policeman of Chisinau requests prosecution of the journalist Mariana Rata, investigative journalist. Botnari filed a criminal complaint with the Prosecutor’s Office of Chisinau and he claimed that the journalist accessed and published, without his consent, personal data concerning him and his family. In the same complaint, the former chief policeman requests prosecution of all those who have accessed and published personal data concerning his family from October 2009 until present. Prosecutors opened a criminal case upon the request of former chief policeman (https://anticoruptie.md/en/news/vladimir-botnari-former-chief-policeman-of-chisinau-orders-prosecution-of-a-journalist-from-the-center-for-investigative-journalism). But, in late January 2017, the Prosecutor's office decided to cease the prosecution against journalist Mariana Rata from the Centre for Investigative Journalism (https://anticoruptie.md/en/news/prosecutors-office-ceases-prosecution-against-journalist-of-the-center-for-investigative-journalism). </t>
  </si>
  <si>
    <t xml:space="preserve"> The Moldovan government did not restrict or disrupt access to the internet or censor online content, and there were no credible reports that the government monitored private online communications without appropriate legal authority.
Nevertheless, in September 2017, the so-called „big brother law” (draft law „to combat child pornography and terrorism”) was accepted by Venice Commission. Christina Schulman, the expert who presented the expertise of Venice Commission declared that this draft law is actual and needed for Moldova. At the same time, more than 28 NGOs declared this law as an abusive one, mentioning that authorities could use it for censoring the internet.
</t>
  </si>
  <si>
    <t>There is a law on preventing and fighting cybercrime adopted back in early 2010. 
http://lex.justice.md/index.php?action=view&amp;view=doc&amp;lang=1&amp;id=333508</t>
  </si>
  <si>
    <t xml:space="preserve">Even though Republic of Moldova is ranked in the top 10 countries with the highest internet speed, no Safer Internet Programmes on national level has yet been developed/implemented. 
Non-governmental organisation „La Strada” continues to administrate and maintain the website Siguronline.md, which has the aim to promote and use the internet safely and responsibly. 
The Center for Fight against Cybercrimes (a separate sub-division within General Inspectorate of the Moldovan Police/Ministry of Internal Affairs) – established in 2016 – developed and conducted in late 2017, beginning of 2018, an awareness campaign “Say NO” in order to inform internet users about online blackmailing and sexual harassment (http://tv8.md/2017/08/15/video-a-fost-lansata-o-campanie-de-prevenire-a-santajului-sexual-pe-internet/). Another campaign developed and conducted by the same institution (between 1 December 2017 – 28 march 2018), „Violence from one click to another” (Violența din click în click). The aim of this campaign was to prevent the abuse and sexual exploitation of children via Internet (http://www.politia.md/ro/content/campanie-de-prevenire-violenta-din-click-click).
</t>
  </si>
  <si>
    <t xml:space="preserve">The legal framework was changed since 2012 and the rules of the SUPERIOR COUNCIL OF MAGISTRACY were changed accordingly. 
The criteria for the selection of judges required an urgent review to respond adequately to the real needs for which they have been established. 
In October 2017, the EU announces that it will not transfer any further funds to the Moldovan state budget to support reforms in the justice sector, in total amount of EUR 28 million. These funds were made available to the Moldovan authorities who had agreed to use them for reforming the justice system, especially during the years 2014 and 2015. The source - https://eeas.europa.eu/headquarters/headquarters-homepage/33723/moldova-eu-cuts-budget-support-programme-justice-reforms_en. 
The legal framework was changed since 2012 and the rules of the SUPERIOR COUNCIL OF MAGISTRACY were changed accordingly. 
The criteria for the selection of judges required an urgent review to respond adequately to the real needs for which they have been established. 
In October 2017, the EU announces that it will not transfer any further funds to the Moldovan state budget to support reforms in the justice sector, in total amount of EUR 28 million. These funds were made available to the Moldovan authorities who had agreed to use them for reforming the justice system, especially during the years 2014 and 2015. The source - https://eeas.europa.eu/headquarters/headquarters-homepage/33723/moldova-eu-cuts-budget-support-programme-justice-reforms_en. 
</t>
  </si>
  <si>
    <t>The criteria for the selection and promotion of judges required an urgent review to respond adequately to the real needs for which they have been established. Several criteria does not corresponding to the carrier of judge (scientific degree, teaching experience, publications and thematic articles).
The exams for the candidates to be appointment are led by the National Institute of Justice. Criteria for selection are provided. 
The reputation in the legal community is not enough explored by the CSM, SUPERIOR COUNCIL OF MAGISTRACY boards and the Judicial Inspection. Psychological and psychiatric evaluation is needed for the candidates (not to be equaled with the medical evaluation).</t>
  </si>
  <si>
    <t xml:space="preserve">The legal framework was changed since 2012 and the rules of the SUPERIOR COUNCIL OF MAGISTRACY were changed accordingly. The criteria for the selection of judges required an urgent review to respond adequately to the real needs for which they have been established. 
The rules for the appointment of judges at the Supreme Court of Justice was not adopted. This reform was assumed by the Parliament, by adopting the Justice Sector Reform Strategy. 
The integrity is examined superficial by the CSM, SUPERIOR COUNCIL OF MAGISTRACY boards and the Judicial Inspection. 
</t>
  </si>
  <si>
    <t xml:space="preserve">The integrity is an essential in the judiciary. However, the SUPERIOR COUNCIL OF MAGISTRACY boards, neither the SUPERIOR COUNCIL OF MAGISTRACY, do not evaluate the integrity. Moreover, the SUPERIOR COUNCIL OF MAGISTRACY does not react to the investigations developed by the investigative journalist with respect to incomes, properties and conflict of interest. 
The SUPERIOR COUNCIL OF MAGISTRACY has a selective approach regarding key judicial positions. This is due in particular to lack of any clarity on the duration of the competitions and prolonged vacancies of some key positions. The Source - https://crjm.org/wp-content/uploads/2017/07/2017-04-Hriptievschi-judiciary.pdf.
Selection of judges for the district level courts (first level courts): Out of 150 candidates proposed for appointment by the SUPERIOR COUNCIL OF MAGISTRACY, 115 (77%) were selected based on contests where more than one candidate took part and 35 (23%) were selected based on contests with a single candidate (without competition). Out of 115 judges selected following a contest involving more than one candidate, at least 83 (72%) candidates got a lower score at the Board for Selection and only 32 (28%) are candidates with the highest score. The results suggest that each fourth judge (35 out of 150) was proposed for appointment based on a contest in which only one candidate participated. 115 out of 150 judges proposed by the SUPERIOR COUNCIL OF MAGISTRACY were selected based on contests involving two and more candidates. Of these, seven out of ten were candidates with a lower score than their opposing candidates (83 out of 115). Only 3 out of 10 candidates proposed by the SUPERIOR COUNCIL OF MAGISTRACY were candidates with the highest score given by the Board for Selection (35 out of 115).
Promotion of judges to the courts of appeal: Following the contests for the promotion of judges to the courts of appeal, the SUPERIOR COUNCIL OF MAGISTRACY proposed 55 candidates. Out of these, 17 (31%) were candidates selected based on contests where only one single candidate participated (without competition) and 38 (69%) were selected in contests in which more than one candidate participated. Out of 38 candidates selected based on contests in which more than one candidate participated, 23 (61%) had a higher score than the other participants in the contest, and 15 (39%) were candidates with a lower score than their opposing candidates.
 Promotion of judges to the SCJ: Out of 13 judges proposed by the SUPERIOR COUNCIL OF MAGISTRACY for appointment, one judge was selected on the basis of a contest with a single candidate (8%). Out of 12 judges selected following the contest where more than one candidate participated, seven had a higher score than their opposing candidates (58%) and five - a lower score (42%). Out of 13 judges proposed by the SUPERIOR COUNCIL OF MAGISTRACY to be promoted to the SCJ, 10 judges were from first level district courts (77%).
 Promoting judges for administrative positions at the district level courts:
Out of 70 candidates proposed for appointment by the SUPERIOR COUNCIL OF MAGISTRACY, 25 (35%) were selected based on contests where more than one candidate participated and 45 (65%) were selected based on contests with a single candidate (without competition). Out of 25 judges selected following a contest involving more than one candidate, at least 8 (32%) are candidates with a lower score given by the Board for Selection and 17 (68%) are candidates with the highest score.
 Promoting judges for administrative positions at the courts of appeal: During the reference period, 32 contests for promotion to the positions of the chairperson or deputy chairperson of the courts of appeal were organized. Out of these, for 20 announced contests (63%) either no applications were submitted or the candidates withdrew from the contest. Out of the remaining 12 contests, 10 judges (83%) were selected following contests where only one candidate participated (without competition) and in the other two contests, with more than one candidate taking part, the SUPERIOR COUNCIL OF MAGISTRACY has chosen the candidate with a lower score given by the Board for Selection (100%). 
 Promoting judges for administrative positions at the SCJ: 13 contests were organized in order to promote for the positions of the chairperson and deputy chairperson of the SCJ, as well as of the Criminal and Civil Boards within the period of 13 January 2013 and 20 May 2017. Out of these contests, no applications were submitted in five contests (38%), and in two contests (15%) the candidates did not get the necessary number of votes of the SUPERIOR COUNCIL OF MAGISTRACY. In the rest of the contests – six in number, only one candidate participated, which makes up 46% of all organized contests or 100% of the contests that resulted in the promotion to leadership positions at the SCJ. 
The source: https://crjm.org/wp-content/uploads/2017/12/CRJM-Selectia-si-cariera-jud-2017-ENG.pdf
</t>
  </si>
  <si>
    <t xml:space="preserve">The disciplinary procedures is complicated and confused, including the activity of the Judicial Inspection in investigation the alleged disciplinary misconduct. The Judicial Inspection has very limited competences and responsibilities in investigating and presenting the case before the Disciplinary Board. This leads to formalism on behalf of the Judicial Inspection. The Source - https://crjm.org/wp-content/uploads/2017/07/2017-04-Hriptievschi-judiciary.pdf. 
Law no. 178 on judge’s liability provides for a detailed list of 16 disciplinary misconduct. Some judges voiced they are concerned about the existence of a very detailed list of disciplinary misconduct. The provision of a detailed list of deviations is necessary and useful, in particular, to clearly delimit the field of disciplinary liability and to protect judges from possible abuses. The text of disciplinary misconduct could be improved, but the detailed list is preferable to general provisions as grounds for disciplinary liability. Most sanctions applied over the past two years are for violating mandatory rules. The sources - https://crjm.org/wp-content/uploads/2016/11/CRJM-Raspundere-discipl-2016-11-EN-web.pdf; https://crjm.org/wp-content/uploads/2017/12/Raportul-intermediar-EN_final.pdf. 
</t>
  </si>
  <si>
    <t xml:space="preserve">The sittings of the SUPERIOR COUNCIL OF MAGISTRACY are behind closed doors and the SUPERIOR COUNCIL OF MAGISTRACY decisions are poor motivated. 
The Superior Council of Magistracy Applies selective approach to punish judgesremoremoval from office. 
On 4 July 2017, the SUPERIOR COUNCIL OF MAGISTRACY decided to dismiss a judge, apparently, on the basis of an opinion issued by the Intelligence and Security Service (ISS). The ISS opinion notes that in several cases examined by panels of judges with the participation of judge Manole, including the case underlying criminal prosecution consent from May 2016, the magistrate allegedly permitted certain irregularities that ascertained for the presence of risk factors in her activity. The source - https://crjm.org/en/societatea-civila-ingrijorata-de-decizia-csm-privind-eliberarea-din-functie-a-judecatoarei-domnica-manole/. 
In a monitoring case, initially a complaint was dismissed by the Admissibility Panel of the Disciplinary Board on the grounds of absence of a reasoned suspicion of having been committed a disciplinary offence, then, upon examination of the complaint, the Disciplinary Board applied the sanction of warning, and the SUPERIOR COUNCIL OF MAGISTRACY, in its turn, suggested the dismissal of the judge from office upon examination of the appeal against the decision by the Disciplinary Board. The difference in approaching the given case is even more evident taking into account that the other two complaints, which referred to the same acts committed by the same judge were dismissed as manifestly unfounded by the Judicial Inspection, and later by the Admissibility Panel upon examination of appeals. The source - https://crjm.org/wp-content/uploads/2016/11/CRJM-Raspundere-discipl-2016-11-EN-web.pdf
</t>
  </si>
  <si>
    <t>The selective justice is growing problem. Closed hearings in high profile cases set up a dangerous precedent and pre-conditions for selective justice and significantly reduce judiciary’s accountability. 
Appointment and promotion of judges based not on merits increase the perception of corruption and political influence on judges. As a consequence, that the reasoning of the judgement is not always based on law. 
The high rate of arrests and interceptions is still a concern that judges are not independent in their decisions. 
Sources:
- https://www.state.gov/documents/organization/277439.pdf
- http://www.moldova.org/en/amnesty-international-moldova-report-reveals-excessive-use-force-protests-selective-justice-troubled-media-bad-detention/
- https://crjm.org/wp-content/uploads/2017/07/2017-04-Hriptievschi-judiciary.pdf</t>
  </si>
  <si>
    <t xml:space="preserve">The Superior Council of Magistracy adopts the budget for the next year and for the next 3 years. Unfortunately, the Superior Council of Magistracy is not using its powers to influence the budgetary necessary expenditures (e.g. compensation of the transportation and hosting expenditures for judges working in different city then hometown, court optimization, etc.). </t>
  </si>
  <si>
    <t>The Superior Council of Magistracy accepts to increase expenditures the security in the court buildings (physical and IT infrastructure). Issues of harassment and assaults are discusses in the public hearings in the Council.</t>
  </si>
  <si>
    <t xml:space="preserve">Judges are appointed for the first term of 5 years and after it, until retirement age. Amendments to the Constitution were developed and the Constitutional Court and Venice Commission provided their opinion. Until 31 December 2017, these amendments were not adopted. </t>
  </si>
  <si>
    <t xml:space="preserve">During 2017, law amendments were developed to ensure judges have functional immunity (as not to understand that they have unlimited immunity). Until 31 December 2017, these amendments were not adopted. </t>
  </si>
  <si>
    <t xml:space="preserve">The Superior Council of Magistracy has decisive role, including the right to propose the same candidate for the second time, when is mandatory (veto) to the President of the country.
In 2017, the Superior Council of Magistracy, used to decide to remove from office or give consent for the prosecution of the judge based on the evidences provided by the ISS or the Prosecutor General. Such practices are inadmissible. 
Half of the Superior Council of Magistracy members are selected among judges.
</t>
  </si>
  <si>
    <t xml:space="preserve">The Constitutional Court has the power to decide on constitutionality of legislation and official acts. However, there systemic delays in executing references for amending the legislation by the Parliament. Thus, Constitutional Court's judgements are nor dully enforced. 
During 2017 the Court delivered 15 judgements in which at least one of the challenged provision was declared unconstitutional, the Parliament or the Government having to interfere with a view to settle the legislative gaps created. Out of the aforementioned judgments which were due for enforcement on the date of approving of this Report, 11 judgements were liable for enforcement. Out of which 3 judgements have been enforced, 1 is still not enforced, whilst 7 are in the process of enforcement. The source - http://constcourt.md/public/files/file/prezentare_generala/raport_anual/en/CC_Report_2017_eng.pdf. 
Lack of initiatives to enforce Constitutional court decisions on electoral matters are urgent and neglected by the Parliament. 
</t>
  </si>
  <si>
    <t xml:space="preserve">In 2017 a new draft of the administrative code was adopted in the first reading. It aimed to unify all the procedures with regard to the administrative acts issued by the state authorities (both local and central public institutions) and to contribute ensuring a better application of the legislation by courts. The law was adopted in July 2018 in the final reading. The source: http://parlament.md/ProcesulLegislativ/Proiectedeactelegislative/tabid/61/LegislativId/3687/language/ro-RO/Default.aspx </t>
  </si>
  <si>
    <t xml:space="preserve">The judiciary have exclusive and ultimate jurisdiction over all cases concerning civil rights and liberties. However, it seems the Prosecution service and politicians have finally an influence. Thus, it might the issue of the independence of judges. 
Despite the amendments of 2016 that made pre-trial arrest more complicated, the statistical indicators did not change. No significant improvement in the quality of motivation of arrest decisions has been noted. On the contrary, the number of arrested persons and the share of arrest warrants admitted by judges are increasing. In 2016, 2,855 people were detained in prison, a figure that is very close to that of 2009, when hundreds of people were abusively arrested by the police in the context of protests related to the parliamentary elections in April 2009. The source - http://crjm.org/wp-content/uploads/2017/09/2017-09-07-LRCM-submission-arest-sarban-fin.pdf. 
The rate of acquittal does not exceed 3%, well below the average for countries with advanced democracy, and the rate of admission of requests for arrests is constantly higher than 75%, despite the criticism of the European Court of Human Rights that arrest is applied in the Republic of Moldova too often and groundless. The rate of admission of requests for authorization of interceptions is over 98%.
</t>
  </si>
  <si>
    <t xml:space="preserve"> Judges generally have adequate subpoena and contempt powers in both criminal and civil cases and judicial judgements are usually enforced; however, in civil cases with some delays.   
Judges have a power to impose fines for contempt of court. District court Judges complain that higher-level courts usually annul these fines. In 2017, lawyers defending high-level officials on corruption cases or high public interest, complain that courts apply fines and remove lawyers from the examination of cases. 
The Department for the Execution of Judgments of the European Court of Human Rights - Failure or substantial delay in the enforcement of final domestic judgments rendered mostly against the State or State companies; lack of effective remedy. The source - https://rm.coe.int/1680709756. 
In March 2017, the Committee of Ministers of the Council of Europe invited the authorities to provide their analysis of the effectiveness of the current system of enforcement, together with relevant statistical data, in order to fully assess the status of execution of this group of cases. The sourse - https://rm.coe.int/annual-report-2017/16807af92b. Yet, no public information was published by the Moldovan Government. 
</t>
  </si>
  <si>
    <t xml:space="preserve">Judges can be removed only for good cause. In sensitive case with participation of politicians, the removal of judges was not possible although lawyers claimed serious misconduct and conflict of interest. </t>
  </si>
  <si>
    <t>The disciplinary procedure is complicated and has to be improved and the mandate and the competences of the Judicial Inspection is to be revised. In 2017 law amendments were developed in this respect.</t>
  </si>
  <si>
    <t xml:space="preserve">Not all the court rooms, especially court buildings in Chisinau, are designed to host more than 6 persons, including judges and court staff. More other, high-level corruption cases and/or for high public interest are examined behind closed doors. Cases in the Supreme Court of Justice are examined without parties. The public and the media is not allowed by judges to participate in a court hearing, claiming that there are no sufficient space for all. 
The general perception is that in 2017, the courts decided to examined behind closed doors in more cases. 
</t>
  </si>
  <si>
    <t xml:space="preserve">Starting with 2016, when courts started to examine high level corruption cases, not all the judgements are accessible. In October 2017, journalists and representatives of the civil society organizations expressed their bewilderment regarding a new Regulation regarding the manner of publishing court judgements. The draft provided for anonymization of the identity of all natural persons in the judgements published on the web portal of the courts. The source - https://crjm.org/wp-content/uploads/2017/10/2017-10-09-Apel-Publicarea-Hot-Jud-fin-ENG.pdf. Finally, the draft Rules were not adopted with such restrictions. 
Media and NGOs found out that several court decisions are not published or published with anonymization with the names of the judge, lawyers, prosecutors, event the amount of the bribe. 
According to the Courts Administration Agency, in 2017, were not published 8% of the court decisions. The source - 
http://aaij.justice.md/sites/default/files/document/attachments/raport_publicare_12_luni_2017.doc 
</t>
  </si>
  <si>
    <t xml:space="preserve">The immunity of judges is limited to their judicial functions. A judge may be prosecuted for committing a crime. The effective procedures are affected by the lack of transparency and lack of the SCM motivation. 
Although judges benefit of the functional immunity, in case of the misdemeanour cases the examination of the case is done by the court and not by the administrative body. The Superior Council of Magistracy has to be notified. 
In some cases, the Superior Council of Magistracy accepted the resignation from office of a judge, while being criminally investigated. It is a perception that the impunity among judges is widespread. This is confirmed of the lack of transparency and delays in investigating the judges (e.g. those involved in the „Russian laundromat” case of USD 22 billion, „theft of the USD 1 billion” case from the banking system. 
</t>
  </si>
  <si>
    <t>The Protocol was signed on 20 October 2000, but  not yet ratified by the Republic of Moldova . Sourse: https://www.coe.int/en/web/conventions/full-list/-/conventions/treaty/177/signatures</t>
  </si>
  <si>
    <t xml:space="preserve">The Convention on the Rights of Persons with Disabilites was ratified in 2010. Sourse: http://lex.justice.md/index.php?action=view&amp;view=doc&amp;lang=1&amp;id=335376 </t>
  </si>
  <si>
    <t>International Convention on the Protection of the Rights of All Migrant Workers and Members of Their Families was neither signed nor ratified.</t>
  </si>
  <si>
    <t>Moldova signed the  European Charter for Regional Minority Languages  in 2002, but  has not ratified it yet, although an working group on ratification instrument  was set up in  2011. http://www.coe.int/en/web/european-charter-regional-or-minority-languages/promoting-ratification-in-the-republic-of-moldova</t>
  </si>
  <si>
    <t xml:space="preserve">The Framework Convention  for the Protection of National Minorities was signed and ratified by the Republic of Moldova:. Sourse: http://www.ohchr.org/Documents/Publications/GuideMinorities8en.pdf </t>
  </si>
  <si>
    <t xml:space="preserve">European Convention on the Legal Status of Migrant Workers was signed and ratified by the Republic of Moldova. Sourse: http://www.assembly.coe.int/nw/xml/XRef/X2H-Xref-ViewHTML.asp?FileID=10291&amp;lang=en </t>
  </si>
  <si>
    <t xml:space="preserve">the European Convention  on Nationality was signed and ratified by the Republif of Moldova. Sourse: https://rm.coe.int/168007f2c8 </t>
  </si>
  <si>
    <t>Law 121 from 25.05.2012 on Ensuring Equality.</t>
  </si>
  <si>
    <t>Article 16 of the Constitution.</t>
  </si>
  <si>
    <t xml:space="preserve">Provisions on Hate Crimes are fully compliant with international standards. Article 176 of the Criminal Code criminalises the  breach of  "equality among citizens". Such a provision is discriminatory towards non-citizens. So far, this provision was not applied by the law enforcement bodies. Article 77 of the Criminal Code provides for aggravating circumstances of crimes committed based on narrow list of protected grounds (crimes committed based on social, national, racial or religious hatred). </t>
  </si>
  <si>
    <t>There are no substantive provisions on non-discrimination, yet the Civil Code has a crucial supportive function for the implementation of the framework legislation.</t>
  </si>
  <si>
    <t xml:space="preserve">The following Articles of the Contravention Code are of relevance: Articles 7, 54-2(1),  54-2(2), 65-1, 71-1, 71-2. The Equality Body is empowered to establish contravention of the administrative offences contained in Articles 65-1, 54-2, 71-1 and 71-2. However, only a court can impose the sanctions provided for in respect of each offence. </t>
  </si>
  <si>
    <t>The following articles of the Labour Code: Art. 5, 7, 8, 9, 10, 128, 199. Article 5 of the Labour Code sets out the basic principles of labour relations,
several of which are concerned with non-discrimination in the workplace. Article 8(1) prohibits discrimination in the sphere of labour and employment. The list of protected characteristics includes some that are not protected under the Law on Ensuring Equality, namely social origin, HIV status, place of origin, membership of trade unions, and participation in trade union activities.
Where a characteristic is covered by both the Law on Ensuring Equality and the Labour Code, it is common for people to make a discrimination claim based on both laws. The Labour Code also provides that employers have an obligation to take measures
to prevent sexual harassment in the workplace, to ensure equal opportunities and equal treatment of all, to take measures to prevent victimisation, to ensure that men and women have equal opportunity to combine work and family obligations, and to ensure equal pay for work of equal value. ing women, particularly pregnant women and women with young children. Article 251 prohibits the dismissal of pregnant women, women with children under the age of six, and workers who take parental leave, except in the circumstances defined in
Article 86 of the Labour Code, which sets out “fair” reasons for dismissal. Article 247 prohibits employers from refusing to employ or reducing the wages of pregnant women or women with children under six. Article 250 provides that pregnant women and women with young children (aged up to three years) may be transferred to lighter work, while maintaining
their average wage</t>
  </si>
  <si>
    <t xml:space="preserve">The Law on Entrepreurship and Enterprises provides, in Article 8, the equality of treatment for all economic agents. The Law on Social Services provides, in Article 3, for the principle of equality of treatment. </t>
  </si>
  <si>
    <t>Article 7 of the Education Code.</t>
  </si>
  <si>
    <t>Article 1 of the Law on Ensuring Equality</t>
  </si>
  <si>
    <t>Article 7 of the Law 121 on Ensuring Equality contains a clear reference to “sexual orientation”, which is conversely missing in the list of protected grounds contained in Article 1.</t>
  </si>
  <si>
    <t>"Social origin" is listed as one of the protected grounds in Article 16 of the Consitution</t>
  </si>
  <si>
    <t>"Wealth" is listed as one of the protected grounds in Article 16 of the Consitution</t>
  </si>
  <si>
    <t>It is not explicitly protected under the national legislation. However, this ground was recognised as a protected ground in the the case law of the Equality Body</t>
  </si>
  <si>
    <t>the Labour Code, provides in Article 8, protection on the ground of domicile</t>
  </si>
  <si>
    <t>Civil Procedure Code provides, in Article 22, protection on the ground of occupation</t>
  </si>
  <si>
    <t>"Health" is not  explicitly stipulated as a protected ground. The Law on the Prophylaxis of HIV/AIDS provides for the "HIV status" as a protected ground.</t>
  </si>
  <si>
    <t xml:space="preserve">Definition: This form of discrimination is defined in Article 2 of the Law 121 on Ensuring Equality.
Liability: the remedies that can be offered by the Equality body are: finding discrimination, issuing recommendations to  prevent similar cases in the future; documenting the misdeameanour (only if discrimination was found in the following areas: education, labour, access publicly available to goods and services); the documented misdeameanour is applied only by the Court. </t>
  </si>
  <si>
    <t xml:space="preserve">Definition: This form of discrimination is defined in Article 2 of the Law 121 on Ensuring Equality.
Liability: the remedies that can be offered by the Equality body are: finding discrimination, issuing recommendations to  prevent similar cases in the future; documenting the misdeameanour (if discrimination occured in the following areas: education, labour, access publicly available to goods and services); the documented misdeameanour is applied only by the Court. </t>
  </si>
  <si>
    <t xml:space="preserve">Definition: This form of discrimination is defined in Article 2 of the Law 121 on Ensuring Equality.
Liability: the remedies that can be offered by the Equality body are: finding discrimination, issuing recommendations to  prevent similar cases in the future; documenting the misdeameanour (if discrimination occured in the following areas: education, labour, access publicly available to goods and services); the documented misdeameanour is applied only by the Court. </t>
  </si>
  <si>
    <t xml:space="preserve">Definition: This form of discrimination is defined in Article 2 of the Law 121 on Ensuring Equality.
Liability: the remedies that can be offered by the Equality body are: finding discrimination, issuing recommendations to  prevent similar cases in the future; documenting the misdeameanour (if discrimination occured in the following areas: education, labour, access publicly available to goods and services); the documented misdeameanour is applied only by the Court. There is no sanction in the Misdeameanour Code for "Instigation to discrimination." </t>
  </si>
  <si>
    <t>Article 2 of the Law 121 on Ensuring Equality defines discrimination as "any distinction, exclusion, restriction or preference, in rights and freedoms, applied towards a person or a group of persons, or supporting of the discriminatory behavour, based on real or assumed grounds [....]"</t>
  </si>
  <si>
    <t>Defined in Article 2 of the  Law 121 on Ensuring Equality</t>
  </si>
  <si>
    <t>Article 4 of the Law 121 on Ensuring Equality provides that discrimination on two or more grounds is a serios form of discrimination</t>
  </si>
  <si>
    <t>Article 3 of the Law 121 on Ensuring Equality provides that "The subjects in the area of discrimination are individuals and legal entities from the public and private area."</t>
  </si>
  <si>
    <t>Article 7 of the Law 121 on Ensuring Equality and related legislation.</t>
  </si>
  <si>
    <t>Article 9 of the Law 121 on Ensuring Equality and related legislation.</t>
  </si>
  <si>
    <t>Article 8 of the Law 121 on Ensuring Equality and related legislation</t>
  </si>
  <si>
    <t>Article 8 (b) of the Law 121 on Ensuring Equality and related legislation</t>
  </si>
  <si>
    <t>Article 8 (c) of the Law 121 on Ensuring Equality and related legislation</t>
  </si>
  <si>
    <t>Examples include Law on Ensuring Equal Opportunities between Women and Men (Law No. 5 of 9 February 2006). Law on Preventing and Combating Domestic Violence (Law No. 45 of 1 March 2007). Law on Prevention of HIV/AIDS Infection (Law No. 23-XVI of 16 February 2007).  Law on Social Inclusion of Persons with Disabilities (Law No. 60 of 30 March 2012).</t>
  </si>
  <si>
    <t>There are policies targeting women, Roma, persons with disabilities.</t>
  </si>
  <si>
    <t>The Law 121 on Ensuring Equality establishes a specialised body: Moldovan Council for Preventing and Eliminating Discrimination and Ensuring Equality (Equality Body).</t>
  </si>
  <si>
    <t>The Moldovan Ombudsman Institution has  abroad mandate, that includes non-discrimination. In practice, it refers complaints on non-discrimination to Moldovan Equality Body</t>
  </si>
  <si>
    <t>According to Article 10 of the Law 121 on Ensuring Equality, "Subjects with responsibilities in the area of prevention and combating discrimination and ensuring
equality are:
a) the Council for prevention and combating discrimination and ensuring equality;
b) public authorities; c) courts"</t>
  </si>
  <si>
    <t>After examining the complaint, the Council adopts a motivated decision with the majority of its members’ votes. The Council’s decision includes recommendations for assuring the rehabilitation of victim’s rights and preventing  similar cases in the future. If the Council disagrees with the measures taken, it is entitled to seek a superior body for appropriate actions and / or inform the public.</t>
  </si>
  <si>
    <t>There is no explicit provision in the Law that would enable the Equality Body to submit amicus curiae.  However, in practice, the Equality Body was invited by some courts to submit opinions on specific cases.</t>
  </si>
  <si>
    <t>There is no explicit provision in the Law 121 that would enable the Equality Body to conduct on-site investigations.</t>
  </si>
  <si>
    <t>Article 12 (e)of the Law 121 on Ensuring Equality provides that the Body "collects data on all dimensions, status and trends of the discrimination phenomena at national level and elaborates researches and reports.There is no provision in the law 121 that would empower the Equality Body to collect from public authorities and non-state actors statistical information on discrimination; such a power would imply corresponding obligations from duty bearers to collect and provide such information.</t>
  </si>
  <si>
    <t>Two court cases on hate speech were initiated by Gender Doc in 2017against members of an orthodox religious group. There was no final court decision yet. Other cases on hate crimes (on ground of disability) were initiatiated in 2017 and have not been finalised.</t>
  </si>
  <si>
    <t xml:space="preserve">The Law 121 provides the independence principle, but not the autonomy principle. Namely, it is stipulated in the Law that the Council is an equality body, characterised by autonomy, which has organisational and functional detachment from other branches of state power: legislative, executive and judicial. The autonomy of the Council rests, in the first place, on the fact that it is established and organised by Law. One of major expressions of autonomy is the possibility of the Council to regulate its work in a more specific way. In that sense, there are no clear reasons due to which the Article 11, para.14, of the Law 121, provides that „The Regulation on procedure of the Council is approved by the Parliament“. Apart from interfering in the autonomy principle, such a legal solution is not considered rational, because it implies conducting a complicating legal procedure for adoption of any amendments or additions to the Regulation on the procedure of the Council. </t>
  </si>
  <si>
    <t>The operational budget of the Council is approved by the Ministry of Finance, within the afvailable resources. Effective financial independence would imply a separate budget line Law on State Budget, approved by the Parliament.</t>
  </si>
  <si>
    <t>5 women out of 17 Ministerial positions</t>
  </si>
  <si>
    <t>https://www.unodc.org/unodc/en/corruption/ratification-status.html</t>
  </si>
  <si>
    <t>There were at least 3 final convictions during 2017.</t>
  </si>
  <si>
    <t>Ratified in 2004.</t>
  </si>
  <si>
    <t>Ratified and entered into force in 2004</t>
  </si>
  <si>
    <t xml:space="preserve">the National Anticorruption Center. </t>
  </si>
  <si>
    <t>the National Anticorruption Center</t>
  </si>
  <si>
    <t>A national integrity and anti-corruption strategy is in place for 2017-2020.</t>
  </si>
  <si>
    <t>Yearly monitoring and evaluation reports are developed and published. However, not necessarily the action plan is also updated as result.</t>
  </si>
  <si>
    <t xml:space="preserve">Art. 21 para. (4) of the Criminal Code. </t>
  </si>
  <si>
    <t>art. 330/2 of the Criminal Code</t>
  </si>
  <si>
    <t xml:space="preserve">The National Anticorruption Center reports show it had 6 such cases under investigation in 2017. </t>
  </si>
  <si>
    <t>the Criminal Code provides for special and extended confiscation (art.</t>
  </si>
  <si>
    <t>To some extent. In 2017 there were 27 confiscations applied, of which 25 - special and 2 extended confiscations.</t>
  </si>
  <si>
    <t>the new laws have been  in force since august 2016</t>
  </si>
  <si>
    <t>Two decisions of the National Integrity Authority, on the assets' declaration, have been maintained as valid by the Supreme Court of Justice in 2017. However, these cases were launched before 2016. During 2016- summer 2018, the National Integrity Authority responsible  for controlling assets declarations passed through an institutional reform and did not perform its cntrol duties.</t>
  </si>
  <si>
    <t xml:space="preserve">there is no law protecting the whistle-blowers and no public authority assigned
for whistle blowers protection. A framework Regulation on whistle-blowers covering only the public sector was adopted by the Government in 2013. Based on it, all public institutions had to adopt their internal regulations, but not all public institutions that have done this until end of 2017.
 A draft law on whisteblowers was prepared and adopted in first reading in 2018, awaiting adoption in second reading. </t>
  </si>
  <si>
    <t>The Broadcasting (audiovisual) Code provides for the obligation to publish the information on media ownership by media channels. This provision was added to the Code in 2015, while the sanction for breaching it was introduced oly in 2017. The infromation on media ownership was made public in November 2015 and confirmed that the media market is facing a media ownership concentration, with over 80 % of TV stations owned by politicians or people close to political parties.</t>
  </si>
  <si>
    <t xml:space="preserve">But not effectively enforced. </t>
  </si>
  <si>
    <t>The Court of Accounts</t>
  </si>
  <si>
    <t xml:space="preserve"> the Court of Accounts is independent. Any act that can impair its independence is prohibited. The President and its members are elected by the Parliament  for a five year term. </t>
  </si>
  <si>
    <t>It is financed from the state budget.</t>
  </si>
  <si>
    <t xml:space="preserve"> the Court of Accounts developed several guides and regulations with regards to standards and principles applied during audit activities. </t>
  </si>
  <si>
    <t xml:space="preserve"> It publishes regularly audit decisions and reports, as well as yearly general and specialized reports. </t>
  </si>
  <si>
    <t xml:space="preserve">The Government is obliged to act on the findings. However independent monitoring suggests that not more than 40% of its recommendations are actually implemented. </t>
  </si>
  <si>
    <t xml:space="preserve">there is actually a law on internal financial public control (Nr. 229 as of 23.09.2010). Subsequent regulations have been developed and adopted in accordance with this law. </t>
  </si>
  <si>
    <t xml:space="preserve"> there is a Program for development of the Internal Financial Control, for 2018-2020. </t>
  </si>
  <si>
    <t xml:space="preserve">Yes. However, these function at the level of central public adminitration bodies. According to the aforementioned Program, stage two envisages the establishment of such units for all public authorities. </t>
  </si>
  <si>
    <t xml:space="preserve">Yes. It is the Ministry of Finances. </t>
  </si>
  <si>
    <t xml:space="preserve"> All procurement above 80,000/100,000 MDL (above 4000/5000 EUR) require competitive bidding</t>
  </si>
  <si>
    <t xml:space="preserve">The law on public procurement clearly defines cases when sole source procurement can be made. Exceptions have been found, though, by civil society organizations. However, these are not that frequent, as compared to problems in other public procurement areas. </t>
  </si>
  <si>
    <t xml:space="preserve">Yes, the National Complaints Solving Agency is fully functional as of Sept 2017. </t>
  </si>
  <si>
    <t>Yes, see above.</t>
  </si>
  <si>
    <t xml:space="preserve">Legally yes. Yet, since there's no criminal liability for  bribery that can be applied to legal entities, the natural person convicted of bribery can register a new company and continue getting public contracts. </t>
  </si>
  <si>
    <t xml:space="preserve">Fully. </t>
  </si>
  <si>
    <t xml:space="preserve">Currently there is an e-procurement system where only about 400 contracting authorities are carrying out their tenders (of the total of over 4000). A new e-procurement system is being piloted and is expected to be fully deployed by the end of the year. </t>
  </si>
  <si>
    <t>Generally yes. Few cases of missing data have been noticed, but these are rare.</t>
  </si>
  <si>
    <t xml:space="preserve">According to the Law no.235 of 20 July 2006, „On main principles of business activity reglementation”, regulatory impact assessment should be carried out for normative acts which have an impact on business activity. For those normative acts which do not have an impact on business, but have a financial, administrative or other type of impact, ex-ante impact analysis should be carried out, beginning July 1, 2018.  </t>
  </si>
  <si>
    <t>The authority responsible for drafting normative acts is deciding itself if there is need or not of RIA, depending on how it appreciates the impact of the normative act over the business environment. In most cases, the State Chancellery is checking before approval if a normative act was drafted following certain requirements, including has a RIA performed if the act is impacting business environment. But it is not always the case.</t>
  </si>
  <si>
    <t xml:space="preserve">Formally, the policy coordination unit at the level of State Chancellery is responsible for coordinating and for assessing the impact of government-wide policies, but officially there is no guideline for this kind of assessment. A draft guideline on ex-ante on impact assessment was piloted during 2012-2014, but it was not formally approved, as no specific requirements were in the law on normative acts. Due time, a new law on normative acts was approved in December 2017 and entered into force in July, 2018. It expressly requires ex-ante impact assessment, but there is no approved methodology and the draft of existing one is outdated. Moreover, after continuous reorganization of the policy coordination unit in the last 1,5 years and high turnover of the staff at the level of that unit, impact assessment capacities are reduced.  
</t>
  </si>
  <si>
    <t>The new law on normative acts no.100/2017, requiring ex-ante impact assessment, entered into force in July 2018, but there are still no capacitates and approved methodology to perform ex-ante.</t>
  </si>
  <si>
    <t xml:space="preserve">The law on transparency in decision-making process no.239/2008 requires mandatory consultations with the public at all stages while drafting a normative act, before approval. </t>
  </si>
  <si>
    <t xml:space="preserve">It varies from case to case, it doesn’t have an organized and structured nature. Sometimes, collected opinions are generalized in a table of opinions that are attached to the folder of the draft act, but in majority of cases tables of opinions contain only opinions of public authorities as it is not mandatory to include opinions of the third parties. Usually, there are no clear valuable arguments why the opinions are rejected. Tables of opinions are not made publicly available, just sent to a list of subscribers. </t>
  </si>
  <si>
    <t>Formally, at the ministerial level the divisions for policy analysis, monitoring and evaluation are created and are functional. The divisions have on average 3-4 employees. 
Within the State Chancellery General Division on policy and external assistance co-ordination is also functioning. At the interministerial level, there is Interministerial Committee for Strategic Planning, headed by the Prime Minister. Main challenges nevertheless are: institutional memory of the State Chancellery on strategic planning process were partially lost, the role and capacity of policy divisions at the level of the ministries is uneven and the activity of the interministerial committee does not have an organized and systematic character, especially after the reorganization of the Government.</t>
  </si>
  <si>
    <t xml:space="preserve">According to the law on government 136/2017, State Chancellery is the central body supporting the activity of the Government. </t>
  </si>
  <si>
    <t xml:space="preserve">Yes, in terms of number of staff (14). Nevertheless, after a series of reorganization of the Policy Coordination Unit during 2016-2017 an important part of the staff, including the management, left the State Chancellery or the unit due to various reasons, thus the institutional memory was lost and capacity to co-ordinate has been substantially reduced. </t>
  </si>
  <si>
    <t>There is: 1.Interministerial Committee for Strategic Planning which is responsible for establishing policy priorities, priorities for medium-term budgeting and priorities for external assistance. Nevertheless, its meeting are held rarely and not on permanent basis; 2. National Council on Public Administration Reform; 3. National Council on Coordination of Regional Development; 4. National Council on Sustainable Development</t>
  </si>
  <si>
    <t>There are provisions in the Law on normative acts no. 100/2017</t>
  </si>
  <si>
    <t xml:space="preserve">In the Law on normative acts all procedures for processing policies are envisaged.  Additionally,  there is Government decision of 2007 on the Rules for the elaboration and the unified requirements for the policy documents. </t>
  </si>
  <si>
    <t>Formally, State Chancellery is mandated to provide policy and methodological advice to the ministries, but the capacity is low due to a series of reorganizations and high turnover, including of the Policy Coordination Unit management. The staff from the Policy Coordination Unit of the State Chancellery which had experience in coordinating, promoting and advising ministries on ex-ante impact assessment has left. Lacking assistance of development partners and having no institutional capacity, the ex-ante impact assessment in not anymore required and used.</t>
  </si>
  <si>
    <t xml:space="preserve">A guideline on intermediate and ex-post evaluation was drafted by the State Chancellery and piloted only for 5 policies in 2013, but it was not formally approved. It is not used at the moment. Ministry of Justice is monitoring the process of normative acts implementation. Or, a normative act is not really a public policy, rather an instrument to implement public policies. So, monitoring of normative acts is not at all evaluation of policy implementation.
In 2013 within CPAR project methodology on intermediate and ex-post evaluation of public policy was developed and piloted for 5 policies. As in the case of ex-ante, due to lack of institutional memory, lack of external assistance, lack of backup in the law on normative acts and lack of support of decision makers, ex-post evaluation of public policies was abandoned in 2015.
</t>
  </si>
  <si>
    <t>After the reorganization of the Government, many qualified civil servants left the administration. Salaries have increased, but still public function is not attractive. Due to high turnover of qualified persons, unexperienced new-comers, lack of guidelines and reduced motivation, evidence-based, transparent and participatory policymaking practices are not fully in place.</t>
  </si>
  <si>
    <t>According to the Article 109. „Basic Principles of Local Public Administration”, „(1) Public administration within the administrative-territorial units shall be based on the principles of local autonomy, decentralization of public services, eligibility of the local public administration authorities and consultation of citizens on local problems of special interest. (2) The concept of autonomy shall encompass both the organization and functioning of the local public administration, as well as the management of the communities represented by that administration”.</t>
  </si>
  <si>
    <t xml:space="preserve">According to the Article 119. „Local Elections”, from the Electoral Code, „mayors of towns (municipalities), villages (communes) and councilors in district, town (municipal) and village (commune) councils shall be elected by a universal, equal, direct, secret and freely expressed vote, for a four year term, which begins from the date of conducting local general elections”. </t>
  </si>
  <si>
    <t>Competences and responsibilities of local authorities are prescribed in the Law on local public administration no.436 of 2006</t>
  </si>
  <si>
    <t>There is a provision in the Law on local public administration no.436 of 2006 according to which central public authorities should consult representative associations of local authorities on the issues regarding local public administration. At the same time, according to the Law on decentralization no. 436 of 2006, local public authorities should be consulted in the process of drafting, approval and amendment of laws and normative acts regarding organizations and functioning of local public administration. But, according to the Congress of Local Authorities from Moldova, important decisions on reorganization of public administration from 2017 were not consulted with local authorities. In fact, there is no responsible institution/authority to enforce and to monitor the provision in the above mentioned laws regarding consultations of local public authorities.</t>
  </si>
  <si>
    <t>According to the Law on local public administration no.436 of 2006, local public authorities enjoy organizational autonomy, which according to the Law on decentralization no.435 of 2006 means that local public authorities have the right to approve internal administrative structures.</t>
  </si>
  <si>
    <t>According to the Law on local public administration no.436 of 2006, local public authorities draft, approve and manage autonomously the budgets of territorial-administrative units.</t>
  </si>
  <si>
    <t>According to the Law on local public administration no.436 of 2006, local public authorities are entitled to independently contract short-terms and long-terms loans from national and internationals financial institutions and creditors</t>
  </si>
  <si>
    <t>The list of all possible local taxes is prescribed by the Fiscal Code and local authorities could decide to apply or not, fully or partially, already prescribed taxes, but local authorities do not have the mandate to establish new types of taxes.</t>
  </si>
  <si>
    <t>There are no such provisions in the legislation.</t>
  </si>
  <si>
    <t>There are no such requirements in the legislation and at the same time there is no evidences of such practices, even voluntarily.</t>
  </si>
  <si>
    <t>There is a page dedicated to open government only for the authorities at the central level, but no such a page for local authorities. Even the action plan on open government for 2016-2018 does not include any action that would introduce open government principles at the local level.</t>
  </si>
  <si>
    <t xml:space="preserve">According to the Law on local public administration no.436 of 2006, meetings of public authorities are public and local authorities should publish agenda of the meetings on „various means”. But there are no specific requirements regarding minimum number of days the agenda should be published before the meeting, where the agenda should be published (according to existing provisions it could be just printed and posted on the board in the mayoralty) and there are no requirements to publish meeting materials. Accordingly, some local authorities publish usually just the agenda on their meetings on the web pages of their locality. </t>
  </si>
  <si>
    <t>According to the Law on transparency in decision-making process no.239 of 2008, local public authorities must follow the provisions of the law in order to ensure transparency and to organize public consultations in their decision-making process.</t>
  </si>
  <si>
    <t>The Law on public function and civil servants’ status no. 158 was approved in 2008 and entered into force in January 2009</t>
  </si>
  <si>
    <t>The law on public function and civil servants' status provide a classification of civil servants, but the law does not contain  provisions regarding civil servants with special status, which are regulated by special laws. First, the law does not apply to the Parliament or to some regulatory agencies that are subordinated to the Government. Second, some employees which execute public powers (such as issuing national identity cards, passports, driving licenses, and land registry titles) are outside the civil service.</t>
  </si>
  <si>
    <t>The Code of conduct, approved by the Law no.25 was approved in 2008 and entered into force in January 2009. A special chapter on integrity was introduced in 2016.</t>
  </si>
  <si>
    <t>According to the articles 28 of the Law  on public function and civil servants’ status, civil servants are hired based on competition.</t>
  </si>
  <si>
    <t>According to the articles 24 of the Law  on public function and civil servants’ status, civil servants are obliged to present annually the declaration of revenues and declaration of personal interests. At the same time, according to the Law on conflict of interests no.16 of 2008 and Code of conduct, civil servants should disclose conflict of interest in three days from the moment when it was detected.</t>
  </si>
  <si>
    <t xml:space="preserve">There are clear provisions in the Law no.16 of 15.02.2008  on conflict of interests, under a dedicated chapter on addressing conflicts of interest. </t>
  </si>
  <si>
    <t>In general, the State Chancellery was drafting annually reports on public functions and civil servants' status, containing information on service policy and overall performance assessment, even if there are no express requirements. But for 2017 such an report was not drafted, mainly due to lack of institutional memory on this subject.</t>
  </si>
  <si>
    <t>According to the articles 18 of the Law  on public function and civil servants’ status, civil servants have the right to freely access their personal folder and any personal information included in civil service register.</t>
  </si>
  <si>
    <t>Law no.133 of 08.07.2011 on personal data protection</t>
  </si>
  <si>
    <t>Formally, according to the law 158/2008 on public service the public servant enjoys stability in function, but it allows for subjective dismissals. After new national elections when top dignitaries are changing, some civil servants are forced by different means to resign and to free the job for other persons. This is especially the case when civil servants are politically hired, even if formally based on competition.</t>
  </si>
  <si>
    <t xml:space="preserve">According to its regulation, the State Chancellery is responsible for promoting and implementing civil service policies. </t>
  </si>
  <si>
    <t xml:space="preserve">After the reorganization of the State Chancellery in 2016, the division which was previously responsible only for civil service  merged with other divsions and have reorganized since several times. At the moment, there is Public Administration Division, which formally is responsible for civil service. But there remained no institutional memory and accordingly sufficient authority to ensure that human resources policies are adopted and complied with. Compared to the team before 2016, including head of division, which had extensive experience in civil service reform, the new one has no experience in civil service policies. At the same time,  the division has the responsibility to coordinate not only civil service policies, but the all processes linked to the public administration activity, at both central and local level. </t>
  </si>
  <si>
    <t>Formally, according to its regulation, the State Chancellery is responsible for promoting and implementing civil service policies. At the same time, according to the Government Decision no 201/2009 on implementation of the Law on public functions and civil servants' status, the State Chancellery is responsible to provide methodological support and oversight of the implementation of the law.</t>
  </si>
  <si>
    <t>Planning and need assessment is done at the level of each individual public entity.</t>
  </si>
  <si>
    <t>Automated Informational System “Public Functions and Civil Services Register” was developed in 2011-2014, but at the moment is implemented not in all central public authorities. According to the Public Administration Reform Strategy, the system has to be developed and extended; new functionalities, including the improvement of reporting standards and adding analysis and data processing instruments should be developed. Interoperability of the Public Functions and Civil Services Register with relevant components of other systems, especially regarding the remuneration of civil servants.</t>
  </si>
  <si>
    <t>According to Government Decision 1022/2013 on administration of government portal of public functions for which public competition is organised, the portal cariere.gov.md was launched and authorities have the responsibility to advertise publicly on it all vacancies.</t>
  </si>
  <si>
    <t>The recruitment process in described in the Regulation no. 201 on the employment in the civil service through competition from 11.03.2009. Sometimes preferred candidates are employed based on recommendation and not performance during the interview. Recruitment committees have no external participants. They include only members of the hiring authority and are chaired by the deputy manager, who has hierarchical authority over the other committee members. In addition, there are no safeguards to prevent leakage of the written test or interview questions. These are sources of distrust in the recruitment process. The legislation does not foresee internal appeal procedures related to recruitment or dismissal. Dissatisfied candidates must take their dispute to the administrative court.</t>
  </si>
  <si>
    <t>Job descriptions are prepared and utilized according to the Government decision no. 201 on the implementation of the Law on public function and civil servants status from  11.03.2009, annex nr.3.</t>
  </si>
  <si>
    <t>Recruitment committees have no external participants. They include only members of the hiring authority and are chaired by the deputy manager, who has hierarchical authority over the other committee members. Thus, the process sometimes is formal.</t>
  </si>
  <si>
    <t>Formal procedures for the  recruitment of the civil servants are prescribed by the law on public servants, but there is no responsible authority to ensure consistent practices across all public authorities.</t>
  </si>
  <si>
    <t>Performance appraisal of civil servants takes place once in a year, according to the Law 158/2008 on civil service.</t>
  </si>
  <si>
    <t>There is a unified appraisal system regulated by the Government Decision 201/2009, followed by a detailed guide.</t>
  </si>
  <si>
    <t xml:space="preserve"> The legal basis is the law 158/2008 on public function and civil servants’ status.</t>
  </si>
  <si>
    <t>Although this is stipulated in the law on public function and civil service status, promotion decision are made arbitrary. Due to the inflation of “good” or “very good” ratings,  performance appraisal does not play an important role in promotions.</t>
  </si>
  <si>
    <t>There is no responsible authority to ensure consistent practices across all public authorities.</t>
  </si>
  <si>
    <t>There is a very detailed regulation on disciplinary commission in the Government Decision no201/2009 on implementation of the Law on public functions and civil servants' status, which ensure transparent procedures, but it is rarely applied.</t>
  </si>
  <si>
    <t xml:space="preserve">The Government approves on yearly bases professional development plans for civil servants, trainings being provided by the Academy of Public Administration under the State Chancellery. At the same time, there are many on-job training and  specialized courses organized with the support of donors. </t>
  </si>
  <si>
    <t>New provision on senior civil servants were introduced in the Law 158 on public service, but still there is much room for discretion in the selection and appointment of senior civil servants given the fact that process is not fully transparent and does not involve third parties. The evidence is that after the reform of the Government in 2017, the majority of deputy ministers, which were previously appointed politically, were selected as state secretaries, which is now senior civil servant position. Usually senior civil servants are hired and leave the ministry together with the minister.</t>
  </si>
  <si>
    <t>Surveys on citizens' satisfaction with public services are organized by the E-Government Centre, but not systematically, rather in the framework of the World Bank project on public services modernization. In 2017 two surveys were organized - in September and in October, but mainly to check the perception toward the products of the E-Government Center. At the same time, at the moment, MiLAB (Moldovan Innovation Lab), an E-Government Center and UNDP project, is developing and piloting tools to evaluate the citizens'' satisfaction with public services, but is still not intensively used.</t>
  </si>
  <si>
    <t>The results of E-Gov Center surveys are used in planning activities within the framework of projects. The results of MiLab surveys are used to improve the evaluation tool, which is going to be widely implemented.</t>
  </si>
  <si>
    <t>But there is a provision in the Public Administration Reform Strategy to adapt and use on permanent basis the Common Assessment Framework.</t>
  </si>
  <si>
    <t>They usually could complaint to the service provider, although there are no legal provisions on this.</t>
  </si>
  <si>
    <t>They are assessed by service providers.</t>
  </si>
  <si>
    <t>yes, the Ministry of Economy, legal framework provided by the Government Decision  1678/2002 (approving the Regulation  of the Investigative Body of Anti-Dumping, Compensatory and Safeguard Measures) and  GD 1324/2002 (on setting up  the Investigative Body for anti-dumping, relief and safeguard measures). YES or 1. Moldova has a national authority for dumping investigation.  GD 1324/2002  - on setting up  the Investigative Body for anti-dumping, relief and safeguard measures  - http://lex.justice.md/index.php?action=view&amp;view=doc&amp;lang=1&amp;id=298806; http://lex.justice.md/index.php?action=view&amp;view=doc&amp;lang=1&amp;id=299788</t>
  </si>
  <si>
    <t>Yes, as full member of the WTO</t>
  </si>
  <si>
    <t>Yes, as member of ISO</t>
  </si>
  <si>
    <t>Yes, article 4 of Law on National Standardization - http://lex.justice.md/md/364089/</t>
  </si>
  <si>
    <t>Standardization in figures (11.06.2018) 27 972 - Total national standards; 20206- European standards taken over; 3182-International standards taken over</t>
  </si>
  <si>
    <t>No, is forseen for 2022</t>
  </si>
  <si>
    <t>Yes, MOLDAC (former CAECP), National Center of Accreditation of the republic of Moldova is an associate member to EA  -  http://www.european-accreditation.org/ea-members#2</t>
  </si>
  <si>
    <t>Activities: 1-Calibration, 2-Testing, 3-Product certification, 4-Management Systems Certification, 5- Inspection</t>
  </si>
  <si>
    <t>CEN CSB status</t>
  </si>
  <si>
    <t>CENELEC CSBs,  Companion Standardization Body (CSB) status of ISM</t>
  </si>
  <si>
    <t>1 institution -  ISM, as observer</t>
  </si>
  <si>
    <t xml:space="preserve">Yes  and NO - The Moldovan legislation stipulates that the economic agent is responsible for product safety and compliance with the HACCP principles and the elaboration of a HACCP plan (Government Decision no 412 of 25.05.2010) but, at the same time stipulates that the rules are facultative ( not mandatory), meanting that is not required to implement the HACCP system. At the same time, the law says - the economic operator  must follow the HACCP rules and recomendations, but the law does not stipulate any penalities. </t>
  </si>
  <si>
    <t>Government decision 412 asof 25.05.2010</t>
  </si>
  <si>
    <t>4- honey, eggs, ice-cream, aqua-culture, poultry</t>
  </si>
  <si>
    <t>1 - honey</t>
  </si>
  <si>
    <t>2 - fur, leather</t>
  </si>
  <si>
    <t>https://www.cia.md/eng/about/about_cia</t>
  </si>
  <si>
    <t>HG 59 -  07.02.2017 -  http://lex.justice.md/index.php?action=view&amp;view=doc&amp;lang=1&amp;id=368828</t>
  </si>
  <si>
    <t>Yes, Moldova is acceeded to WTO FTA</t>
  </si>
  <si>
    <t>Yes, Risk management is applied, but the physical control is increasingly for transit and export procedure, not for IMPORT</t>
  </si>
  <si>
    <t>Yes, only red, green, yellow, NOT BLUE</t>
  </si>
  <si>
    <t xml:space="preserve">http://www.registru.md/ro/buletin-de-indentitate-electronic/informatii-generale; https://stisc.gov.md/servicii/semnatura-electronica </t>
  </si>
  <si>
    <t>The National Commission for Financial Markets is the independent body of central public administration reporting to the Parliament, which regulates and authorizes the activity of professional participants on non-banking financial market and supervises observance of legislation. http://lex.justice.md/index.php?action=view&amp;view=doc&amp;lang=1&amp;id=311627 ; www.cnpf.md/en/about/</t>
  </si>
  <si>
    <t xml:space="preserve">The National Bank of Moldova is an autonomous public legal entity, but is responsible to the Parliament ( http://bnm.md/en/content/law-national-bank-moldova-no548-xiii-july-21-1995) as well as the New Law on Banking Activity no 202 from  06.10.2017 - http://lex.justice.md/md/373267/ establish that National Bank of Moldova is the competent body for the banking activities, as well as the supervisiory role for banking services. see Chapter 2. POWERS OF THE COMPETENT AUTHORITY. </t>
  </si>
  <si>
    <t xml:space="preserve">http://lex.justice.md/index.php?action=view&amp;view=doc&amp;lang=1&amp;id=338267,  http://lex.justice.md/document_rom.php?id=8A72DED2:D810E610 </t>
  </si>
  <si>
    <t xml:space="preserve">A new strategy for the development of the non-banking financial market for the years 2018-2022 and the Action Plan for its implementation were approved on 13 of July, 2018 ( https://noi.md/economie/a-fost-aprobata-strategia-development-a-piece-financial-nebancare-pe-anii-2018-2022A new strategy on ) </t>
  </si>
  <si>
    <t>Yes, a foreign person, can not buy any type of land</t>
  </si>
  <si>
    <t xml:space="preserve">yes, Administratively 10 000 euro can be introduced without declaration, more can be done based on customs declaration </t>
  </si>
  <si>
    <t>yes, http://www.agepi.md/sites/default/files/bopi/ra_2017.pdf#page=21</t>
  </si>
  <si>
    <t xml:space="preserve">no -Taking into account the perception of the population about the efficiency of the justice in Moldova. </t>
  </si>
  <si>
    <t>Though Moldova obtained the visa-free regime in April 2014, it has to ensure a further fulfillment of the requirements envisaged by Visa Liberalization Action Plan of December 2010. According to the new suspension mechanism (Regulation (EU) 2017/371 amending the Council Regulation (EC) No 539/2001) , the failure to implement one or more benchmarks can trigger the reintroduction of visa regime for some categories of citizens and ultimately for all citizens. In the 4rd year of visa liberalization, 1 469 917 Moldovan citizens holders of biometric passports travelled to Schengen zone.  http://eur-lex.europa.eu/legal-content/EN/TXT/?uri=CELEX:32017R0371 http://border.gov.md/index.php/ro/4093-in-ultimii-patru-ani-circa-1-5-mln-de-moldoveni-au-mers-fara-viza-in-ue</t>
  </si>
  <si>
    <t xml:space="preserve">There is no separate individual document apart from the benchmarks included in the Visa Liberalization Action Plan of December 2010. No national mechanism of co-ordination is in place as the EU monitors the implementation of the benchmarks of the Action Plan. The new Association Agenda for 2017-2019, which includes the priorities related to Association Agreement implementation, reflects the visa-free regime as well. It foresees that if EU has justified concerns about specific benchmarks, it can request relevant information from the Moldovan authorities. On december 20 2017 European Commission reporting on the continuous fulfilment of the visa liberalisation benchmarks by the  Eastern Partnership countries (Georgiam Moldova and Ukraine). The report shows that, whilst the visa liberalisation requirements for the countries concerned continue to be fulfilled, action is required in a number of specific areas to preserve their sustainable implementation.  https://ec.europa.eu/home-affairs/sites/homeaffairs/files/what-is-new/news/20171220_first_report_under_suspension_mechanism_en.pdf https://ec.europa.eu/home-affairs/sites/homeaffairs/files/what-is-new/news/20171220_swd_accompanying_first_report_under_suspension_mechanism_en.pdf </t>
  </si>
  <si>
    <t xml:space="preserve">The visa facilitation regime remains in place, based on the bilateral Visa Facilitation Agreement , signed in October 2007 . Actually, it regulates the situation of those citizens who still use non-biometric passports and need visa to travel to EU.  http://visa-free-europe.eu/wp-content/uploads/2012/03/EU-Moldova-Agreement.pdf http://europa.eu/rapid/press-release_IP-07-1478_en.htm?locale=en </t>
  </si>
  <si>
    <t xml:space="preserve">Moldova has adopted a Law on data protection in July 2011 that entered into force in 2012.  However, the representatives of the civil society underscore that a number of state authorities commit abuses refusing to enforce properly the provisions on access to information . The most criticized institutions are the Ministry of Justice (the cases audited in the courts), General Prosecutor Office, National Integrity Authority, Ministry of Internal Affairs, and the Presidency Office. This list also include various state owned enterprises such as Moldtelecom (TIC), Metalferos (scrap metal), PI “Public Services Agency” (identification documents), Posta Moldovei (postal service), MoldovaGaz (gas sector). All these entities face criticism for refusing to offer information of public interests by invoking the personal data protection. According to the Association Agenda for 2017-2019, Moldovan authorities agree to advance the approximation with EU legislation in the field, in particular with the Regulation 2016/679 on General Data Protection Regulation. http://lex.justice.md/md/340495/ http://www.datepersonale.md/md/newslst/1211/1/28075/ In order to fulfill the commitments undertaken by Moldova in relation to the EU and the recognition of an adequate level of protection of personal data in Moldova, the National Center for Personal Data Protection elaborated the draft amending and completing the Law no. 133 on the protection of personal data and the draft law on the National Center for the Protection of Personal Data of the Republic of Moldova. These documents will transpose the GDPR and Directive (EU) 2016/680 into national law. Both draft laws are to be submitted for approval to the Parliament of the Republic of Moldova. The Republic of Moldova has obtained observer status within the EU Article 29 Working Party (GL, Art. 29), announced at its meeting on 3-4 October 2017 of the GL Article 29. Starting with 2018, GL Article 29 will become the European Data Protection Board, which will have considerably more European powers and powers. The European Union Twinning Project was also launched "Strengthening the capacities of the National Center for Data Protection of the Republic of Moldova, which will contribute during the period 2017-2019 to the legislative harmonization in the field, institutional consolidation of NCPDP and to raise awareness of the principles of personal data protection. http://www.mfa.gov.md/img/docs/Raport-consolidat-implementarea-2017-PNA-AA-2017-2019.pdf  https://www.zdg.md/stiri/stiri-justitie/regulamentul-general-privind-protectia-datelor-cu-caracter-personal-a-intrat-in-vigoare   https://www.zdg.md/stiri/stiri-justitie/numele-inculpatilor-pentru-csj-transparenta-pentru-ministerul-justitiei-date-cu-caracter-personal https://www.zdg.md/stiri/stiri-justitie/avocatii-din-moldova-cer-ministrului-justitiei-sa-nu-se-ascunda-dupa-vesnic-actuala-sintagma-date-cu-caracter-personal https://www.zdg.md/stiri-vechi/date-cu-caracter-personal-accesate-ilegal-de-catre-inspectori-fiscali   </t>
  </si>
  <si>
    <t xml:space="preserve">According to Art. 19 of the Law on data protection, the National Centre for Personal Data Protection shall act in full conditions of impartiality and independence. </t>
  </si>
  <si>
    <t>The national legislation is in line with the requirements for issuing biometric passports.  An Action Plan dedicated to ensuring the issuing of biometric passports was implemented in 2010. http://lex.justice.md/md/311641/</t>
  </si>
  <si>
    <t xml:space="preserve"> Since 1 January 2011, Moldovan authorities is issuing only biometric passports, the documents issued before this date are available until their expiring. According to official data, the authorities issued more than 2.059.358 biometric passports, including  citizens from the Transnistrian region who hold biometric passports overpassed 144.128. http://www.mfa.gov.md/img/docs/Raport-consolidat-implementarea-2017-PNA-AA-2017-2019.pdf </t>
  </si>
  <si>
    <t xml:space="preserve">Moldova continues to implement the Readmission Agreement signed in 2007. Without this the visa-free regime would be impossible. This commitment is also envisaged in the Association Agenda for 2017-2019. On december 20 2017 European Commission reporting on the continuous fulfilment of the visa liberalisation benchmarks by the  Eastern Partnership countries (Georgiam Moldova and Ukraine). The report shows that, whilst the visa liberalisation requirements for the countries concerned continue to be fulfilled, action is required in a number of specific areas to preserve their sustainable implementation.  https://ec.europa.eu/home-affairs/sites/homeaffairs/files/what-is-new/news/20171220_first_report_under_suspension_mechanism_en.pdf https://ec.europa.eu/home-affairs/sites/homeaffairs/files/what-is-new/news/20171220_swd_accompanying_first_report_under_suspension_mechanism_en.pdf  </t>
  </si>
  <si>
    <t xml:space="preserve">The Bureau for migration and asylum is in charge with migration management. According to the Association Agenda for 2017-2019, it still requires further strengthening of the legal framework, reception conditions, capacities at the local level for combating illegal stay, and overall improvement of the infrastructure. In July 2018 MIA of the Republic of Moldovalaunched public consultations on the draft of the Government Decision on Creating the General Inspectorate for Immigration and The Commission for the Coordination of Migration and Asylum Activities. http://particip.gov.md/proiectview.php?l=ro&amp;idd=5497 http://particip.gov.md/proiectview.php?l=ro&amp;idd=5498 </t>
  </si>
  <si>
    <t xml:space="preserve">Moldova has a National Strategy on Migration and Asylum 2011–2020. The Strategy aims at developing inter-sectorial policies in the areas of legal migration, asylum system, irregular migration, integrated border management, visa policy, observance of human rights and freedoms, etc., and acknowledges the need to correlate migration management with the economic, political, and social policies. Document that would regulate the migration. In June 2016 the Action Plan for 2016-20120 was approved. </t>
  </si>
  <si>
    <t>Moldova adopted a comprehensive law on asylum in 2008.  http://lex.justice.md/md/330978/</t>
  </si>
  <si>
    <t>Moldova has joined them in 2001.  The law on asylum of 2008 contains a number of relevant procedures. http://lex.justice.md/md/330978/</t>
  </si>
  <si>
    <t xml:space="preserve">The law on asylum contains provisions on the status of refugees. http://lex.justice.md/md/330978/ </t>
  </si>
  <si>
    <t>Partially. The migration profile is partially  updated.. Since 2005, the authorities drafted three reports, the latest one covered the period 2010-2015. In january BMA published Statistical Compendium of the Extended Migration Profile of the Republic of Moldova for the years 2014-2016 http://bma.gov.md/ro/content/compendiul-statistic-al-profilului-migra%C8%9Bional-extins-al-republicii-moldova-pentru-anii-0  http://bma.gov.md/ro/content/fost-elaborat-raportul-analitic-%E2%80%9Dprofilul-migra%C8%9Bional-extins-al-republicii-moldova-anii-2010</t>
  </si>
  <si>
    <t>Three new integration centers for immigrants were opened in 2017 (Gov. Dec.  553 as of 12.07.2017,  http://lex.justice.md/md/370931/) in the northern, central and southern parts of the country (Chisinau, Balti and Cahul). Centers provide counseling and assistance services to migrants. No serious complaints about the quality of the existing infrastructure were raised. However, according to Association Agenda 2017-2019, the authorities are requested to improve the reception conditions. Has strengthened the normative act and operationalized integration centers for foreigners; in particular, the actions of the AA were carried out on:
- documentation of aliens and reception conditions for asylum seekers (http://lex.justice.md/md/370670/).
- Effective management of the Accommodation Center.
- Implementation of the European Asylum Curriculum.
- Operationalization of integration centers for foreigners (http://lex.justice.md/md/370931/ ).
- Elaboration of tools for evaluation and coordination of actions of state authorities
in situations of increased influx of migrants (http://lex.justice.md/index.php?action=view&amp;view=doc&amp;lang=1&amp;id=373691).</t>
  </si>
  <si>
    <t xml:space="preserve">Moldova has adopted a strategy on integrated border management (IBM) and an action plan for the period 2015-2017. on 27 October 2017 the results of the implementation of the National IBM strategy were presented at the conference with the development partners (DUE, EUBAM, ICMPD, OSCE, IOM, civil society) http://border.gov.md/index.php/en/3802-rezultatele-conceptului-mifs-adaptat-la-conceptul-european-modernizat     http://lex.justice.md/index.php?action=view&amp;view=doc&amp;lang=1&amp;id=355944 At the moment Moldova does not have a new approved IBM strategy. </t>
  </si>
  <si>
    <t>The strategy on IBM for 2015-2017 contains an action plan that describes the operational aspects of the cooperation and communication within the IBM entities.</t>
  </si>
  <si>
    <t xml:space="preserve">The Custom Code of 2000 foresees specific competences for the customs service in carrying out investigations that fall under the provisions of the Penal Code. In december 2017 Parliament adopte new Law of the Customs Service - nr. 302, and art. 8 confirm this comptencies. http://lex.justice.md/md/374504/ </t>
  </si>
  <si>
    <t xml:space="preserve">not significant developments compared to last year. Lengh of border with Romania - 684 km. Length of border with Ukraine is 1222 km. (http://www.border.gov.md/index.php/ro/politia-de-frontiera/despre-frontiera-de-stat).  Between 10 to 12 km on the perimeter of Transnistrian region are to be demarcated. Even if the demarcation on Ukrainian border was planned to be finished in 2017,  the process continued in 2018 too.  Overall, 99% of the border demarcation is completed.  http://www.mfa.gov.md/img/docs/Raport-consolidat-implementarea-2017-PNA-AA-2017-2019.pdf . </t>
  </si>
  <si>
    <t xml:space="preserve">However, the Moldovan and Romania authorities announced the beginning of the negotiations for installing common control at border on April 2017. Bit, in January 2018, the Romanian authorities informed the Moldovan authorities about the impossibility of organizing joint control. With Ukraine, the joint control is organized in 6 BCPs (one on the Pervomaisk - Cuciurgan) and it is planned to organize joint control in 2 BCP on the Transnistrian segment (Novosavitscaia-Cuciurgan and Goianul Nou - Platonovo) by the end of this year. New Ukraine-Moldova joint border control agreement  entered into force in mai 2018 http://www.moldova.org/en/ukraine-moldova-joint-border-control-agreement-promulgated-poroshenko-new-transport-agreement-signed/ </t>
  </si>
  <si>
    <t xml:space="preserve"> Law of the Republic of Moldova No. 15-XV of February 17, 2005 “On Ratifying the United Nations Convention against Transnational Organized Crime”. However, Moldova acknowledged that it is unable to ensure the full implementation of provisions until the full establishment of the territorial integrity of the country.</t>
  </si>
  <si>
    <t>Law of the Republic of Moldova No. 17-XV of February 17, 2005 “On Ratifying the Protocol to Prevent, Suppress, and Punish Trafficking in Persons, especially Women and Children, supplemented the United Nations Convention against Transnational Organized Crime”. However, Moldova acknowledged that it is unable to ensure the full implementation of provisions until the full establishment of the territorial integrity of the country</t>
  </si>
  <si>
    <t>Moldova has extended in 2017 the Strategy on fighting organized crime implemented during 2011-2016 for three more years until 2019.  On January 2018 Government adopt a action Plan for implementation of this strategy for 2018-2019 http://lex.justice.md/index.php?action=view&amp;view=doc&amp;lang=1&amp;id=370203 http://lex.justice.md/index.php?action=view&amp;view=doc&amp;lang=1&amp;id=374070 http://www.moldova.md/ro/content/strategia-nationala-de-prevenire-si-combatere-crimei-organizate-fost-extinsa-pentru-anii</t>
  </si>
  <si>
    <t>On December 22 2017 Parliament of the Republic of Moldova adopted a new law on preventing and combating money laundering and financing terrorism http://lex.justice.md/index.php?action=view&amp;view=doc&amp;lang=1&amp;id=374388.  Moldova adopted laws to reinforce the institutional
framework for the money laundering. However, the implementation is seriously lagging behind. There remain concerns
regarding political influence on the fight against corruption and money laundering. Attempts
to undermine the anti-corruption framework (such as the so-called "capital liberalisation law", „citizenship for money” 
and the so-called "business package" aiming inter alia at changing the institutional set-up of
anti-corruption bodies) have a negative effect on the credibility of the political will to fight
corruption. While the set-up of an asset recovery office was envisaged in the last visa liberalisation report, the office was only established in 2017 and its scope remains currently limited to cases of corruption and money laundering.</t>
  </si>
  <si>
    <t xml:space="preserve"> The Council of Europe monitors Convention’s implementation by Moldova. https://www.coe.int/en/web/conventions/full-list/-/conventions/treaty/198/signatures?p_auth=BwbRc7TO </t>
  </si>
  <si>
    <t>Law of the Republic of Moldova No. 67-XVI of March 30 2006 “On Ratifying the Council of Europe Convention on Action against Trafficking in Human Beings”</t>
  </si>
  <si>
    <t xml:space="preserve">On March 16, 2018 Parliament adopt a provisions for modification and complectation of the Law on combating trafficking in human beings  in order to development of the National Referral Mechanism (chapter III). On May 30, 2018, National Committee for Combating Trafficking in Human Beings published National Report on the Implementation of the Policy for Preventing and Combating Trafficking in Human Beings in 2017   http://lex.justice.md/index.php?action=view&amp;view=doc&amp;lang=1&amp;id=375030 http://antitrafic.gov.md/public/files/Raportul_Naional_2017_Eng.pdf Case Referral within the NRS at Different Levels http://www.antitrafic.gov.md/pageview.php?l=en&amp;idc=24&amp;t=/National-Referral-System/The-Case-Referral-within-the-NRS&amp;#idc=25&amp; 
 </t>
  </si>
  <si>
    <t xml:space="preserve">TIER 2 https://www.state.gov/documents/organization/282798.pdf </t>
  </si>
  <si>
    <t xml:space="preserve"> A national anti-drug strategy for 2011-2018 is in place.  See http://lex.justice.md/index.php?action=view&amp;view=doc&amp;lang=1&amp;id=337243</t>
  </si>
  <si>
    <t>The transparency rules are applied only to those decisions that do not humper certain political or financial driven interest of some high ranked persons</t>
  </si>
  <si>
    <t>Loan and grant agreements signed and ratified by the Government.</t>
  </si>
  <si>
    <t xml:space="preserve">Construction works should be started by TransGaz (Ro). Deadline postponed several times. </t>
  </si>
  <si>
    <t>The Law on Energy Efficiency Law No. 142 as of 02.07.2010, transposes the 3rd Directive on energy services</t>
  </si>
  <si>
    <t>Central public administration develops National Program on Energy Efficiency (2011-2020)- http://lex.justice.md/index.php?action=view&amp;view=doc&amp;lang=1&amp;id=340940 and Action Plan (2016-2018) - http://lex.justice.md/index.php?action=view&amp;view=doc&amp;lang=1&amp;id=369635. EE Projects for public buildings/street illumination/etc are developed by LPA or buildings administration.</t>
  </si>
  <si>
    <t>Energy Efficiency Fund</t>
  </si>
  <si>
    <t>The Environmental Strategy and Action Plan 2014-2023  was aproved by Government on 24.04.2014 (http://lex.justice.md/index.php?action=view&amp;view=doc&amp;lang=1&amp;id=352740)</t>
  </si>
  <si>
    <t>The development of the strategy started in 2011 with the support of UNDP Moldova office and it there was organised a series of consultation events/meetings with various target groups</t>
  </si>
  <si>
    <t>It was published on the web page of the Ministry of Environment</t>
  </si>
  <si>
    <t>In the announcement always is communicate the deadlines for receiving the comments</t>
  </si>
  <si>
    <t>Even it was recommended for many times by civil society always to publish the comparabe table, the public authorities still do not do this</t>
  </si>
  <si>
    <t xml:space="preserve">Some objectives are general, with very vague description and difficult to measure </t>
  </si>
  <si>
    <t xml:space="preserve">In 2017 there was in place a big reform of the Central public authorities of the Republic of Moldova. also the refrom was a planned one, it was unexpectedly dastic. Thus, the Ministry of Environment was merged together with Ministry of Regional Development and Ministry of Agriculture. This reform was strongly criticized by civil society organizations. There was issued a statement regarding the Government decision about merging the Ministry of Environment with Ministry of Agriculture - http://environment.md/en/info/222-.html. This issue was pointed out in the Joint statement of EU-MD Civil Society Platform for the monitoring of Association Agreement. </t>
  </si>
  <si>
    <t xml:space="preserve">The reform of Central public authorities includes also the reform of competent institutions which takes place during the 2018. Thus, there is in place a big reform of Ecological Inspectorate, State Hydrometereological Service, Agency ”Moldova Waters”, etc. In the framework of this reform, in 2018, there was created the Ecological Agency. </t>
  </si>
  <si>
    <t>Partually. There is mentioned that there should be included a person responsable for environmental aspects within local public authorities, but there are no description about the responsabilities of this position. The Strategy is for the period of 2014-2023. This point wasn't implemented till now and there are weak hopes that it will be implemented further.</t>
  </si>
  <si>
    <t>Partially. The Action Plan include a section of sources of financing, but nothing about human resources</t>
  </si>
  <si>
    <t>the Court of Accounts has issued in 2017 a reort on the audit of the air quality, requesting the Government to develop and approve  a national plan on ensuring the air quality, http://lex.justice.md/index.php?action=view&amp;view=doc&amp;lang=1&amp;id=373833.</t>
  </si>
  <si>
    <t>There is a Water supply and sanitation strategy for 2014-2028 in place (http://lex.justice.md/md/352311/). Also, there was aproved by the Government Management plan for Dniester River Basin (http://lex.justice.md/index.php?action=view&amp;view=doc&amp;lang=1&amp;id=371992) and the Managment Plan for Prut-Danube and Black Sea Basin is in the proccess of aproval by the Government</t>
  </si>
  <si>
    <t>There is Waste management strategy for 2013-2027 in place - http://lex.justice.md/viewdoc.php?action=view&amp;view=doc&amp;id=347341&amp;lang=1</t>
  </si>
  <si>
    <t>There is a Strategy for protection of  biodeversity for 2015-2020 - http://lex.justice.md/index.php?action=view&amp;view=doc&amp;lang=1&amp;id=358781</t>
  </si>
  <si>
    <t>It is in force from 02.03.2017 - http://lex.justice.md/index.php?action=view&amp;view=doc&amp;lang=1&amp;id=369732</t>
  </si>
  <si>
    <t>There is a Climate Change Office, created by Ministry of Environment,  that is working like a project implementation unit - http://adapt.clima.md/index.php?l=en</t>
  </si>
  <si>
    <t>The only Moldovan rail operator is still state-owned and integrated. In 2017 the Government adopted the Road map for sector restructuring. A new railway code is underway.</t>
  </si>
  <si>
    <t>State-owned entities are not present in road refurbishment projects, while road maintenance is fully done by state-owned enterprises.</t>
  </si>
  <si>
    <t>The biggest port, Free International Port of Giurgiulesti is a concession. The state controls a smaller port nearby. There are no legal restrictions for private parties to initiate other port infrastructure operations.</t>
  </si>
  <si>
    <t xml:space="preserve">For the time being, the state-owned CFM is the only operator. Changes are expected in the forthcoming couple of years </t>
  </si>
  <si>
    <t>Private entities are actively involved in road construction or refurbishment, while road maintenance is performed exclusively by state-owned contractors.</t>
  </si>
  <si>
    <t>Technically, there are no restrictions. Private operators may offer support services and are free in their transport operations.</t>
  </si>
  <si>
    <t>Technically, there are no restrictions. Factually, there are documented cases of abuse of dominant position with the implication of the state, eg Moldavian Ground Handling - Aviainvest case. https://www.mold-street.com/?go=news&amp;n=4451</t>
  </si>
  <si>
    <t>State-owned CFM remains in charge of all railroad transport activities. Changes are expected with the adoption of a new railway code, expected in 2018, that will provide the legal basis for the initiation of unbundling of state monopoly in railway sector. Until then, infrastructure, transport operations and even safety oversight are concentrated within state entity CFM.</t>
  </si>
  <si>
    <t>Fully unbundled</t>
  </si>
  <si>
    <t>Changes are expected in 2018, with the adoption of the new railway code. Establishment of an independent Railway Agency is in the plans.</t>
  </si>
  <si>
    <t>National Road Transport Agency (ANTA) is independent and self-financed road transport regulator</t>
  </si>
  <si>
    <t>Girgiulesti Harbour Master is the independent regulator, now in process of transformation into Naval Agency</t>
  </si>
  <si>
    <t>Civil Aviation Authority is the independent and self-financed regulator.</t>
  </si>
  <si>
    <t>CFM remains in charge of investigation of its accidents</t>
  </si>
  <si>
    <t>Accidents are investigated by police</t>
  </si>
  <si>
    <t>Giurgiulesti Harbor Master is the regulator and the investigator in waterborne transport</t>
  </si>
  <si>
    <t>Civil Aviation Authority is the regulator and the investigator.</t>
  </si>
  <si>
    <t>707.48, based on 2512 road accidents, http://politia.md/sites/default/files/nota_informativa_privind_situatia_accidentara_pentru_perioada_a_12_luni_2017.pdf</t>
  </si>
  <si>
    <t>Transport and Logistics Strategy for 2013-2022 https://collaboration.worldbank.org/content/usergenerated/asi/cloud/attachments/sites/collaboration-for-development/en/groups/eastern-partnership-transport-panel/documents/jcr:content/content/primary/blog/2013-2022_moldova-uADM/2013-2022%20%E2%80%93%20Moldova,%20Transport%20and%20Logistics%20Strategy%20(Gov.%20RoM).pdf</t>
  </si>
  <si>
    <t>There is a Programme for promotion of Green Economy and Action Plan, aproved by the Government - http://lex.justice.md/index.php?action=view&amp;view=doc&amp;lang=1&amp;id=374523. In 2017 the Programme was under development. It was aproved by the Government on 21.02.2018</t>
  </si>
  <si>
    <t>There is an interministerial working group on Green Economy - https://mei.gov.md/ro/content/economia-verde</t>
  </si>
  <si>
    <t>The school curricula (for primary, and for secondary and high schools) were revised in 2015, 2010 and 2006 respectively and a new mandatory civic education module was introduced which also incorporates environment related aspects. An optional module on ecological education for primary , secondary and hish schools was introduced in the school curricula in 2015.</t>
  </si>
  <si>
    <t xml:space="preserve">Only several universities and vocational schools offer Environmental studies program </t>
  </si>
  <si>
    <t>There is a Programme for promotion of Green Economy and Action Plan, aproved by the Government - http://lex.justice.md/index.php?action=view&amp;view=doc&amp;lang=1&amp;id=374523. The documents contain some stupulations regarding the sustainable public procurment policies. In 2017 the Programme was under development. It was aproved by the Government on 21.02.2018</t>
  </si>
  <si>
    <t>Source: National Bureau of Statistics - http://statbank.statistica.md/pxweb/pxweb/ro/60%20Statistica%20regionala/60%20Statistica%20regionala__01%20MED/MED060300reg.px/table/tableViewLayout1/?rxid=9a62a0d7-86c4-45da-b7e4-fecc26003802</t>
  </si>
  <si>
    <t>Source: WB data for 2014 - http://data.worldbank.org/indicator/EN.ATM.CO2E.PP.GD?locations=MD&amp;name_desc=false</t>
  </si>
  <si>
    <t>Total evacuated waste waters in 2017 - 667 mln. m3
Total partialy treated and poluted waste waters in 2017 - 552 mln. m3
Treated waste waters in 2017 - 115 mln. m3
Calculations: 552 / 667 * 100 = 82,76% - share of non-treated waste waters in total waste waters discharged
Source: National Bureau of Statistics - http://statbank.statistica.md/pxweb/pxweb/ro/10%20Mediul%20inconjurator/10%20Mediul%20inconjurator__MED020/MED020200.px/table/tableViewLayout1/?rxid=b2ff27d7-0b96-43c9-934b-42e1a2a9a774</t>
  </si>
  <si>
    <t>SO2 emissions in 2016 - 5,9 thousand tons
Population: 3550,9 thousand people
SO2 emissions per capita: 5900 / 3550,9 = 1,66 kg per capita
Source: National Bureau of Statistics - http://www.statistica.md/public/files/publicatii_electronice/Mediu/Resurse_naturale_2017.pdf, pag. 15-16</t>
  </si>
  <si>
    <t>NOx emissions in 2016 - 21,6 thousand tons
Population: 3550,9 thousand people
NOx emissions per capita: 21600 / 3550,9 = 6,08 kg per capita
Source: National Bureau of Statistics - http://www.statistica.md/public/files/publicatii_electronice/Mediu/Resurse_naturale_2017.pdf, pag. 15-16</t>
  </si>
  <si>
    <t>data according to evaluation made by  NGO ”BIOS”</t>
  </si>
  <si>
    <t>Source: National Bureau of Statistics - http://www.statistica.md/pageview.php?l=ro&amp;idc=315&amp;id=2279, data for 2016, table no 17</t>
  </si>
  <si>
    <t>source: National Bureau of Statistics - http://statbank.statistica.md/pxweb/pxweb/ro/10%20Mediul%20inconjurator/10%20Mediul%20inconjurator__MED050/MED050200.px/table/tableViewLayout1/?rxid=b2ff27d7-0b96-43c9-934b-42e1a2a9a774</t>
  </si>
  <si>
    <t>Source: Ministry of Environment</t>
  </si>
  <si>
    <t>The Education Code and the Education Strategy 2020 were adopted in July 2014, and entered in force in November 2014. http://lex.justice.md/md/355156/, and http://lex.justice.md/index.php?action=view&amp;view=doc&amp;lang=1&amp;id=355494. 
After adopting the new Code of Education, several changes have been introduced in higher education in Moldova, aimed at modernising the system and aligning it with European standards. These changes include the development of new university curricula or the organisation of the internal and external quality evaluation and monitoring system, by establishing the National Agency for Quality Assurance in Professional Education (ANACIP).
https://eacea.ec.europa.eu/sites/eacea-site/files/countryfiches_moldova_2017.pdf</t>
  </si>
  <si>
    <t xml:space="preserve">The transition to the three-cycle structure was completed in 2014, when the new Education Code was adopted, and doctoral studies was introduced as the third cycle. The process was initiated in 2005, when Republic of Moldova joined the Bologna Process and consequently in the same year the Law on Education was amended. As a result, a two-cycle system of higher education was introduced: the first cycle - the Licentiate (with duration of studies of 3-4 years) and a second cycle – the Master (1-2 years). </t>
  </si>
  <si>
    <t>In the Republic of Moldova the process of institutionalizing and using the ECTS began in 2000, with Moldova State University being chosen as a pilot institution. The compulsory implementation of the European Credit Transfer System by all higher education institutions started in 2005. In 2006 a Guide on the implementation of the Credit Transfer System was developed.  The Regulation of organisation of studies based on ECTS was issued as an order 726 by Ministry of Education, Culture and Research  in September 2010,
http://ase.md/files/documente/regulamente/regulament_ects.pdf.
The higher education institutions that receive or send students in academic mobility are also responsible of its management and of the validation of ECTS credits obtained by the students in the framework of academic mobility.</t>
  </si>
  <si>
    <t>In 2002, the Ministry of Education from the Republic of Moldova introduced DS. Currently DS is issued in the vast majority of study programmes automatically and free of charge, in the language of instruction and English, to every graduate of the Licentiate and Master Programmes. The Bachelor diploma is in Romanian and English, and includes a supplement of several pages, describing each discipline attended by the student during the studies. The diploma supplement indicates also the number of credits obtained in each subject.</t>
  </si>
  <si>
    <t xml:space="preserve">The draft document of National Qualifications Framework was developed back in 2016. On 23 November 2017, the Government approved it via the Decision No 1016 (http://lex.justice.md/index.php?action=view&amp;view=doc&amp;lang=1&amp;id=372759). On 1 December 2017, the document was published in Official Gazette and entered in force.  </t>
  </si>
  <si>
    <t>The NQF is structured in eight levels, which correspond to the levels envisaged by the European Qualification Framework. The main objectives are: ensure the cooperation between the education services market and labor market; upgrade the vocational training system; facilitate the labor force mobility and increase its competitiveness. Within 3 months of publication of the decision NQF (note late than February 2018), the Ministry of Education, Culture and Research should develop the necessary methodologies for the enforcement of its provisions (done), and within 6 months of publication (note late than May 2018) the National Register of Qualifications should be developed (pending).</t>
  </si>
  <si>
    <t>The reorganization and ending of activity for universities is proposed by the Senate and approved by the Government of the Republic of Moldova. Universities are governed by university senates and headed by rectors. There is not clear separation of powers and responsibilities between the management and governing units. The rectors are chosen on a competitive basis for a 5-year term by the General Assembly of teaching and research staff and by student representatives in the Senate and the faculty councils, voted by the majority of members, and approved by the founder/ Ministry of Education, Culture and Research. Universities have a relative autonomy regarding the establishment, reorganization, suspension of activity and liquidation of a Faculty. In all these cases, a positive consent of the Ministry of Education, Culture and Research is required.</t>
  </si>
  <si>
    <t>Universities have the right to organize, perform and improve the teaching and research, to define which specializations are to be offered, to develop curricula and analytical programs in conformity with the national educational standards, to organize admission and enroll students, recruit and promote the academic/non-academic staff, to set up evaluation criteria for academic and research activity, to award academic titles, to elect by vote the administrative and governing bodies, to solve social problems of students, to find additional sources of financing, to establish cooperation with universities, research centres and other institutions from the Republic of Moldova and from abroad. Universities could not decide on the number of both state and private subsidiesed student places that remains at the discretion of the Ministry of Education, Culture and Research.</t>
  </si>
  <si>
    <t xml:space="preserve">The public higher education system of the Republic of Moldova is funded primarily from state budget allocations. The funding of private higher education institutions is carried out from the sources of founders or study fees. Budget allocation depends on the so-called “state order(plan)” on the number of students per each education cycle and specialization (HD no. 983 as of 22.12.2012). Budgetary financing covers salaries, stipends, all procurements in order to ensure the educational and scientifical research processes. Public funds for scientific research are provided on a competition basis. The universities can also get donations and income from other related activities, such as: revenues obtained from provision of educational services for a fee or research and technological transfer activities; revenues obtained from commercialisation of goods manufactured in the process of education or from the lease of goods (spaces, equipment, lands); grants, sponsorship and donations, training, research activities, etc. Fees paid by students who study on a contract base constitute the most significant income of the universities. The state is the owner of premises used by public universities. </t>
  </si>
  <si>
    <t>Every five years all teaching positions are declared vacant and must be occupied on a competitive basis. The prerequisite needed to access these positions are set out in the appropriate regulation, approved by the Government (GD no. 854 as of 21.09.2010). Universities could only introduce supplementary selection criteria. After passing the selection procedure, a candidate can sign a contract for a 5-year period. The universities could also decide on promoting the teaching, scientific teaching and scientific staff and awarding teaching degrees etc. Nevertheless, HEIs are very limited in setting staff salaries and should comply the existing legal framework. A certain freedom exists in establishing incentive payments and awards.</t>
  </si>
  <si>
    <t xml:space="preserve">The Ministry of Education, Culture and Research sets a general framework regulation for admission, but universities could develop and apply their own admission methodology. The admission to the first cycle is based on the competition of average mark got in the national exams after the completion of the secondary education (Baccalaureate exams). Besides, the universities could introduce additional selection criteria or additional entrance examinations, depending on proposed specializations.  Admissions regulations provide some facilities for certain categories of disadvantaged candidates (up to 15 percent of the total number of candidates in the budget financing admission plan). A first university degree is required for admission to Master's program, but universities establish their own admission methodology. (source: https://mecc.gov.md/ro/content/admitere-2018) </t>
  </si>
  <si>
    <t>According to the National Bureau of Statistics, in 2016-2017, the number of foreign students enrolled in Moldovan higher education institutions was 3709, increased with 6.6% from previous academic year; and as compared to 74726 (Moldovan students, except foreign students). http://www.statistica.md/public/files/publicatii_electronice/Educatia/Educatia_RM_2017.pdf.</t>
  </si>
  <si>
    <t>The foreign students generally enjoy equal rights, except that the foreign students are charged double the amount of university tuition fees set  for domestic students and that according to universities' particular admission rules could be required to undergo either a Romanian/Russian language testing or a professional motivation assessment.</t>
  </si>
  <si>
    <t>A regulation on life-long learning was approved by the Governemnt decision no.193 as of  24.03.2017, http://lex.justice.md/md/369645/</t>
  </si>
  <si>
    <t xml:space="preserve">There is a policy document: Culture Development Strategy “Culture 2020” and a subsequent Action Plan adopted back in 2014. (https://mecc.gov.md/ro/content/strategia-de-dezvoltare-culturii-cultura-2020). </t>
  </si>
  <si>
    <t xml:space="preserve"> The report was published in 2001. Last country cultural policy updates were done in March 2015 (http://www.culturalpolicies.net/web/moldova.php). </t>
  </si>
  <si>
    <t xml:space="preserve">Ratified in 2006 (http://portal.unesco.org/en/ev.php-URL_ID=35028&amp;URL_DO=DO_TOPIC&amp;URL_SECTION=201.html). </t>
  </si>
  <si>
    <t>A centralized model of financing cultural producers is still applied.
The centralized model of funding was raised as one of the main challenge for Culture sector in the last report developed with the assistance of the EU-Eastern Partnership Culture and Creativity Programme (https://www.culturepartnership.eu/upload/editor/2017/Policy%20Briefs/180111%20Creative%20Industries%20Report%20for%20Moldova_upd.pdf). 
Numbers: in 2018, around 90 cultural projects will benefit from financing from the state budget, with a total budget MDL 4 million.</t>
  </si>
  <si>
    <t>The National Youth Development Strategy for 2014-2020 and an action plan for its implementations were approved in  2014. Government Decision no. 1006/10.12.2014. http://lex.justice.md/index.php?action=view&amp;view=doc&amp;lang=1&amp;id=356215</t>
  </si>
  <si>
    <t xml:space="preserve">There is a Research-Development Strategy of Moldova for 2015-2020, adopted back in 2014 (http://lex.justice.md/index.php?action=view&amp;view=doc&amp;lang=1&amp;id=356042), but this policy document lacks clear provisions on promoting national youth research. </t>
  </si>
  <si>
    <t xml:space="preserve">There is a legal framework regulating volunteering. Law on volunteering no.121 as of 18.06.2010 (http://lex.justice.md/index.php?action=view&amp;view=doc&amp;lang=1&amp;id=336054) and the Government Decision on implementing the Law on volunteering no.158 as of 12.03.2012 (http://lex.justice.md/index.php?action=view&amp;view=doc&amp;lang=1&amp;id=342471). </t>
  </si>
  <si>
    <t xml:space="preserve">The Labour Code contains some provisions on youth employment and work (art. 46, 62, 96, 100, 103, 105, 110, 111, 115, 116, 118 121, 152,253-25, 306, etc.), http://lex.justice.md/md/326757/ </t>
  </si>
  <si>
    <t>According to the National Bureau of Statitistics, http://www.statistica.md/category.php?l=en&amp;idc=191. The  increase as compared to 2016 is based on the new method for GDP calculation</t>
  </si>
  <si>
    <t xml:space="preserve">Yes, Under the Electoral Code (Article 51.15) the GNCC is in charge of conducting media monitoring and assessing media compliance with the allocation of free time, maintaining equal conditions for paid time and the balance in news programmes and talk shows. Assessment of GNCC's work for municiplity elections by OSCE/ODIHR was more positive than it was for the last reporting period. </t>
  </si>
  <si>
    <t xml:space="preserve">Not always. According to the OSCE/ODIHR Election Observation Mission Final Report "Allegations of misuse of administrative resources by the ruling party were raised by several interlocutors. The ODIHR EOM was able to verify some of them." </t>
  </si>
  <si>
    <t xml:space="preserve">No.  The current rules for Majoritarian election have significant shortfalls. The existing system unfairly distributes mandates and doesn’t guarantee the proportionality between a specific party’s received votes and seats in the Parliament/local self-governing bodies. </t>
  </si>
  <si>
    <t>Yes. According to OSCE/ODIHR Election Observation Final Report for 2017 Local Elections: "Election The State Audit Office (SAO), mandated to oversee campaign finance, worked in a professional manner. All candidates, including in the run-offs, were required to submit campaign finance reports. However, the absence of deadlines to examine financial reports and publish conclusions before election day reduced the transparency of campaign finance. The absence of expedited deadlines for the SAO to respond to complaints limited the effectiveness of its oversight." OSCE/ODIHR recommended: "to further enhance transparency and accountability, the SAO could publish campaign finance reports submitted by contestants, as well as the results and conclusions of its oversight in a timely manner, including prior to election day."</t>
  </si>
  <si>
    <t>Yes (source: https://monitoring.sao.ge/files/Cases-in-2017.pdf)</t>
  </si>
  <si>
    <t xml:space="preserve">Yes. Voter lists are posted at precincts and CEC website for public scrutiny with a time limit available for making changes. In case of incorrect information, a political party, member of election commission or an observer organisation could apply to the relevant electoral commission. If the request is not granted by the commission, an interested part could apply to the court. According to the OSCE/ODIHR Election Observation Mission Final Report on Local Elections "Stakeholders expressed a high level of confidence and trust in the accuracy of voter lists" https://www.osce.org/odihr/elections/georgia/373600?download=true </t>
  </si>
  <si>
    <t>Mostly yes. According to the OSCE/ODIHR Election Obervation Mission Report: "The recent removal of the requirement for candidates to have residency in Georgia in the two years preceding an election simplified eligibility requirements and positively impacted the inclusiveness of candidate registration. The law, however, still stipulates a five-year overall residency requirement, which is at odds with international good practice. Furthermore, the law provides that candidates who contest in the Tbilisi Sakrebulo elections must speak Georgian. No language provision applies in other municipal contests... To align candidate registration provisions with international commitments and good practice, the language requirement for candidates in the Tbilisi Sakrebulo elections and the overall five-year residency requirement should be lifted." (p.9) "Thirty eight political parties applied to the CEC, of which 36 were registered in an inclusive and transparent process and two were rejected for not meeting the requirements." (p.10) However, OSCE/ODIHR noted inequitable conditions for the collection of supporting signatures by candidates running independently and those nominated by parties (p.10).</t>
  </si>
  <si>
    <t xml:space="preserve">Mostly Yes. No significant problems were observed in this regard during last local elections. </t>
  </si>
  <si>
    <t>Partially. According to OSCE/ODIHR: "While the CEC generally enjoyed confidence among stakeholders, some opposition contestants questioned the transparency and impartiality of the DECs, especially in relation to the recruitment of PEC members, claiming that the review and shortlisting of applications were not done in public sessions." (p. 7)</t>
  </si>
  <si>
    <t xml:space="preserve">Partially. OSCE/ODIHR noted that in some instances," persons inside polling stations, in co-operation with authorized persons outside, were noting voter data from signed voter lists." (p. 3) "In a number of cases, most frequently observed in Tbilisi and noted in all the capital’s election districts, observers affiliated with parties or candidates were noting down ordinal numbers of voters from the signed voter list, often with the purpose of contacting voters who did not vote. In press statement issued on election day, the CEC clarified that PECs should provide representatives of contestants and citizen observers with this information, which is considered to be public. The CEC press statement was noted with concern by the Personal Data Protection Inspector", who stated that "“The observer has the right to observe voter registration on the voter lists. However, at the same time, it is crucial not to collect and further process the personal data with the aim of pressure on voters or for any other illegitimate purpose. The Personal Data Protection Inspector calls on political parties to process the personal data in accordance with the law.”" p. 24 </t>
  </si>
  <si>
    <t xml:space="preserve">Generally yes. Detailed regulations of voting, inking of voters, corrected voter lists, presence of observers at the polling stations serve as a deterrent for fraudulent voting. </t>
  </si>
  <si>
    <t xml:space="preserve">According to the OSCE/ODIHR: "In four per cent of observations, IEOM observers noted problems outside of polling stations. In some instances, groups of persons in the vicinity of polling stations appeared to be intimidating or pressuring voters or recording information of which voters had voted. Although voting in general was positively assessed in polling stations in minority populated areas, a few instances of voter intimidation and interference were observed." Indications of possible intimidation and pressure on voters was also observed during the second rounds of the elections. </t>
  </si>
  <si>
    <t xml:space="preserve">Yes. No instances of observer intimidation was noted during the last Local Elections. </t>
  </si>
  <si>
    <t>According to the OSCE/ODIHR Election Observation Mission Report on Local Elections: "Counting was evaluated negatively in 11 out of 71 polling stations observed. The negative assessments were typically related to PECs not following the procedures or interference in the process. Unauthorized individuals participated in counting in 10 polling stations observed, mainly party or candidate proxies and citizen observers. Tension and unrest in the vicinity of polling stations was observed in a few instances. Serious irregularities that negatively affected the assessment of the integrity and transparency of counting included PECs signing the results protocols before completing them (11 observations), PECs having difficulties in completing the results protocols (13 observations) and revision of the previously established results before entering them in the protocols (9 observations). In about a quarter of counts observed, PECs did not post a copy of the protocol for public display, as required by law. In every fifth polling station, unused ballots were not cancelled. IEOM observers, however, did not note any evidence of deliberate attempts to falsify the results."</t>
  </si>
  <si>
    <t>Serious irregularities that negatively affected the assessment of the integrity and transparency of counting included PECs signing the results protocols before completing them (11 observations), PECs having difficulties in completing the results protocols (13 observations) and revision of the previously established results before entering them in the protocols (9 observations). In about a quarter of counts observed, PECs did not post a copy of the protocol for public display, as required by law. In every fifth polling station, unused ballots were not cancelled. IEOM observers, however, did not note any evidence of deliberate attempts to falsify the results.</t>
  </si>
  <si>
    <t>According to amendments to the Electoral Code, during the last local elections, military servicemen did not vote in the military units, but in the nearest polling stations (Article 32.5/2 of the Election Code)</t>
  </si>
  <si>
    <t xml:space="preserve">According to the OSCE/ODIHR Election Obseration Mission Final Report on Local Elections: "The legal framework for electoral dispute resolution is complex and unnecessarily restrictive, including on the standing of complainants. Contestants and citizen observers filed some 970 complaints to DECs and 28 to the CEC following the first round election day. The review of complaints was mostly done in an open and collegial manner, with due process guarantees and legal deadlines generally respected. However, many complaints were dismissed on procedural grounds, some based on a formalistic interpretation of the law. This undermined the right to effective remedy and public confidence in the electoral dispute resolution system. The consideration of election-related cases by courts at times fell short of consistent application of the law." </t>
  </si>
  <si>
    <t>Mostly yes. According to the OSCE/ODIHR Election Observation Report for Local Elections: “fundamental freedoms were generally respected and candidates were able to campaign freely in the 21 October local elections. Efficient administration of the elections and accurate voter registration contributed to the quality of the process. The entire context of the elections was shaped by the dominance of the ruling party. There were cases of pressure on voters and candidates, as well as a few violent incidents. Although partisan, increasingly free and active media fostered greater political debate. Election day generally proceeded in an orderly manner, although minor procedural errors were noted during the count.” (p.1)</t>
  </si>
  <si>
    <t>No, however, according to the US Department of State Human Rights Report on Georgia "The United National Movement opposition party and family members of prisoners stated the government held political prisoners. The government permitted international and domestic organizations to visit persons claiming to be political prisoners or detainees, and several international organizations did so." https://www.state.gov/documents/organization/277411.pdf p. 14</t>
  </si>
  <si>
    <t xml:space="preserve">Two cases in the reporting period - "Cyanide case" and Rustavi 2 case. "The Public Defender’s Office and NGOs repeatedly raised concerns regarding the investigation of and court proceedings involving Giorgi Mamaladze, an Orthodox Church priest detained in February on charges of “attempting to murder a high ranking church official.” The Public Defender’s Office and NGOs reported a violation of the presumption of innocence due to government officials’ (including the prime minister’s) statements on the case; inappropriate grounds to make the trial closed to the public; questionable evidence; and other violations that deprived the defendant and his lawyers of a chance for proper defense and a fair trial (source: US Dep. of State Report 2017, p. 14). According to Amnesty International, "Local NGOs raised concerns about possible government interference in the judicial process [of opposition TV channel Rustavi 2 case] and called the trial unfair" (https://www.amnesty.org/en/countries/europe-and-central-asia/georgia/report-georgia/)  </t>
  </si>
  <si>
    <t xml:space="preserve">Partially. The compensation is paid in all instances; however, investigations initiated at the direction of the Court are usually not effective and/or delayed. </t>
  </si>
  <si>
    <t>Yes, however, it is not systemic problem as it was until 2012. Still, "while the constitution and law prohibit such practices, there were reports government officials employed them. The Public Defender’s Office reported an increase in complaints regarding mistreatment by police and considered investigations into alleged mistreatment as not effective, independent, prompt, or impartial. As of October the Public Defender’s Office submitted 10 cases of alleged mistreatment by police officers to the Chief Prosecutor’s Office, but did not submit cases of alleged violence against prisoners by penitentiary officials. The Georgian Young Lawyers’ Association (GYLA) reported it submitted seven complaints of cruel, inhuman, or degrading treatment or punishment from those in penitentiary facilities to the Chief Prosecutor’s Office for investigation. GYLA also reported it submitted five complaints of such treatment by law enforcement officers, one of which it identified as torture, involving forced testimony for an alleged crime in February." (source: US Department Of State HR Report 2017, p. 3-4)</t>
  </si>
  <si>
    <t>Partially. "While overall prison and detention facility conditions improved, conditions in some old facilities were inhuman and lacked sufficient ventilation, natural light, minimum living space, and adequate health care." (source: US Department of State HR Report, 2017, p.4); "The Public Defender certainly welcomes the ministry’s efforts aimed at conducting planned rehabilitation works to avert deterioration of material conditions (caused by infrastructure’s wear).However, despite the
efforts of the ministry, there are still problems in terms of sanitation and hygiene, adequate ventilation and sufficient heating in cells. Stemming from the poor living conditions existing in the establishment, the Public Defender’s recommendation about closing down establishment no. 7 remains unchanged." (source: Public Defender's Annual Report 2017, p.35)</t>
  </si>
  <si>
    <t xml:space="preserve">No. Georgia does not have an effective independent mechanism for investigating abuse by law
enforcement officials. While the draft law of setting up a mechanism has been initiated in the reporting period, it is not adopted even at this stage (July, 2018). </t>
  </si>
  <si>
    <t>No. In March 2017, parliament adopted a new surveillance bill, establishing a new agency within the
State Security Services to carry out surveillance operations. In 2016, the Constitutional
Court ruled unconstitutional legislation that allowed state security services to have direct,
unrestricted access to telecom operators’ networks to monitor communications. The court
found this system allowed mass collection of personal information in real time without
effective oversight, and required independent oversight of mass surveillance. Several
nongovernmental organizations, supported by the president and the ombudsman, filed a
lawsuit against the new law, claiming that it does not guarantee the right to privacy, as the
new agency is not sufficiently independent.</t>
  </si>
  <si>
    <t>in 1999</t>
  </si>
  <si>
    <t xml:space="preserve">Yes, the Government of Georgia requested publication of the report on the last periodic visit to Georgia undertaken on 01/12/2014 - 11/12/2014. The Report was published on 15 December, 2015. </t>
  </si>
  <si>
    <t xml:space="preserve">On a legislative level, yes. Under the Constitution (Art. 60), “A member of the Government, an official elected, appointed or approved by the Parliament, shall be entitled and in case of request shall be obliged to attend the sittings of the Parliament, its Committee or Commission, to answer questions raised at a sitting and submit an account of an activity. On request such an official shall be heard by the Parliament, Committee or Commission”. Under the Rules of Procedure of the Parliament (article 221/2), "A group of ten MPs, a faction have a right to address with an inquiry a body accountable to Parliament, Government of Georgia, and a Member of Government, who have to answer this inquiry at the plenary sitting of Parliament. The inquiries are answered on the last Friday of each month’s plenary sitting during the Government Hour." However, in practice, there have been cases when ministers rejected the requests of the parliamentary opposition to answer questions at the plenary session. </t>
  </si>
  <si>
    <t xml:space="preserve">Yes, in cases specified by the Rules of Procedure of the Parliament. According to Article 55 of the Rules of Procedure of the Parliament, Temporary Investigative Commission could be created on the basis of the information of unlawful actions of the state organs or officials that threaten the security of the country, its sovereignty, territorial integrity, political, economic or other interests of the country, etc. The Temporary Investigative Commission could apply to the law-enforcement agencies to start investigation, based on the materials in front of it, or apply to the Parliament to start the impeachment procedure against officials who could be impeached under the constitution.  </t>
  </si>
  <si>
    <t xml:space="preserve">No, not in the reporting period. </t>
  </si>
  <si>
    <t xml:space="preserve">Yes. The ecexutive lacks the power to impound funds appropriated by the Parliament. </t>
  </si>
  <si>
    <t>Yes, in a way that the Parliament elects the members of the Board of Trustees of the Public Broadcaster (Art. 24-26 of the law of Public Proadcasting).</t>
  </si>
  <si>
    <t xml:space="preserve">No. Only the Parliamentary Committees and Fractions have non-secretarial staff with policy expertise, as well as the President and Vice-Presidents of the Parliament; also, Parliamentary Staff provide research-consultancy services to MPs; According to the Rules of Procedure of the Parliament, also MPs with severe disability, are provided with personal assitant </t>
  </si>
  <si>
    <t>No. Only the Parliamentary Committees and Fractions have non-secretarial staff with policy expertise, as well as the President and Vice-Presidents of the Parliament; If requested, Parliamentary Staff provide research-consultancy services to MPs.</t>
  </si>
  <si>
    <t xml:space="preserve">Yes, the Parliament has a dedicated Research Department that includes Parliamentary Library. http://parliament.ge/ge/saparlamento-saqmianoba/aparati-9/kvlevebibiblioteka/parlamentis-aparatis-kvleviti-departamentis-shesaxeb </t>
  </si>
  <si>
    <t xml:space="preserve">The Parliament has a Parliamentary Budget Office, an indiependent fiscal institution, with the mandate to provide independent and impartial analysis, research and assessment of government's fiscal policies, plans and performance. However, its direct mandate is not assisting legislators in oversight of state budget and expenditure. </t>
  </si>
  <si>
    <t xml:space="preserve">Yes, each of the Parliamentary Committee have apparatus, the staff of which according to the Rules of Regulation of the Parliament, participates in the preparation of the draft laws, drafts of parliamentary resolutions and other decisions, resolutions, comments and proposals over the draft legislative initiatives, etc.  </t>
  </si>
  <si>
    <t>No. Chairs of the Parliamentary Committes are elected by the Parliamentary majority from among the committee members. While the candidature of the chair of the committee could be nominated by the parliamentary Faction, Majority or Minority, in practice this does not leave any space for the opposition to have its members elected on the position. Currently, all Committee Chairs are members of the ruling party. (Parliament's Rules of Procedure, article 33)</t>
  </si>
  <si>
    <t>Yes. According to the Parliament’s Rules of Procedure (Art. 32) composition of  parliamentary committees shall be determined taking into account the proportional representation of the Parliamentary Factions.</t>
  </si>
  <si>
    <t xml:space="preserve">On equitable basis. During political debates the speaking time is allocated equally to the Majority and Minority (45 minutes each); Factions and Speaker of the Parliament (15 minutes each) and each parliamentarian who is not a member of any Faction (5 minutes). Each parliamentarian, irrespective of its affiliation, is entitled to 5 minutes speech during plenary sessions. </t>
  </si>
  <si>
    <t xml:space="preserve">Governing Party (Majority) - 115 Mandates (76.6 % of 150 mandates); Main opposition party (UNM - before split) - 27 Mandates (18% of 150 mandates); differential: 58.6 %. Note: the United National Movement was split into two parts - 1. European Georgia (21 mandates) and National Movement (6 mandates). I suggest to count seat differential from the numbers that existed before split as both groups remain into opposition of the existing government and the total number has not changed.     </t>
  </si>
  <si>
    <t xml:space="preserve">Yes, access to public information is guaranteed by the General Administrative Code, that gives the definition of the public information and defines rules and procedures to request and receive it from public institutions. </t>
  </si>
  <si>
    <t xml:space="preserve">Yes, while the new draft law is prepared and supported by the civil society organizations, the existing law ensures and played a vital role in helding government officials accountable for over the past years.  </t>
  </si>
  <si>
    <t>Mostly Yes. Georgian NGO “Institute for Development of Freedom of Information” (IDFI) sent 7728 requests for public information to public institutions (central authorities, LEPL, local municipalities) in the reporting period. IDFI has received comprehensive information on 4,604 applications (75,67%), partial information in 483 cases (7,94%), refusal to issue information in 51 cases (0,84) and 946 requests have been left unanswered (15,55%). (https://idfi.ge/public/upload/IDFI_Photos_2017/idfi_general/geo_foi_report_2017.pdf)</t>
  </si>
  <si>
    <t xml:space="preserve">Yes, live parliament sessions are available to citizens via Public television and Parliament's web-streaming. </t>
  </si>
  <si>
    <t>average:1.6%. 2017 -102.3%, 2016 - 100.8%</t>
  </si>
  <si>
    <t>Yes. All of these are public information. Main figures and data are available on the Ministry of Finance web page www.mof.gov.ge . Other material must be released upon request.</t>
  </si>
  <si>
    <t>Yes. Ministry of Finance publishes monthly and quarterly budget execution reports  on its web page.</t>
  </si>
  <si>
    <t>Yes, General Inspectorate (GI) at MOI. However, the body is not seen effective in investigating the cases of human rights violations allegedly committed by policemen. In cases of alleged ill-treatment, the complaint is usually directly sent to the Prosecutor's Office. The Office of the Public Defender examined how general inspectorates of the Office of the Chief Prosecutor, the Ministry of Internal Affairs, the Ministry of Corrections and the State Security Service follow up on citizens’ complaints. As the research identified, "in most of the cases, there is no disciplinary responsibility established. Citizens’ applications are not examined in a comprehensive manner; the procedure is not transparent and often protracted. During some of the official inspections, easily accessible information which is relevant to the case concerned is not gathered, among others; all eye-witnesses are not interviewed, sometimes even an alleged victim is not interviewed, and video recordings are not seized. The reasoning of final decisions adopted by inspectorates is a considerable problem. Besides, applicants are not provided with case-files of official inspections conducted, which affect people’s confidence in legality and fairness." (Public Defender's Annual Report, 2017, p. 59)</t>
  </si>
  <si>
    <t>Yes, General Inspectorate (GI) at the State Security Service (SS). Accoding to the Public Defender's Special Report, citizens very rarely apply to the General Inspectorate of the State Security Service. In the period of 1 August 2015 - 1 June 2016, the General Inspectorate dealt with only 12 citizen's complaints. Seven out of 12 complaints fell outside of the SS competence. In four cases the applicants complained about the physical violance. The misconduct was identified only in one case. In general, when assessing the effectiveness of the General Inspectorates of Prosecutor's Office, SS and MOI, the Public Defender, in her annual report stated "in most of the cases, there is no disciplinary responsibility established. Citizens’ applications are not examined in a comprehensive manner; the procedure is not transparent and often protracted. During some of the official inspections, easily accessible information which is relevant to the case concerned is not gathered, among others; all eye-witnesses are not interviewed, sometimes even an alleged victim is not interviewed, and video recordings are not seized. The reasoning of final decisions adopted by inspectorates is a considerable problem. Besides, applicants are not provided with case-files of official inspections conducted, which affect people’s confidence in legality and fairness." (Public Defender's Annual Report, 2017, p. 59)</t>
  </si>
  <si>
    <t>The Action Plan (2016) on the Implementation of the Gender Equality Strategy of the Ministry of Defence of Georgia provides for the establishment and institutionalization of the mechanisms to handle complaints of gender discrimination and detect and react on cases of sexual harassment. In addition, from 2014, Monitoring Group on Gender Equality is created at the Ministry of Defence to follow up on the cases of gender discrimination.</t>
  </si>
  <si>
    <t xml:space="preserve">The Presidential decision to declare war or state of emergency comes into effect immediately upon its adoption.  However, the President is obliged to submit this decision to the parliament for approval within 48 hours. The decision loses its legal force if the parliament refuses to approve it. </t>
  </si>
  <si>
    <t xml:space="preserve">No. Ministers of Defence and Interior (as all other ministers) are appointed by the Prime Minister. Chief of the General Staff and Generals are appointed by the President with the consent of the Government (Article 73.3 of the Constitution). </t>
  </si>
  <si>
    <t xml:space="preserve">Usually, the Ministry is reacting to the information disseminated in the media rather than proactively informing the public.  </t>
  </si>
  <si>
    <t>Yes (total score given by the national NGO that works on freedom of information issues 90,30% out of 100) (source: IDFI research "Accessibility of Public Information in Georgia: 2017" https://idfi.ge/public/upload/IDFI_Photos_2017/idfi_general/geo_foi_report_2017.pdf)</t>
  </si>
  <si>
    <t>Mostly Yes (total score given by the national NGO that works on freedom of information issues 79,19% out of 100) (source: IDFI research "Accessibility of Public Information in Georgia: 2017" https://idfi.ge/public/upload/IDFI_Photos_2017/idfi_general/geo_foi_report_2017.pdf)</t>
  </si>
  <si>
    <t>Partially. (total score given by the national NGO that works on freedom of information issues 60,59% out of 100) (source: https://idfi.ge/foi-statistics/?#)</t>
  </si>
  <si>
    <t xml:space="preserve">Yes. 1. The Head of Institute for Development of Freedom of Information (IDFI) has been detained in December, 2014 in relation to unauthorized transportation of the licensed weapon and was charged with the illegal transportation of firearms. He has been detained for two days before he was released on bail. In the course of his detention, police officers made hints about the IDFI’s activities and civil society campaign he was involved in. Later, Kldiashvili was acquitted. 2. In March, 2016, popular anchor and journalist, Inga Grigolia has received threats that the scenes of her intimate life would be released if she did not leave the country. The threats were contained in a video disseminated over the internet. The investigation in the matter did not turn into any results. 3. Case of music group - Birzha Mapia, two members of which has been detained for drug possession. Members of the group as well as their family members related their detention to the music video released by the rappers on the internet, which showed a character dressed in a police uniform wearing a dog-belt in one of the scenes. This link has also been confirmed by terminating criminal persecution against rappers in December 2017. </t>
  </si>
  <si>
    <t xml:space="preserve">No, the Ministry of Defence does not have institutionalised framework for consultations with civil society organisations on security policies and reform. However, in rare occasions, the Minister holds discussions with experts and civil sociert representatives (for instance, the Minister met with CSOs and experts in the framework of NATO week in April, 2017 https://mod.gov.ge/en/news/read/5687/leqcia-diskusia-DIB)  </t>
  </si>
  <si>
    <t>Yes, but in the capacity of individual experts (more than 20 experts from civil socity organizations form part of the Special Preventive Group).</t>
  </si>
  <si>
    <t>Yes. In February, 2017, the new leadership of the Public Broadcaster announced it would suspend several political talk shows, citing plans to upgrade the station’s equipment and content. In June, it stopped airing two joint programs with Radio Free Europe/Radio Liberty. A regional TV station, Adjara TV, picked up both cancelled shows. The ownership dispute over Georgia’s most-watched television broadcaster, Rustavi 2,  continued in 2017 and raised concerns over ongoing government interference with media. (source: HRW World Report, 2017, Georgia)</t>
  </si>
  <si>
    <t xml:space="preserve">No. During the reporting period, no cases of extralegal intimidation or physical violence directed at individuals for their online activities were reported in Georgia (source: https://freedomhouse.org/report/freedom-net/2017/georgia)  </t>
  </si>
  <si>
    <t>According to the US Department of State HR Report "The government did not restrict or disrupt access to the internet or censor online content, but concerns remained about unauthorized surveillance." (p. 18)</t>
  </si>
  <si>
    <t xml:space="preserve">Normative acts (decisions of the Parliament, decrees and orders by executive, Constitutional court decisions) are available through the governmentally supported website of the legislative herald (matsne.gov.ge) and most of them are free. Decisions of the Supreme Court and the Appellate Courts are available on their respective websites.  Decisions of the regional and city courts usually are not available on the internet. </t>
  </si>
  <si>
    <t xml:space="preserve">Partially. Taking into account the existing challenges, more safeguards should be put in place  </t>
  </si>
  <si>
    <t xml:space="preserve">The Safer Internet Day initiative is supported by the Ministry of Economy and Sustainable Development of Georgia. ISOC-Georgia, a Georgian chapter of the Internet Society has been established and is working on building free and trusted internet in Georgia. It is building a coalition of state, private and civil society institutions in order to coordinate their activities aimed  at safer and better use of the internet and mobile technologies among children and young people. source: https://www.saferinternetday.org/web/georgia/sid and https://isoc.ge/saferinternetday/ </t>
  </si>
  <si>
    <t>According to Transparency International Georgia, the legislative framework on the selection/appointment of judges contains serious gaps and ambiguities that increases risks of cronyism and conflict of interest.  "First, the High Council of Justice holds unjustifiably broad discretion with regard to the appointment of judges, including excessive authority to determine who will be enrolled to the High Council of Justice and therefore who will be candidates for judgeship. Second, the functional and organizational independence of the High School of Justice is not ensured, which results in the HCoJ's ability to fully control the intake of new judges in the judiciary and opportunity to manipulate the process. In addition, the High Council of Justice is not obligated by law to substantiate its appointment decisions, while the simple vote-based appointment of judges enables the Council to turn down candidates that have received the highest scores throughout the selection process." (source: TI, Corruption Risks in Georgian Judiciary, 2018, https://www.transparency.ge/en/post/corruption-risks-georgian-judiciary)</t>
  </si>
  <si>
    <t>No. According to the Public Defender's Annual Report, "The statutory criteria for selection of judges do not meet the standard of objectiveness. There is no previously
published list of the information and sources required for verifying the criteria based on which judges should be selected. The process of judicial selections does not meet the transparency standard, namely, the procedure of selecting candidates is not adequately governed with due regard for transparency. Apart from obscurity of criteria, the possibility of holding interviews with judicial candidates behind closed doors gives rise to even more doubts in the public." (p.68). According to the US Department of State Report "two leading members of the Coalition--GYLA and Transparency International Georgia--on their monitoring of the High Council of Justice during 2016 criticized council operations and accused the council of using its authority against the interests of justice, especially what the coalition members described as willful and arbitrary decisions on judicial appointment. . . Both reports identified a lack of pluralism of opinions in the High Council of Justice, . . . and shortcomings in the appointment of judges. . ." (p.11)</t>
  </si>
  <si>
    <t xml:space="preserve">No. Legislation does not define rules and procedure for the advancement of judges. According to the Law on Common Courts, it is the competence of the High Council of Justice to develop advancement criteria (Article 41). The criteria have been criticized as being vague and arbitrary by civil society organizations. In addition, Art. 37 allows the HCoJ to appoint judges to higher courts (that is, advance them) without competition, that makes the process vague and arbitrary. </t>
  </si>
  <si>
    <t xml:space="preserve">No. Advancement of judges through non-transparent procedure has been heavily criticized by NGOs during the last years (source: https://www.transparency.ge/en/post/general-announcement/ngos-question-ongoing-promotion-judges-high-council-justice) </t>
  </si>
  <si>
    <t>According to NGOs, system of disciplinary punishment is not consistent on institutional and legislative level and creates ground for arbitrary interpretation. According to TI Georgia, flawed regulation of the system of judicial accountability allows High Council of Justice to use disciplinary proceedings for improper purposes. The Law on Common Courts of Georgia fails to provide a sufficiently clear and precise definition of corruption offences, and neglects to furnish sufficient independence guarantees for the Independent Inspector of the HCoJ (who is charged with conducting initial study of complaints against judges). Even in cases where the Independent Inspector provides a substantiated recommendation, the Law requires an unreasonably high number of minimum votes (2/3 majority) by the HCoJ members to initiate a disciplinary proceedings against a judge suspected of disciplinary offence. However, even with these flawed regulations, the current legislation does allow for the possibility of combating judicial corruption if there was such intent from the Council. (source: TI, Corruption Risks in Georgian Judiciary, 2018, https://www.transparency.ge/en/post/corruption-risks-georgian-judiciary)</t>
  </si>
  <si>
    <t xml:space="preserve">There have not been cases of dismissal of judges in the reporting period, however, as mentioned above, legislation is falwed and could be abused. In the last reporting period, Head of the Tbilisi Court has been removed through disciplinary proceedings, who according to the Public Defender, has been dismissed by High Council of Justice in violation of the Law. </t>
  </si>
  <si>
    <t>Partially, depending on the case under consideration. Interference in the judicial independence has been one of the concerns of the international stakeholders and national civil society organizations. The US Department of State Country Reports on Human Rights Practices for 2017 noted that "Although the constitution and law provide for an independent judiciary, there remained indications of interference in judicial independence and impartiality. Judges were vulnerable to political pressure from within and outside of the judiciary." (p. 11)</t>
  </si>
  <si>
    <t xml:space="preserve">Yes. The HCoJ prepares the part of the draft state budget concerning expenses of the common courts and submits it to the government. The HCoJ has a right to submit to the Parliament its opinion regarding the part of the draft state budget concerning finances of the common courts before the review of the final revised version at the Parliament of Georgia. Reduction of the current costs of the judiciary may occur only with the prior consent of the HCoJ. The Supreme Court and the Constitutional Court prepare their own budget requests and control the expenditure of funds allocated to them. </t>
  </si>
  <si>
    <t xml:space="preserve">Judges have not only functional, but absolute immunity. In addition, under the constitution, "No one shall have the right to claim a report of any particular case from a judge."  </t>
  </si>
  <si>
    <t>Yes, (except of the Judges of the Supreme Court, who are appointed by the Parliament of Georgia) the High Council of Justice has the power to appoint and dismiss judges.  Eight out of 15 members of the Council are elected by the judicial self-governing body – Judicial Conference. However, in the reporting period HCoJ came under the heavy criticism from the civil society groups  for "willful and arbitrary decisions on judicial appointment and discipline." (US Department of State Report on Georgia, p. 11)</t>
  </si>
  <si>
    <t xml:space="preserve">Yes. The Constitutional Court of Georgia has the authority to review and determine constitutionality of legislation and declare the norm/provision unconstitutional. According to the legislation, decision of the Constitutional Court takes effect immediately. However, in April, NGOs and the Public Defender’s Office submitted separate cases to the Constitutional Court challenging a law on electronic surveillance. The plaintiffs asserted that the new law did not satisfy the requirements of a 2016 ruling from the Constitutional Court requiring an independent body to oversee electronic surveillance, (source: US Department of State Report, 2017, p. 16). (that is the Parliament actually bypassed the previous ruling on the same subject of the Constitutional Court. However, this was one isolated case). </t>
  </si>
  <si>
    <t xml:space="preserve">Yes. In case of a relevant lawsuit by an interested party, the common courts have the power to review administrative acts by public institutions and direct them to act where a legal duty to act exists. </t>
  </si>
  <si>
    <t xml:space="preserve">Yes. Judges generally have adequate subpoena and contempt powers in both criminal and civil cases and judicial judgements are generally enforced; however, in civil cases with some delays.   </t>
  </si>
  <si>
    <t xml:space="preserve">Partially. Generally, the cases have been assigned to judges according to their specific area of expertise. Before the relevant amendments to the Law on Common Courts came into force on 1 July, 2017 (which introduced automatic, electronic system of case distribution), cases were distributed through the sequential order - the sequential order implied the assignment of cases to judges according to the sequence of the cases filed with a court and sequence of the judges. According to the civil society organizations, the existing system of case distribution have been easily (and allegedly frequently) abused in the high profile cases, when the cases were assigned to judges loyal to the authorities. Date of full enactment of the rule of court case distribution via electronic system throughout Georgia was December 31st, 2017. However, starting from July 1st, 2017 the new rule has been activated in a pilot mode in Rustavi City Court. According to the report by national NGO EMC, the court chairperson still retains wide discretion in case distribution, in case if electronic system malfunctions. (source: https://emc.org.ge/en/products/rogor-mushaobs-sakmis-ganatsilebis-akhali-sistema-sasamartloshi) 
</t>
  </si>
  <si>
    <t xml:space="preserve">The Law on the Distribution of Cases in the Courts that provided for the open ended provision (workload and other reasons) for removing the judge from the deliberation of the particular case has been abolished in the reporting period (February, 2017). However, it is an established practice, that a judge could apply to the Court Chairperson with the request to be removed from the case because of the heavy workload. This practice creates the fround for abuse of power and manipulations by court chairpersons.  </t>
  </si>
  <si>
    <t>Partially – while the legislative framework exists, the HCoJ usually doesn’t follow up on the complaints registered by public or lawyers. In her 2017 Annual Report, the Public Defender stated that "Disciplinary proceedings against judges remained inadequate in 2017 too. To a certain degree, this is preconditioned by the lack of clarity in the legislation... According to the practice of the Office of the Public Defender, the deficiency of the disciplinary proceedings is manifested in delays and lack of reasoning of decisions adopted by the HCoJ. Out of 18 proposals of the Public Defender of Georgia262 (against 23 judges) sent to the HCoJ in 2013-
2017, concerning institution of disciplinary proceedings, none of the decisions adopted in 12 cases (against 15 judges) imposed disciplinary penalty on judges and proceedings were discontinued. Reasoning was not provided in any of these cases. In 3 cases, a final decision was not adopted as of 2 February 2018. The majority of 12 decisions are of general nature, given in a standard pattern and lacking reasoning. Only one decision indicates to factual circumstances and legal provisions." (p. 72)</t>
  </si>
  <si>
    <t xml:space="preserve">Partially. The Constitution of Georgia as well as the Organic Law on Common Courts establishes the principle of openness of court hearings; in cases determined by law, court proceedings could be closed. Court hearings are usually open for photo, video and audio recording (since 2013). However, according to the US Department of State Report on Georgia (2017) "NGOs reported courts were inconsistent in their approaches to closing hearings to the public and at times did not provide an explanation for holding a closed hearing." (p. 12) The vivid example of closing the hearing to the public without appropriate legal grounds was case involving Giorgi Mamaladze, an Orthodox Church priest detained in February on charges of “attempting to murder a high ranking church official.” (p.12) </t>
  </si>
  <si>
    <t xml:space="preserve">Judges enjoy personal immunity that reaches beyond functional immunity. According to the Constitution (article 87) and the law on Common Courts, no one has the right to arrest, detain, or bring criminal proceedings against a judge, search his/her apartment, car, workplace, or conduct a personal search without the consent of the Chairperson of the Supreme Court, except when he/she is caught at the scene of crime, in which case the Chairperson of the Supreme Court shall immediately be notified. Unless the Chairperson of the Supreme Court of Georgia gives his/her consent, the arrested or detained judge shall immediately be released. The consent of the Supreme Court Chairperson is required for all types of crimes. Despite the absolute immunity, the research shows, that 22 judges have been convicted in the period between 2000 and 2013. </t>
  </si>
  <si>
    <t>Yes, the Law on the Elimination of All Forms of Discrimination (entered into force in May, 2014)</t>
  </si>
  <si>
    <t>Only on certain grounds. As a general principle, the Civil Code provides that it regulates property, family and personal relations of a private nature based on the equality of persons (Article 1). As a special norm, the Civil Code prohibits any discrimination in family relationships between a wife and a husband (Article 1153).</t>
  </si>
  <si>
    <t>Yes. The Law on Higher Education obliges state to ensure elimination of discrimination in higher education on any grounds (Art. 3); The Law on General Education enshrines the right of a pupil, parents, teachers and their unions to exercise the rights provided by the Law without discrimination on any ground (Art. 8). The Law on Early and Pre-school Upbringing and Education obligates public institutions to ensure accessibility of early and pre-school education for every child irrespective of their physical, emotional, linguistic, or other characteristics (Art. 10).</t>
  </si>
  <si>
    <t xml:space="preserve">1. Constitution -  closed; 2. Criminal Code - open; 3. Civil Code - open; 4. General Administrative Code - declaratory principle on the prohibition of "discriminatory measures"; Code of Administrative Offences - open; 5. Labour Code - closed (finishes with "political or other opinion" (not "other ground")); 6. Law on Safety of Products and Free Circulation - does not list grounds, but provides declaratory principle of "uniform and non-discriminatory approach"; 7. Law on Higher Education - open; Law on General Education - does not list grounds, but prohibits discrimination in general terms; Law on Early and Pre-School Upbringing and Education - open; </t>
  </si>
  <si>
    <t xml:space="preserve">Yes - Law on Elimination of All Forms of Discrimination, Labour Law </t>
  </si>
  <si>
    <t xml:space="preserve">Yes - Law on Elimination of All Forms of Discrimination, Labour law  </t>
  </si>
  <si>
    <t xml:space="preserve">Yes - Law on Elimination of All Forms of Discrimination, Labour Law  </t>
  </si>
  <si>
    <t>Yes - Constitution, Law on Elimination of All Forms of Discrimination, Labour Law</t>
  </si>
  <si>
    <t>Yes - Law on Elimination of All Forms of Discrimination</t>
  </si>
  <si>
    <t xml:space="preserve">Yes. However, it is not defined as a separate form of discrimination.  </t>
  </si>
  <si>
    <t xml:space="preserve">Yes. Article 2(5) of the Law on Elimination of All Forms of Discrimination prohibits instigation to discrimination. </t>
  </si>
  <si>
    <t xml:space="preserve">Yes - Article 2(4) of the law on Elimination of All Forms of Discrimination  </t>
  </si>
  <si>
    <t xml:space="preserve">General provision of the Law on the Elimination of All Forms of Discrimination (Art. 3) that prohibits discrimination in all fields; General Provision in the Law on Product Safety and Free Circulation, providing a general principle on non-discriminatory approach in provision of goods.    </t>
  </si>
  <si>
    <t>14,28% (2 women ministers out of 14) (source: Public Defender's Report, 2017, p. 87)</t>
  </si>
  <si>
    <t>1 Ratified</t>
  </si>
  <si>
    <t>0 No cases brought</t>
  </si>
  <si>
    <t>There is no single agency in charge of all corruption related cases. This responcibility is dispursed among various agencies, however investigation and prosecution of corruption is not the core/main mandate for either one of them. Among these agences, there are the Investigative Department of the Chief Prosecution's Office; the  Anti-Corruption Agency, which is a department under State Security Service of Georgia; and  inspector generals of various ministries.</t>
  </si>
  <si>
    <t xml:space="preserve">Analytic Department of the Ministry of Justice acts as the Secretariat of the Anti-Corruption Council and is the body that develops strategies in cooperation and coordination with all agencies involved. </t>
  </si>
  <si>
    <t>The Anti-corruption action plan is renewed every two years. The Anti-Corruption Council Secretariat publishes a report of the action-plan implementation every six months. However, the analysis of the corruption situation is lacking and  the validity of the AP implementation assessment is insufficient.</t>
  </si>
  <si>
    <t>NA. The official court statistics does not indicate the data for illicit enrichment cases.</t>
  </si>
  <si>
    <t>Yes. Confiscation of assets can however only be used as an additional measure.</t>
  </si>
  <si>
    <t xml:space="preserve">Yes. However, in practice the whistelblower protection remains weak. </t>
  </si>
  <si>
    <t>0. One of the most high profile cases of whistleblowing has been the case of Mamuka Akhvlediani, who was removed from his position of Chair of Tbilisi City Court, following his public statements alleging corruption and misconduct in judicial leadership. To date, neither has he been reinstated in his position, nor has the Prosecution provided any public information regarding investigation of his allegations.</t>
  </si>
  <si>
    <t>Yes. The Law on Broadcasting provides for transparency of media ownership.</t>
  </si>
  <si>
    <t>0.5. Article 71 of the Law on Broadcasting contains sanctions that may be applied, including warning, fine,suspension of broadcasting license/authorization and revocation of the broadcasting licence/authorization. However there were no cases of applying sanctions for failure to comply with disclosure requirements in 2017.</t>
  </si>
  <si>
    <t>Yes, State Audit Office is independent from all three branches of the Government. Any act that can impair its independence is prohibited. The Auditor General is nominated by the Chair of the Parliament and elected by the majority of the Parliament for a five year term.</t>
  </si>
  <si>
    <t>Yes. S/he may only be removed from office using impeachment procedure.</t>
  </si>
  <si>
    <t>Yes, the draft budget of the State Audit Office is drafted by the Office itself and submitted to the Ministry of Finance by the Parliament. The Law on State Audit Office provides safeguards for the adequate funding of the Office – funding for a given year may not be less than funding allocated for the previous year and such reduction is only possible at the consent of the State Audit Office.</t>
  </si>
  <si>
    <t>Yes, the Parliament of Georgia hears the Auditor General annually and may request that an audit be conducted of a specific programme/institution and then hear the findings of the audit. However given that the parliament is dominated by a single party yelding Constitutional majority, there is little criticism of the government or real debate of audit findings.</t>
  </si>
  <si>
    <t>Yes/No. The SAO sends its findings and files to prosecution services in case of criminal violations for further investigation and prosecution. In 2017 SAO sent 11 cases to Prosecution for further investigation and investigation was initiated in all of them. SAO reports an underwhelming rate of compliance to its recommendations by the state, particularly those, related to systemic issues.In the period of 2015-2017 only 25% of such recommendations were acted upon.</t>
  </si>
  <si>
    <t>es. The PIFC has been set up and there is an internal audit department inside the Ministry of Finance  that ensures the development of internal control and co-ordination of various internal audit units.  This department is also charged with developing the PIFC strategy and action plans and report on their implementation.</t>
  </si>
  <si>
    <t xml:space="preserve">Yes, according to the |Ministry of Finance, currently  there are 24 units of Internal Audit in Georgia, including 12 ministries , 5 units of internal audit  in autonomous republic of Adjara, 5 units in autonomous republic of Abkhazia and one in administration of South Ossetia. In the Ministries the internal audit units were set up on the basis of the pre-existing general inspections units, and in the Autonomous republics they were set up from scratch. </t>
  </si>
  <si>
    <t>Yes, major procurements require competitive bidding unless the procurement falls under the exceptions prescribed in the legislation. The list of these exceptions is rather broad and gives the chance to avoid competitive bidding procedure in a number of fields. The procurement process is regulated by the Law of Georgia on State Procurement and by-laws adopted by the Head of the Competition and State Procurement Agency. Set procedures allow three types of procurement: Electronic Tender, Simplified Electronic Tender and Simplified Procurement.  Electronic Tender, Simplified Electronic Tender require competitive bidding.</t>
  </si>
  <si>
    <t>Yes, sole source contracting (simplified tender) is limited to specific conditions. The list of these conditions is provided in the Law of Georgia on State Procurement and includes, inter alia, procurement when the supplier is the only source; when there is tight schedule etc. While the list is specified, it is rather broad and allows for a signifiant portion of all procurements to be conducted non-competitively. Additionally, the justification for using simplified procedures are often dubious. The State Procurement Agency reported that in 2017 the share of simplified tender expenditures was 24%, which is a 40% decrease compared to the previous year.</t>
  </si>
  <si>
    <t xml:space="preserve">Yes, the rules to review procurement decisions are defined in the Law of Georgia on State Procurement. </t>
  </si>
  <si>
    <t xml:space="preserve">Yes. The appeal and dispute resolution board consists of 3 representatives of the Procurement Agency, 3 representatives from civil society, and one representative each from the Competition Agency, Georgian Chamber of Commerce, Business Ombudsman and academia, to which any party to tender can appeal if they suspect a violation of procurement rules. </t>
  </si>
  <si>
    <t xml:space="preserve">No, companies convicted of bribery are not explicitly prohibited from participating in future procurement bids. State Procurement Agency keeps a blacklist of companies prohibited from bidding for one year. However, the list of acts that lead to the inclusion of the company in the blacklist does not include bribery conviction. </t>
  </si>
  <si>
    <t xml:space="preserve">Yes, Procurement legislation is accessible on the official website of the State Procurement Agency www.procurement.gov.ge Additionally, the state legislative herald is electronically available for free at www.matsne.gov.ge </t>
  </si>
  <si>
    <t>No. There is no RIA system currently in place, despite the Government's earlier commitment to have it in place before the end of 2017. The legislation that has economic implications usually gets reviewed by the Parliament's Budget Office, however this is not  a full fledged RIA.</t>
  </si>
  <si>
    <t>No. While there have been RIAs commissioned on specific pieces of legislation, as part of the process for paving way for eventual introduction of RIA, RIA is not currently carried out in any regularity. The law will be expected to be enforced from 2019</t>
  </si>
  <si>
    <t>No. State Audit Office is the closest to such an institution, given that it conducts effectiveness audits of specific programs. However it does not assess impact of government-wide policies.</t>
  </si>
  <si>
    <t xml:space="preserve">No. There is no mandatory consultation with the public in any form for the government’s legislative acts. There are no green papers or policy papers issued by the government to inform the process and involve the public. Generally there are no public hearings  mandated, however on specific pieces of legislation, where representatives of civil society are actively engaged in advoacy, there are consultative meetings and discussions. </t>
  </si>
  <si>
    <t>Usually consultations are held with civil society, despite not being required. However these consultations have a very mixed success record.</t>
  </si>
  <si>
    <t>T</t>
  </si>
  <si>
    <t>Yes. All parliamentary hearings are generally open, unless closed specifically. The interested public may attend and participate in discussion.</t>
  </si>
  <si>
    <t>Yes. The policy planning unit of the Policy Analysis, Strategic Planning and Coordination Department (PASPCD) of the Government administration has staff of 8 persons and the legal department has 11 persons.  The PASPCD has been supported by donors to developing both the policy planning manual and its staff capacity.</t>
  </si>
  <si>
    <t>Yes. All policy proposals must be heard and approved at the meeting of the Cabinet before adoption. Prior to Cabinet meetings, all documents on the items on agenda are circulated with all ministries and units for consideration and comments.</t>
  </si>
  <si>
    <t>No. There are no designated policymaking departments. Some ministries have analytic departments, but this is not uniform and definitely not required by law. The qualifications of the staff are very difficult to assess.</t>
  </si>
  <si>
    <t>Yes, principle of local self-government is recognized in the constitution.</t>
  </si>
  <si>
    <t>Yes. Georgia has a mixed electoral system, where part of the member of the local councils are elected through proportional elections and part - through majoritarian.</t>
  </si>
  <si>
    <t>Yes. Mayors are elected in 5 cities and 59 self-governing communities.</t>
  </si>
  <si>
    <t>Yes, however both central and local government is completley dominated by a single party and there is no precedent of local government's opposition to the decisions of the center. In 2017 7 self-governing cities voted to abolish that status, in line with the center's wishes, despite local civil society's protest.</t>
  </si>
  <si>
    <t>Only with approval of the central government.</t>
  </si>
  <si>
    <t>Yes, local authorities can introduce, abolish and regulate local taxes whin the scope of their authority, per Article 16 of the Local Self-government Code.</t>
  </si>
  <si>
    <t>No. Elected local officials do not post their schedules publicly, however some of the municipalities post the schedule for the local council meetings in advance. Local government web pages contain information for making appointments with them.</t>
  </si>
  <si>
    <t>No. All municipalities maintain web-pages of various degree of detail and development. Only Zugdidi municipality web page has electronic petitions function, per 2016-2017 OGP Action Plan for Georgia.</t>
  </si>
  <si>
    <t>Sometimes. The municipality web pages are not of uniform standard and level of detail. Some do not post notices of upcoming meetings at all.</t>
  </si>
  <si>
    <t>No. The Law on Local Self-Governance only obliges public consultations before making decisions on creation/abolishion of municipalities and change of municipal boundaries.</t>
  </si>
  <si>
    <t>No. The Civil Service Policy is published, in the form of the new Civil Service Law adopted in 2015. In April 2017 the Rules and Conditions for Evaluating Professional Civil Servants was adopted by Government resolution #220. However, these rules enter into force on January 1, 2018. Hence, there was no performance evaluation in the civil service conducted in 2017.</t>
  </si>
  <si>
    <t xml:space="preserve">Yes. Civil servants may access all data containing their personnel information. </t>
  </si>
  <si>
    <t xml:space="preserve">Yes/No. While the Civil Service Code explicitly states the nonpartisan nature of the service and establishes protection from discrimination and politically motivated dismissal, in practice there is very little respect for the nonpartisanhsip principles from current or any previous government. The judiciary has been instrumental in restoring the rights of the people dismissed with political motivation. </t>
  </si>
  <si>
    <t>Yes. Civil Service Bureau (CSB) is tasked with developing and coordinating civil service policy. However the Administration of Government is the body with the political clout for civil service policy development and coordination.</t>
  </si>
  <si>
    <t>Yes. While the CSB does not have effective accountability mechanisms, however the political authority of the Government Administration can sufficiently ensure that. CSB acts as an analytic unit, issues recommendations and delivers trainings, it does not have sufficient authority to compell ministries to go beyond the clear requirements set in the legislation.</t>
  </si>
  <si>
    <t>No. The law on remuneration in the civil service was adopted in December 2017. The budget law defines the base salary and the salary additions based on the civil servant's class are then to be added to this starting from 2018. The pay levels however currently remain non-competitive.</t>
  </si>
  <si>
    <t xml:space="preserve">Yes. There is a unified database of civil service employees, currently being used by 345 agencies. </t>
  </si>
  <si>
    <t xml:space="preserve">Yes. All posts are to be filled through open or closed competitions and a 10 day application period is to be ensured. Closed competitions are set for senior civil servant posts (ranks 1-3) and only active civil servants are eligible to participate. If the post is not filled through closed competition, then an open competition is to be held. The advertisements must be published on the official government employment web portal administered by CSB - www.hr.gov.ge, and may be published on the recruiting agency's official web page or gazette, however this is not a requirement. </t>
  </si>
  <si>
    <t>Partially. Objective assessment remains problematic, despite it being required by the legislation. The usual procedure for recruitment is a written test and an oral interview.  A commission is created in the hiring agency, usually headed by the head of that agency who appoints all of its members. Since legislative amendments effective from July 2017  the members include a representative of HR department, senior  civil servants from the hiring unit/department, a representative of specialized trade union, if such exists, and an independent professional, not affiliated with the hiring agency.</t>
  </si>
  <si>
    <t xml:space="preserve">Yes. Job descriptions are mandatory. </t>
  </si>
  <si>
    <t>Yes. Multiple persons are involved in the recruitement process, however all are appointed by the head of the hiring agency. The decision of the selection commission may be appealed within 2 working days at the appeals commission created within the agency, and then - taken to Court.</t>
  </si>
  <si>
    <t>Partially. The minimum recruitment legislation is the same across the civil service, but the hiring agencies have certain independence and some established practices, e.g.  internship for a specified period of time, upon satisfactory completion of which, former interns may apply for office.</t>
  </si>
  <si>
    <t>Partially. According to the Civil Service legislation performance appraisals are to be undertaken a least once a year for all civil servants. However so far this is not uniformly applied.</t>
  </si>
  <si>
    <t xml:space="preserve">No.  The Government resulution #220 of July 2017 set up the unified performance assessment system, which enters into force on January 1, 2018. </t>
  </si>
  <si>
    <t>Yes. Civil Service Code mandates promotion only through the standard competitive hiring process.</t>
  </si>
  <si>
    <t>Yes. There are no automatic promotions and all candidates must go through competitive selection process for all posts - the vacant posts must be advertised on hr.gov.ge  and standard selection comission is to be set up.</t>
  </si>
  <si>
    <t>Yes. The minimum requirements are uniform across the civil service.</t>
  </si>
  <si>
    <t>Yes. The selection commission may contain an outside independent expert and a representative of a relevant trade union.</t>
  </si>
  <si>
    <t>Yes. There can be no specific recourse for promotion grievances, but intead standard internal appeal can be used, as well as an appeal to Court.</t>
  </si>
  <si>
    <t>Yes. Chapter 10 of the Civil Service Code regulates the disciplinary liability and disciplinary process.</t>
  </si>
  <si>
    <t>No. Despite the significant new legislative changes adopted in 2017, selection, appointment and promotion of senior civil servants is still not based on principles of professionalism and political neutrality.</t>
  </si>
  <si>
    <t>signed in five area</t>
  </si>
  <si>
    <t>CB status</t>
  </si>
  <si>
    <t>CSB in CENELEC</t>
  </si>
  <si>
    <t>one company represented</t>
  </si>
  <si>
    <t>recognised for 3 products</t>
  </si>
  <si>
    <t>This indicator is beter if smaller, so it should not be correct to use its value in the avaerage calculated in the cell 93</t>
  </si>
  <si>
    <t>არის ხომ?</t>
  </si>
  <si>
    <t>Yes, PDP Inspector was appointed on 28 June 2013. The Inspector is independent, not subordinate to any other public official or body.</t>
  </si>
  <si>
    <t xml:space="preserve">Legal and institutional capacity for issuing biometric passports are in place
</t>
  </si>
  <si>
    <t>Yes, signed on 22 November 2010.</t>
  </si>
  <si>
    <t>The Migration Strategy of Georgia 2016-2020 was adopted by the Governmental Ordinance # 622 of December 14, 2015.</t>
  </si>
  <si>
    <t>Yes, legislation is in place. The issues related to obtaining asylum in Georgia are regulated by the Law of Georgia on International Protection. The Law provides for the following forms of international protection:
• Refugee status; 
• Humanitarian status; 
• Status of a person under temporary protection.
The decision to grant any of the above-mentioned statuses is made by the Ministry of Internally Displaced Persons from Occupied Territories, Accommodation and Refugees of Georgia.</t>
  </si>
  <si>
    <t>Yes. according to the law refugee status shall be granted to an alien or stateless person, who is outside the country of origin due to well-founded fear of persecution for reasons of race, religion, nationality, membership of a particular social group or political opinion, and is unable or, owing to such fear, is unwilling to avail himself of the protection of the country of origin.</t>
  </si>
  <si>
    <t xml:space="preserve">The issues related to obtaining asylum in Georgia are regulated by the Law of Georgia on International Protection. The Law provides for the following forms of international protection:
• Refugee status; 
• Humanitarian status; 
• Status of a person under temporary protection.
The decision to grant any of the above-mentioned statuses is made by the Ministry of Internally Displaced Persons from Occupied Territories, Accommodation and Refugees of Georgia.
</t>
  </si>
  <si>
    <t>In 2015 so called Medium Migration Profile (MMP) was prepared. It presents the state of migratory processes in the country and their interrelations with policy and development. Georgiia MMP is renewed once in two years and is complemented by editions of the follow-up (two per year) Brief Migration Profile (BMP – first produced in 2016) devoted to the main migratory trends identified in/by the MMP. The latest version of BMP is ussed on 5 June 2018</t>
  </si>
  <si>
    <t xml:space="preserve"> Temporary Accommodation Centre for asylum seekers in Martkopi was opened in 2016, with the total capacity to 132 persons.</t>
  </si>
  <si>
    <t>Georgia has adopted IBMS and Action Plan . A program on Border Police Modernisation, Standardisation and Unification has been started in August 2014 for a period of 5 years according to the plan in order to establish common unified and standardised procedures. An extensive reformation and modernisation of the customs system started in 2007 by establishing the Revenue Service that combined Customs and Tax Services.</t>
  </si>
  <si>
    <t xml:space="preserve">In April 2017, Georgia and Europol concluded a Strategic and Operational Agreement. It is planned to conclude a MoU on confidentiality and information assurance and the establishment of a secure line  and Georgia requested posting a liaison  officer to Europol.  On 5 May 2017 a new National Strategy on Combating Organised Crime of 2017-2020 and its 2017-2018 Action Plan were adopted. They focus on combating "thieves in law", the transit of narcotic drugs, and cybercrime, introducing analysis based policing and community policing.   Interagency Coordinating Council for Combating Organised Crime was established in 2013 </t>
  </si>
  <si>
    <t>In December 2016, a new Action Plan for 2017-2018 was adopted to fight against trafficking in human being.</t>
  </si>
  <si>
    <t xml:space="preserve">The State Fund for Protection of and Assistance to (Statutory) Victims of Trafficking in Human Beings, established in 2006, is responsible for the two victim shelters and the financing of support measures. All victims, whether they are considered as 'statutory victims' by the law or not, have access to the services provided by the State Fund,
including a three-month stay in one of the shelters and payment of a compensation 
</t>
  </si>
  <si>
    <t xml:space="preserve">new amendments to the Criminal Code, the Code of Administrative offenses and the Law on Drugs were adopted by the Parliament on 26 July 2017.  </t>
  </si>
  <si>
    <t xml:space="preserve">partially. Regulator disclose market rules on technical issues for consumers and operators while the rules of defining tarrifs are not clear and raises questions in society. Moreover in energy sector there are number of confidential contracts with projects sponsors both in electricity as well as in gas sector </t>
  </si>
  <si>
    <t>Under preparation - 0.5. under Energy treaty Directive 2009/72/EC concerning common rules for the internal market in electricity and repealing Directive 2003/54/EC  should be approximated by the end of 2018, as well as other key directives in electricty, renewables and Energy Efficiency area. however, for Gas  sector deadline is 2020 and oil 2023</t>
  </si>
  <si>
    <t>still no legislation adopted</t>
  </si>
  <si>
    <t xml:space="preserve">0.5, Georgia Government  adopts a roadmap for environmental protection under the association agreement and all reforms are under AA, however, as country lacks State environmental policy and strategy there is numerous problems especially for integration of environment in other fields;  Goverment also prepared Environmental Action plan for 2017-2020 , but its still not adopted </t>
  </si>
  <si>
    <t>it contains reforms, however, the reform of 2017, was not part of neither roadmap, neither any other govermental program</t>
  </si>
  <si>
    <t>yes, by law on environment</t>
  </si>
  <si>
    <t>ongoing law on changes in the air legislation , Tbilisi Air quality improvement startegy and action plan was adopted last year</t>
  </si>
  <si>
    <t xml:space="preserve">0ngoing work on new framework law, </t>
  </si>
  <si>
    <t>was adopted , including Action plan</t>
  </si>
  <si>
    <t>there is only Biodiversity Strategy and action plan adopted, not sure how to define the score</t>
  </si>
  <si>
    <t>the regulation   (EC) N 689/2008 was adopted in 2017</t>
  </si>
  <si>
    <t>adopted in 2017. Strategic Environmental Impact Assesment enetered into force in 1.7.2018</t>
  </si>
  <si>
    <t xml:space="preserve"> adopted in 2017. Environmental Assessment Code (SEA and EIA) entered in force in 1.1. 2018</t>
  </si>
  <si>
    <t>http://www.geostat.ge/index.php?action=page&amp;p_id=431&amp;lang=eng</t>
  </si>
  <si>
    <t>Under preparation. Also Climate Change Natonal Adaptation
Plan for Georgia’s Agriculture Sector been adopted in 2017</t>
  </si>
  <si>
    <t>NATIONAL LEDS AND NDC ACTION PLAN FINALIZED AND APPROVED BY THE GOVERNMENT OF GEORGIA</t>
  </si>
  <si>
    <t>There is climate change office in MoE. After restructuring in November 2017, since 2018 in the ministry of environmental protection and agricultue, it becomes the part of  there is department of environment and climate change</t>
  </si>
  <si>
    <t>The Georgian Railway company is a joint stock company</t>
  </si>
  <si>
    <t>Roads of general usage are state-owned . All roads are constructed by private companies selected after tender procedure. There is no state monopoly in the sector</t>
  </si>
  <si>
    <t xml:space="preserve"> Ports are granted for concession</t>
  </si>
  <si>
    <t>All airports are state-owned, operated by private companies (Tbilisi, Batumi,) and Kutaisi, by LTD established by State</t>
  </si>
  <si>
    <t>Railway is managed by  Joint Stock  Railway Company, but can be operated with participation of private companies</t>
  </si>
  <si>
    <t>Private companies take part in tenders for roads construction and maintenance, under the supervision of road department</t>
  </si>
  <si>
    <t>Infrastructure, freight and passenger transportation are separate business units under the State Rail way Company</t>
  </si>
  <si>
    <t xml:space="preserve">same </t>
  </si>
  <si>
    <t>The patrol police is responsible for incidents prevention and investigation</t>
  </si>
  <si>
    <t xml:space="preserve">The Coast Guard Department of Border Police is responsible for incidents prevention and investigation on the sea. 
</t>
  </si>
  <si>
    <t xml:space="preserve">  Civil Aviation and Maritime Transport Accident Incident  that does not causing high risks  is investigated by the service provider/aviation company  </t>
  </si>
  <si>
    <t>in total 6079 accident, 8461 people injured, 517 dies</t>
  </si>
  <si>
    <t>In December 2016 the Government adopted the 2017 Action Plan for the National Road Safety Strategy, envisages relevant legislative and policy measures, including investment in road safety and periodic roadworthiness tests for vehicles. The plan is under implementation. 31.12.2017 was adopted techinical inspection regulation for vehicles</t>
  </si>
  <si>
    <t xml:space="preserve">only elements in different strategies and action plans, as well as under SDG nationalization process  was defined SD for Georgia </t>
  </si>
  <si>
    <t>no coordination</t>
  </si>
  <si>
    <t>http://www.eiec.gov.ge/AboutUs/%E1%83%A9%E1%83%95%E1%83%94%E1%83%9C%E1%83%98-%E1%83%9E%E1%83%A0%E1%83%9D%E1%83%94%E1%83%A5%E1%83%A2%E1%83%94%E1%83%91%E1%83%98/%E1%83%A1%E1%83%90%E1%83%9B%E1%83%9D%E1%83%A5%E1%83%9B%E1%83%94%E1%83%93%E1%83%9D-%E1%83%92%E1%83%94%E1%83%92%E1%83%9B%E1%83%90-%E1%83%92%E1%83%90%E1%83%9C%E1%83%90%E1%83%97%E1%83%9A%E1%83%94%E1%83%91%E1%83%90-%E1%83%9B%E1%83%93%E1%83%92%E1%83%A0%E1%83%90%E1%83%93%E1%83%98-%E1%83%92%E1%83%90%E1%83%9C%E1%83%95%E1%83%98%E1%83%97%E1%83%90%E1%83%A0%E1%83%94%E1%83%91%E1%83%98%E1%83%A1-(1).aspx</t>
  </si>
  <si>
    <t>0.5. The Environmental Education for Sustainable development, prepares in 2017 action plan for 2018-2020 and since 2018 september will be integrated in curricula, teacher education and student assessment</t>
  </si>
  <si>
    <t>in 2016, there was decreased consumption incomparison with 2015, not includes HPP</t>
  </si>
  <si>
    <t>waste management plan2016-2030, approved in April 2016</t>
  </si>
  <si>
    <t>No official data, however, there is small recycling facilities for plastic, paper and old bateries for cars</t>
  </si>
  <si>
    <t>iea.gov.</t>
  </si>
  <si>
    <t>geostat.ge</t>
  </si>
  <si>
    <t>3rd Environmental Performance Review of Georgia - unece</t>
  </si>
  <si>
    <t>same</t>
  </si>
  <si>
    <t>here significance reduction, as the previous calculations were from different international reports, first time geostat.ge this year puts new statistical data including pestides</t>
  </si>
  <si>
    <t>decrease</t>
  </si>
  <si>
    <t>increase</t>
  </si>
  <si>
    <t>Yes, the recognition of periods of study abroad and degrees obtained outside Georgia is regulated by the Georgian Law on Higher Education (Article 50). “A qualification acquired at a foreign higher education institution or the education acquired during the period of study at a foreign higher education institution shall be recognized by the NCEQE according to the procedures defined in the international agreements of Georgia by the MoES”. ECTS has been adopted in 2005 according to the Law of Georgia on Higher Education and starting from 2007 it is fully implemented in all accredited HEIs. Bachelor programs cannot comprise less than 240 ECTS credits whereas Master programs comprise 120 ECTS and doctoral programs 180 ECTS</t>
  </si>
  <si>
    <t>The National Qualifications Framework was revised.A new draft of National Qualificaiotns Framework (NQF) was prepared (Source: Implementation of EU-Georgia Association Agenda - 2014-2016). The NQF was approved by a decree#120/N of the Ministry of Education in December, 2010</t>
  </si>
  <si>
    <t>Yes. NQF has been developed on the basis of EQF and adopted in December 2010 encompassing all study fields existing in the country. The NQF is based on the European Qualifications Framework for Lifelong Learning (LLL).The NQF is making qualifications issued by higher education institutions understandable in European Higher Education Area. The main international legal text that aims to facilitate the recognition of qualifications Lisbon Recognition Convention was ratified by the Parliament of Georgia in 1999. Mutual qualification recognition is responsibility of National Centre for Education Quality Enhancement (Accreditation Centre).   http://eqe.ge/eng/education/national_qualifications_framework</t>
  </si>
  <si>
    <t xml:space="preserve">
here are 75 autorised HEIs in Georgia, 55 out of them are private, and 20 public. 68 % of HEIs are located in capital city, Tbilisi. The HEIs have the status of legal entities of public law (LEPL) are subject to a greater control by the Ministry of Education (MoES) which approves the charter of the public HEIs upon the proposal of the Council of Representatives (HEI elective body, developing statute and internal regulations of the institute, as well as approving budget, academic staff recruitment procedures, code of ethics, etc.); In case of a non-commercial non-profit legal entity, founded by the state, the governmental control is significantly reduced. All HEIs are free to develop and approve the study, research, creative work policies, develop and approve the rules for the recruitment of staff, their internal regulations, elect their management bodies and officials and manage their finances and property. The formal autonomy of the HEIs granted by law is evolving into an effective autonomy. The establishment of a Council of Rectors of the Public Higher Education Institutions and a Council of Rectors of the Private Higher Education Institutions in 2009 is a clear sign of the growing self-confidence of HEIs (https://eacea.ec.europa.eu/sites/eacea-site/files/countryfiche_georgia_2017.pdf)</t>
  </si>
  <si>
    <t>es, on legal bases. Curriculum development is the responsibility of the HEIs, according to the Principle of the Academic Freedom. Each of HEIs is free to choose the teching methodology depending on the field of studies and the faculty profile. Academic staff is also free to determine teaching methods of their courses/modules. New programmes have to be approved according to the internal procedures of the HEIs. The structure of the curricula and the proportion of compulsory, as well as elective subjects are defined by the HEIs. The same applies to the university research activities. At the same time, the accreditation of new programs and authorization of the HEIs should be granted by the National Centre for Educational Quality Enhancement (NCEQE); However the NCEQE is an independent in its activities. The Director of the Centre is appointed by the Minister of Education and Science (MoES) whose candidacy is agreed with the Prime Minister. At the same time, the members of the Authorization and Accreditation Boards are nominated by the MoES and appointed by the Prime Minister.</t>
  </si>
  <si>
    <t>efficiency and transparency of financing. The maximum annual amount of state grant is GEL 2,250 equal to about 859 €, which is linked to student and follows the student during horizontal mobility from one HEI to another. The state grants are given on the basis of the results at the Unified National Examinations at bachelor’s level and for the master’s level, according to the results of the centralized Master’s Exams. The grants can be 100%, 70% and 50%. The voucher scheme takes the form of a government grant to students (Source: https://eacea.ec.europa.eu/sites/eacea-site/files/countryfiche_georgia_2017.pdf). State funding goes only to accredited programs. The Law on Higher Education that was amended in 2013 by the Parliament defines the range of salaries of the administrative staff of the higher educational institutions. These amendments can also perceive as restrictions to the financial autonomy of the public higher educational institutions in Georgia.</t>
  </si>
  <si>
    <t>Yes. The regulations concerning occupying academic posts are the same for public and private HEIs. HEI’s define the rules for occupying academic posts. The academic post can be occupied only on the basis of the open competition based on the principles of transparent, equal and fair competition. The date and conditions of the competition is public, according to the procedures prescribed by Georgian legislation and the HEI’s Charter (not later than one month prior to the registration and two months prior to the competition), besides the HEI may define additional conditions for selection of the academic staff.  At public higher education institution this procedure shall be defined by the Academic Council and approved by the Council of Representatives of the university. All state HEIs are autonomous in establishing their own norms and scales of academic staff salaries. There is no rule for salary rates at national level. Promotion and advancement conditions for staff are defined by the HEI itself. It may even differ within one institution according to the profile of the department.</t>
  </si>
  <si>
    <t xml:space="preserve">In the institutions of higher education, in bachelor, certified physician/dentist educational programs, only those enrollees have a right to study who completed respective Unified National Exams according to the rule defined by the Ministry of Education and Science of Georgia. In higher educational institutions of Orthodox theologian direction, enrolment of students in bachelor's theologian educational program is carried out on the basis of proposal presented by Catholicos-Patriarch of Georgia, according to the rule defined by the Ministry of Education and Science of Georgia, on the basis of result obtained in certain subject of Unified National Exams.      
National Examinations Center is a legal entity of public law which ensures execution of Unified National and Joint Master Exams, is authorized to carry out national estimations and international researches, carrying out other authorities defined by the Georgian legislation. </t>
  </si>
  <si>
    <t>The foreign citizens can apply for free university education if they will pass national exams. in other cases they are paying, the information is on the following link.  the at the following link: http://mes.gov.ge/uploads/91n.pdf  . Also the special webpage is in use for foreigners giving information on Higher Educational Institutions in Georgia 
http://www.studyingeorgia.com.ng/education/international-students.html . the major problem they have recent years , problems to get residence permits</t>
  </si>
  <si>
    <t>The Georgian Cultural Strategy - Culture 2025 has been adopted  in 2016  https://en.unesco.org/creativity/policy-monitoring-platform/georgian-culture-strategy-2025</t>
  </si>
  <si>
    <t>takes place in Julne 2018, results will be available in a fall 2018 https://rm.coe.int/16806a2caa</t>
  </si>
  <si>
    <t>http://www.culturaldiversitygeorgia.com/artdifferent/</t>
  </si>
  <si>
    <t>PLEASE take into account that last year , the question was reverse</t>
  </si>
  <si>
    <t xml:space="preserve">1 </t>
  </si>
  <si>
    <t>1 Private companies can provide airport services</t>
  </si>
  <si>
    <t>0.6%</t>
  </si>
  <si>
    <t>not available</t>
  </si>
  <si>
    <r>
      <t>Poverty:</t>
    </r>
    <r>
      <rPr>
        <sz val="11"/>
        <rFont val="Calibri"/>
        <family val="2"/>
      </rPr>
      <t xml:space="preserve"> people living on less than 1.90$ per day (% of population) World Bank</t>
    </r>
  </si>
  <si>
    <t>data for 2016</t>
  </si>
  <si>
    <t>data for 2015</t>
  </si>
  <si>
    <r>
      <t>Healthy lives and wellbeing:</t>
    </r>
    <r>
      <rPr>
        <sz val="11"/>
        <rFont val="Calibri"/>
        <family val="2"/>
      </rPr>
      <t xml:space="preserve"> Maternal mortality ratio (per 100.000 birth rate) (source: WB, WHO) https://data.worldbank.org/indicator/SH.STA.MMRT</t>
    </r>
  </si>
  <si>
    <r>
      <t>Suicide mortality rate</t>
    </r>
    <r>
      <rPr>
        <sz val="11"/>
        <rFont val="Calibri"/>
        <family val="2"/>
      </rPr>
      <t xml:space="preserve"> (per 100,000 per year) https://data.worldbank.org/indicator/SH.STA.SUIC.P5</t>
    </r>
  </si>
  <si>
    <t>Death rate due to road traffic injuries (Per 100,000) https://data.worldbank.org/indicator/SH.STA.TRAF.P5</t>
  </si>
  <si>
    <t>Life satisfaction (EBRD, 2017) Life satisfaction” refers to the proportion of respondents in each country who “agree” or “strongly agree” with the statement: “all things considered, I am satisfied with my life now” (source: http://litsonline-ebrd.com/</t>
  </si>
  <si>
    <r>
      <t xml:space="preserve">Gender equality and women's empowerment: </t>
    </r>
    <r>
      <rPr>
        <sz val="11"/>
        <rFont val="Calibri"/>
        <family val="2"/>
      </rPr>
      <t xml:space="preserve"> existing rank from Gender Inequality Index, undp http://hdr.undp.org/en/data   http://hdr.undp.org/en/composite/GII</t>
    </r>
  </si>
  <si>
    <t>Appeal Procedures OECD Trade Facilitation Indicators (A12)</t>
  </si>
  <si>
    <t xml:space="preserve">Advance Rulings OECD Trade Facilitation Indicators  http://compareyourcountry.org/trade-facilitation?cr=oecd&amp;lg=en&amp;page=0&amp;visited=1 </t>
  </si>
  <si>
    <t>data for LT is from 2015</t>
  </si>
  <si>
    <t>Ratio CO2/GDP at PPP at constant prices (2011), t CO2/1000 international dollars https://data.worldbank.org/indicator/EN.ATM.CO2E.PP.GD?locations=LT</t>
  </si>
  <si>
    <t>Share of forest area, % https://data.worldbank.org/indicator/AG.LND.FRST.ZS</t>
  </si>
  <si>
    <t>Property Rights, Index of Economic Freedom, https://www.heritage.org/index/explore</t>
  </si>
  <si>
    <t>Government Integrity, Index of Economic Freedom, https://www.heritage.org/index/explore</t>
  </si>
  <si>
    <t>Country executes a decision with a delay or does not perform. There is insufficient funding for compensation, but does not take actions directed by the Court in the judgment.
In 2017, the European Court of Human Rights (ECHR) adopted 87 decisions on cases related to Ukraine.
The Government of Ukraine has put UAH 640 million to compensate in 2017 this money is not enough; does not start a new investigation and changes in the legislation.</t>
  </si>
  <si>
    <t xml:space="preserve">Privacy is guaranteed by Ukrainian legislation and international instruments. In Ukraine, the importance of this right is often ignored for the normal life of every person, especially those who are in non-freedom places. Violation of this right causes many violations of other human rights and freedoms. Intervention in private life; the secret of correspondence and telephone conversations, telegraph and other correspondence; taking a physical person on a photo, movie, TV or video tape, including a secret; unauthorized secret investigative actions; illegal listening and tracking; compulsory medical examination and treatment; interference in the family life of homosexual persons is far from a complete list of violations that are recorded in Ukraine.
The provisions of the Constitution of Ukraine, which are rules of direct action, broadly interpret the right to privacy.
</t>
  </si>
  <si>
    <t>Yes. The Ombudsman + model has been selected. NGOs are accepted for visits. Expert Council with Ombudsman's Representative on NPM is playing a key role.</t>
  </si>
  <si>
    <t>The parliament and its committees have the right to invite any governmental officials except for President and judges. In case of invitation to participate at the parliamentary session the decision has to be taken by one third of the members of parliament. In addition to the parliament, the executive branch officials can be summoned by the parliamentary committees, special or temporary investigation commission to the sessions where the issues which belong to the competence of the respective committee or commission are discussed.</t>
  </si>
  <si>
    <t>The Parliament has the right to conduct independent investigations of the chief executive and agencies of the executive by establishment of  temporary commissions of inquiry. However, the law that regulates the activities of the respective commissions was defined as “anticonstitutional” by the Constitutional Court of Ukraine back in 2009. Therefore the activities of the respective commissions lack legislative background.</t>
  </si>
  <si>
    <t>Currently in the Parliament of Ukraine there are three Special investigation commissions: 1) temporary commission investigating the circumstances of the conflict in Zakarpatska oblast; 2) temporary investigation commission on technical expertise of the construction and check of the efficiency of the usage of budget costs during the construction of bridges over the Dnipro river in Zaporizhzhya city and 3) on checking the facts of violations during the elections of Kryvyy Rih mayor on November 15, 2015</t>
  </si>
  <si>
    <t>Under the Article 85 of the Constitution of Ukraine the Parliament is entitled to conduct parliamentary oversight and to pass the laws regulating the activities of the security and defence sector, their competences, budget assignements and passes the decisions on the reports on spendings. According to Article 89 of the Consitution the Parliament also creates the committees which among others have the right of oversight over security and defence sector and has the right to create temporary special commissions and temporary ivestigation commissions. The oversight is also ensured through the institute of Ombudman (Article 101 of the Constitution of Ukraine). In accordance with the Article 6 of the Law "On National Security" (passed in 2018) the Cabinet of Ministers of Ukraine, the Security Service of Ukraine, the Department of the State Guard of Ukraine have to pass annual reports on their activities to the Parliament of Ukraine.</t>
  </si>
  <si>
    <t>Partly.The effectiveness of such control is not very high since the parliament is not allowed to vote no confidence on the heads of the relevant agencies. Besides, the Parliament is limited in its right to investigate the activities of the respective bodies by the lack of legislation that regulates the activities of the respective special investigation commissions. Also, the Law "On the particularities of the state policy on ensuring of state sovereignity of Ukraine over temporarily occupied territories in Donetsk and Luhansk oblasts" passed in 2018 also parliamentary limits the parliamentary oversight</t>
  </si>
  <si>
    <t>yes.The Prime Minister is appointed by the Parliament upon the President's proposal. The President is constitutionally required to submit to the Parliament the name of the PM suggested by parliamentary coalition no later than on 15th day after the name was suggested.</t>
  </si>
  <si>
    <t>Yes, the legislature appoints all the ministers on the Prime Minister's proposal, with the only exception of Foreign Minister and Minister of Defense, whose names are suggested to the legislature by the President.</t>
  </si>
  <si>
    <t>On the proposal of a president or of no less than one-third of its constitutional composition, the Parliament may initiate the vote of no confidence in the government and adopt resolution of no confidence in the Cabinet of Ministers by the majority of its constitutional composition. However, non-confidence in the government cannot be considered by the Parliament of Ukraine more than once during one regular session and within one year from the date of approval of the Government’s Program.</t>
  </si>
  <si>
    <t>The President is entitled to dissolve theParliament in three cases: if the Parliament fails to hold its regular meetings during 30 days of the current session, if no new government has been formed in 60 days after the previous government's resignation, and if during 30 days following dissolution of the parliamentary coalition new coalition has not been formed.</t>
  </si>
  <si>
    <t>A two-thirds majority is required to override a presidential veto. At the same time president is limited in his right to veto the laws that envisage constitutional amendments.</t>
  </si>
  <si>
    <t>The legislature can initiate bills in all policy areas (however, draft budget law can be submitted to the Parliament only by the Cabinet of Ministers of Ukraine). None of the bills requires prior consent of the executive.</t>
  </si>
  <si>
    <t>The executive can impound funds appropriated by the legislature.</t>
  </si>
  <si>
    <t>The resources that finance the Parliament’s internal operation are provided for by the internal budget of the Parliament, based on the State budget of Ukraine. The internal budget of the Parliament can be adopted and amended only by the legislature.</t>
  </si>
  <si>
    <t>All MPs are elected on the basis of universal, equal, direct and secret suffrage for a 5-year term</t>
  </si>
  <si>
    <t>Any changes to Constitution are invalid without passing through the parliament</t>
  </si>
  <si>
    <t>Amnesty can be granted only by the law adopted by the Parliament and signed by the President of Ukraine</t>
  </si>
  <si>
    <t>Amnesty can be granted by the law adopted by the Parliament and signed by the President of Ukraine</t>
  </si>
  <si>
    <t xml:space="preserve">The influence is assured in two major ways: first, through appointment of half the members of the National Broadcasting Council, which regulates the activities of the broadcasting entities, including public (state-owned media); second, through development of the policy in the field of broadcasting and adoption of the relevant laws. The parliament also operates TV-channel “Rada” created by the Decree of the Head of the parliament dated by 28.11.1998. </t>
  </si>
  <si>
    <t>Each legislator has the right to employ up to four paid assistants and up to 27 assistants working on unpaid basis</t>
  </si>
  <si>
    <t>Despite a state-funded legislative staff, not every legislator has at least one policy expert.</t>
  </si>
  <si>
    <t>The budget of the legislative staff is assured by the separate lines in the annex to the Law "On State budget for Ukraine for 2017"</t>
  </si>
  <si>
    <t>The Parliament's Secretariat includes the Main Scientific-Expert Department and the Main Judicial Department. Besides there is a National Parliamentary Library</t>
  </si>
  <si>
    <t>The Accounting Chamber shall control over the revenues of funds to the State Budget of Ukraine and their expenditure on behalf of the Parliament of Ukraine in accordance with the Article 89 of the Constitution of Ukraine</t>
  </si>
  <si>
    <t>The Parliament's Secretariat includes the Main Scientific-Expert Department and the Main Judicial Department responsible for the respective tasks</t>
  </si>
  <si>
    <t xml:space="preserve">Although the Rules of Procedure (Art.81) provide that the composition of the committees has to reflect the weight of political groups in the legislature, these provisions are not enforced in practice. </t>
  </si>
  <si>
    <t>The coalition includes two factions (Petro Poroshenko Block - BPP and People's Front - NF) and constitutes 48.2% (thus de-facto Ukraine has minority government) whereas the main opposition party (Opoblock) has 9.6%</t>
  </si>
  <si>
    <t>In the most recent completed legislative period the number of bills/resolutions submitted by the opposition was equal to 428, which constitutes 29% out of total number of submitted bills.</t>
  </si>
  <si>
    <t>In the most recent completed legislative period the number of bills/resolutions submitted by the opposition and adopted was equal to 14, which constitutes 0.88% out of total number of submitted bills</t>
  </si>
  <si>
    <t>In 2017 within Petro Poroshenko Block 4 MPs left the faction, there were no changes in People's Front, Batkivshchyna and Opoblock, in Self-Help - Samopomich 1 MP left the faction. Within People's will group 3 MPs left.</t>
  </si>
  <si>
    <t>Yes. Under the article 21 of the Budget Code, the Ministry of Finance of Ukraine elaborates a forecast of the state budget for the next two years following the planning period. The forecast includes the indicative projected figures of the main revenue and expenditure components. The deadline of the forecast for 2018 and 2019 was temporarily postponed from 1 April to 1 June. The reason for this was the lack of time to update and process the information based on the major macroeconomic indicators. The latter was estimated by the Ministry of Economic Development and Trade of Ukraine until 1 March and adjusted until 17 March.</t>
  </si>
  <si>
    <t>Yes. Under the article 21 of the Budget Code, the Ministry of Finance of Ukraine elaborates a forecast of the state budget for the next two years following the planning period. The forecast includes the indicative projected figures of the financing of the fiscal deficit.The deadline of the forecast for 2018 and 2019 was temporarily postponed from 1 April to 1 June. The reason for this was the lack of time to update and process the information based on the major macroeconomic indicators. The latter was estimated by the Ministry of Economic Development and Trade of Ukraine until 1 March and adjusted until 17 March.</t>
  </si>
  <si>
    <t>There have not been any instances of violation of the principle of proportionality by the police in general. Separate cases concern some policemen and not units.</t>
  </si>
  <si>
    <t xml:space="preserve">Chairman of the Parliament is the member of National Security and Defence Council (upon agreement). It is defined by the Constitution of Ukraine (Art.107) and the Decree of the President of Ukraine № 528/2014, dated 16 June 2014. Participation of the Chairman of the Parliament in the Council meetings is not obligatory. </t>
  </si>
  <si>
    <t>According to the Article 85 of the Constitution of Ukraine, the declaration of war and launching of military operations are to be approved by the Parliament's decision.</t>
  </si>
  <si>
    <t>According to the Article 85 of the Constitution of Ukraine, the Parliament appoints the Minister of Defense and the Head of the Security Service of Ukraine nominated by the President. It appoints the Minister of Interior nominated by the prime minister.</t>
  </si>
  <si>
    <t xml:space="preserve">The management institutions report to the Parliament at least once a year. The Parliament and its committees have rights to organize hearings that they do on annual basis or in the case of urgency. Under the law, SSU has to present its annual report to the Parliament. The minutes of hearings are available for general public, but some parts of them can be close to the public because of secret information. A committee or a MP can also request additional information. </t>
  </si>
  <si>
    <t>There is the mentioned information on the MoD web-site (http://www.mil.gov.ua/ministry/sklad-zbrojnix-sil-ukraini/), except confidential or restricted information on operational decisions. The budget figures are on the Parliament's web-site (http://zakon3.rada.gov.ua/laws/show/1801-19).</t>
  </si>
  <si>
    <t>MoD publishes regular information massages and reports on its activities (http://www.mil.gov.ua/news/)</t>
  </si>
  <si>
    <t>MoD does not publish such information</t>
  </si>
  <si>
    <t>SSU does not publish such information</t>
  </si>
  <si>
    <t>The National Preventive Mechanism functions under auspices of the Ombudsman (http://www.ombudsman.gov.ua/ua/page/npm/ekspertna-rada/). Its members formally have unrestricted access to places of detention in accordance with the amendments of the Law of Ukraine on the National Preventive Mechanism. However, its last report on the situation in 2016 was published in June 2017 (http://www.ombudsman.gov.ua/ua/all-news/pr/29617-zb-predstavleno-spetsialnu-dopovid-upovnovazhenogo-monitoring-mists-nesvo/), and the last news are dated 17 May 2016. Therefore, information on unrestricted access is absent.</t>
  </si>
  <si>
    <t>Civil society organisations and human rights NGOs are represented in National Preventive Mechanism.</t>
  </si>
  <si>
    <t>(there were cases against Vesti, Strana.UA and others however they are mostly providers of RU propaganda messages; some rumors of the media concenration around President Poroshenko - like Priamy TV channel)</t>
  </si>
  <si>
    <t>(case against Guzhva, but he is also related with the RU propaganda machine)</t>
  </si>
  <si>
    <t>сases with Vesti, STRANA.UA</t>
  </si>
  <si>
    <t>Yes (0)</t>
  </si>
  <si>
    <t>No; however there were cases of draft laws aimed to impose more responsibilities on the journalists regarding the defamation</t>
  </si>
  <si>
    <t xml:space="preserve">(Presidential Decree on the blocking of several RU internet resources - also there is a list of web-sites to be blocked due to the anti-UA propaganda) </t>
  </si>
  <si>
    <t>yes. (there is a huge step forward in open data)</t>
  </si>
  <si>
    <t>(there is the doctrine of national security included the notion of cyber-security; cyber-police department has been established; however the legistaltion need to be more detailed)</t>
  </si>
  <si>
    <t>there are several initiatives related to the saver internet, digital security and media literacy being implemented primarily by civil society groups</t>
  </si>
  <si>
    <t>Yes. The Constitution and the respective laws state that a citizen of Ukraine, not younger than 30 and not older than 65 years old, who has higher legal education and at least 5 years of professional experience in the area of law, is competent, possesses integrity, and has command of the state language may be appointed to judicial position. To become a judge, a person must pass a selection examination (in the format of anonymous testing aimed at verifying a candidate's level of general theretical knowledge, command of state language, and personal moral and psychological characteristics), followed by special vetting as set forth by anti-corruption legislation (verification of property declarations, family connections declarations, etc.), further followed by specialized theoretical and practical training at the National School of Judges (during 12 months) and the passage of a qualification examination (written anonymous testing and anonymous performance of a written practical assignment aimed at identifying the level of knowledge, practical skills, and abilities to apply the law and conduct court sessions. Candidates for positions on appellate courts and the Supreme Court must meet increased experience requirements in the area of law (at least 7 and 10 years respectively), and judges, practicing lawyers, and legal scholars may apply to these positions.</t>
  </si>
  <si>
    <t xml:space="preserve">Yes. According to the law, the advancement of a judge to higher office is done on competitive basis, upon results of qualification evaluation. Criteria for qualification evaluation include: competence (professional, personal, social, etc.), professional ethics, and integrity. </t>
  </si>
  <si>
    <t xml:space="preserve">Yes. According to the Constitution, grounds for removal of a judge include inability to perform judicial duties due to health condition; violation of requirements prohibiting occupying multiple offices by a judge; commission of a significant disciplinary misconduct and gross or systematic disregard of judicial duties, which are incompatible with the status of a judge or have revealed a judge's incompatibility to the office; submitting a resignation application or resigning on a judge's own initiative; not consenting to the transfer to another court in the event of liquidation or reorganization of a judge's current court; and violating the duty to verify the legality of sources of origin of property. The Law sets forth the list of types of disciplinary misconducts. The procedure for reviewing and issuing a decision on removal of a judge from office is carried out by an independent judicial governance body - the High Council of Justice, while its disciplinary chambers serve as disciplinary bodies. </t>
  </si>
  <si>
    <t>More no than yes. The High Council of Justice, a body resonsible for the disciplinary proceedings, is underperforming in clear cases of violation (e.g. in "Judges of Maidan" cases), and sometimes disciplinary measures are used for political reasons to discipline judges who showed themselves to be "too independent".</t>
  </si>
  <si>
    <t>0 (0.5 proposed by expert)</t>
  </si>
  <si>
    <t>1 (0.5 proposed by expert)</t>
  </si>
  <si>
    <t>1 (0.75 proposed by expert)</t>
  </si>
  <si>
    <t>Partially. Despite significant cuts in the power of court presidents, they remain influential players who, given their support by judicial teams, can exert unlawful influence over judges. Discussing cases with court presidents and confirming court decisions with them is generally tolerated among judges. The problem relating to attempts at political influence over judges has also not been resolved, even though the scale of such influence on the part of the current government is smaller than peviously. Since many of the judges lack integrity, law enforcement authorities have accumulated quite some dirt against them; thus, judges are prepared to comply with any sort of instructions to prevent the use of this damaging information against them.</t>
  </si>
  <si>
    <t>Partially. Lobbying for financing is based on personal contacts, rather than on legal mechanisms. Funds allocated to  the judicial branch are administered by the State Court Administration, which is accountable to the Council of Judges of Ukraine (however, starting from 2017, the  Superior  Council of Justice, which the State Court Administration will report to, will be responsible for the courts budget). The Supreme Court administers its own funds.</t>
  </si>
  <si>
    <t>Yes, partially. The Law "On the judiciary and status of Judges" guarantees state protection of judges and their families. A judge is entiled to receiving the protection measures that are provided by the Court Protection Service. The Court Protection Service and law enforcement authorities are required to undertake measures needed for ensuring the security of judges and their family members, as well as the protection of their property, upon application by a judge. However, in practice, judges are not sufficiently protected from attacks. Murders of judges go unsolved for years. No visible measures are taken to prevent such instances. In practice, the Court Protection Service has not been established, and functions relating to protection of the courts are carried out by the National Police - although, for a rather lengthy period of 2015-2016, the majority of the courts received no security, since these functions fell within the competence of the Court Protection Service that did not exist. The Minister of Interior threatened to remove the dourt secutiry managed by the National Police when he was unhappy with one of the court decisions.</t>
  </si>
  <si>
    <t>Yes. A judge is appointed by the President upon recommendation by the High Council of Justice, following passage of the competition by a candidate. Judges are guaranteed to remain in office until reaching the age of 65.</t>
  </si>
  <si>
    <t>Yes, partially. A determinative role in making decisions on appointment, career and removal of judges belongs to the High Qualification Commission of Judges and the High Council of Justice. By the law, the High Qualification Commission of Judges consists of 16 members, 8 оf which elected by the Congress of Judges of Ukraine from among judges or retired jusges with at least ten years of judicial experience. As for the High Council of Justice, according to the Constitution, it includes 21 members, 10 of which elected by the Congress of Judges of Ukraine from among judges or retired judges, plus the Head of the Supreme Court ex officio. However, although  judges make up the majority of the Supreme Council of Justice before 2019, not all of them were elected by judges. However, the majority of judges in the juducial governance bodies alone does not guarantee judicial independence since the selection process is still heavily influenced politically, and as a result the judicial representatives in the governance bodies remain prone to political interference.</t>
  </si>
  <si>
    <t>Yes. Since 1996, a Constitutional Court is functioning in Ukraine, which is authorised to review the constitutionality of acts of Parliament, President, and Government, as well as to perform some other functions. Unconstitutional acts lose effect from the date of the decision of the Constitutional Court, unless otherwise in provided for by the decision, but no earlier than the date of it issuance. However, the lawmakers do not always adhere to the demands by the Constitutional Court to fill certain gaps in the legal framework, and the Constitutional Court does not have any leverage to correct this situation. In 2017, the CCU adopted only 2 decisions.</t>
  </si>
  <si>
    <t xml:space="preserve">Yes, partly. To review administrative acts, Ukraine has created a system of administrative courts and introduced administrative justice. In 2010, administrative courts received a power to impose huge penalties on an official who did not report on the implementation of a court’s decision or did not comply with it. Half of this penalty is collected by the state budget, while the other half is given to a person who won the court case. However, the administrative courts remain largely politically dependent, and in many cases fail to review the actions of the government properly.  </t>
  </si>
  <si>
    <t>Partially. According to the Constitution of Ukraine, jurisdiction of the courts extends to all legal disputes. However, there are also instances when the courts of different specialisations simultaneously refuse to accept certain cases to review, on the grounds that these cases must be heard by a court of different specialisation. Also, mechanisms for compensation of damages caused as a result of delays in judicial proceedings are similarly lacking. It should be mentioned that, due to constitutional amendments on justice adopted in 2016, persons who believe that a law of Ukraine applied in a final judicial decisions concerning them contradicts the Constitution of Ukraine were given the ability to directly apply to the Constitutional Court with relevant constitutional complaint. However, the Constitutional Court currently does not review such complaints due to the lack of legislatively regulated procedure for their review. There are also provisions for compensation of material or moral damages caused to individuals or legal entities by the acts and actions that were found unconstitutional; however, the relevant law has not been adopted since 1996, and therefore, compensation is not being carried out.</t>
  </si>
  <si>
    <t>Yes. Judges have a power to impose fines for contempt of court. They also have certain control powers over the enforcement of court judgments, but they do not exercise these powers on their own initiative; there must be a petition by an interested party. Only the administrative justice system since 2010 provides an opportunity to impose fines for failure to comply with a court decision by an administrative body – either by a court on its own initiative or by a petition from a person who won the case. In different types of proceedings, courts have the power to issue decisions on forcibly bringing to court of a person who ignores summons by a court. Also, since the adoptiuon of the new procedural codes in 2017, the courts are more flexible in the application of the fines for abuse of the procedural rights; the fines got also higher.</t>
  </si>
  <si>
    <t xml:space="preserve">Yes. Court decisions can be reviewed only by courts through appellate and cassation proceedings, as well as certain other court procedures, exclusively upon a petition by participants to the proceedings. Judges can be subjected to disciplinary sanctions for decisions issued. </t>
  </si>
  <si>
    <t>Partially. The law provides that assignment of a judge or a panel of judges to hear a particular case is done via an automated system. However, in practice, opportunities remain for "manual" mode of case assignment. According to a Regulation on automated case management system for the courts, which was adopted by the Council of Judges of Ukraine, meetings of judges may set forth special rules for automated case assignment in certain instances. Because of this, court persidents retained their influence over this process, because meetings of judges sometime entrust these functions specifically to court presidents.</t>
  </si>
  <si>
    <t>Partially. In 2012, a framework Law "On Rules of Ethical Conduct", governing all professional ethics codes, was adopted and extends to judges. In February 2013, the Congress of Judges adopted a fully revised version of the Code of Judicial Ethics. However, its provisions are duplicative of existing legislation in many respects, while at the same time failing to provide answers to a lot of practical questions. However, in February 2016 the Council of Judges approved the official commentary to the Code of Judicial Ethics in order to interpret the Code. Judicial ethics trainings are being conducted; however, they are not practical in nature and are limited to simple commentary on the Code’s provisions.</t>
  </si>
  <si>
    <t>Yes. According to the Law “On Judiciary and Status of Judges”, anyone can apply to the High Council of Justice with a complaint (application) on judge's disciplinary offence. Disciplinary proceedings agains judges carried out  by disciplinary chambers of the Superior Council of Justice. Citizens may submit complaints on their own or through an advocate, legal entities - through an advocate, and government and local self-governance bodies - through their leadership or representatives. Prior to filing the relevant disciplinary complaint, an advocate is required to verify the facts that may give rise to a judge's disciplinary responsibility. An advocate may be brought to disciplinary responsibility, as provided by law, for knowingly submitting an unjustified disciplinary complaint. The Superior Council of Justice approves a template for disciplinary complaint and posts it on the official web portal of the judiciary. The complaint must be filed in writing and must containt information clearly defined by the law.</t>
  </si>
  <si>
    <t>Yes, partially. According to the Law “On Judiciary and Status of Judges” and procedural codes, hearings of all cases are open, except when considering the case in a closed session. In most local courts, a person can get inside the building upon presentation of a passport to the guard and stating the reason for visiting the court. Despite the legal requirements, in some courts the guards do not allow entrance into the courtrooms of people who are not trial participants. In other instances, the rooms may be too small to accomodate all the participants and the press, and sometimes eve the cases of high public interest are heard in such rooms.</t>
  </si>
  <si>
    <t>Yes, partially.  The respective procedures exist but they can hardly be called effective. Despite the the movement toward implementation of European standards, the system of disciplinary responsibility of judges  functions purely in practice. Given the large number of reports of illegal conduct, disciplinary bodies are not able to handle them effectively. As for immunity, in accordance with the new Constitutional amendments, its application does not extend to cases, when a judges was apprehended during or immediately after commission of grave or especially grave crime.</t>
  </si>
  <si>
    <t>The Law of Ukraine"On Principals of preventing and combating discrimination in Ukraine" (adopted 2012, amended 2014, further amendments needed had not passed second hearing and still are awaiting in the Parliament, draft law 3501)</t>
  </si>
  <si>
    <t>It is mentioned in Article 24 of the constitution</t>
  </si>
  <si>
    <t>Article 12 of the labour code</t>
  </si>
  <si>
    <t xml:space="preserve">These laws are:  Law of Ukraine “On Advertisement", "On the rights od customers", etc. </t>
  </si>
  <si>
    <t>Art 3 of the law "On Education"</t>
  </si>
  <si>
    <t>Only mentioned laws are opened, it is the:Constitution - open 
Law against discrimination  
Labor Code 
Law on education 
Law on goods and services 
Law on occupation 
Law on Advertisement 
Criminal code - one article (161) open.</t>
  </si>
  <si>
    <t>The protection is mentioned only in the labour code, which connected only with the labour rights, but not the private life</t>
  </si>
  <si>
    <t xml:space="preserve"> on the grounds of sex, disability, nationality/ethnicity, membership of trade unions</t>
  </si>
  <si>
    <t xml:space="preserve"> In cases of disability when victims are not able to do it themselves, i.e. owing to poor health, disability, etc.). There is also an option to be third party in the case.</t>
  </si>
  <si>
    <t xml:space="preserve"> on discrimination ,no decissions on hate crime or hate speech</t>
  </si>
  <si>
    <t>According to the Constitution of Ukraine the Accounting Chamber shall control over the revenues of funds to the State Budget of Ukraine and their expenditure on behalf of the Verkhovna Rada of Ukraine.</t>
  </si>
  <si>
    <t xml:space="preserve">Yes. Once the leadership (the Head and the members of the Chamber) is appointed, it is practically impossible to remove them form the office. The Chamber has its budget and can act independently. </t>
  </si>
  <si>
    <t>Yes. The law provides the exhaustive list of the grounds for dismissal of the Head and the members if the Chamber.</t>
  </si>
  <si>
    <t>Partly. The law provides that the members of the Chamber are appointed as a result of the competition. However, the body responsible for the competition is the Parliamentary committee on budget. As a result, the Parliament often appoints members of the ruling party (coalition) or people affiliated with it as members.</t>
  </si>
  <si>
    <t>Yes. The separate budget line for the Chamber is provided each year.</t>
  </si>
  <si>
    <t>According to the Law "On Accounting Chamber", both internal and external audits can be applied to the activities of the Accounting Chamber. However, there is barely any practice of the external audits of the Chamber.</t>
  </si>
  <si>
    <t>Yes, it is mandatory by the Law.</t>
  </si>
  <si>
    <t xml:space="preserve">Yes, the Parliament considers the reports af the Accounting Chamber annually according to the law </t>
  </si>
  <si>
    <t xml:space="preserve">Partially. According to the Law, the Government has to consider the findings of the Accounting Chamber. But it has full discretion to act upon them. </t>
  </si>
  <si>
    <t>In 2005 the Concept of Development of Public Internal Financial Control in Ukraine was approved by the Cabinet of Ministers of Ukraine</t>
  </si>
  <si>
    <t xml:space="preserve">Yes. the Concept of Development of Public Internal Financial Control in Ukraine </t>
  </si>
  <si>
    <t>Yes. According to the Budget Code of Ukraine provides for a system of main spending units and spending units that exercise the management of public expenditures</t>
  </si>
  <si>
    <t>Partially. The units are there, but they are not functinally independent form the management.</t>
  </si>
  <si>
    <t>Yes. The State Audit Service of Ukraine.</t>
  </si>
  <si>
    <t>Partiually. The rules of procedure of the Cabinet of Ministers of Ukraine establish the requirements for a broad impact assessment. The explanatory note accompanying all draft legal acts must contain a problem analysis, the objectives of the draft act, the reasons for its adoption, an overview of the opinions of stakeholders and an assessment of the regulatory impacts (financial, economic and regional), as well as effects on the labour market. In addition to the general requirement for impact assessment, the Law on the Principles of State Regulatory Policy in the Sphere of Economic Activity stipulates the obligation for RIAs of all regulations affecting businesses. However, the two impact assessment processes are established in parallel; they are not linked in the legal framework or in practice</t>
  </si>
  <si>
    <t>No. There is no any special body for doing this</t>
  </si>
  <si>
    <t>Yes. The Rules of Procedure of the Cabinet of Ministries sets out the requirements for interministerial consultation. All affected bodies must be consulted, and the obligation to consult the Ministry of Justice, the Ministry of Finance and the Ministry of Economic Development and Trade is specifically mentioned</t>
  </si>
  <si>
    <t>Yes. The Constitution of Ukraine prescribes general provisions on local self-government responsibilities. They are detailed in a special Law "On Local Self-Government in Ukraine"</t>
  </si>
  <si>
    <t>Partially. The Law "On Local Self-Government in Ukraine" prescribes obligation to hold public hearings not rare then once a year. There is a requirement to hold public hearings in cases of new construction. The governmental act "On Public Consultations" recommends for local authorities to use its provisions. Where it is requires by the local statute the public consultations are mostly in place</t>
  </si>
  <si>
    <t>Yes. The law on civil service and the special service on prevention of corruption regulate these matters. However, there are still cases when some civil servants have hidden conflict of interests and do not follow the rules</t>
  </si>
  <si>
    <t>Yes. The selection process procedures are set. However, the capacity of the selection committees in terms of effective and efficient selection is low. HR companies are engaged but not systematically</t>
  </si>
  <si>
    <t>Yes. Formally the system exists, it will be improved after conducting annual performance appraisal</t>
  </si>
  <si>
    <t>Yes. The new selection system for the highest positions and newly established directorates was created. However, there are still cases of attempts to politically influence this process</t>
  </si>
  <si>
    <t xml:space="preserve">No, since Ukraine fullfilled all the requirements provided by VLAP. Now Ukraine is under post visa liberalisation monitoring forseed by suspension mehanism  http://www.europarl.europa.eu/news/en/press-room/20161209IPR55424/reimposing-visas-meps-back-emergency-brake-measures </t>
  </si>
  <si>
    <t>On June 11, 2017, the decision of the Council of the European Union came into force, introducing a visa-free regime for short trips of Ukrainian citizens to 30 countries of the European Union and the Schengen zone.</t>
  </si>
  <si>
    <t xml:space="preserve">Visa liberalisation requirements (VLAP criteria) were replaced by post visa liberalisation monitoring under suspension mechanizm http://data.consilium.europa.eu/doc/document/ST-15395-2016-INIT/en/pdf   </t>
  </si>
  <si>
    <t>Since 2008 Ukraine implemented Visa facilitation Agreement, in 2013 some its provisions were updated https://ec.europa.eu/home-affairs/what-is-new/news/news/2013/20130701_01_en</t>
  </si>
  <si>
    <t>The Personal Data Protection Law was adopted within the visa liberalization process in 2010, updated and supplemented in October 2017http://zakon2.rada.gov.ua/laws/show/2297-17http://cedem.org.ua/en/library/law-of-ukraine-on-protection-of-personal-data/</t>
  </si>
  <si>
    <t xml:space="preserve">The Commissioner for Human Rights (Ombudsman) provides monitoring of compliance personal data protection to the legislation </t>
  </si>
  <si>
    <t>Since January 12, 2015 issuance of international biometric passports officially began in Ukraine by SMS. Details about appearance of the passport can be read in Decree of the Cabinet of Ministers of Ukraine No 152, dated May 7, 2014 and regulation of the Verhovna Rada http://zakon3.rada.gov.ua/laws/show/152-2014-%D0%BF</t>
  </si>
  <si>
    <t>The State Migration Service of Ukraine has already issued almost 4 million biometric passports to Ukrainian citizens in 2017https://www.ukrinform.net/rubric-society/2379271-state-migration-service-about-4-mln-biometric-passports-issued-to-ukrainians-in-2017.html</t>
  </si>
  <si>
    <t>The Agreement between Ukraine and the European Union on the readmission of persons was signed on 18 June 2007 and ratified by Ukrainian Parliament, the Verkhovna Rada on 15 January 2008.https://ukraine-eu.mfa.gov.ua/en/ukraine-eu/justice/readmission</t>
  </si>
  <si>
    <t>State Migration Service of Ukraine (Ukraine DMS) is a central executive body whose activities are directed and coordinated by the Cabinet of Minister of Internal Affairs of Ukraine. 
The main objectives of DMS Ukraine is the realization of the state policy in the field of migration (immigration and emigration), including combating illegal migration, citizenship, registration of persons, refugees and other categories of workers defined by the legislation and propose public policy in these areas.</t>
  </si>
  <si>
    <t>12 July 2017, the Government of Ukraine adopted a new State Migration Strategy, which will steer the national migration policy for the next eight years. The new document was developed to substitute Ukraine’s 2011 State Migration Concept, which needed to be updated due to the latest global and local developments. http://iom.org.ua/en/ukraine-adopts-new-migration-strategy-developed-iom-support</t>
  </si>
  <si>
    <t>Law of Ukraine "On Refugees and Persons in Need of Subsidiary or Temporary Protection" was adopted 08.07.2011 No 3671-VI. According to the Law Ukraine provides protection to foreigners and stateless persons, who are seeking it on Ukrainian territory.</t>
  </si>
  <si>
    <t>https://dmsu.gov.ua/en-home/services/obtaining-refugee-status-or-subsidiary-protection.html</t>
  </si>
  <si>
    <t>Ukrainian SMS provides Migration profile since 2011 https://dmsu.gov.ua/diyalnist/monitoring-migraczijnix-proczesiv/migraczijnij-profil.html</t>
  </si>
  <si>
    <t>Complementing Ukraine’s growing detention infrastructure have been a slate of new laws aimed in part at regulating the treatment of non-citizens in the country, including the adoption of new immigration legislation in 2011. More info about state of play in Ukraine Immigration detention area, pls see the link https://www.globaldetentionproject.org/countries/europe/ukraine</t>
  </si>
  <si>
    <t>The Government of Ukraine adopted Integrated Border
Management Concept (IBMC) on 27th of October 2010 and Action Plan for the Implementation of the
IBM Concept (AP) on 5th of January 2011. The updated Action Plan for IBM came into force in Ukraine on 5 September 2016</t>
  </si>
  <si>
    <t>Within VLAP Ukraine extended open exchange of statistical and analytical information between border agencies of the neighboring and partner countries, as well as to enhanced mechanisms of joint border risk analysis in accord with the agreements reachedhttps://www.kmu.gov.ua/en/news/250130801</t>
  </si>
  <si>
    <t xml:space="preserve">
Criminal Prosedural Code 
https://nabu.gov.ua/node/2956</t>
  </si>
  <si>
    <t xml:space="preserve">In 2017 Ukraine and Moldova launched two new joint border crossing points and ratified agreement on joint control of persons, vehicles, goods, and objects in joint border crossing points on the Ukrainian-Moldovan state border. </t>
  </si>
  <si>
    <t>https://treaties.un.org/Pages/ViewDetails.aspx?src=IND&amp;mtdsg_no=XVIII-12&amp;chapter=18&amp;lang=en</t>
  </si>
  <si>
    <t>The Government has approved the 2016 action plan of preventing and combating legalization (laundering) of proceeds from crime, terrorism financing and WMD proliferation financing. https://www.kmu.gov.ua/storage/app/media/zviti-pro-vikonannya/1-413-aagoeireport-5-m-2016final060616-2.pdf</t>
  </si>
  <si>
    <t>http://zakon2.rada.gov.ua/laws/show/2530-17</t>
  </si>
  <si>
    <t xml:space="preserve">The Law “On counteraction to trafficking in human beings” (The Verkhovna Rada of Ukraine (VVR), 2012, No. 19-20, p.173) Amended in accordance with the Code No. 4651-VI of April 13, 2012, This Law defines the organizational and legal principles of combating human trafficking , guaranteeing gender equality, main directions of state policy and principles of international cooperation in this sphere, powers of executive bodies, the procedure for establishing the status of persons who have suffered from trafficking in persons and the procedure for providing assistance to such persons. Beside this, main Laws in the context of trafficking in human beings: Criminal Code of Ukraine, Criminal Procedure Code of Ukraine, Civil Code of Ukraine, Law on Ensuring Safety of Individuals involved in Criminal Proceedings, Law on social work with children and youth. </t>
  </si>
  <si>
    <t>Over the past decade, Ukraine has made a significant progress towards the establishment of a viable nation-wide counter-trafficking response framework and set up a National Referral Mechanism to identify, assist and protect victims of trafficking. A Law of Ukraine on Combating Trafficking in Human Beings was adopted.</t>
  </si>
  <si>
    <t>In 2014, the drugs control system of Ukraine was reorganised and the Ministry of Health assumed all functions related to forming state policy on drugs, monitoring of the drug situation and coordination of drug control. As a consequence, the Ukrainian Monitoring and Medical Center on Drugs and Alcohol (UMMCDA) was established in 2015 as a State agency within the Ministry of Health. The Center leads activities related to monitoring the circulation of narcotic medicines, illicit drugs, other psychotropic substances and precursors in Ukraine. UMMCDA is authorized to continue the fulfilment of the obligations of the Ukrainian side, specified in the Memorandum of Understanding between the Ministry of Health of Ukraine and the European Monitoring center for Drugs and Drug Addiction, signed in 2010. The Law of Ukraine ‘On narcotic drugs, psychotropic substances and precursors’ and ‘On the measures of counteraction to the illegal circulation of narcotic drugs, psychotropic substances and precursors and to their abuse’</t>
  </si>
  <si>
    <t>Among 4 TIERS (Tier 1, Tier 2, Tier 2 (Watch list), Tier 3, Ukraine is placed at 2 Tier among countries  whose governments do not fully meet the TVPA’s minimum standards, but are making significant efforts to bring themselves into compliance with those standards (Trafficking in person report June 2017) https://www.state.gov/documents/organization/271339.pdf</t>
  </si>
  <si>
    <t>Partially, in 2017 due to the failure of the Parliament and President, regulator was not reformed in the way of changing the board of commissioners and has not worked during several months</t>
  </si>
  <si>
    <t xml:space="preserve">Partially, Government still decides through its acts on regulated prices for households, religious organization and heat supply entities </t>
  </si>
  <si>
    <t>Yes, the regulator organizes open sessions and publish in advance for public consultations drafts of documents to be adopted</t>
  </si>
  <si>
    <t>No, NAK Naftogaz of Ukraine is not unbundled due to Stockholm arbitration proceeding; electricity market is not unbundled, respective changes should happen in 2019</t>
  </si>
  <si>
    <t>Only industrial consumers can chose suppliers</t>
  </si>
  <si>
    <t xml:space="preserve">Transmission yes, Ukrtransgas provides capacities according to bids from all interested parties; distribution to industrial consumers yes - many of them have even direct access to main transmission pipelines due to large consumption; households - no, here the chain - NAftogas - Oblgas-Oblgasdistribution remains due to regulated prices and a single supplier - NAK; gas storage - single tariff for all, possibility of custom duty free storage for gas, which is not used in Ukraine </t>
  </si>
  <si>
    <t>Under preparation, Ukraine passed all the laws on gas and electricity markets, but some processes, in particular, unbundling, will happen in next years</t>
  </si>
  <si>
    <t>Under progress, Ukrenergo has signed in June 2017 an agreement with ENTSO-E on interconnection together with Moldelectrica until 2025</t>
  </si>
  <si>
    <t>Under progress, Ukrtransgas signed interconnection agreements with Hungarian FGSZ and Polish Gas-System, with Eustream under preparation, Ukraine and Poland prepare also new gas interconnection and signed respective agreement between Ukrtransgas and Gas-System</t>
  </si>
  <si>
    <t>Partially, according to AA, Ukraine has adopted energy efficiency legislation, but because of lack of secondary legislation, its implementation pure</t>
  </si>
  <si>
    <t>Partially, State Agency on Energy efficiency and Saving of Ukraine continued to work with banks on "warm loans", on ESCO contracts, on secondary legislation for energy efficiency, but much more attention is being paid to renewables</t>
  </si>
  <si>
    <t>Partially, state funded "warm loans", but with insufficient funding from state budget, EBRD funded IQ-Energy, Energy Efficiency Fund is still not functioning</t>
  </si>
  <si>
    <t>State monopoly, but reforms of corporatization underway http://zakon2.rada.gov.ua/laws/show/1390-2009-%D0%BF</t>
  </si>
  <si>
    <t>Roads of general usage are state-owned - first private roads are expected to be constructed in 2018 https://www.facebook.com/Ukravtodor.Gov.Ua/posts/1277108715722376</t>
  </si>
  <si>
    <t>All seaports are state-owned - 13 sea-ports are included in privatization list http://zakon0.rada.gov.ua/laws/show/271-2015-%D0%BF/page2</t>
  </si>
  <si>
    <t>15% of airports are state-owned, 50% - municipal property, 35% - mixed, some of those municipal airports are planned to be given in concession https://dt.ua/internal/aeroporti-ukrayini-yak-ne-proletiti-nad-parizhem-249198_.html</t>
  </si>
  <si>
    <t>Private rail cars owners use state railways, private companieas provide services, e.g. rail cars repair</t>
  </si>
  <si>
    <t>80% - State Agency of Automobile Roads of Ukraine Ukravtodor</t>
  </si>
  <si>
    <t>Program of reform includes unbundling of monopoly http://zakon5.rada.gov.ua/laws/show/1390-2009-%D0%BF</t>
  </si>
  <si>
    <t>Program of reform till 2020, demonopolize and decentralize Ukravtodor http://ukravtodor.gov.ua/press/news/verkhovna_rada_ukrainy_ukhvalyla_zakony_pro_dorozhnii_fond_ta_detsentralizatsiiu_ukravtodoru.html</t>
  </si>
  <si>
    <t>No independent regulator, project of creating National commission wasn't realized</t>
  </si>
  <si>
    <t>No independent regulator, program of reform till 2022 https://www.kmu.gov.ua/ua/news/derzhavna-cilova-ekonomichna-programa-rozvitku-avtomobilnih-dorig-zagalnogo-koristuvannya-derzhavnogo-znachennya-na-2018-2022-roki</t>
  </si>
  <si>
    <t>State enterprises Ukrainian Sea Ports Authority assumed functions of regulator http://www.uspa.gov.ua/en/</t>
  </si>
  <si>
    <t>Autonomous State aviation Administration of Ukraine http://avia.gov.ua/en/</t>
  </si>
  <si>
    <t>YES State Service of Ukraine for Transport Safety created in 2015 http://dsbt.gov.ua/en</t>
  </si>
  <si>
    <t>YES State service of Ukraine on safety of transport created in 2015 http://dsbt.gov.ua/en</t>
  </si>
  <si>
    <t>YES National Bureau of Air Accidents Investigation of Ukraine http://www.nbaai.gov.ua/index.html?lang=en</t>
  </si>
  <si>
    <t>2588/44=59 http://dsbt.gov.ua/storinka/publichnyy-zvit-golovy-derzhavnoyi-sluzhby-ukrayiny-z-bezpeky-na-transporti-myhayla-0</t>
  </si>
  <si>
    <t>Yes  Transport Strategy of Ukraine for the period of up to 2030 https://www.kmu.gov.ua/ua/npas/pro-shvalennya-nacionalnoyi-transportnoyi-strategiyi-ukrayini-na-period-do-2030-roku</t>
  </si>
  <si>
    <t>Yes. In 2014 a new Law on Higher Education is adopted, which is in line with EU standards. In 2017, an amendment was introduced to this law, according to which the last admission to the educational qualification level of a junior specialist will be held in 2019. This is another step in the higher education of Ukraine towards the EU standards.</t>
  </si>
  <si>
    <t>Without changes from 2016.  Since 2016 universities got the licinces to tech PhD students (before 2014 this kind/level of education was separated from Bachelor and Master education and was considered as research work without essentioal part of education). Until 2019 new2ly established PhD education will exist in parallel with previous system. Former research degrees (kandidate of science) by the Law got the same status/level/recognition as new PhD degrees.</t>
  </si>
  <si>
    <t>Yes. Without changes from 2016. ECTS introduced in 2009 by the special Order of the Minister of Higher Education. At present all Ukrainian universities are obliged to use ECTS in accordance with new (dated 2015) Guidelines.</t>
  </si>
  <si>
    <t>Yes, Without changes from 2016. DS is possibility which introduced in 2009 by the special Order of the Minister of Higher Education</t>
  </si>
  <si>
    <t>Without changes from 2016. The Ukrainian NQF is adopted by the Cabinet of Ministers in 2011, but still is not self certified. In 2016 the Ministry of Education and Science in cooperation with the Association of employers has adopted the Action plan to develop the National System of Qualifications in which the NQF is to be an integral part.</t>
  </si>
  <si>
    <t>Without changes from 2016. NQF provides the necessary information about the educational qualifications to be used by experts. Professional qualifications at present are not includud into NQF.</t>
  </si>
  <si>
    <t>Without changes from 2016. According to the new Law on Higher Education (adopted in 2014) all universities have a full autnomy concerning any internal organisational issu</t>
  </si>
  <si>
    <t>Without changes from 2016..According to the new Law on Higher Education (adopted in 2014) all universities have a full autnomy concerning academic issues. Universities have a full right to introduce educational programmes by the decision of their councils.</t>
  </si>
  <si>
    <t xml:space="preserve">Without changes from 2016. According to the new Law on Higher Education (adopted in 2014) all universities have a significant autnomy concerning financial issues. But at present it is limited by some other laws and important changes in national legislation must be adopted to give universities a real financial autonomy. </t>
  </si>
  <si>
    <t>Without changes from 2016. According to the new Law on Higher Education (adopted in 2014) all universities have a full autnomy concerning any internal personnel issues.</t>
  </si>
  <si>
    <t>Without changes from 2016.. Equal acces to higher education is garanted by the Law. The sudent enrollment is done on the base of external independent examinations (EIE). In some spocialties (fine arts, architecture et) in addition to the EIE results universities have the possibility to introduce also entrance examinations. But the results of these examinations can not be more than 50% of the total evaluation.</t>
  </si>
  <si>
    <t>At present there are about 66 000 of foreign students in Ukraine. The total student population is about 1 539 000. So, the proportion is about 4,3 %</t>
  </si>
  <si>
    <t>Without changes from 2016.. Equal rights, the only limitation for foreign students is that they have to pay fees for their education (excluding those who study on the base of different international agreements)</t>
  </si>
  <si>
    <t xml:space="preserve">Without changes from 2016.. LLL concept is included into the new Law on Higher Education. There are special faculties/institutes for postdiploma education in majority of universities. Some universities of the third age are also being estableshed. </t>
  </si>
  <si>
    <t>partly</t>
  </si>
  <si>
    <t>Most of the time, some opposition parties and politicians do not receive adequate representation on state media, which gives preferential treatment to pro-government forces or political forces that refrain from criticizing the government. However, this situation changes in the short period of the election campaign per se, when the media is under monitoring by NGOs and international monitors, so for several weeks opposition forces receive more or less equal access to media.</t>
  </si>
  <si>
    <t>No such mechanisms exsist, all the bodies that could have acted as such are under control of the ruling government</t>
  </si>
  <si>
    <t>There are legal norms supposed to prevent the use of administrative resource, e.g. officials are prohibited to campaign while on duty, but these laws have little influence on the real picture on the ground, where the use of administrative resource is widespread</t>
  </si>
  <si>
    <t>In the  course of parliamentary election and Yerevan municipal election appeared evidence, of large scale use of administrative resource, voter bribing, pressuring the voters, and no measures were taken to prevent or punish these actions</t>
  </si>
  <si>
    <t>It is implemented, but with significant irregularities that arguably affect the results of the elections, and their public perception.</t>
  </si>
  <si>
    <t>No. There had been changes in the electoral code in 2016, which while they addressed some of the concerns of civil society and opposition, not only failed to raise the public trust toward but even created new problems (e.g. the rating system, limited rights of journalists and observers, etc.)</t>
  </si>
  <si>
    <t>Partially. Since Armenia is largely homogenous in ethnic and religious terms, there are no significant controversies with regard to constituency demarcation per se. However theres is a concern that the «rating system» of elections favored local “oligarchs” and “criminal authorities”, creating a sort of «de facto majoritarian» system, while the majoritarian system has been known to favor «local oligarchs»</t>
  </si>
  <si>
    <t>Yes, the CEC has a special Oversight and Audit Service (OAS), which has to audit the financials, and the parties are required to publish their spendings, however, certain important areas of spending are exempt from that requirement, and the OAS, which is in theory independent is largely dependent on CEC</t>
  </si>
  <si>
    <t>There have been accusations voiced by independents and oppositions, but usually these have lead nowhere and no persecution or punishment has taken place</t>
  </si>
  <si>
    <t>There are some regulations, as mentioned above, but as certain areas of spending are exempt from these requirements, in practice it is difficult to carry out an effective monitoring of party finances</t>
  </si>
  <si>
    <t>There have been some positive changes in this respect in the recent electoral code and the election, such as the publishing of voter lists and introduction of Voter Authentication Devices (VAD), but there are still loopholes that can be used by the incumbent to manipulate voter lists</t>
  </si>
  <si>
    <t>The criteria create controversial limitations, such as for dual citizens, also they limit the abilities of non-party candidates, as they can only be suggested by parties. However, they do not have to be party members to be on the party lits,</t>
  </si>
  <si>
    <t>parties are allowed, and normally are registered, however, since the CEC is under complete control of the incumbent, the latter can influence whether a candidate is regsitered or not, if it finds it necessary</t>
  </si>
  <si>
    <t>They can be registered, but as the CEC is under influence of the incumbent, the latter can influence whether a candidate is regsitered or not, if it finds it necessary</t>
  </si>
  <si>
    <t>The CEC is perceived as biased by a large part of the population, it is regularly a target of such accusations by opposition and NGOs</t>
  </si>
  <si>
    <t>There have been few comlpaints regarding this.  The exception is that for people with disabilities the voting is often difficult or completely unaccessible, but this reflects the general situation in the country in this respect, rather than a specifically election-related problem</t>
  </si>
  <si>
    <t>While in general usually the accessibility, security and secrecy are observed, there are often reports of violations in these respects</t>
  </si>
  <si>
    <t>accusations and evidence of voter fraud are very common, but they extremely rarely lead to rectification of the fraud, however there have been relatively less accusations of blatant fraud in the last election</t>
  </si>
  <si>
    <t>Accusations of vote buying, some  substantiated by videos and other kinds of evidence are common in Armenia, but rarely lead to convictions</t>
  </si>
  <si>
    <t>Accusations and evidence of voter intimidation and other kinds of pressure has been provided by opposition parties and NGOs</t>
  </si>
  <si>
    <t>NGOs and oppostion parties had been able to involve significant numbers of volunteers into voter observation, e.g. initiatives like «Citizen Observer», which involved 4437 observers</t>
  </si>
  <si>
    <t xml:space="preserve">Reports of observer intimidation or other obstacles to their work are common, often involding either direct participation or «neutrality» of the police. </t>
  </si>
  <si>
    <t>in the 2017 election new technologies were used, such as for example Voter Authentication Devices (VADs), which allowed for electronic identification of the voters</t>
  </si>
  <si>
    <t>In most cases accusations of fraud remain uninvestigated, often they are even not registered by the authorities, and when there is an investigation, the cases of punishment of the culpable are extremely rare</t>
  </si>
  <si>
    <t>In theory the vote count procedure is transparent, but there have been many violations recorded, including unrest, interference or presence of 3rd side during the count, etc.</t>
  </si>
  <si>
    <t>in theory the vote count process to parties and candidates, but in practice they are not always able to do it due to lack of human resources</t>
  </si>
  <si>
    <t>both the numbers of military personal voting and the locations of precincts where they are registered are kept secret, which opens the way for violations.</t>
  </si>
  <si>
    <t>In theory there is a system of appeal, but there are unreasonable limitations and technical constraints, which make it difficult to make such appeals, e.g. the appeal has to be done no later than 11:00 on the 2nd day after the election, also election observation organizations do not have the right to make an appeal</t>
  </si>
  <si>
    <t>OSCE ODIHR assessed the el 2017 election as generally free and well-administered, but also noted the use of administrative resource, voter bribing, intimidation, and other violation, which tainted the election</t>
  </si>
  <si>
    <t>Ruling Republican party received 49.17 % of the votes, non-government Tsarukyan alliance received 27.35 %</t>
  </si>
  <si>
    <t>The law on Data protection provides the legal grounds for the protection of the right to privacy, but the practice does not ensure the effective protection.</t>
  </si>
  <si>
    <t>Yes, but…</t>
  </si>
  <si>
    <t xml:space="preserve">Partially </t>
  </si>
  <si>
    <t>Yes, with exeptions, prescribed by the law</t>
  </si>
  <si>
    <t xml:space="preserve">Yes, but no improvments or changes were made after 2016 when the police used excecive force and when the insuficence of the legal regulations were revealed. In particular, the legislation and legal acts do not ensure compliance with the international human rights standards. 
The number of laws and other legal regulations prescribe the grounds and rules for applying exercise of physical force, special means and firearms by a police officer. 
• The law on police force (1997), 
• The law on police (2001),
• Guidelines for the activities of officers of the police units involved in public order management and for the use of physical force, special means and firearms by these officers during mass disorders (adopted by the decree of the police head, 2011).
• Decree on the lawful standards for the use of special means against human (decree of the ministry of health, N 09-N 2012).  
• Decree on the description of the special means included in the list of the police arsenal and their use (adopted by the decree of the police head, N 5-Ն, 2009) 
Chapter IV of the law on police (exercise of physical force, special means and firearms by a police officer. the means for the personal protection of a police officer) defines the prohibitions of the use of special means including the crowd control during peaceful assemblies. 
However, there are number of discrepancies between the standards for the use of special means and physical force, in particular, the types of the special means defined by the decree of the police head and the ministry of health are not corresponding each other. The same is through for the rules of the special means. Such irregularities and inconsistencies create violations of basic human rights by police, especially during dispersion of peaceful assemblies. 
</t>
  </si>
  <si>
    <t xml:space="preserve">Yes, in 2015, 2016 continually the law enforcement used the execive force to suspent the peacful protest in Yerevan; and there is no effective investigation in the ground to ensure accountability for this.
1. On June 23, 2015; the water cannon was used and the police followed to protesters using force and physical attacks against participants of peaceful assembly and journalists (https://www.coe.int/en/web/cpt/-/council-of-europe-anti-torture-committee-publishes-report-on-armen-3, page 22).
2. From 17-30 July 2016 the Armenian police used excessive force against peaceful protesters three times; the journalists reporting on the demonstrations were targeted intentionally and injured. 
</t>
  </si>
  <si>
    <t xml:space="preserve">Within the police, investigative committee there are internal investigation and disciplinary units to deal with the complaints on the violation submitted by the citizens. However, no effective remedies are provided by these units as they are lacking independence and operate within the same institutions which makes their work credible. The Human Rights and Integrity Building Centre (HRIBC) is a division under the Ministry of Defence and was established in 2015. One of the other activities of the HRIBC is to deal with human rights issues via a hotline open to the public. </t>
  </si>
  <si>
    <t>Yes, there is a diciplinary counci within the police to exemine the alleged volations and as the council operates within the police, there is no independence.</t>
  </si>
  <si>
    <t xml:space="preserve">No, according to the Constitution (Article 155) thenNational Security Concil is responcible for the implementation of the course on defence policy. The composition of the National Security Council is defined by the Law on Formation and activities od the National Security Council, according to which the following insititutions are members of the National Security Council: prime minister, first deputy prime minister, deputy prime ministers, secretary of national security council, minister of defence, minister of foregin affairs, director if the national security service, cheif police.
</t>
  </si>
  <si>
    <t>No, according to the Law on Formation and activities od the National Security Council (Article 5) the prime minister is responcible for the decisions.</t>
  </si>
  <si>
    <t xml:space="preserve">According to the Constitution (Article 118) the National Parliament by the proposal of the Government with the majority of votes in the Parliament makes decision about war.  
</t>
  </si>
  <si>
    <t xml:space="preserve">Not regularly, but annually. 
According to the Constitution (Article 156) the Government, including all ministries report to the National assembly annually. This reporting process is public, except the parts having the sensitive information on national security. 
</t>
  </si>
  <si>
    <t xml:space="preserve">According to the Law on Human rights defender (Article 25) the ombudsman is entitled to vissit to the places where a person is deprived of liberty in the frame of the activities as national priventive mechanism.  </t>
  </si>
  <si>
    <t xml:space="preserve">According to the Law on Human rights defender (Article 31) the ombudsman publishes the annual reports in the frame of the activities as national priventive mechanism.  </t>
  </si>
  <si>
    <t xml:space="preserve">Ministry of Defence, NO, as the information is considered to be sensitive and contains risk for the national security. Partially, the information on the planed budget and its implementation is available, the same is for the operational decisions and for the structure under the Ministry of Justice. </t>
  </si>
  <si>
    <t xml:space="preserve">NO, as the information is classified as secret. </t>
  </si>
  <si>
    <t xml:space="preserve">No, the law enforcment publishes genral data about the diciplinary violations by the police. </t>
  </si>
  <si>
    <t xml:space="preserve">YES, in 2015, in 2016 and in 2017 number of violations against the representatives were reported (http://prwb.am/new/2018/03/14/spring-session-hub-3-concord-international-network-organized-brussels/).  </t>
  </si>
  <si>
    <t xml:space="preserve">The nation-army concept became a subject of public debate for the first time in October 2016, when the newly-appointed Defense Minister Vigen Sargsyan stated: "The core of the government's program is the idea of a nation-army and the strategic principle of a maximum output with available resources. This shrinked the space for the cooperation between civil society and respective agencies. </t>
  </si>
  <si>
    <t xml:space="preserve">Yes, the Freedom House reported about the politically motivated cases such as Andreas Ghukasyan, </t>
  </si>
  <si>
    <t xml:space="preserve">Partially, the judgments by the ECtHR were implemented partially. See the report by the HCAV on the "Implementation of the judgments by the ECtHR by Armenia for 2007-2015"-https://www.aravot.am/2016/09/09/733711/, page 142 </t>
  </si>
  <si>
    <t xml:space="preserve">Yes, in 2017 the case of torture in the court house was registered by the local human rights organizations and by the international organizations-https://www.hrw.org/news/2017/07/09/armenia-ill-treatment-reports-mar-high-profile-trial. Ombudsman developed the report on the implementation of the Nationl preventive mechanism of torture, where the situation and conditions in the prisons were qualified as inhuman degrading treatment-https://www.hrw.org/news/2017/07/09/armenia-ill-treatment-reports-mar-high-profile-trial </t>
  </si>
  <si>
    <t xml:space="preserve">The ombudsman rised the concern on the conditions of the prisons and other detention places. In particular, the health conditions and lack of possibilities fort he health protection of the prisoners was underlined by the ombudsman-http://www.ombuds.am/publications/annual_reports.html, </t>
  </si>
  <si>
    <t xml:space="preserve">Yes, there is a system of the free of charge legal aid, but the effectivnes is subject of the concern. In particular, the advocates speac about the high number of the cases and insufficence of professional support to present all the caases in the court effectivly. </t>
  </si>
  <si>
    <t>Yes, acording to the Law on Ombudsman, the special council was established under  the human rights deffenders office.</t>
  </si>
  <si>
    <t>Yes, According to article 73 of the Constitution of Armenia and according to the Law on Rules of Procedure of the National Assembly, the National Assembly may form committees to investigate acute issues.       Art 73 provides for the right to form ad hoc committees within the National Assembly, and yet it does not explicitly provide for investigative functions vested in these committees. In reality, a number of committees have been previously formed under the auspices of the National Assembly to perform largely investigative functions (such as the commission to investigate 1 March 2008 events), yet the legal status and the access granted to such committees are not clearly defined and they have proved to be ineffective.</t>
  </si>
  <si>
    <t xml:space="preserve">No. Despite having such power under Constitution and statutory laws, the legislator did not conduct effecive investigation of the chief executive and the agencies of the executive.. </t>
  </si>
  <si>
    <t xml:space="preserve">Yes. It does exercise its power of oversight over coersive agencies but the oversight is not effective, it is highly selective and not based on rule of law as a whole. </t>
  </si>
  <si>
    <t xml:space="preserve">No. The President of Armenia on the basis of the distribution of the seats in the National Assembly and consultations held with the parliamentary factions, appoints as Prime Minister the person enjoying confidence of the majority of the Deputies and if it is  impossible the President of the Republic appoints as the Prime Minister the person enjoying confidence of the maximum number of the Deputies (Article 55 (4) of the Constitution). </t>
  </si>
  <si>
    <t xml:space="preserve">Yes. All members of the National Assembly are elected.  The executive lacks the power to appoint members of the legislature. </t>
  </si>
  <si>
    <t xml:space="preserve">Yes. the National Assembly is the sole body that can declare amnesty by adopting the text of the amnesty.   </t>
  </si>
  <si>
    <t>Yes. , under Article 28 of the Broadcasting Law, the National Assembly ratifies the regulations of the "Public Television and Radio Company (PTRC) which are drafted by the PTRC and submitted to the National Assembly for ratification. Under article 32 of the Broadcasting law, the PTRC should submit annual report on its operation to the National Assembly, as well as to the President. Under article 35, the PTRC should draft and submit to the government the budget for the following year and the latter should submit it to the National Assembly for confirmation." Under article 36, the PTRC should introduce to the National Assembly on annual basis  a statement (including a policy and financial statement) on the previous year’s activities of the PTRC. Further, the chairman of the PTRC should present annual report at the session of the National Assembly which is put on plenary discussion by members of the parliament according to the procedure defined by the RA law “Regulations of the National Assembly”.  However, the mamebers of the PTRC</t>
  </si>
  <si>
    <t>The Armenian Republican Party and Dashnaksutyun Party form ruling coalition government. Together they have 60 (57.1%) seats In the  Parliament (as of April 2, 2017). The Yelq and Tsarukyan coalition together form oppostion and hold 45 seats (42.8%) officially.   Total number of seats is 105. Differential: 14,3%</t>
  </si>
  <si>
    <t>The ministries, controlled by the ruling ARP party, submitted 90% of the bills to the parliament. 445 bills were submitted to the Parliament of which around 55 were submitted by the two opposition parties. The share of bills is 12%</t>
  </si>
  <si>
    <t>From January to December 2017 the National Parliament adopted 313 laws. At least 90% of the adopted laws were drafted and lobbied by government agencies - e.g. ministries which are under control of the ruling ARP party. The two opposition parties - the Yelq and Tsarukyan opposition parties had 3 bills adopted. Ratio is 0.95%</t>
  </si>
  <si>
    <t>no such reported cases in 2017</t>
  </si>
  <si>
    <t>Armenia didn't sign the Convention, but the some legal basis and practice exist. https://www.coe.int/en/web/conventions/full-list/-/conventions/treaty/205/signatures</t>
  </si>
  <si>
    <t>The Law of the Republic Of Armenia on Freedom of Information  was adopted by the National Parliament of the RA on September 23, 2003</t>
  </si>
  <si>
    <t>The sessions of the National Assembly shall be public.
2. A closed session of the National Assembly may be held by the proposal of at least one-fifth of the total number of Deputies or of the Government's. Voting in closed session is prohibited.
The sessions of the National Assembly shall be public. A closed session of the National Assembly may be held by the proposal of at least one-fifth of the total number of Deputies or of the Government's. Voting in closed session is prohibited.</t>
  </si>
  <si>
    <t>The sessions of the Standing Committee are public. The closed session of the Standing Committee can be held in the cases prescribed by the The Constitutional Law of The Republic of Armenia Rules of Procedure of The National Assembly, and may also be held by a decision of the Committee for the purpose of securing public, official, commercial or other classified infromation protected by law.</t>
  </si>
  <si>
    <t>Yes. The Government approves Medium-term Expenditure Framework for 3 years each year, which includes fiscal forecasts of revenue and expenditure and potential deficit financing. (see in http://www.minfin.am/hy/page/petakan_mijnazhamket_tsakhseri_tsragre/ for 2018-2020 budget years - only in Armenian)</t>
  </si>
  <si>
    <t xml:space="preserve">Yes. See answer in cell W118 </t>
  </si>
  <si>
    <t>Yes. They are available on the official web-site of the Armenian Ministry of Finance (see http://www.minfin.am/hy/page/petakan_byuje_2017t - in Armenian)</t>
  </si>
  <si>
    <t>Yes.  There are quarterly budget execution full reports (on accrual basis) available on the Ministrey of Finance web-site (see http://www.minfin.am/hy/page/petakan_byujei_hashvetvutyun/, which contains all reports starting from 2007) and monthly brief narrative information on budget execution on accrual basis (see http://www.minfin.am/hy/page/petakan_byujei_katarman_veraberyal_amsakan_teghekatvutyun_2017_ for 2017 budget year).</t>
  </si>
  <si>
    <t>Yes.  These reports (on accrual basis) are available on the Ministrey of Finance web-site's same page as the quarterly execution  in-year reports (http://www.minfin.am/hy/page/petakan_byujei_hashvetvutyun/)</t>
  </si>
  <si>
    <t>Yes. The intercative budget (see http://minfin.am/hy/page/interaktiv_byuje) enables to view allocated funds to all primary service units, including main schools (which combines elementary and middle grades) and public health units.</t>
  </si>
  <si>
    <t xml:space="preserve">In March, Radio Free Europe/Radio Liberty’s (RFE/RL) local service was not
allowed to cover talks between the secretaries of Armenia’s and Russia’s National
Security Councils.  There were several cases of violence and professional
intimidation against journalists during the April 2 parliamentary and May 14
Yerevan municipal election campaigns. 
On September 28, Narine Avetisyan, the editor in chief of Lori television, was
attacked while filming a video of asphalting work being carried out in a heavy rain.
</t>
  </si>
  <si>
    <t>After the NGO Union of Informed Citizens (UIC) released recordings of school and kindergarten directors involved in campaigning for the RPA in March 30, 2017, of the school and kindergarten directors, implicated by the UIC report, with open support from ruling Republican Party of Armenia representatives, sued Daniel Ioannesyan, the program director of the UIC,for libel and defamation, asking two million drams ($4,000) each in damages. After significant support from civil society for Ioannesyan, the directors withdrew their suits in July.</t>
  </si>
  <si>
    <t>The Armenian government does not consistently or pervasively block users’ access to content online. In an isolated incident, Facebook was reportedly briefly unavailable during clashes between police and armed groups in July 2016. The Armenian online information landscape was subject to some manipulation around the April 2017 parliamentary elections, with suspected bot and troll activity spiking in the lead-up to the vote.</t>
  </si>
  <si>
    <t>http://www.parliament.am/legislation.php?sel=alpha&amp;ltype=4&amp;lang=arm;  https://www.e-gov.am/gov-decrees/; datalex.am</t>
  </si>
  <si>
    <t xml:space="preserve">In 2009 Armenia adopted the “Information Security Concept” and , the Government of Armenia assigned the State Security Service with the lead role in cybersecurity. Separate units were established within the RA Police for combating cybercrime.
In 2014 the National Defense Research University of Armenia began the elaboration of a “National Cybersecurity Strategy” in close cooperation with the U.S. National Defense University and Harvard University and the final version was published in 2017. In  2017, Armenia's National Security Council adopted the “Information Security and Information Policy Concept.
</t>
  </si>
  <si>
    <t xml:space="preserve">Yes, but cases reported when the deciisons were made for political reason or under influence of the Executive.  </t>
  </si>
  <si>
    <t xml:space="preserve">Yes. The Law on Judiciary sets out several objectie criteria (e.g. art. 122 for appoitment of judges at first instance courts) such as specialization, experience, age, current position, learning performance at Justice Academy.  </t>
  </si>
  <si>
    <t xml:space="preserve">Yes. In practice the appointment of judges is done formally on the basis of objectie criteria prescirbed in the Judicial Code. However, other external factors not prescribed by law may also  influence on the individual deicison of appointment of a judge such as support from Presidential office, political conjuncture, etc.   </t>
  </si>
  <si>
    <t xml:space="preserve">Yes, the article 135 of the Judicial Code sets out a numer of criteria that the Justice Council has to consider in deciding on promotion of a single judge such as professionalism, quality of decisions, participation in development of laws and legislation, written and oral communication skills, etc. </t>
  </si>
  <si>
    <t xml:space="preserve">Yes, in practice the judges advance in the Judicial system based on objective criteria as mentioned above under article 135 of the Judicial Code. However, there are other factors not prescribed by law that influence the decision on advancement such as, as mentioned above, the support from Presidential administration, etc. </t>
  </si>
  <si>
    <t xml:space="preserve">In practice, there were reported cases, including those pending at the European Court of Human Rights, where judges were removed from office on formal grounds mentioned in the law whereas in reality the deciisons were made for political reason or under influence of the Executive.  </t>
  </si>
  <si>
    <t xml:space="preserve">Yes, judicial decisions can  be reversed through judicial appeal process or through a case reopening proceedings, and both are prescribed by law.   </t>
  </si>
  <si>
    <t xml:space="preserve">Yes. All the mentioned issues are addressed in the Judicial Code and in the Rules of  Judicial Conduct. Judicial ethics is included in the teaching curriculum of the Judicial Academy where judges and candidates to judiciary undergo mandatory initial and continuing legal education. </t>
  </si>
  <si>
    <t xml:space="preserve">Yes. courtroom proceedings are open to the public, including the media. Closed hearings are allowed as an exception upon persistence of specific conditions set by law which are narrowly construed. Normally, the courtroom are accommodated to accept the public and media. If the court case presents significant public interest, the courtroom may not have enough space for all people who want to get into the courtroom.   </t>
  </si>
  <si>
    <t>Yes, but with narrow definition.</t>
  </si>
  <si>
    <t>Defined partialy</t>
  </si>
  <si>
    <t>Defined partially</t>
  </si>
  <si>
    <t>Yes, but  only in theory</t>
  </si>
  <si>
    <t>Yes, but only in theory</t>
  </si>
  <si>
    <t>Yes, with very limited scope  and number</t>
  </si>
  <si>
    <t xml:space="preserve"> The two framework laws 1) Law on Fundamentals of Administrative Action and Administrative Proceedings, and 2) the Code of Administrative Proceedings do not contrain a non-discrimination clause, but the Code of Administrative Violations  provides a non-discrimiantion clause under article 248. </t>
  </si>
  <si>
    <t>No. The definition of discrimination is not defined in any statutory law.</t>
  </si>
  <si>
    <t>Yes, but exists only in theory</t>
  </si>
  <si>
    <t xml:space="preserve">Yes. For example, 1) the concept of affirmative measure is expressly provided in the Law on Equal Rights and Equal Opportunities between Women and Men (Gender Law), 2) family law was amended to stipulate same minimum age of marriage (18) for men and women to avoid gender inequality. 3) City Mayor instructed to put disability signs in parking areas to ensure equal opportunities. In addition, the State Employment agencies implement afffirmative measures for people with disabilities. </t>
  </si>
  <si>
    <t>There is no specialized equality body</t>
  </si>
  <si>
    <t>Same</t>
  </si>
  <si>
    <t>Yes, but with very limited scope  and number</t>
  </si>
  <si>
    <t>There is no specialized body</t>
  </si>
  <si>
    <t>Armenia signed UN Anti-Corruption Convention on May 19, 2005 and ratified on March 8, 2007.</t>
  </si>
  <si>
    <t>Statistics on corruption crimes is available on the official web-site of the Office of the prosecutor General (see http://www.prosecutor.am/myfiles/files/pdf/Korupcia.pdf for the Reference on the Investigation of Corruption Crimes in 2017, and http://www.prosecutor.am/am/%D5%8E%D5%AB%D5%B3%D5%A1%D5%AF%D5%A1%D5%A3%D6%80%D5%B8%D6%82%D5%A9%D5%B5%D5%B8%D6%82%D5%B6/ - on the statistics on investigation an dprosecution of corruption crimes in 2017. Both documents are only in Armenian. ) The list of the corruption crimes is defined by the order of the Prosecutor General of Armenia (that list was first established in 2008 and the current one was established by January 19, 2017 Order N3 of the Prosecutor General) and currently there are 67 such articles from the Criminal Code, which are corruption crimes. In the aove-mentioned Reference there is also statistics on how many public officials were prosecuted and their numbers by their position and areas of activities, but not by the crime they committed (there is statistics only on how many instances were prosecuted by each corruption crime). From this statistics it can be seen that among high-ranking prosecuted public officials there were one head of the customs, one chair of the court of general instance and two judges from such courts, 2 prosecutors, 3 senior investigators, 2 heads of the divisions of municipalities, 4 university provosts, 1 school principal, head of the medical-social examination agency and 7 heads of its territorial commissions, and head and chief accountant of the national Center on the Fight against Tuberculosis.</t>
  </si>
  <si>
    <t xml:space="preserve"> See also answer to Question B314.</t>
  </si>
  <si>
    <t>Armenia signed Council of Europe Civil Law Convention on Corruption on February 17, 2004 and ratified on December 8, 2004.</t>
  </si>
  <si>
    <t>Yes. In the Reference mentioned in the answer to Question B314 (see cell W314) it is mentioned that out of 569,410,497 Armenian Drams (AMD) damage sustained from corruption crimes, 269,615,270 AMD were recovered, from which 17,544,885 AMD were recovered from the damage sustained by legal and physical persons (victims of corruption).</t>
  </si>
  <si>
    <t>Article 49 of the Armenian Criminal Code defines confiscation as one of the forms of punishment, and Article 55 of the Code provides its definition and ways of application.</t>
  </si>
  <si>
    <t>There is no special statistics on the number of cases with confiscation. However, as it was mentioned above, there is special article in the Armenian Criminal Code on confiscation, it is implied that it is applied for those crimes, where confiscation as punishment is defined by the Criminal Code.</t>
  </si>
  <si>
    <t>Law on Public Service. The law that was in effect in 2017, was adopted May 26, 2011 and entered into effect on January 1, 2012. The new Law on Public Service was adopted on March 23, 2018 and entered into effect on April 9, 2018.</t>
  </si>
  <si>
    <t xml:space="preserve">Sanctions for non-submission of declarations or submision of incorrect or false data in the declarations were introduced through amending the Code of Administrative Violations (if the act was committed unintentionally) and Criminal Code (if the acts were committed intentionally) on June 9, 2017 and entered into effect on July 1, 2017 (Law N106-N amended the Code of Administrative Violations with Article 169.28 and the Law N102-N amended the Criminal Code with Articles 314.2 and 314.3). Thus, before July 1, 2017 the Commission on Ethics on High-Ranking Officials, who was (and still, is) responsible for the collection and verification of declarations, was simply reporting breaches (actually, it continued this practice also after July 1, 2017). For example, for the period from January 1 to June 30, 2017 see http://ethics.am/u_files/file/news/2016%20list%20of%20official%20report.pdf (in Armenian). After July 1, 2017 the named Commission was empowered to impose sanctions, and during the second half of 2017 it could apply on the those declarant officials, who assumed their positions after July 1, 2017 (the previous Law on Public Service require such officials to submit such declarations within 30 days after assuming their positions). Media reported about one such case in 2017, however, there is no available statistics.       </t>
  </si>
  <si>
    <t>The Law on the Whistle-Blowing System was adopted on June 9, 2017 and it will enter into effect on january 1, 2018.</t>
  </si>
  <si>
    <t>The current Law on Procurement (adopted on December 16, 2016 and entered into effect on April 25, 2017) requires disclosure of beneficiary owners of the companies, with whom the customer concludes procurement contract (for the register of beneficial owners - see http://gnumner.am/hy/page/irakan_shaharuneri_tvyalner/ -only in Armenian). However, as the monitoring conducted by Transparency International Armenia in 2017, and later, by other civil society organizations revealed, in reality this register is very formal and real beneficial owners are not exposed in that register.</t>
  </si>
  <si>
    <t>The Law on Procurement does not provide mechanisms for revealing false data on beneficial owners, and, thus, it also does not provide mechanisms for sanctioning for breaching the legal requirements.</t>
  </si>
  <si>
    <t>Yes. It is the Council on the Fight against Corruption.</t>
  </si>
  <si>
    <t>The current Strategy and Its 2015-2018 Implementation Action Plan, which is the third such strategy with its action plan, was adopted by the September 25, 2015 Government Decree N1141-N and it will be in effect until December 31, 2018.</t>
  </si>
  <si>
    <t>The Law on Legal Acts defines stipulates the mandatory impact assessment (Article 5). However this article refers only to the draft laws.</t>
  </si>
  <si>
    <t>The are quality issues  of the assessment as well as there is no ongoing assessment of the  legislation.</t>
  </si>
  <si>
    <t>The are no separate bodies for the assessments. It is carried out by the staff of respective Ministries</t>
  </si>
  <si>
    <t xml:space="preserve"> The is no such practices. The discussions are initiated only after the draft legal act is prepared.</t>
  </si>
  <si>
    <t xml:space="preserve">There is a requirement in the Law on Legal Acts for the public discussion of the draft laws. Also there is a Government decree ( March 25, 2010, N296-Ն) on organization and implementation of the discussions. But the only mean for such discussion is web-based page, which is considered as not effective by the different stakeholders. </t>
  </si>
  <si>
    <t>Yes the draft laws are place in the web page for public discussions</t>
  </si>
  <si>
    <t xml:space="preserve">Yes. As a result of the discussions, the respective public body prepares the table where all recommendations are listed. It also contains the remarks from the ministries on whether the recommendation is accepted. </t>
  </si>
  <si>
    <t xml:space="preserve">Yes. There is such practice but it is happen not often. </t>
  </si>
  <si>
    <t>Yes. There is such governmental structure.</t>
  </si>
  <si>
    <t>In general, it can be said that both Constitution and Law on LSG have principle in line with the European Carter on LG</t>
  </si>
  <si>
    <t>Yes. Councils in all communities of Armenia are elected directly. However, there are communities where the candidates can be only members of the political parties and there is proportional systems of elections.</t>
  </si>
  <si>
    <t>In 3 biggest communities the head is elected through the elected council. There is provision in law, which states that if the political party get more than 50%,, the head will be the candidate who has 1st number in the candidates list submitted by the particular party</t>
  </si>
  <si>
    <t>The powers and responcibilities are defined by the Law on LSG.</t>
  </si>
  <si>
    <t xml:space="preserve">No. There consultation with the local authorities is not sufficient. During the policy planning they are normally asked for statistical data. </t>
  </si>
  <si>
    <t>After the council decision they should submitted it to the Ministry of Territorial administration for approval.</t>
  </si>
  <si>
    <t>Yes. The Budget is approved Council with the presentation of the Head of Community</t>
  </si>
  <si>
    <t>The LSG can take loans, form the private financial institutions only if there is approval of Ministry of Territorial Administration.</t>
  </si>
  <si>
    <t>The authorities can provide some privileges.</t>
  </si>
  <si>
    <t xml:space="preserve">Yes. The law gives the full right to the LSG to make an appeal to the court. </t>
  </si>
  <si>
    <t>Many of the communities have offical web pages.</t>
  </si>
  <si>
    <t>No. The artcial are in most cases published after mettings.</t>
  </si>
  <si>
    <t xml:space="preserve">There is proevision in the Law that oblige the local autorities to held bublic discusions. </t>
  </si>
  <si>
    <t xml:space="preserve">It is protected by Law, but in practice, some servants can be "asked" to leav. </t>
  </si>
  <si>
    <t>The salaries comparetively low.</t>
  </si>
  <si>
    <t xml:space="preserve">The competition is held in two stages: testing and interview. Those participants who answered correctly at least 90 per cent of the test assignments obtain the right to participate in the second stage of the competition. The winners of the interview are considered those participants who received at least 75% of the interview's score assignment.
The corresponding Competition Commission forwards a conclusion on the participants selected as winners as a result of the competition to the official having the jurisdiction to make appointments to the position concerned. The official appoints one of the participants selected as a winner to the  position.  Transparency International's report quotes experts who say that the Civil Service Council and the competition and attestation commissions are also subject to external pressure. This pressure is especially significant in the case of “profitable” or “privileged” positions. </t>
  </si>
  <si>
    <t xml:space="preserve">The procedures described above relates to the all civil servants and regulated bu the council of civil service. </t>
  </si>
  <si>
    <t>Yes, promotion takes place through competition and this requirement of the law. It is used in practice across the civil service.</t>
  </si>
  <si>
    <t xml:space="preserve">There are training opportunities for the staff. But the quality of the trainings are not sufficient to get appropriate knowledge. </t>
  </si>
  <si>
    <t>Yes, but formal.</t>
  </si>
  <si>
    <t>Yes. According to the Constitution with changes introduced through 2005 constitutional referendum (see Article 83.4 of the Constitution with changes introduced in 2005), the Control Chamber of Armenia is the national supreme audit institution, which oversees the usage of the budget resources and the state and municipal property. However, according to the 2015 constitutional changes, after Armenia will switch to parliamentary system of governance (it will happen immediately after the Parliament will elect the new President, which will be on April 9, 2018), the Control Chamber will be transformed into the Chamber of Accounts, whose powers and functions will differ from those of the Control Chamber.</t>
  </si>
  <si>
    <t xml:space="preserve"> Yes. The Control Chamber is organizationallly independent. According to Article 83.4 of the 2005 version of the Constitution, its programme is approved by the National Assembly, and the Chamber reports of its activity to the National Assembly on annual basis. The Head of the Chamber is appointed by the National Assembly by the recommendation of the President. </t>
  </si>
  <si>
    <t xml:space="preserve">Yes. The Law on "Control Chamber" stipulates narrow and exhaustive basis for removal of the head of the Chamber such as resignation, termination of Armenian citizenship or acquiring foreign citizenship, as well as in the case of conviction or recognition by court as totally or partially unsuited to  work physially or mentally. See Article 8 of the Law.
</t>
  </si>
  <si>
    <t>Yes. The staff members of the Control Chamber are considered as civil servants whose status is defined and regulated by a separate law on civil service.  However, in practice, there are informal channels of influence on civil servants in general (clientelism, informal networking, etc) that make the overall substantive independence of the civil service questionable. This relates equally to the substantive independence of the staff of the Control Chamber. See Article 28 of the Law.</t>
  </si>
  <si>
    <t>Yes. The Control Chamber receives regular funding from the state budget, as any other independent state body defined by Constitution.</t>
  </si>
  <si>
    <t>Yes. The Law on Control Chamber sets out detailed procedures, regulations and substative grounds of conducting auditing which ensure certainty and objectivie grounds. For example, it sets out the manner and scope of auditing, the procedures of obtaining permission, tbe manner of conducting inspection, the rights and dutes of the officers conducting auditing, order of provision of information, procedures of filing objections by entities and explanations with respect to which auditing is conducted, etc.   These issues are regulated by Chapter 4 (Articles 18-25) of the Law.</t>
  </si>
  <si>
    <t xml:space="preserve"> Yes.  The Control Chamber at least once a year submits audit report to the National Assembly which is done publicly and the text is published.  Also, it publishes ongoing reports on auditing of those institutions, which are included in its annual plan.See Article 16 of ther Law for ongoing reports and Article 17 - for the annual report.</t>
  </si>
  <si>
    <t>Partially. Despite the parliamentarians regularly, at least once a year, debate over the annual reports  of the Chamber and the reports give rise to heated discussions, the parliamentary majority  mostly blocks any chances of subjecting these reports to any substantive scrutiny.</t>
  </si>
  <si>
    <t xml:space="preserve">Yes. The Government approved the Strategy of Implementation of System of Public Internal Financial Control in 2010, which is defining the system of Public Internal Financial Control (November 11, 2010 Protocol Decision N44 of the Armenian Government). In addition, on February 18, 2016, Armenian Government adopted Protocol Decision N6 on the Approval of the State Finance System Reforms Revised Strategy, Current Problems in the Area of State Financial Management and Measures on Their Solution and 2016-2020 Action Plan of the State Finance Management System Reforms. The integral part of the Revised Strategy is the part on the Public Internal Financial Control. </t>
  </si>
  <si>
    <t xml:space="preserve">Yes. Measures required to set up PIFC are included in the mentioned in the answer to the previous question 2016-2020 Action Plan of the State Finance Management System Reforms (see measures foreseen for Area/Component 4.1.1)  </t>
  </si>
  <si>
    <t>No. International experts mentioned that Armenian authorities mainly implemented thoser measures of PIFC Strategy, which related to the establishment and functioning of internal audit system, whereas the financial management and control system (FMC) elements were not addressed. This could be seen also from the 2016-2020 Action Plan for the Implementation of the  State Finance System Reforms Revised Strategy (measures foreseen for the implementation of FMC), from which it becomes clear that the introduction of viable and effective FMC system is still not in place and will become functional only by 2020, parallel to the introduction of full-scale Program Budgeting in Armenia.</t>
  </si>
  <si>
    <t>Article 18 of the current Law on Procurement (the new Law on Procurement was adopted by Armenian Parliament on December 16, 2016 and entered into effect on April 25, 2017), which defines methods of procurement, provides that tender shall be the most preferable and major method of procurement, and other forms of procurement shall be  applied only in the cases defined by that Law. At the same time, there is no spedific threshold over which only competitive bidding is required.</t>
  </si>
  <si>
    <t xml:space="preserve">Yes. Article 23 of the Law on Procurement defines the exceptions (there are 5 such exceptions), when sole sourcing could be applied. However, because of certain broadness in definitions of those exceptions, in 2017 the practice of evading these exceptions continued, as a result of which the share of sole sourcing didn't shrink considerably.    </t>
  </si>
  <si>
    <t xml:space="preserve">The concept of criminal law, on which Armenian Criminal Code is based, does not foresee criminal liability for legal persons, among them companies. Thus, companies cannot be convicted for bribery, which is a criminal offence. At the same time, Point 3 of Part 1 of Article 6 of the Law on Procurement provides the persons (if the bidder is individual entrepreneur) or the representative of the legal executive body has been convicted for financing terrorism, exploitation of child, human traficking, giving, receiving or soliciting bribes or economic crimes within 3 years prior to the moment of the submission of the bid, if the conviction was not lifted. </t>
  </si>
  <si>
    <t>Yes. Similar to all other regulations, legal acts related to public procurement are published in the Official Bulletin of the Republic of Armenia (laws, codes and decrees of the Government) and Official Bulletin of Departmental Acts (orders of the Minister of Finance ). In addition, the regulations are accessible through electronic legal databases – ARLIS and IRTEK, official bulletin of the Armenian public procurement system (www.procurement.am ) and e-procurement portal (https://armeps.am/ppcm/public/reports).</t>
  </si>
  <si>
    <t>Yes. See https://armeps.am/ppcm/public/reports</t>
  </si>
  <si>
    <t xml:space="preserve">Yes. Article 11 of the Law on Procurement provides that the Ministry of Finance, as the authorised body for public procurement, shall publish official announcement on that contract (except the cases, when the contract contains state, official or bank secrets) in its official bulletin on procurement. By the same Article of the Law the mentioned announcement shall be published one working day after signing the contract. In addition, Point 4 of Article 9 of the Law on Procurement provides that, within 5 calendar days following the request, the customer is required to submit to any person the protocol of the procurement procedure or a copy of any document, which is an integral part of that protocol, except the cases when the procurement contains state secret. 
The publication of procurement protocols in the www.procurement.am and https://armeps.am/ppcm is in accordance with law requirements. However, similar to previous years, the monitoring by civil society organizations revealed that not all the procurement protocols are published in the procurement official bulletin (www.procurement.am). </t>
  </si>
  <si>
    <t xml:space="preserve">Yes. The description of the position is prepared. It is attached to the announcement and available via web resources. </t>
  </si>
  <si>
    <t xml:space="preserve">Yes. There are defined procedures for the evaluation of the performance of the civil servants, but they have formal nature. Also it is going to be changed from the 3 year attestation to annual evaluation but it is not widely acceptable practice yet. </t>
  </si>
  <si>
    <t>No. The practice is still based on the personal connection. The system do not ensures the merit based appointment and promotion, which do negatively influence the quality of the service.</t>
  </si>
  <si>
    <t>There is no such surveys, at least on regular bases.</t>
  </si>
  <si>
    <t>There are formal procedures to make complines.</t>
  </si>
  <si>
    <t>The complines are evaluated by the higher officials</t>
  </si>
  <si>
    <t>Yes/ but main competance delegated to EAEU</t>
  </si>
  <si>
    <t>Yes/Ministry of economic development and investment of RA designated as national authority</t>
  </si>
  <si>
    <t>65,6% (total number of standards 1122, only 386 are national. 502 harmonized with international and 234 with EU and other state standards)</t>
  </si>
  <si>
    <t>yes (from november 2016)</t>
  </si>
  <si>
    <t>affiliate member since 2008 (from 2008 country is in accession)</t>
  </si>
  <si>
    <t xml:space="preserve">no  </t>
  </si>
  <si>
    <t>reportedly only fish, cryfish and honey</t>
  </si>
  <si>
    <t>under the final stage of preporation within the EAEU</t>
  </si>
  <si>
    <t>art 16 the RA law on protection of economic competition</t>
  </si>
  <si>
    <t>The head of SCPEC as a Cabinet observer may intervine during the lagislative discutions.</t>
  </si>
  <si>
    <t>within TWINNING, with support of GIZ, and etc.</t>
  </si>
  <si>
    <t>Armenia has not yet been offered a VLAP by the European Union. However, the European Parliament has called on the European Union bodies to launch a dialogue with Armenia on visa liberalization. The final decision to launch VLAP with Armenia is to be made by the EU member states and the European Commission.</t>
  </si>
  <si>
    <t>Visa Liberalization is not yet in place in Armenia.</t>
  </si>
  <si>
    <t>The agreement between the European Union and the Republic of Armenia on the facilitation of the issuance of visas has been signed in 2012 and entered into force in 2014. The agreement makes it easier and cheaper for citizens of Armenia to acquire short-stay visas allowing them to travel to and freely throughout the EU.</t>
  </si>
  <si>
    <t>A Law on Personal Data Protection was adopted by the parliament  and came into force on 01 July 2015. The law sets up legal framework of processing personal data by public and private organizations as well as  rights and liabilities for both data processors and personal data subjects. According to the decision of the Government of Armenia, Personal Data Protection Agency has been formed within the Ministry of Justice. The functions of the Agency are determined by the  Law on Personal Data Protection. Additionally, a Charter on Personal Data Protection Authority and Amendments to the Code on Administrative Violations have been adopted and are in place since January 2016.</t>
  </si>
  <si>
    <t>Armenia issues biometric passports upon the request of citizens. There is a sufficient legal and institutional capacity for issuing national passports for travel abroad in accordance with European standards.</t>
  </si>
  <si>
    <t>The EU and Armenia signed the EU-Armenia readmission agreement on 19th of April 2013.</t>
  </si>
  <si>
    <t xml:space="preserve">“Concept on the state regulation of the population migration in the Republic of Armenia”, approved on 30 December 2010, by RA Government decision. </t>
  </si>
  <si>
    <t>The Law of the Republic of Armenia “On Refugees and Asylum” regulates the legal relations concerning issues of recognition as refugee and granting asylum in the Republic of Armenia</t>
  </si>
  <si>
    <t>In the Republic of Armenia the reatment of refugee status and asylum applications for granting asylum to foreign citizens and stateless persons or recognising as refugees as well as facilitating of the rights to asylum seekers and refugees are stipulated by the "Law on Refugees and Asylum".</t>
  </si>
  <si>
    <t>The State Migration Service is currently working on that profile and it will be available by next year.</t>
  </si>
  <si>
    <t xml:space="preserve">The law on Refugees and Asylum Seekers has established Temporary Reception Centre. Temporary reception center for asylum seekers is a special institution, where the designated body places the asylum seekers until the final decision on their asylum application is adopted. However, it is relatively small and cannot accommodate many people, while the number of asylym-seekers grows every year. </t>
  </si>
  <si>
    <t>Signature-15 Nov 2001 
Ratification-1 Jul 2003</t>
  </si>
  <si>
    <t xml:space="preserve">Both: signature- 15 Nov 2001, ratification- 1 July 2003 </t>
  </si>
  <si>
    <t>In December 2011, Armenia adopted a National Strategy to improve the effectiveness of the fight against organised crime.</t>
  </si>
  <si>
    <t>The law "On Combating Money Laundering and Terrorism Financing" entered into force on 31 August 2008. Amendments were made in the respective articles (190 and 217.1) of the RA Criminal Code. An Interagency Standing Commission on Fight Against Counterfeiting Currency, Plastic Cards, and Other Payment Instruments, Against the Money Laundering, as well as Financing Terrorism in the RA was established, and the 2010-2013 National Strategy for Combating Money Laundering and Terrorism Financing was approved on 26 March 2010 at its meeting. The new National Strategy and Action Plan for Combating Money Laundering and Terrorism Financing 2013-2015 were developed by Financial Monitoring Center (FMC) and aim at fulfilling 40 FATF recommendations referring to abovementioned issues. Those documents were adopted in late 2012.</t>
  </si>
  <si>
    <t>Signed - 17 November 2005
Ratification - 2 June 2008   
Entered into force -1 October 2008</t>
  </si>
  <si>
    <t>Signed : 16 May 2005 
Ratified: 14 April 2008 
In Force: 1 August 2008</t>
  </si>
  <si>
    <t xml:space="preserve">The government of RA developed and adopted the 2016-2018 national action plan </t>
  </si>
  <si>
    <t xml:space="preserve">The Law on Identification and Assistance to Victims of Human Trafficking and Exploitation establishes a national referral mechanism and outlines actions for the Victim Identification Commission consisting of national and local government bodies, NGOs, international organizations, and civil society to identify and support trafficking victims. The law also ensures victim assistance is not linked to their cooperation with law enforcement and affords foreign trafficking victims the same rights and services as Armenian citizens.
The government and local NGOs jointly provided victims legal, medical, and psychological assistance; housing; and access to social, educational, and employment projects. The government offered free health care; one victim received this service in the reporting period. The government maintained cooperation agreements with two specialized NGO-run shelters to provide services to victims; however, one NGO-run shelter closed at the end of February 2017 due to the completion of their donor-funded project.
</t>
  </si>
  <si>
    <t>The Public services regulatory commission is independent body established by the Law</t>
  </si>
  <si>
    <t>yes (www.psrc.am)</t>
  </si>
  <si>
    <t>under progress,  pipeline interconnection project with Georgia is in process of development</t>
  </si>
  <si>
    <t>under progress of development of project</t>
  </si>
  <si>
    <t>Yes (RA Law on Energy Efficiency and Renewable Energy)</t>
  </si>
  <si>
    <t>yes (National Project of Energy Efficiency and Renewable Energy)</t>
  </si>
  <si>
    <t>yes R2E2 Fund</t>
  </si>
  <si>
    <t>No changes in the status of the draft law on environmental policy. It is still unde  consideration</t>
  </si>
  <si>
    <t xml:space="preserve">The governmental bodies were involved. Involvement of NGOs and academic sector was poor. </t>
  </si>
  <si>
    <t xml:space="preserve">Regarding draft law on environmental policy – NO.
Generally the announcement on public consultations is publishing on the web of the RA MNP, also of Aarhus centers and relevant ministries
</t>
  </si>
  <si>
    <t xml:space="preserve">Such practice (comparabe table of included and not included comments) exists for interdepartmental consultations. For public consultations – partially. Such document  was not published on Internet. </t>
  </si>
  <si>
    <t xml:space="preserve">
By the RA President  Decree N-922-A,  December 19, 2017, the State Forest Committee has been established in the RA Ministry of Nature Protection
</t>
  </si>
  <si>
    <t>By RA Government Decision (N445-N, April 2017)  is established the joint Environmental and Subsoil Inspectorate at the RA Ministry of Nature Protection,</t>
  </si>
  <si>
    <t>At the national level the state body responsible for environment is the Ministry of Nature Protection. At the regional administrations there are no administrative units, but officers, responsible for environmental issues.</t>
  </si>
  <si>
    <t>To implement the adopted decisions, the action plans are being developed, in which the responsible structure and terms of execution are defined for each issue. In the case of government documents, the action plan is approved by the government. Control over execution is sometimes formal. That`s why the response is "Partially""</t>
  </si>
  <si>
    <t>Integration of environmental standards into sectoral plans is provided by the EIA Law in respect of planned activities and strategic documents</t>
  </si>
  <si>
    <t>ref. point "e" above</t>
  </si>
  <si>
    <t>Under preparation: all planned economic activities are subject to EIA. The environmental demands/environmenal safety issues are included in RA Governmental and sectoral programs</t>
  </si>
  <si>
    <t xml:space="preserve">The N 50-3 Government Protocol Decree from 15.12.2016 of Armenia approved the Concept of changes in the Law on Atmosphere Protection. In 2017 Draft Law was under elaboration </t>
  </si>
  <si>
    <t xml:space="preserve">Implementation of the Strategy on solid municipal wastes management system development for 2017-2036 (adopted in 2016)
“The Action Plan for Implementation of “The Strategy for development of the municipal solid wastes management system” was approved by RA Government Protocol Decision N13, 30 March 2017
</t>
  </si>
  <si>
    <t xml:space="preserve">"Sevan" National Park Reforms and Development Concept " is adopted by the RA Government.
In 2017  the Draft of the RA Government Decision  "On Approval of the Sevan National Park Reforms and Development Strategy and respective Action Plan for 2018-2028" was  under elaboration.
In 23.02.2017
“The  2017-2026 Action Plan for implementation of  Dilijan National Park Management Plan was approved by  RA Government Protocol Decision N 8-47.
 “The  2017-2026 Dilijan National Park  Management Plan and Priority Measures for Effective Governance” were  approved by  RA Government Decision N 190-N.
</t>
  </si>
  <si>
    <t xml:space="preserve">Tthe Action Plan for  Stockholm Convention on Persistent Organic Pollutants for 2016-2020 was already adopted. In 2017 the plan was in the process of  implementation </t>
  </si>
  <si>
    <t xml:space="preserve">Republic of Armenia National Council on Sustainable Development (NCSD) functiones under the leadership of the Prime Minister. The Council is a platform for discussing cross-cutting issues based on sustainable development approach. Decisions/instrutions of the Council are addressed to the relevant  structures and are mandatory for implementation. The environmental demands/environmenal safety issues are included in RA Governmental and sectoral programs. Action plans for particular environmental issues, including action plans for the implementation of MEAs, provide for commitments of line ministries, that report on the results of their actions to  the RA MNP.  
</t>
  </si>
  <si>
    <t xml:space="preserve"> The RA Law on Environmental Impact Assessment and Expertise, 21.06.2014. The Law includes provisions on SEA. The process of underlaw development is ongoing.</t>
  </si>
  <si>
    <t>See above</t>
  </si>
  <si>
    <t>The mechanism for prevention of illegal unreported and unofficial fishery exists. Nevertheless Armenia is land-locked country, has no access to great international water area. Consequently mentioned mechanism  refers to the local country water basins</t>
  </si>
  <si>
    <t>Under consideration at the adopting body</t>
  </si>
  <si>
    <t xml:space="preserve">The Paris Agreement and Doha Amendment of Kyoto Protocol are ratified by National Assembly of Armenia on 08.02.2017
Comprehensive and Enhanced Partnership Agreement is signed between Armenia and EU on 24.11.2017, and there are certain provisions related to the climate change policy and action plan for implementation.
The Action plan and list of measures aimed at implementation of Convention during 2017-2021 was adopted by the  Government Decree in December 2016 
</t>
  </si>
  <si>
    <t xml:space="preserve">The funding proposal for National Adaptation Plan and Planning was developed in 2017 under Green climate Fund Readiness programme, it is adopted, however  the final approval is pending </t>
  </si>
  <si>
    <t>Some provisions related to climate change adaptation are included in the Sendai Action Plan adopted in 2017</t>
  </si>
  <si>
    <t xml:space="preserve">State ownership of the rail monopolist is preserved, although it is granted for concession to Russian Railways. </t>
  </si>
  <si>
    <t>Different airport services are separated from infrastructure.</t>
  </si>
  <si>
    <t>Until 2008, Armenia Railways was a 100% government-owned joint-stock company.  Following an international tender, Government decision No. 17A in January 2008 announced that Russian Railways JSC had won the tender.  In February 2008, the Ministry of Transport and Communications and Russian Railways JSC signed a concession agreement, and in April 2008, the Ministry issued a licence to South Caucasus Railways, a subsidiary of Russian Railways, to operate Armenia's rail system.  The licence concession covers rail freight and passenger services, rail rolling stock, and rail infrastructure .</t>
  </si>
  <si>
    <t xml:space="preserve">From 1992 till nowadays road reconstruction an rehabilitation are one of main areas were government of Armenia is involved together with different international organizational and fund, such as World bank and All Armenian Fund. </t>
  </si>
  <si>
    <t xml:space="preserve"> Armenian legislation does not restrict the participation of foreign investors in air transport services (either for passengers or cargo), thus, airlines may be fully owned by foreigners.</t>
  </si>
  <si>
    <t>Under the terms of the concession agreement, Russian Railways acquired the rolling stock.  Under the terms of the licence, South Caucus Railways can provide passenger and freight services and, in most circumstances, set tariffs.  However, the Government can set:  railway transport infrastructure usage tariffs during emergency situations;  tariffs for international transport regulated by international agreements;  and tariffs for strategic commodities (oil products, soft wheat, seeds, weapons, fertilizers, and chemicals).</t>
  </si>
  <si>
    <t>3535 (http://armstatbank.am/pxweb/hy/ArmStatBank/ArmStatBank__4%20Transport%20and%20tourism__41%20Transport/TT-tr-11-2017n.px/table/tableViewLayout2/?rxid=5a6c72e9-0175-43ca-9273-c5377ffd0c28)</t>
  </si>
  <si>
    <t xml:space="preserve">The existing national Strategy for Sustainable Development (NS SD) does not fully meet the requirements of the Rio+20 process.
The Strategy is under revision
</t>
  </si>
  <si>
    <t xml:space="preserve">In 2017 the SDG Nationalization Inter-agency Task Force was created to coordinate the activities of state agencies and NGOs in the process of SDG nationalization and implementation.
In 2017 by RA Government and UN jointly was established the National SDG Innovation Lab   to accelerate the SDGs achievement in Armenia.
</t>
  </si>
  <si>
    <t xml:space="preserve">Both legislative and regulatory basis is not complete. The work is in progress.   </t>
  </si>
  <si>
    <t>GHG inventory is publishing  with a periodicity of 2 years. New data will be available at the end of the year.</t>
  </si>
  <si>
    <t>Yes. Three-cycle structure pilot program launched in 1992 in Yerevan State Engineering University, then in 1994 in Yerevan state University. After Bologna process started in Armenia in 2005, the structure started being implemented in all universities. The exception is Slavonic University, with combination of both, including three-cycle structure program and five years diploma. In 2004 all Armenian universities terminated admission of the five year diploma based structure, and by the law the five year diploma degree is announced equivalent to M.A.</t>
  </si>
  <si>
    <t>Several  private universities have some automony due to their status.  It is not true for state universities with high portion of ruling party representation.</t>
  </si>
  <si>
    <t>Very low independence-  more formal,  is declared.</t>
  </si>
  <si>
    <t>Practically no changes</t>
  </si>
  <si>
    <t xml:space="preserve">RA Law on Education was adopted in 1999. Last three Amendments done in 22.06.2015; 03.02.2016; 16.03.2016. Yes, RA Law on Higher and Postgraduate Professional Education was adopted in 14 December 2004. Last three Amendments done in 19.05.2014, 21.06.2014, 03.02.2016. </t>
  </si>
  <si>
    <t xml:space="preserve"> In 2002 the pilot implementation project started in Yerevan State Engineering University. By RA Government decision dated to 2005, Implementation of European Credit Transfer System became obligatory for all universities. Starting from 2008 all educational programmes in Armenia have been based on ECTS</t>
  </si>
  <si>
    <t xml:space="preserve"> In 2011 RA Government ratified “National Education Qualifications Framework of the RA” consisting of 8 levels. (Decision #332, 2011).  On November 22, 2012 the regulation on “Granting Educational qualification” was adopted by RA government. On 11 April 1997, the Republic of Armenia has ratified the Lisbon Convention1 on the Recognition of Qualifications Concerning Higher Education in the European Region. Recognition practice-Stage of Implementation-After the establishment of ArmENIC it became the sole authority for recognition. The HEIs are also eligible for recognition in case a potential student with foreign qualification applies to continue his/her study. </t>
  </si>
  <si>
    <t xml:space="preserve">total  number of students - 78,747.0, number of forign students - 3851   </t>
  </si>
  <si>
    <t>“RA Concept of lifelong learning “(adopted in 2009)</t>
  </si>
  <si>
    <t xml:space="preserve">The 2013-17 Strategy for the State Youth Policy of the Republic of Armenia (2012) builds on the Conception of State Youth Policy (1998) and presents specific outputs, funding and implementation dates. </t>
  </si>
  <si>
    <t>National Youth Report of Armenia (2011) and Aspirations and Expectations of the Youth of Armenia (2012) by UNDP</t>
  </si>
  <si>
    <t xml:space="preserve">The draft law on volunteering were put into circulation by the Armenian Ministry of Labor and Social Issues in 2008. In 2010 the draft was of terminated due to the absent of a cumulative point on its several provisions among respective ministries </t>
  </si>
  <si>
    <t>The 2013-17 Strategy for the State Youth Policy of the Republic of Armenia (2012) builds on the Conception of State Youth Policy (1998).</t>
  </si>
  <si>
    <t>in 2017 actual expenditure was reported at 95,6% of the plan (source http://www.minfin.gov.by/upload/bp/bulletin_cons/2017/2017.pdf). Deviation = 4,4%</t>
  </si>
  <si>
    <t>Yes. The main act regulating public procurement is the Law of the Republic of Belarus No. 419-З of 13.07.2012 on "Public Procurement in the Republic of Belarus". It establishes the types and criteria for determining public procurement procedures. At an estimated cost of the annual purchase demand of 1000 base units and more, an electronic auction or exchange auction is used for special lists of goods, in other cases an open tender.</t>
  </si>
  <si>
    <t>Same as mentioned above</t>
  </si>
  <si>
    <t>Partially. There are some elements in place. In 2017 the Parliament considered amendments to the existing Law, one of changes foreseen - full electronisation of the rpcourement process (source: http://pravo.by/novosti/obshchestvenno-politicheskie-i-v-oblasti-prava/2017/january/22516/). The amendements were approved in 2018</t>
  </si>
  <si>
    <t>Vertically integrated (managed by BELENERGO). Private production of energy is possible for own consumption or selling to centralized energy system</t>
  </si>
  <si>
    <t>No. See above</t>
  </si>
  <si>
    <t xml:space="preserve">No. Applied for Observer Status in Energy Community in 2016 - no decision so far </t>
  </si>
  <si>
    <t>Belarus is part of the joint system Belarus-Russia-Estonia-Lithuania-Latvia, however, Baltic countries are on the way to synchronize its electrical systems with the Western European and Nordic countries</t>
  </si>
  <si>
    <t>Several transnational pipelines</t>
  </si>
  <si>
    <t>Law "On energy efficiency", Directive #3 "on efficient use of resources" and package of other legal acts</t>
  </si>
  <si>
    <t>Department of energy efficiency leads in development of EE initiatives, its implementation and monitoring</t>
  </si>
  <si>
    <t>Funded under EU, EBRR, World Bank projects</t>
  </si>
  <si>
    <t>Nothing changed since previous Index. Strategy in sphere of Environmental Protection by 2025 is adopted by Ministry of Environment only as internal document, no adoption by Parliament of Council of Ministers is planned so far</t>
  </si>
  <si>
    <t>Information from previous index is relevant (same strategy, no further developments)</t>
  </si>
  <si>
    <t>Under SD strategy</t>
  </si>
  <si>
    <t>strategy of reduction of air pollution by transport + air protection law</t>
  </si>
  <si>
    <t>adopted in 2011 + water code</t>
  </si>
  <si>
    <t>adopted in 2017</t>
  </si>
  <si>
    <t>number of strategies and plans (nature protected areas, wetlands conservation)</t>
  </si>
  <si>
    <t>National plan of implementation of commitments under the Stockholm Convention - till 2028</t>
  </si>
  <si>
    <t>Adopted in 2016 (one law both for SEA and EIA). Currently is under review (possibly could be weakened due to new Decree on support of Enterpreneurship)</t>
  </si>
  <si>
    <t>Data became MUCH more detailed + some more information is available online in the annual statistical compilation (book), but not on the SEIS page</t>
  </si>
  <si>
    <t>Under control of several bodies (including National Committee of State Control)</t>
  </si>
  <si>
    <t>Ratified in 2016. However, worth to mention that when it came to implementation, the process was slowed down and currently it looks like many of internal deadlines will be missed</t>
  </si>
  <si>
    <t>In winter 2017 Council of Ministers adopted a Plan of supporting actions for implementation of Paris Agreement which included development of the National Mitigation strategy (deadline is Q3-2018), no drafts are available for public discussion so far</t>
  </si>
  <si>
    <t xml:space="preserve">Delayed. Plans for development of the National plan for adaptation was mentioned in NDC and Plan of supporting actions for implementation of Paris Agreement, however, deadlines, mentioned in the Plan, have been missed by all responsible bodies and no drafts are available at the moment </t>
  </si>
  <si>
    <t xml:space="preserve">Strategy of adaptation in forestry was developed and adopted. Strategy for agriculture was developed in frames of CLIMA EAST project, but still under consideration as official legal act. No strategies in other sectors (e.g. emergency situations etc.) have been developed (although, there are plans to have some). Several local adaptation strategies for small towns were developed by NGOs </t>
  </si>
  <si>
    <t>Yes and No. Climate issues are under responsibility of newly established Department of air control and climate change under the Ministry of Environment (policy issues), Hydrometeorological Center (monitoring) and research institution BELNIC Ecologia (reporting). However, the new department in the Ministry is in fact the same old department with changed name (and same people, same resources and level of power)</t>
  </si>
  <si>
    <t>Road Police</t>
  </si>
  <si>
    <t>488 (source: https://sputnik.by/incidents/20180110/1032963034/minskaya-gosavtoinspekciya-podvela-itogi-2017-goda.html)
Belarusian road police reports only the number of accidents, which causes hurts and injuries to people. Total number of accidents is higher, but not available publicly</t>
  </si>
  <si>
    <t>Yes  (National Strategy of SD till 2030 AND National plan of support of Green Economy development till 2020), update of the National SD strategy is in process</t>
  </si>
  <si>
    <t>National coordinator for implementation of SDGs was appointed (Marianna Schotkina, Belarusian Senate vice chair), special Council has been established (included official bodies, business, NGOs, however, process to join the council was NOT open and transparent). UNDP project supports operations of the Council</t>
  </si>
  <si>
    <t>Education for Sustainable Development is presented in National Strategy for Sustainable Development-2030; this notion is included in the Code on Education; there is order of the Council of the Republic on Sustainable Development Goals presented in form of recommendations of open parliamentary readings; at the Ministry of Education operates the Coordination Committee of Education for Sustainable Development, it is intergovernmental (includes minitries of natural resources and environmental protection, economy, labour and social protection, foreign affairs), First Deputy Minister of Education is member of Council of sustainable development</t>
  </si>
  <si>
    <t>it is ordered to include SD in all curricula. Academic research in this field is still not supported. SD as optional course is available in the school network “School of Sustainable Development”, some universities and some innovative platforms in the field of ESD operating in accordance with the orders of the Minister of Education + educational programmes and courses of the Association “Education for Sustainable Development” (52 educational institutions and NGOs)</t>
  </si>
  <si>
    <t>teachers’ competences in the field of SD are included into the currently developed 3+ generation standards of training and retraining teachers of all specialities; there is a decision of the Coordination Committee in the continuous pedagogic education on necessity of integration of SD in training courses; at the Belarusian State Polytechnic University operate two student scientific-practical laboratories “Pedagogic education in favor of SD”; the Decade of ESD on the issues of SD in education was held</t>
  </si>
  <si>
    <t>in 2018 Belarus took part in international research PISA (age 15y, competences related to SD among other topics)</t>
  </si>
  <si>
    <t>-0,1%</t>
  </si>
  <si>
    <t xml:space="preserve">Although authorities tend to obey by time regulations they often try to reduce the scion of info which is revuested </t>
  </si>
  <si>
    <t>source: Emerson et al (2018) Deepening EU-Ukraine relations. Second edition</t>
  </si>
  <si>
    <t>red/green lines are applied. More differenciated approach is under preparation</t>
  </si>
  <si>
    <t>the AEO are envisaged in Customs Code, but the system does not work. Draft law in line with DCFTA is in the Parliament</t>
  </si>
  <si>
    <t>No. The Legislator has power of oversight over agencies of coersion but both  legal and political frameworks are not effecive.  Addition: under the former government, all institutions mentioned in the question were under de facto control of the executive. No checks and balances were in place. Such overlap of immediate relationship on practice served largely the reason for the enormous mobilisation leading to the change of the government in Armenia, as of May 08 2018.</t>
  </si>
  <si>
    <t xml:space="preserve">Yes, but it lacks criteria of hiring and assessing the research capacity of the personnel. Also the word 'dedicated' should be defined for clarity. If 'dedication' in this context is conceptualised as experience in research, then answer is, usually, rather doubtful. </t>
  </si>
  <si>
    <t xml:space="preserve">Yes, but it lacks criteria of hiring and assessing the research capacity of the personnel. </t>
  </si>
  <si>
    <t>The Ministry of Defence has also established a civil society council adjacent to the Minister, with no tangible results so far. (Based on a recommendation of Ministry of Juctice 2015, all ministries to exercise councils composed of civil society members, to consult ministers on on-going policies. However, the impact of these councils remains a subject of further enquiry. No tangible results have been achieved so far as a result of these established "civil society engagement" platforms.)</t>
  </si>
  <si>
    <t>Yes. The law clearly distinguishes civil servants from political appointees. Appointment to civil service positions mainly takes place on the bases of competition. There are few exceptional cases when civil servants are appointed without competition. Addition from Peer reviewer: The distinctions of employees are: civil servants, political appointees and public servants (who are the ones serving in state, but not governmental institutions: for example, state agencies, universities etc.)</t>
  </si>
  <si>
    <t xml:space="preserve">No, The mixt electotal system approved a year ago is being contested by about half of the political spectrum and is criticised by international partners, so I would say there is no broad perception of legitimacy.  </t>
  </si>
  <si>
    <t>After the reorganisation of the Government in 2017, when ministries and public authorities merged, roughly 30% of civil servants were dissmised. Savings were used to increase the salary of remaining civil servants. But the pay is still not sufficiently competitive compared to private sector or international organisations.  PEER REVIEWER: The salary is not competitive at all, particulalty in local public administration where there are some of the lowest salaries in the public sector.</t>
  </si>
  <si>
    <t xml:space="preserve">Standardization in figures (11.06.2018) 27 972 - Total national standards; 20206- European standards taken over; 3182-International standards taken over // Addition from PEER REVIEWER: Government reports indicate that Moldova has implemented 34% of EU acquis, but what share of national standards is harmonised may be  difficult to quantify in any meanigful sense, due to many overlaps.  </t>
  </si>
  <si>
    <t xml:space="preserve">From Peer Reviewer: Despite legal autonomy, universities still remain very much informally dependent on the goverment. Heads of universities are routeinly forced to either join or tacitly support the ruling party.  </t>
  </si>
  <si>
    <t xml:space="preserve">Yes. Articles 48 and 49 of the Electoral Code of Georgia defines and prohibits use of administrative resources. </t>
  </si>
  <si>
    <t>Partially. According to the OSCE/ODIHR Election Obervation Final Report for 2017 Local Elections "The legal framework is comprehensive and provides an adequate basis for the conduct of elections in line with democratic principles. However, gaps and inconsistencies remain and are related to candidate and voter eligibility, restrictive campaigning, and campaign finance provisions for independent candidates." However, the mixed electoral system that was in force for the reporting period, has been heavily criticized by different stakeholders, including by the Venice Commission, according to which "Experience shows that, in Georgia, the mixed electoral system
leads to an overwhelming majority of a single party, which is prejudicial to pluralism in Parliament."</t>
  </si>
  <si>
    <t xml:space="preserve">No, CCTV cameras are not allowed in the polling stations, there are no biometric voter machines and no online streaming </t>
  </si>
  <si>
    <t xml:space="preserve">0,5 </t>
  </si>
  <si>
    <t>they have power but its not always working in practice</t>
  </si>
  <si>
    <t xml:space="preserve">No, the President does not lack the right to dissolve the Parliament. S/he could dissolve the Parliament in cases determined by the Constitution (Art.73 (p)).  </t>
  </si>
  <si>
    <t xml:space="preserve">number of bills submitted by the opposition - 37; number of total bills submitted by the members of the Parliament in total (in this number the drafts submitted by the government is not counted)- 107  </t>
  </si>
  <si>
    <t>share of adopted bills submitted by the opposition - 0; (Number of total bills adopted 484)</t>
  </si>
  <si>
    <t xml:space="preserve">yes, but are not effective </t>
  </si>
  <si>
    <t xml:space="preserve">As internal mechanism exists, but is not very effective and independent institutions point to that direction, I would suggest to change the score to 0,5 </t>
  </si>
  <si>
    <t>According to the information provided by the MIA, the hot line of the General Inspectorate of the Ministry of Internal Affairs represents the confidential complaint mechanism, through which anyone, including the staff could complaint about illegal actions against them. To substantiate the answer the Ministry refereed to the legislation that protects whistleblowers, however, the law stipulates that there should be a special legislative framework regulating protection of whistleblowers in MIA, Ministry of Defense and State Security Service. However, special legislation does not exist. Therefore, as the mechanism is not effective, the answer will be partially.</t>
  </si>
  <si>
    <t xml:space="preserve">No, there is no internal confidential complaint mechanism. However, the General Inspection at the MOI have general duty to reveal and follow up on the cases of violation of ethics, disciplinary norms and official duties by the Ministry's staff.  </t>
  </si>
  <si>
    <t>Yes, the Parliament could create an ad hoc Investigative Commissions; however, according to the Rules of Procedure of the Parliament, the decision on the creation of the Investigative Commissions is adopted by the majority; Accordingly, the parliamentary opposition is unable to establish them, unless the majority so decides. The Parliament did not establish Investigative Commissions in 2017 (one has been established in 2018 to follow up the ineffective investigation of the murder two teenagers by the Prosecutor's Office, with the Parliamentary Minority dominating the Commission, however, this does not fit into the reporting year). In the pperiod of 2017 - 8 March 2018, the parliamentary opposition requested creation of Investigative Commissions in 6 cases - in two cases the Parliament rejected the resolution and has not taken decision in relation to four remaining draft resolutions (source: http://factcheck.ge/article/bolo-ori-motsvevis-parlamentma-18-jer-thqva-uari-sagamodziebo-komisiis-sheqmnaze-parlamentshi/)</t>
  </si>
  <si>
    <t xml:space="preserve">The Ombudsman does not have competence to undertake investigations in a formal meaning of the word; however, she has the right to have unrestricted access to penitentiary institutions and detention centres; to meet with detained/arrested persons; to request and receive information from state institutions. </t>
  </si>
  <si>
    <t xml:space="preserve">The previous Minister of Internal Affairs (has been dismissed in November, 2017) was not easily accessible for the media. The New Minister, who occupies the post from November 2017 is more open. Until November, 2017 the Ministry has been more reacting to the information disseminated in the media rather than proactively informing the public about the activities, problems and challenges. more than half of the reporting period the Minister was not accessible for the media </t>
  </si>
  <si>
    <t xml:space="preserve">Peer reviewer: proposes 0.5 they provide some info in case there is a request // Expert: The question was whether the agencies publish statistics (that is proactively) which is not done. Therefore, I disagree with the reviewer's score </t>
  </si>
  <si>
    <t>According to the US Department of State HR Report "Crimes against media professionals, citizen reporters, and media outlets were rare. In 2016 there was one report of police physically and verbally assaulting journalist Davit Mchedlidze, editor in chief of the online media outlet media.ge, in Rustavi. As of September the investigation continued.
In July, Kamila Mamedova, the director of Marneuli Community Radio, appealed to the Marneuli police to investigate pressure “from the government and its affiliated persons on the grounds of critical reports broadcasted on the radio,” according to Transparency International Georgia. Mamedova said she and her staff were threatened and a fake Facebook account was established in her name. The Marneuli police responded later that month that there were insufficient grounds for police investigation."</t>
  </si>
  <si>
    <t>Case of Afgan Mukhtarli. While there haven't been cases of journalists in Georgia being prosecuted or jailed, still, the Azerbaijani journalist Afgan Mukhtarli, has been abducted in the downtown Tbilisi and re-appeared in Baku. "The president, the public defender, local and international NGOs, and the international community expressed concerns about impunity for government officials in the reported late-May abduction and forced rendition of Azerbaijani freelance journalist and activist Afgan Mukhtarli from Georgia to Azerbaijan. According to Mukhtarli’s lawyer, Mukhtarli believed Georgian security services personnel abducted him in Tbilisi. Mukhtarli reported Georgian-speaking men dressed in Georgian criminal police uniforms abducted him in Tbilisi, beat him in a Georgian criminal police vehicle, resulting in bruising and a broken nose, and transported him to the Azerbaijani border where he was turned over to Azerbaijani security service representatives. The Ministry of Internal Affairs opened an investigation, but investigation’s integrity has raised questions. Private investigation conducted by TV Channel R2 discovered widespread government tampering with evidence, including editing and removal of closed-circuit television footage from private businesses. In July, the Prosecutor’s Office took over the investigation. As of December 2017, the investigation was ongoing (US Deopartment of State HR Report 2017, p.8)</t>
  </si>
  <si>
    <t xml:space="preserve">Yes, there have been court decisions on discrimination in 2017. </t>
  </si>
  <si>
    <t>Author proposes 0 - peer reviewer proposes 1</t>
  </si>
  <si>
    <t>expert proposes 0 /// Peer reviewer proposes: 0.5</t>
  </si>
  <si>
    <t>Expert proposes: 0 /// Peer reviewer propsoes 0.5</t>
  </si>
  <si>
    <t>Yes, there are 14 prisoners</t>
  </si>
  <si>
    <t>Yes there are</t>
  </si>
  <si>
    <t xml:space="preserve">yes – 1; sometimes - 0.5, no – 0. </t>
  </si>
  <si>
    <t>1, yes, because local statutes require it - 0.5, no - 0</t>
  </si>
  <si>
    <t xml:space="preserve">yes – 1; yes, no – 0. </t>
  </si>
  <si>
    <t xml:space="preserve">Yes – 1, could regulate, but does not have authority to abolish or vice versa – 0,5, no – 0 </t>
  </si>
  <si>
    <t xml:space="preserve">Yes – 1, only with the approval of the central authority – 0,5; no – 0 </t>
  </si>
  <si>
    <t xml:space="preserve">Yes, - 1, only with the approval of the central authority – 0,5; no – 0 </t>
  </si>
  <si>
    <t>(yes/no) yes – 1; no – 0</t>
  </si>
  <si>
    <t xml:space="preserve">Yes, always - 1; yes, often – 0.5; time to time, no – 0. </t>
  </si>
  <si>
    <t xml:space="preserve">yes, by the constitution – 1; yes, by ordinary legislation – 0,5, no, by the governmental decree or bylaw – 0  </t>
  </si>
  <si>
    <t>yes – 1; yes, but it can be overridden by the executive (president) - 0.5; no – 0.</t>
  </si>
  <si>
    <t>yes – 1, no – 0</t>
  </si>
  <si>
    <t>yes, in the constitution – 1; yes, by the ordinary legislation – 0,5, no - 0</t>
  </si>
  <si>
    <t>Yes 0, 0.5, No 1.0, Calibration</t>
  </si>
  <si>
    <t>No 0, 0.5, Yes 1.0, Calibration</t>
  </si>
  <si>
    <t xml:space="preserve">No. Although there were no elections/voting during 2017, parties and political/civil society actors or organizations were not given any chance to speak on state-owned or any other officially registered state or non-state TV or radio. </t>
  </si>
  <si>
    <t>No. There is no such independent state mechanism. Only independent CSOs and international organizations rate/identify such issues, and not on regular basis (from time to time).  There a clear bias in favor of the ruling circles.</t>
  </si>
  <si>
    <t>Partly yes. According to Article 17 of the Law on Political Parties, most of the funding goes to the parties represented in the parliament. Only 10% of the state funding is divided between the parties that received at least 3% of votes in the last parliamentary elections.</t>
  </si>
  <si>
    <t>Yes. The reports of OSCE/ODIHR and independent domestic organizations clearly indicate this. There also many published articles and reports on abuse of administrative resources in Azerbaijan.</t>
  </si>
  <si>
    <t xml:space="preserve">Partly yes. The Election Code and other laws provide for punishment for abuse of administrative resources. However, these laws have been barely implemented. Even when they were implemented, they were applied only to lowest-level officials. </t>
  </si>
  <si>
    <t>No. Although the laws provide for such measures, there is no proper mechanism in place at the state level.</t>
  </si>
  <si>
    <t>No.As there was no election in 2017, it was impossible to monitor implementation of the Election Code in practice this year. However, based on previous elections, it was observed that while the Election Code is in place, on several crucial issues it is not duly implemented.</t>
  </si>
  <si>
    <t xml:space="preserve">No. All major opposition parties and independent international and domestic observers have repeatedly raised their concerns regarding shortcomings of the Election Code. They specifically complained about impartiality in the composition of election commissions, reduced periods for election campaigning, nomination and registration of candidates, unequal access to media, etc.   </t>
  </si>
  <si>
    <t>Partly yes. However, in some constituencies the demarcation is so wide that accessibility of precincts constituency-wide become impossible.</t>
  </si>
  <si>
    <t>Partly yes. While Articles 90 to 95 of the Election Code of the Republic of Azerbaijan specify details of financing and financial reporting for elections by candidates and political parties, in practice, there no mechanism to ensure transparency in this process.</t>
  </si>
  <si>
    <t xml:space="preserve">No. As there was no election during 2017, no case was brought to the court. </t>
  </si>
  <si>
    <t>Partly yes. Although there is such legislation, there is no effective mechanism to monitor donations from private individuals and legal persons. The process is not open and transparent.</t>
  </si>
  <si>
    <t xml:space="preserve">No. Although there is online system for verification of voters, the system is not updated regularly. Even OSCE/ODIHR reports, there is a huge discrepancy in the number of voters between the data of the State Statistical Committee and Central Election Commission of the Republic of Azerbaijan. </t>
  </si>
  <si>
    <t>No. First of all the law does not provide for a reasonable period for verification of signatures. Potential candidates are not informed in due manner about the process of verification of signatures. The expert team verifying signatures is not impartial and independent.</t>
  </si>
  <si>
    <t xml:space="preserve">No. Opposition parties and independent candidates are generally discriminated either by election administration or there campaign activities are hindered by administrative bodies.  </t>
  </si>
  <si>
    <t>No. As election commissions at all levels are not formed in accordance with international standards and the principles of parity, most political forces and citizens do not trust in their transparency and legitimacy.</t>
  </si>
  <si>
    <t xml:space="preserve">No. The design of the ballot and method of voting is appropriate for all, by the law. </t>
  </si>
  <si>
    <t xml:space="preserve">No. Vast abuse of administrative resources naturally hinders security and secrecy of voting.
Majority of the polling stations are not wheelchair-accessible.
</t>
  </si>
  <si>
    <t xml:space="preserve">No. As the registration of independent observers, as well as their activity during election day at polling stations, is restricted, the system creates convenience for fraudulent voting.  </t>
  </si>
  <si>
    <t>No. Given the abuse of administrative resources, as well as, the fact that most members of election commissions at the level of precincts are public employees, the system is conducive to vote buying.</t>
  </si>
  <si>
    <t>No. Especially vulnerable groups, soldiers, prisoners and employees of public offices (such as schools, hospitals, law-enforcement bodies, etc) cannot express their will freely due to the fear of losing their jobs, being punished, etc.</t>
  </si>
  <si>
    <t xml:space="preserve">Partly yes. It is substantially desired by major political forces, as well as, civil independent observations groups. However, there are technical candidates and fake observation groups. </t>
  </si>
  <si>
    <t xml:space="preserve">No. There are serious problems regarding registration of independent domestic observers, which makes it difficult for domestic NGOs to objectively monitor the elections. </t>
  </si>
  <si>
    <t xml:space="preserve">No. In Azerbaijan there are 20% of the polling stations are equipped by video cameras. However, majority of the voters see those cameras as method of intimation and, on the contrary, the cameras do not ensure, but hinder the integrity of the voting process. </t>
  </si>
  <si>
    <t xml:space="preserve">Yes. Only when there is an officially filed complaint regarding that precinct.
No. Although the law provides for monitoring such polling stations, in practice, we do not have access to those polling stations located in military units.
</t>
  </si>
  <si>
    <t>No. The counting process is highly interfered by administrative bodies and/or high-rank election commission members.</t>
  </si>
  <si>
    <t xml:space="preserve">Yes. Parties and observers of candidates are allowed to observe counting and tabulation of votes.  </t>
  </si>
  <si>
    <t xml:space="preserve">No. Although the law provides for monitoring in military units, in practice, it not viable to observe elections in military units. </t>
  </si>
  <si>
    <t>No. In general, as all law-enforcement bodies are appointed by the government, the system of appeal can not be objective and impartial. One proof of this fact is that most of cases regarding elections are not resolved in domestic courts, but at the European Court of Human Rights. And there are vast decision of the ECHR on such issues, plus human rights.</t>
  </si>
  <si>
    <t xml:space="preserve">No. According to report of independent domestic election observation organizations, as well as, international election observers, including OSCE/ODIHR  </t>
  </si>
  <si>
    <t xml:space="preserve">Are there any political prisoners in the country according to the definition elaborated by PACE?    
There are political prisoners in the country, but the number of them varies for two reasons: 1. Some prisoners are released, but, unfortunately, the authorities continue harassment of civil activists, and the list is constantly replenished with new political prisoners; 2. The second reason is that there are 3 different lists prepared by 3 different groups of civil society.
The first list provided by the Monitoring Group of Human Rights Organizations of Azerbaijan. In cooperation with other famous HR defenders the list of 32 political prisoners was recognized and submitted to the pardoning commission. The criteria can in accordance with the criteria of the Council of Europe, be found here: http://assembly.coe.int/nw/xml/XRef/Xref-XML2HTML-en.asp?fileid=19150&amp;lang=en
Resolution 1900 (2012) Final version, article 3.
In this list of political prisoners, mostly civil activists, including young bloggers, journalists, politicians. Along with also separately presented a list of more than 80 people of Islamist religious figures arrested for political reasons. In relation to them, human rights defenders demand a fair investigation and trial, as many violations were revealed in their cases. However, in accordance with another criterion of the Council of Europe, see Resolution 1900 (2012) Final version, article 4 and 5 for lack of information about the nature of their activities and insufficient evidence of their innocence, human rights activists noted them not as political prisoners, but arrested for political reasons.
Two other groups of civil activists of Azerbaijan have prepared lists with the number of political prisoners between 80 and 100, where most of them are religious figures.
All 3 lists differ from each other not by the number of prisoners, but by the definition of recognition of the arrested political prisoners.
Five criteria of the term "political prisoner", according to the resolution adopted on October 3, 2012 are as follows: : (a) If the detention was carried out directly in violation of one of the main guarantees set forth in the European Convention on Human Rights and the protocols thereto; (b) If the detention decision was made for purely political reasons, without regard to any criminal offense; (c) If, for political reasons, the length of the custody or its conditions is clearly not proportional to the crime; d) if, for political reasons, a person is detained on a discriminatory basis compared to other persons; (e) If the detention is the result of proceedings that were manifestly unfair, and this appears to be related to the political motivations of the authorities.
</t>
  </si>
  <si>
    <t xml:space="preserve">Yes.International human rights and intergovernmental organizations note this in their reports. 
See here: http://www.icnl.org/research/monitor/azerbaijan.html
https://www.state.gov/documents/organization/277385.pdf
https://rsf.org/en/news/azerbaijan-cracks-down-remaining-critical-journalists
https://www.hrw.org/world-report/2018/country сhapters/azerbaijan
According to  the report of Reporteurs Without Borders,
Azerbaijan is ranked 162nd out of 180 countries in RSF’s 2017 World Press Freedom Index. 
https://rsf.org/en/news/azerbaijan-cracks-down-remaining-critical-journalists
Government Human Rights Bodies: 
Citizens may appeal violations committed by the state or by individuals to the Ombudsman’s Office of the Republic of Azerbaijan for human rights, Elmira Suleymanova, or the ombudsman for human rights of the Nakhichevan Autonomous Republic, Ulkar Bayramova. The ombudsman may refuse to accept cases of abuse that are more than a year old, anonymous, or already being handled by the judiciary. Human rights NGOs criticized the Ombudsman’s Office as lacking independence and effectiveness in cases considered politically motivated.The Office of the Ombudsman participates in trials at the request and application of human rights defenders and relatives, but does not make any statements. In the ombudsman's report, such violations are indicated statistically. However according to Article 13.2 of the Constitutional Law, the Ombudsman should inform the mass media about the results of studies conducted in connection with alleged human rights violations. In cases where violations of human rights acquire special social significance, and if the funds available to the ombudsman are not sufficient to eliminate these violations, she can speak at a meeting of the Milli Majlis (Parliament). Article 14 of the Law obliges the Ombudsman to submit annual reports no later than 2
months after the end of each year to the name of the President of Azerbaijan and the Milli Majlis. The annual report should contain not only general views and recommendations on the protection of human rights, but also indicate state and local authorities that violate human rights and do not comply with the Ombudsman's demands, as well as the measures taken against them. The annual report of the Commissioner must also be submitted to the Cabinet of Ministers, the Constitutional Court, the Supreme Court and the Prosecutor General, and also published in the official newspaper Azerbaijan and the Collection of Legislative Acts of the Republic of Azerbaijan. Other forms of publicity for the activities of the Ombudsman and the NPM are the publication of press releases with a brief description of visits to prisons and their results. They are published on the website of the Ombudsman and are distributed through a mailing list.
See here: https://www.penalreform.org/wp-content/uploads/2013/06/south-caucasus-torture-russian-v8-web.pdf  Human rights offices in the Milli Mejlis and the Ministry of Justice also heard complaints, conducted investigations, and made recommendations to relevant government bodies. 
http://www.ombudsman.gov.az/en/view/pages/59
 Resource:  https://www.state.gov/documents/organization/277385.pdf  Country Reports on Human Rights Practices for 2017 United States Department of State • Bureau of Democracy, Human Rights and Labor.
</t>
  </si>
  <si>
    <t xml:space="preserve">Partially
Azerbaijan is partially implementing the decisions of the European Court.
1. Decisions do not work out for a long time
2. The winning lawsuit is waiting for compensation for a very long time.
3. The authorities are trying to agree with the citizens who won the process, on the refusal of the court's decision on the condition that the authorities themselves will indemnify themselves for material or moral damage.
The European Court of Human Rights announced decisions on cases  of  11 applicants from Azerbaijan.  From five of the applicants  were received decisions on two complaints, the lawyer Asabali Mustafayev, representing the interests of 10 applicants. told Turan
In particular, in the framework of the common case the ECHR upheld complaints of opposition activists: Bayram Bayramov, Majid Mejidli, Vidadi Iskenderov, Ikram Israfilov, Hikmet Agayev and Rovshan Guliyev, sentenced to administrative arrest up to 15 days for taking part in peaceful protests in Baku on July 31, 2010 , at 2 and April 17, 2011
The court found a violation of their rights under  the Articles 6 (right to a fair trial), 10 (freedom of expression) and 11 (freedom of assembly). Resorce: http://gozetci.az/article/index/6937?l=en_US 
</t>
  </si>
  <si>
    <t xml:space="preserve">International organizations and human rights organizations are independent in their reports and statements about torture and other inhuman kinds of inquiry.
The Monitoring Center for Political Prisoners of Azerbaijan constantly monitors and informs the public about cases of torture in places of detention. Also in the report of the Civil Society Protection Committee of Azerbaijan, a separate chapter is devoted to torture and inhuman treatment during the inquiry in law enforcement agencies and in detention facilities. See here: http://www.turan.az/ext/news/2017/5/free/Social/en/62069.htm and http://www.turan.az/ext/news/2017/3/free /Social/en/60568.htm
The monitoring group of human rights organizations and the Azerbaijani Committee of the Helsinki Civil Assembly  , in facebook page Haqlarinin Bil (Know your rights),  http://yukselis.info/, http://gozetci.az/article/index/6937?l=en_US,  https://www.xural.com/ https://www.facebook.com/haqlarinibil/publicly raised the issue of beating and ill-treatment of political prisoners. an example is the inhuman treatment and beating of the leader of the political movement REAL Ilgar Mammadov in the colony number 2.
Representatives of the Ombudsman's Office, although included in the process of preventing and stopping torture, but did not indicate this in their reports.http://www.ombudsman.gov.az/en/view/pages/59 Anual report of the Commissioner for Human Rights (Ombudsman)of the Republic of Azerbaijanon the activities in promotion and protection of human rights in Azerbaijan for 2017 
</t>
  </si>
  <si>
    <t xml:space="preserve">Conditions in different penitentiary institutions are different. Visual onditions in the pre-trial detention center in Kurdakhani meet European standards, but there are facts of using unlawful methods of inquiry and cruel punishment for disobedience.
See here: https://rm.coe.int/16808c5e46
http://website-pace.net/documents/19887/3258251/20170907-AzerbaijanInstitutions-EN.pdf/1e6f0d15-1836-428b-a0c9-7f41ac8ece87
</t>
  </si>
  <si>
    <t xml:space="preserve"> Previously, there was the Committee against Torture, whose chairman was allowed to visit prisons and colonies. The committee could not prevent all the tortures, or stop them, but there were attempts. Reports were prepared for the UN Committee Against Torture. After the death of the Chairman, the Committee is not active. The gathering of information about torture is carried out by human rights defenders and lawyers, as well as groups dealing with lists of political prisoners and the protection of their rights. According to Report to the Azerbaijani Government on the visit to Azerbaijan carried out by the European Committee for the Prevention of Torture and Inhuman or Degrading Treatment or Punishment (CPT) from 23 to 30 October 2017 , 
Look here for CPT report: https://rm.coe.int/16808c5e46,
report of United States Department of State https://www.state.gov/documents/organization/277385.pdf
Section 1. Respect for the Integrity of the Person, Including Freedom from: a. Arbitrary Deprivation of Life and Other Unlawful or Politically Motivated Killings 
</t>
  </si>
  <si>
    <t xml:space="preserve">Legislative base exists. The Constitution of Azerbaijan article Article 32. Right to inviolability of private life. Criminal Code of the Azerbaijan Republic, Article 156. Infringement of inviolability of the private life
 At the same time, in practice, politically active citizens and civil activists are under the control of the bodies of  law enforcement structures and other authorities. In 2012, there was a scandal over the intimate life of one female journalist and several young male journalists. In the YouTube and on the television channel Leader, scenes of intimate life were shown.
However, after 2012, such methods are not used after the condemnation of local and international public opinion, and also because of the ineffectiveness of this method of pressure on journalists conducting investigations into corruption. 
</t>
  </si>
  <si>
    <t>Yes. 15April 2002</t>
  </si>
  <si>
    <t xml:space="preserve">No, unsatisfactory
During the trial, if necessary, in the absence of a lawyer under the contract, a state attorney is appointed. Although most often this lawyer fulfills a social order and conducts business in favor of the authorities, or is corrupt.
Human rights organizations provide free legal assistance. When citizens appeal with complaints, they are provided with free legal aid. 
</t>
  </si>
  <si>
    <t xml:space="preserve">Yes, the last execution took place in Azerbaijan in 1993 by method of single shot. Capital punishment was abolished in 1998. Protocol No. 6 to the ECHR came into force in this country on the 25th of January 2001 and the death penalty was replaced with life imprisonment.  </t>
  </si>
  <si>
    <t xml:space="preserve">Yes, 15 April 2002 </t>
  </si>
  <si>
    <t xml:space="preserve"> The CPT’s overall impression of the situation in Azerbaijan is that torture and other forms of physical ill-treatment by the police and other law enforcement agencies, corruption in the whole law enforcement system and impunity remain systemic and endemic.  So far, only four out of the ten reports on the CPT’s visits to Azerbaijan have been made public. There are still six remaining unpublished reports, concerning the periodic visits in 2011 and 2016 and ad hoc visits in 2004, 2012, 2013 and 2015. Look  here: https://rm.coe.int/16808c5e46 
</t>
  </si>
  <si>
    <t xml:space="preserve">Yes, on 16 August 1996, Azerbaijan ratified the Convention against Torture and Other Cruel, Inhuman or Degrading Treatment or Punishment (CAT), which entered into force on 15 September 1996. On February 4, 2002, he made a statement in accordance with Article 22 of the CPT (the competence of the CPR to receive individual communications). The Optional Protocol was signed on September 15, 2005 and ratified on January 28, 2009. </t>
  </si>
  <si>
    <t xml:space="preserve">Yes, these functions are assigned to the Ombudsman of Azerbaijan.
The activity of the Commissioner as the National Preventive Mechanism for prevention of torture and other cruel, inhuman or degrading treatment or punishment. In 2017, in general 341 visits without prior notification were conducted to 240 places which persons cannot leave on their will; 251 of them were planned, whereas 90 were ad-hoc. 149 of these visits were held in TDPs of the Ministry of Internal Affairs TDPs, 81 visits to investigation isolators,  penitentiary facilities, penal colony settlement, health facility of the Penitentiary Service of the Ministry of Justice, 6 visits to the Investigation isolator and TDP of the Ministry of National Security, 4 visits  to the detention centers for illegal migrants of the State Migration Service, 30 visits to special education, boarding facilities and special vocational school under the Ministry of Education, 11 visits to boarding and care houses for the elderly and persons with disabilities under the Ministry of Labour and Social Protection of Population, 37 visits to psychiatric clinics, neuropsychiatry dispensaries, psychoneurotic child facility. The NPM in Azerbaijan should have the opportunity to conduct an alternative medical examination in order to identify and document the damage inflicted during ill-treatment. When an NPM group detects obvious signs of torture and ill-treatment, it is forced to transmit allegations of torture to the same police and prosecutors who have already considered the incident and rely on the results of their further investigations.
Recommendations on the prevention of torture were set out by the Co-Rapporteurs of the Council of Europe on Azerbaijan
In the structure of the Ministry of Justice there is an inspection that is responsible for internal investigations and reports to the minister. It checks the institutions under the Ministry's control, and investigates the actions of law enforcement bodies within the Ministry, ie. employees of the penitentiary service and security (concerning hazing, for example). The Inspectorate includes officials of the Ministry of Justice, but there is no public information on its composition, as it is not on the legal basis for its activities, it is mentioned only in the Internal Regulations of Penitentiary Institutions adopted by the Ministry (but even they are published in small-circulation bulletins and not spread among prisoners.
The Office of Internal Investigations was established in the Ministry of Internal Affairs. It consists of officials of the ministry and investigates cases of violation of the law by its employees, not only torture, but also corruption, disciplinary offenses, etc.
With regard to non-governmental organizations, a Public Committee was set up under the leadership of the Minister of Justice in 2006 to ensure public participation in the correction of prisoners and the exercise of public control over the penitentiary service. The legal basis for the activities of the Public Committee is the provision adopted by the Ministry of Justice, the committee reports to the minister, even if the latter does not exercise control over the activities of the committee. See here: https://www.penalreform.org/wp-content/uploads/2013/06/south-caucasus-torture-russian-v8-web.pdf
 Recommendations on the prevention of torture were set out by the Co-Rapporteurs of the Council of Europe on Azerbaijan. Look here:
  The functioning of democratic institutions in Azerbaijan Report1 Committee on the Honouring of Obligations and Commitments by Member States of the Council of Europe (Monitoring Committee) Co-rapporteurs: Mr Stefan Schennach, Austria, SOC, and Mr Cezar Florin Preda, Romania, EPP/CD : http://website-pace.net/documents/19887/3258251/20170907-AzerbaijanInstitutions-EN.pdf/1e6f0d15-1836-428b-a0c9-7f41ac8ece87, par.34
</t>
  </si>
  <si>
    <t xml:space="preserve">No, in practice, after the amendments and additions to Constitution of Azerbaijan on September 26, 2016, and appointment of  1st vice-president of Azerbaijan Republic, the role of legislative reduced. According to the PACE  Resolution on the functioning of democratic institutions in Azerbaijan dated  25 September 2017, the Assembly reiterates that respect for the principle of the separation of powers is essential and emphasises the need to develop the oversight function of the parliament over the executive in Azerbaijan. The Assembly shares the view of the European Commission for Democracy through law (Venice Commission) that recent constitutional changes could make the executive less accountable to parliament. Last constitutional changes could make the executive less accountable to parliament. But only during the draft and executive budget discussions and reports of Cabinet Ministers the legislature or its committees hold regular hearings with the participation represetatives  executive branch officials. http://assembly.coe.int/nw/xml/XRef/Xref-XML2HTML-en.asp?fileid=24024&amp;lang=en </t>
  </si>
  <si>
    <t xml:space="preserve">
No,  but  the Azerbaijani Parliament has adopted the draft “Law on Chamber of Accounts” in the second reading. According to the draft law. The changes in the law mainly concerned the responsibilities and functions of the Chamber, the fight against corruption offenses, as well as the conduct of audits. The document proposes to increase the powers of Azerbaijan’s Chamber of Accounts, it also envisages improving methods of control over public financial resources, increasing the effectiveness of inspections conducted by the Chamber, including through the application of performance audit, and establishes new methods of monitoring.  The draft law will make it possible to expand the capabilities and functions of the Chamber of Accounts, bring the Chamber’s activities in line with modern challenges and international standards. Improving the legal framework will allow the Chamber to strengthen financial discipline and financial control over public funds.                       </t>
  </si>
  <si>
    <t xml:space="preserve">    No. in practice, the legislature is a rubber-stamps and toothless body always under the direct political influence of the executive. Under the law, the legislative organ does not  have right to connduct  independent investigations of the chief executive and the agencies of the executive. But, the Chamber of Accounts operated as a parliament organization has the power to conduct analytical work in law and prepare an opinion on the State Budget of the Republic of Azerbaijan and budget of State Oil Fund of the Republic of Azerbaijan.</t>
  </si>
  <si>
    <t xml:space="preserve"> 
No.  The agencies of coercion (the military, police, intelligence services) operate under the direct oversight of the executive, meaning the President Administration.</t>
  </si>
  <si>
    <t xml:space="preserve">Yes, according to the  Article 95.9, Milli Majlis of the Azerbaijan Republic  based on recommendation by the President of the Azerbaijan Republic giving consent for appointment of Prime-minister of the Azerbaijan Republic, it is included the competence of  parliament of Azerbaijan. </t>
  </si>
  <si>
    <t xml:space="preserve">No, Composition of Cabinet of Ministers directly appointed by president of  the Azerbaijan Republic.
</t>
  </si>
  <si>
    <t>Yes, according to the  Article 95.14, Milli Majlis of the Azerbaijan Republic  have a right to take decision regarding a vote of confidence in the Cabinet of Ministers of the Azerbaijan
Republic, it is included the competence of  Milli Majlis of the Azerbaijan Republic .</t>
  </si>
  <si>
    <t xml:space="preserve">Yes, the president have right  dissolve parliament if twice in one year legislators pass no-confidence measures in the government or reject presidential nominees to key government post.   Thus, according to the Article 98 of  Constitution of Azerbaijan Respublic, 
the dissolution of the Milli Majlis of the Republic of Azerbaijan. I. The President of the Republic of Azerbaijan is empowered to dissolve the Milli Majlis if the same convocation of the Milli Majlis of the Republic of Azerbaijan expresses twice during the year no-confidence to the Cabinet of Ministers of the Republic of Azerbaijan or if the Milli Majlis of the Republic of Azerbaijan fails to appoint during the statutory period the candidates nominated for the membership of the Constitutional Court, the Supreme Court and the Board of the Central Bank of the Republic of Azerbaijan upon a double submission of the President of Azerbaijan, as well as if the Milli Majlis of the Republic of Azerbaijan fails to fulfill its obligations specified in Articles 94, 95 and 97, as well as in Parts II, III, IV and V of Article 96 due to unavoidable reasons. II. The term of office of the Milli Majlis of the Republic of Azerbaijan elected via extraordinary elections of Milli Majlis’s convocation may be less than five years. In such case the regular elections to the Milli Majlis of the Republic of Azerbaijan shall be held on the first Sunday of November of the fifth year of a term of office of the Milli Majlis of the Republic of Azerbaijan elected on extraordinary elections of Milli Majlis’s convocation. </t>
  </si>
  <si>
    <t xml:space="preserve">Yes, according to the Article 110 ( Signing of laws) of  Constitution of Azerbaijan Respublic, 
I. The President of the Republic of Azerbaijan shall sign laws within 56 days of their presentation. If the President of the
Republic of Azerbaijan has objections to a law, he may, within the said term, return it to the Milli Majlis of the Republic of
Azerbaijan without his signature, together with his objections.
II. Constitutional laws shall not enter into force until signed by the President of the Republic of Azerbaijan. If the Milli Majlis
of the Republic of Azerbaijan adopts for a second time a law by a majority of 95 votes, which was previously adopted by a
majority of 83 votes, and a law by a majority of 83 votes, which was previously adopted by a majority of 63 votes, then the
said laws shall enter into force after the second vote. </t>
  </si>
  <si>
    <t>Yes, legislative base exists. The legislature can initiate bills in all policy areas (however, draft and exucutive   budget law can be submitted to the Milli Majlis only by the Cabinet of Ministers of Azerbaijan). None of the bills requires prior consent of the executive. But in practice,  the  executive  has  strong  gatekeeping authority over the initiate bills.</t>
  </si>
  <si>
    <t xml:space="preserve">Yes. The resources that finance the Milli Majlis’s internal operation are provided for by the own budget of the Parliament, based on the adminstrative classification of State budget of Azerbaijan. </t>
  </si>
  <si>
    <t xml:space="preserve">Yes, legislative base exists, according to Constitution of Azerbaijan Respublicthe all members of the legislature should be  elected. The President or the executive  does not have any authority to appoint any members of the legislature. But, in practice, as all the elections get falsified, the MPs are chosen/selected under the control of  president  and his adminstration.   </t>
  </si>
  <si>
    <t xml:space="preserve">No, according to the article 152 (Procedure for making changes in the Constitution of the Republic of Azerbaijan) of Constitution of Azerbaijan, changes in the text of the Constitution of the Republic of Azerbaijan may only be made by referendum.
Article 153 determines that procedure for proposing changes to the text of the Constitution of the Republic of Azerbaijan
The Constitutional Court of the Republic of Azerbaijan shall be requested in advance to give its opinion with respect to the
changes to the text of the Constitution that are proposed by the Milli Majlis or the President of the Republic of Azerbaijan. </t>
  </si>
  <si>
    <t>Yes, according to the article 95.19 of the Constitution, amnesty is including the competence of Milli Majlis of the Azerbaijan Republic.</t>
  </si>
  <si>
    <t>No, the  the legislature body does not have such as power.</t>
  </si>
  <si>
    <t xml:space="preserve">Yes, but only financial context. Thus, parliament approve the budget  for the all of  state-owned media. </t>
  </si>
  <si>
    <t xml:space="preserve">Yes,  according to the article 21-1 of  Law on status of deputat of parliament, since 2007 every MP has one Assistant of the deputies. Article 21-1 determines that:  1) Deputies could have assistants for executing deputy activities. 2) Assistants of deputies are maintained at the expense of state budget. 3) Acceptance of assistants to the deputy is regulated by the labor law of
the Azerbaijan Republic. </t>
  </si>
  <si>
    <t>No. Despite a state-funded legislative staff, not every legislator has at least one policy expert. But,  according to the the article 21-1 of  Law on status of deputat of parliament,  the additional requirements of assistants of deputy, are determined by
the order of chairman of Milli Majlis of the Azerbaijan Republic.</t>
  </si>
  <si>
    <t xml:space="preserve">Yes,  according to the article 21 ( Financial security of the deputy) of  Law on status of deputat of parliament, the deputy is receiving non-taxed monthly salary and allowances for the expenses for the exercising of his/her deputy powers. Deputy is receiving allowances amounting to two months rate of his/her salary for executing representative powers. </t>
  </si>
  <si>
    <t xml:space="preserve">Yes, under the Milli Majlis operate analytical information department and information - research sector,  as well as library. </t>
  </si>
  <si>
    <t xml:space="preserve">No, there is no  professional staff with expertise in budgetary oversight to assist legislators in oversight of state budget and expenditure. But,  under the Economic Policy, Industry and Entrepreneurship Committee, the main responsibility for budget discussion  has 2 experts.  </t>
  </si>
  <si>
    <t>Yes, the the legislature have the professional staff with expertise in legal oversight to assist legislators in the review of legislation. The parliament havw  departments on State Building, Administrative and Military Legislation,  Economic Law, Social Legal.</t>
  </si>
  <si>
    <t>Yes (1), partially (0.5), No (0)</t>
  </si>
  <si>
    <t>Partially. Civil society and media have access some of documents on request, but most of official documents held by public authorities is closed for them, particularly spending the investment and millitary budgets, decleration of assets and incomes of registred candidates of president.</t>
  </si>
  <si>
    <t xml:space="preserve">The law on access to information was adopted in Azerbaijan in the year 2005. Considered to be one of the most perfectly crafted system of rules, this law makes provisions for the citizens of Azerbaijan to send, in their capacity of individuals and legal entities, requests for information to any public institution as well as the agency in charge of management of public finance, and get the corresponding answer. But,    in practice,  the implementation of  Law is very poor. </t>
  </si>
  <si>
    <t>Yes, in legislative base, the law on access to information is a sufficiently
  comprehensive. But, public access to information about commercial legal entities (ownership of commercial entities, the amount of their charter capital, ownership structure, and other similar data) have been restricted.</t>
  </si>
  <si>
    <t>No,   pursuant to Article 24 of the law on access to information, an inquiry about
information must be responded within the shortest period of time, provided that this
won’t be later than 7 (seven) working days. However, the responses of any kind (full,
partial or written rejection) – were  not provided on-time 
 Many time  were not answered by public  authorities.</t>
  </si>
  <si>
    <t>No, plenary meetings of the legislature open  only to the MPs and empoyees of legislative and executive bodies.</t>
  </si>
  <si>
    <t>No, the parliamentary committees open only to members and invited person.</t>
  </si>
  <si>
    <t>Yes,  the government published  3 years fiscal forecasts of revenue and expenditure aggregates.</t>
  </si>
  <si>
    <t>No, the government does not  provide multi-year fiscal forecasts of potential deficit financing.</t>
  </si>
  <si>
    <t>Yes, since 2012 Yes, the following information on the budget be open for the general public:  
• Draft annual state budget 
• Forecast of revenues an expenditures for three years 
• Forecast of macroeconomic development indicators
• Amounts of budget expenditures on directions and assignments (with details)
• Monthly and quarterly executive reports
• Reports for year end, including information on implementation 
• Amount of the maximum limit of the state budget deficiency or surplus 
• Sources for covering of budget deficiency 
• Balance of the state budget for the 1st day of January in the unified treasury account 
• Audit reports and opinions
• Financial support from donors, state enterprises, international money transfers 
• Quarterly and yearly reports on implementation of consolidated budgets .</t>
  </si>
  <si>
    <t>Yes. The Ministry of Finance publishes on its web-site year by year budget execution reports</t>
  </si>
  <si>
    <t>Yes. The Ministry of Finance publishes on its web-site year-end financial statements</t>
  </si>
  <si>
    <t xml:space="preserve">Yes.Yes. Information on expenditures on elementary school and on health care are available  generally, as well as classification file  by functional, economic and adminstrative  context. </t>
  </si>
  <si>
    <t>No. The registered violations by internal troops and police  happened in 2017 as well. Demonstrators were either independent citizens or members of the opposition Natonal Council on April 08 and October 28, 2017.</t>
  </si>
  <si>
    <t>Yes.
One of the departaments of Ministry of Internal Affairs is Head Office of Interrogation and Examination. Moreover there are special structures in Presidential Administration and National Parliament related with law-enforcement organs. But their reports about investigation of abuses that affect civilians are not clear and open for society yet. In practice, there was not one official who was punished as a result of such investigation</t>
  </si>
  <si>
    <t>Yes. There are 3 departments under the Ministry of Defense: 1) The Department of Internal Investigaton. It has 8 regional divisions in its subordination. 2) Major Inspection Department in MoD. 3) Internal Security Department</t>
  </si>
  <si>
    <t>Yes. The Ministry of National Security  was eventually disbanded altogether and replaced by two agencies, one for domestic surveillance and another for foreign espionage. Department of counter-intelligence and the section of examination of the Committee of State Security ( Agemcy for domestic surveillance).</t>
  </si>
  <si>
    <t>No available information</t>
  </si>
  <si>
    <t>Yes, the Speaker of the Parliament is  permanent members of Council.</t>
  </si>
  <si>
    <t>No.  The decision of the SC is not subject to parliamentary scrutiny and the Parliament is not informed about the agenda and decisions by the Council. The President determines the agenda and order of the discussion of issues at the session of Security Council according to the submission of the Head of the  President Adminstration (PA).The President presides at the sessions ofthe Security Council. The Head of the PA of the President acts as the Secretary of the Security Council. The Head of the Office provides the activity of the Security Council, manages the preparation of sessions.</t>
  </si>
  <si>
    <t>Yes. Accoring to the Article 95-17 of  Constitution of Azerbaijan,  giving consent to declaration of war and conclusion of peace, upon the appeal of the President of the Republic of Azerbaijan is included the  Issues decided by the Milli Majlis of the Republic of Azerbaijan.</t>
  </si>
  <si>
    <t>No, consulted by the President in making appointments to highest ranks of security and armed forces is not included the issues decided by the Milli Majlis of the Republic of Azerbaijan.</t>
  </si>
  <si>
    <t>No, there is no reperesentatives from  oppositionin the parliamentary oversight bodies.</t>
  </si>
  <si>
    <t>No,  the Ministry of Defence, Ministry of Interior, Ministry of Justice, Intelligence and Security Agency never  report to the Parliament on implementation of policies. Their's reports  are not publicly available.</t>
  </si>
  <si>
    <t>Yes, in legislative, the  Ombudsman have competence to undertake investigations and site visit in cases of human rights abuse by security and law enforcement bodies,  but in practice the ombudsman can not do it without the permission from President Adminstration.  The officials from Ombudsman visit jails to meet political prisoners who suffered by activities of law-enforcement forces. But these investigations and visits and the statements as a result of these activities are not accepted by society seriously. Most declarations of Ombudsman carry the character of recommendations and most of them are not accepted by reevant government bodies.</t>
  </si>
  <si>
    <t>Yes, the Ombudsman issue  regularly base public annual reports which include the situation of human rights in the security and law enforcement institutions as well, but it is far from real situation.Because, the content of report is  not comprehensive,  includes  more general information and some statistics about violations.</t>
  </si>
  <si>
    <t>However, most state institutions have designated their press secretaries also as officials in charge of the access to information. Few state institutions have delegated this responsibility to a lawyer. Most state institutions don't have any legal and regulatory documents which set out duties and responsibilities of press secretaries and if a state institution has such a document, then it is usually not available to public. Therefore, it is not possible to differentiate between a press secretary and an official in charge of the access to information in terms of their duties and responsibilities.</t>
  </si>
  <si>
    <t xml:space="preserve"> There is the access  only the general information about their  budget, no classifications and information about the structure of expenditure. There is no  information budget and operational decisions available on the website  below management instituitions. </t>
  </si>
  <si>
    <t xml:space="preserve">                   No </t>
  </si>
  <si>
    <t>No, only general agregated figures  on budget expenses for military/armed forces open/easily available  for MPs during the draft budget discussion in parliamnet. There is no access  to economic, functional and adminstrative classifications of defence, security and  law enforsement institution's  budget.</t>
  </si>
  <si>
    <t xml:space="preserve">partially </t>
  </si>
  <si>
    <t>Civil ociety and media have not direct  and open access  to the official documents  held by law-enforsement bodies.</t>
  </si>
  <si>
    <t xml:space="preserve">Yes.Corruption is spread in security and law enforcement bodies. But due to the enabling environment for independent  CSOs and free media,   civil society organizations and media representatives are not able to investigate or report on human rights violations and corruption in security and law enforcement bodies.  Agents with the National Security Agency arrested Hashimli, the editor of the independent news website Moderator and a reporter for the independent newspaper Bizim Yol, outside the offices of the Moderator in Baku. The same day agents claimed to have found a pistol and several grenades after raiding his home without presenting a court order and in the absence of a lawyer. On May 15, 2014, the Baku Court of Grave Crimes sentenced Hashimli to eight years in prison.
</t>
  </si>
  <si>
    <t xml:space="preserve">No,  the management institutions   never hold regular consultations with civil society organisations on security policies and reform. Despite the Law of the Republic of Azerbaijan on Public Participation is determine forms of public participation such as. public council,  public discussion,  public hearing,   studying public opinion,   public discussion of draft legal acts and  written consultation. The law  enter into force on June 1, 2014. </t>
  </si>
  <si>
    <t xml:space="preserve">no </t>
  </si>
  <si>
    <t xml:space="preserve">No, the Committee on Defense, Security and Anti-Corruption is a leading committee on state security and defense law and resolutions in the parliament. But, the meeting of Committee on Defense, Security and Anti-Corruption is a closed for free media and independent civil society organisations. </t>
  </si>
  <si>
    <t xml:space="preserve">Yes, but on October 27, 2017, the members of National Preventive Group (NPG) conducted ad-hoc visit to Investigation Isolator No.3 of the Penitentiary Service under the Ministry of Justice without prior notice. The purpose of this visit was to check general detention condition, treatment, received applications and state of ensuring the rights of detainees.   </t>
  </si>
  <si>
    <t xml:space="preserve">The memebers of  NPG under the Ombudsman Institute provided folowing link. http://www.ombudsman.gov.az/en/view/pages/70/members-of-national-preventive-group  As you see from list of members, there is no civil society group representative  in the  designated National Preventive Mechanism, all of members are  not independent. </t>
  </si>
  <si>
    <t>Yes. The government attempted to further restrict the freedom of the editorial offices. The majority of the media is under control, are illegally and legally funded from the state and officials. Although they are considered non-state, private media, but still their editorial policy is determined by the socio-political department of the Presidential Administration.
The economic dependence of the media on the state keeps them on a leash and deprives them of their creative independence. According to the State Statistics Committee, in 2017 advertising revenues of the media in Azerbaijan amounted to only 2.3 million euros.
Continued the attempts to strangle independent media and media which are not controlled by   the President's Administration. On August 7, a lawsuit was brought against the information agency Turan and its director, Mehman Aliyev. The case was closed on October 2 as a result of the most powerful pressure from the US, the EU and the public.
Fourteen online media were illegally blocked in November.  This was done without a court decision. No state agency undertook responsibility for the blockage. The editors conducted preventive conversations in law enforcement agencies, which was direct intimidation with the aim of strengthening journalists' self-censorship.</t>
  </si>
  <si>
    <t>Journalists in Azerbaijan are not arrested for professional activities. Formally, they are arrested for drug use, tax evasion, illegal business activities, illegal border crossing and so on. 0,5</t>
  </si>
  <si>
    <t>On 25 May, local security services abducted a journalist Afgan Mukhtarly, and secretly handed over to Azerbaijani secret services Azerbaijani. He investigated corruption of high-ranking officials of Azerbaijan and Georgia. Mukhtarli was sentenced to 6 years in prison for illegally crossing the border. 0.5</t>
  </si>
  <si>
    <t>The Articles 147 (libel) and 148 (insult) of the Criminal Code of Azerbaijan, providing for imprisonment up to two years; the Article 323 of the Criminal Code (Denigrating or humiliating the honor and dignity of the head of the Azerbaijani state) - imprisonment up to two years, are applied.</t>
  </si>
  <si>
    <t>On March 3, 2017 the blogger Mehman Huseynov was sentenced to two years of imprisonment under the Article 147.2 of the Criminal Code of Azerbaijan "Defamation of a serious crime." On November 25, 2016, the Sumgait City Court sentenced Ikram Rahimov, the editor-in-chief of the realliq.info news portal, to one year of imprisonment. A local resident, Rahman Novruzov, was sentenced on the case for the same term. Both were found guilty under the Article 147.2 (libel on committing a grave and especially serious crime) of the Criminal Code of Azerbaijan. In 2017, both were released ahead of time.</t>
  </si>
  <si>
    <t>In October / December 2017, the Milli Majlis made changes in administrative and criminal responsibility, singled out new forms of punishment, thereby toughening penalties for crimes and increasing fines for certain offenses. Two separate Articles (388-1 and 370-1) were added to the Administrative Offenses Code. One of them concerned the placement on the Internet of "information prohibited for dissemination" and also provided for the responsibility for preventing the dissemination of this information. In accordance with Article 370-1, the Ministry of Transport, Communications and High Technologies is authorized to punish the faulty provider or operator. In early February 2017, the Ministry of Transport, Communications and High Technologies (MTCIT) was granted the authority to block Internet resources. According to Articles 13-3.3 and 13-3.4 of the Law "On Information, Informing and Information Protection", the Ministry has the right to block the Internet resource in urgent cases: in case of a threat to the interests of the state and society protected by law, or a real threat to life and health of people.</t>
  </si>
  <si>
    <t>Solutions are available in part. For example, there is information about the trials, but there are no materials of the court cases. Not all documents of governments and parliament are published. Government orders have not been published since 2012.</t>
  </si>
  <si>
    <t>The Law on Information, Informatization and Protection of Information, Penal Code 0.5</t>
  </si>
  <si>
    <t xml:space="preserve">Yes in legislative base. According to the Article 94 (Appointment of judges, court chairmen, deputy chairmen and chairmen of court
boards) of  Law of the Azerbaijan Republic On Courts and Judges,   the President of the Republic
of Azerbaijan appoints judges of the Republic of Azerbaijan, Milli Majlis of the Republic of Azerbaijan appoints the judges of the Supreme Court, the NAR Supreme Court and the courts of appeal, upon the advice of the President of the Republic of Azerbaijan.As a rule, the posts of high court judge shall be filled by persons who have at least five years work experience as a judge of first instance court. Chairman of the NAR National Assembly participates in selection of the candidates to the post of judges in the NAR.
Chairmen of the courts of the Republic of Azerbaijan, deputy Chairmen and Board Chairmen shall be
elected from among the judges of the appropriate courts and be appointed for five years term and, as a
rule, may not be appointed to the same position twice. 
</t>
  </si>
  <si>
    <t xml:space="preserve">No,   in practice,  although constitutional guarantee for judicial independence exist, according to which judges are bound only by Azerbaijan’s constitution and laws, in practice there are strong links between the judiciary and the government. The selection of judges, for instance, is administered by the Judicial Legal Council, but the majority of its members is appointed by the government and the Council is presided over by the Minister of Justice, which gives the government significant control over the entire judiciary. The judges of the Constitutional Court are not directly selected by a purely judicial, independent and impartial body but by the President of the Republic.   Furthermore, the Azerbaijani law and the legal culture of the judiciary and prosecution enable the executive branch to use the justice system to systematically persecute journalists, human rights activists and political leaders. 
 Judges are appointed by executive power, more precisely by the President. The main criteria for appointment is loyalty to the government. </t>
  </si>
  <si>
    <t>Yes  in legislative base. According to the Article 106 ( Financial provision of judges) of  Law of the Azerbaijan Republic On Courts and Judges,For every five years of judicial experience, as well as, for academic degrees, judges shall
receive surplus payment at the rate of 15 percent of official wage, on the condition that surplus does not exceed 45 percent. Article 109 ( Social security of judges) determins that  life and health of judges are insured at the cost of the State Budget at the rate of their five year wage. In the case of death of the judges in the performance of his official duties or illness, injury (wound, trauma, concussion) that does not allow to proceed with implementation of duties, in the line of duty, shall receive one-time payment in order and
amount provided by the legislation.</t>
  </si>
  <si>
    <t xml:space="preserve">No,   in practice, judges advanced through the judicial system on the basis of loyalty to the government. </t>
  </si>
  <si>
    <t xml:space="preserve">No.  According to the article 113 of the   Law of the Azerbaijan Republic
On Courts and Judges, Judge 's authorities are ceased from the side of the Judicial-Legal Council on the expiry of their commission term (renewed commission term). Judge 's  authorities may be terminated pre-term on the following grounds: 1. written application of resignation;
2. dismissal from the office of a judge;
3. upon court ruling declaring him physically handicapped and/or otherwise
afflicted;
4. in case of death;
5. upon court ruling declaring him dead or missing;
6. upon revealing failure to meet requirements defined hereof to candidates to a
a judicial posit;
7. dealing with activity not compatible with his position;
8. on termination of citizenship of the Republic of Azerbaijan, and adopting a
citizenship of another country or taking obligations to a different country;
9. for a continuous period of more than six months in case of inability to
perform duties in connection with the complete disablement;
10. if the disciplinary liability has been exerted on a judge twice in a calendar year on
the grounds mentioned in Article 111-1. </t>
  </si>
  <si>
    <t xml:space="preserve">In practice,  judges removed from office or otherwise punished only  their independent position against. </t>
  </si>
  <si>
    <t xml:space="preserve">Yes, the political decisions in the courts are being adopted with direct instructions from presidential administration, whereas civil and business decisions are mainly made through bribe. </t>
  </si>
  <si>
    <t>No,   according to   the Law on Judges and Courts , 1st instance courts budget should be submitted to Judicial  Legal Council (JLC) for its opinion. But the final decision made by Ministry of Finance without budget negogations and consulttaion with JLC.</t>
  </si>
  <si>
    <t xml:space="preserve">Yes, by law.  According to the  Article 102 (Security of judges) of  Law of the Azerbaijan Republic On Courts and Judge, with the purpose to ensure their security, judges may be supplied with service weapons in order provided by the legislation of the Republic of Azerbaijan. Throughout the entire term of their office, judges shall be entitled to keep, carry and use for the prescribed purpose the
service weapon in cases and order provided by legislation; if necessary, their security shall provided.  Generally, budgetary autonomy of the judiciary plays an important role in how justices respond to internal and external pressure. In Azerbaijan, salaries for judges are fixed and financed from the state budget. The President of the Supreme Court receives a monthly salary of 2,070 Manat (approx. 1100 EUR) and the monthly salary of the Presidents of the Courts of Appeal is 1000 EUR. Court’s presidents receive 750  EUR, deputy presidents 800 EUR and all other judges 750 EUR. For every five years in office or holding a research degree, justices receive an additional salary increment of 15 percent of their monthly salary, on condition that the surplus does not exceed 45 percent in total. In addition, the remuneration system provides “extra encouragements” for excellent performance or a “substantial contribution to improving justice as a result of their activities”, which are either valuable gifts or honorary titles (such as diplomas and badges).
</t>
  </si>
  <si>
    <t xml:space="preserve">According to the   Law of the Azerbaijan Republic On Courts and Judge, the terms of judges body elected before the adoption of the Law shall be considered to be expired from the day of new judges are appointed and during the action consideration till the
end of the process. </t>
  </si>
  <si>
    <t xml:space="preserve">Yes. According to the   Law of the Azerbaijan Republic On Courts and Judge,  judges shall enjoy immunity subject to Article 128 of the Constitution of the Republic of Azerbaijan. Except the cases when the judge has been caught committing the crime,
judge shall not be subject to detention or arrest, personal search or examination and
shall be criminally prosecuted subject to the permission of the Judicial-Legal Council.
Immunity of judges shall also cover the immunity of their dwelling premises, public offices,
transport means, their communication means, post-telegraph correspondence, private property and documents.
Manats . </t>
  </si>
  <si>
    <t xml:space="preserve">Yes. Constitutional, Supreme and court of appeal judges are also appointed, upon advice of the President, by parliament. So the executive power plays a key role on appointment of judges. A majority of members of the Legal-Judicial Council are appointed by the executive power. The Minister of Justice is also chairman of the JLC.   GRECO highlighted that it is for the JLC to play an increasing important role in the appointment of all categories of judges and court presidents. Since 2005, the self-governance functions of the judiciary have been implemented by the Judicial Legal Counci,  a body responsible for ensuring the organization of the judicial system and the independence of the judges. The JLC appoints and promotes judges, evaluates their performance and administers disciplinary proceedings. It consists of 15 members and is heavily infiltrated by the executive branch. This raises concern if the JLC can fulfill its tasks in an objective, fair and unbiased manner. The Minister of Justice, for example, presides the JLC, and the appointment process of its members is kept secret. </t>
  </si>
  <si>
    <t>Yes. According to Article 130.10 of the Constitution of Azerbaijan Republic, laws and
other legal acts or their specific provisions and intergovernmental agreements of Azerbaijan
Republic shall lose their legal force and the interstate agreements of Azerbaijan Republic shall
not enter into force in terms specified in the resolution of Constitutional Court.</t>
  </si>
  <si>
    <t xml:space="preserve">Yes. Supreme Court of Azerbaijan concerning the constitution and laws;
- review of acts of municipalities, laws of the President, decrees of Cabinet of Ministers (in NAR:
this includes the constitution and laws of NAR and decrees of Cabinet of Ministers of NAR);
- review of interstate agreements of Azerbaijan, which have not come into force yet, and
intergovernmental agreements concerning the constitution and national laws;
- review of the constitution and laws of NAR, decrees of parliament of NAR, decrees of Cabinet of Ministers of NAR concerning the constitution of the Republic of Azerbaijan; review of laws of NAR, decrees of Cabinet of Ministers of NAR and their compliance with laws of Azerbaijan;
- review of decrees of Cabinet of Ministers of NARs with their compliance with decrees of the President and decrees of Cabinet of Ministers of the Republic of Azerbaijan;
- dispute settlements with regard of the separation of powers.
</t>
  </si>
  <si>
    <t xml:space="preserve">Yes. Activity of the courts of the Republic of Azerbaijan is aimed solely at the administration of
justice and, in cases and order provided by legislation, at the enforcement of judicial
supervision. While administering justice, courts protect rights and freedoms of person and citizen, rights
and lawful interests of all enterprises, establishments and organizations irrespective of the
form of property, political parties, civil associations, other legal persons, from any
encroachments and law violations, fulfil other objectives provided for in Constitution of the
Republic of Azerbaijan and this Law.
</t>
  </si>
  <si>
    <t>respected and executed by other branches of government. But in highly politicised cases other branches are reluctant to execute interim decisions of judges.</t>
  </si>
  <si>
    <t>Yes. According to the   Law of the Azerbaijan Republic On Courts and Judge, Relevant executive body of the Republic of Azerbaijan shall be entitled to apply to the Judicial-Legal Council with motion to institute disciplinary proceedings regarding judges of
the first and appellate instances.</t>
  </si>
  <si>
    <t xml:space="preserve">Yes, according to the   Criminal Procedure Code, the Court ChancelleryInstructions and internal rules of lower and higher courts, cases are randomly assigned to justices based on a coding of their first and last names,
and hearing type, with due regard to the principle of equal distribution of work. Cases are distributed in a sequenced way to judges in rounds.. After the distribution of case files, tables of distribution are drawn and signed by the competent officer of the chancellery. These tables are supervised by the court presidents.  But, this mechanism for assignment of case files may lead to overload if judges randomly receive more complex cases. Furthermore, the distribution of cases by court presidents, which are
appointed by the President of the Republic, may create a system in which cases are assigned to judges on the basis of their political viewpoints.
</t>
  </si>
  <si>
    <t>Yes.  Court presidents and collegial boards are
entitled to participate in less rounds, depending on their workload. There are some exceptions
from this rule, such as sickness or annual leave of the judge</t>
  </si>
  <si>
    <t xml:space="preserve">Yes. Ethic Code of Judicial Conduct was  approved by the decision of the Judicial Legal
Council of Azerbaijan Republic on June 22, 2007. According to the  Article 7,  Judge shall exclude any interference to his/her professional activity by relatives, friends and familiars. If the decision adopted by judge can touch the interests of family
members and other relatives or any doubt his/her impartiality he/she shall disqualify
himself/herself. Article 22 of Code of Judicial Conduct determins that judge shall not belong to political party or movement, support them in any way, take part in mass actions, openly express his/her political views.
</t>
  </si>
  <si>
    <t>No, there is no meaningful process exist under which other judges, lawyers, and the public may register complaints concerning judicial conduct.</t>
  </si>
  <si>
    <t>Partially, many of the courtroom proceedings open to, and can they accommodate, the public and the media, but most time the courtroom was crowded by anonymizing people so that only a few observers were able to attend the hearing, even the relatives of the accused had "limited access to the courtroom".</t>
  </si>
  <si>
    <t>No. Judicial decisions are not published, and are records of courtroom proceeding does not  available to the public However, the number of pre-trial detentions were published.</t>
  </si>
  <si>
    <t>Yes in legislative base, judges enjoy a wider scope of immunity. But thereis no   effective procedures to hold judges accountable for illegal activities.</t>
  </si>
  <si>
    <t>Yes, protocol No. 12 to the Convention for the Protection of Human Rights and Fundamental Freedoms signed 12/11/2003.</t>
  </si>
  <si>
    <t>Yes, the UN Convention on the Rights of Persons with Disabilities (CRPD)  became effective in Azerbaijan since 28 January 2009.</t>
  </si>
  <si>
    <t>Yes, International Convention on the Protection of the Rights of All Migrant Workers and Members of Their Families ratified on January 11, 1999</t>
  </si>
  <si>
    <t>Yes,  European Charter for Regional or Minority Languages signed on 21/12/2001, but not ratified yet.</t>
  </si>
  <si>
    <t>Yes,  It has signed in 2001, but not ratified it yet. Council of Europe: Secretariat of the Framework Convention for the Protection of National Minorities, Fourth Report submitted by Azerbaijan pursuant to Article 25, paragraph 2 of the Framework Convention for the Protection of National Minorities (Received on 10 January 2017) , 10 January 2017, ACFC/SR/IV(2017)002, available at: http://www.refworld.org/docid/5881e7b04.html</t>
  </si>
  <si>
    <t>No, European Convention on the Legal Status of Migrant Workers is not signed and ratified.</t>
  </si>
  <si>
    <t>NO, European Convention on Nationality is not signed and ratified.</t>
  </si>
  <si>
    <t>Not yet,  there is no exist  framework law, but there are provisions against discrimination in the Constitution and other laws</t>
  </si>
  <si>
    <t>Yes.  (Criminal  Code provisions include acts against discrimination (Azerbaijan 1 September 2000, Art. 109), racial discrimination (ibid., Art. 111), infringement of citizens' equality (ibid., Art. 154), and incitement of national, racial or religious hostility (ibid., Art. 283), as well as stiffer sentencing for murder whose motive is based on "national, racial [or] religious hatred or enmity" (ibid., Art. 120.2.12))</t>
  </si>
  <si>
    <t>No,  there is no any provisions  in the Civil Code ( adopted in 1999; entered into force on
1 September 2001) , but  the  law on gender equality ( passed on October 2006, ), which defines gender-based discrimination as any distinction, exclusion or restriction exercised on the basis of gender, including sexual harassment.</t>
  </si>
  <si>
    <t>No, the  protection against discrimination does not concern the Adminstrative Code.</t>
  </si>
  <si>
    <t>Yes. Labor Code of the Republic of Azerbaijan Republic (Adopted by the Law of Azerbaijan Republic of February 01,1999) provisions include acts against discrimination. According to the Article 16 (Unacceptability of Discrimination in Labor Relations)  determins during hiring or a change in or termination of employment no discrimination among employees shall be permitted on the basis of citizenship, sex, race, nationality, language, place of residence, economic standing, social origin, age, family circumstances, religion, political views, affiliation with trade unions or other public associations, professional standing, beliefs, or other factors unrelated to the professional qualifications, job performance, or professional skills of the employees, nor shall it be permitted to establish privileges and benefits or directly or indirectly limit rights on the basis of these factors.</t>
  </si>
  <si>
    <t>Yes,  of acts governing economic activities, provision of goods and services most include provisins  against discrimination.</t>
  </si>
  <si>
    <t>Yes, According to the  Article 5 (State Guarantee of the Right for Education) of Education Law of the Republic of Azerbaijan, the State secures the creation of equal opportunities for each citizen and doesn’t tolerate for any discrimination, regardless of the individual’s gender, race, language, religion, political views, nationality, social status, background, and state of health.  The State guarantees equal opportunities for men and women in recruitments for all educational institutions, regardless of their type of property, appointing to or election for positions, stimulating and awarding the labor, admission of the learners to educational institutions, providing them with scholarships, selection of curricula and majors, assessment of knowledge, providing the graduates with jobs, continuing education at the next level, furthering the major, etc.</t>
  </si>
  <si>
    <t>No, there is no  an extensive definition of discrimination at the national legislation.</t>
  </si>
  <si>
    <t>Yes, but with very limited scope</t>
  </si>
  <si>
    <t>There is no operate   a specialised equality body</t>
  </si>
  <si>
    <t xml:space="preserve">Yes,  Azerbaijan signed  the UN Anti-Corruption Convention on  27 Feb 2004  and and ratified it on  1 Nov 2005 </t>
  </si>
  <si>
    <t xml:space="preserve">Yes Azerbaijan is a signatory to the Council of Europe Criminal Law Convention on Corruption. </t>
  </si>
  <si>
    <t xml:space="preserve">Yes, Azerbaijan is a signatory to the Council of Europe Criminal and Civil Law Convention on Corruption. </t>
  </si>
  <si>
    <t>Yes, Anti-Corruption General Directorate with the Prosecutor General of the Republic of Azerbaijan.</t>
  </si>
  <si>
    <t>The government of Azerbaijan adopted National Action Plan for 2016-2018 on Promotion of Open Government, a main policy document addressing anti-corruption on April 27, 2016. In comparison to the previous policy document, the new NAP seems less ambitious. 59 responsibilities on a total of 10 directions were added to the new National Action Plan. There were 162 responsibilities on 37 directions in the previous National Action Plan. The number of both directions and responsibilities dropped by three times and the timeframes were reduced from 3 to 2 years. However, the responsibilities are simply listed without explication and the purposes are very vague. Also, the document does not have clear anti-corruption goals and does not based on real facts.</t>
  </si>
  <si>
    <t xml:space="preserve">
Yes, The Commission on Combating Corruption of the Republic of Azerbaijan was established in 3rd march 2004 and functions as a specialized agency on combating corruption.  The Commission functions with the structure composed of 15 members. 5 members of the Commission are appointed by the President of Republic of Azerbaijan, 5 by the “Milli Majlis” and the rest 5 by Constitutional Court of the Republic of Azerbaijan Republic. The Commission sets its activities in cooperation with legislative, executive and judicial powers and regularly informs the President of the Republic of Azerbaijan, Milli Majlis and Constitutional Court of the Republic of Azerbaijan  on state of struggle against corruption</t>
  </si>
  <si>
    <t>Yes,  Open Government Partnership National Action Plan for 2016-2018 is a main policy document addressing anti-corruption since  April 27, 2016</t>
  </si>
  <si>
    <t xml:space="preserve">Yes, but  only self assesment, which is conducted by  the Commission on Combating Corruption regarding the activities carried out in connection with implementation of the National Action Plan for 2016-2018 on Promotion of Open Government, last one   was in 2017. </t>
  </si>
  <si>
    <t>Yes. Under the Criminal Code of the Republic of Azerbaijan (the “Criminal Code”), which was enacted on 1 September 2000, only natural persons could originally be subject to criminal liability. The criminal liability of legal entities was introduced in Azerbaijan on 7 March 2012, with the adoption of the Law on the Amendments to the Criminal Code. These amendments, however, have not taken effect as yet. They will come into force after the relevant amendments are introduced to the Criminal Procedure Code of the Republic of Azerbaijan, (the “Criminal Procedure Code”), and the Code on Execution of Sentences of the Republic of Azerbaijan, (the “Code on Execution of Sentences”), both of which also took effect on 1 September 2000.  Following these amendments, the Criminal Code introduced the criminal liability of legal entities for certain types of crimes committed for the benefit of the legal entity or in its interests by the following persons:
Officials authorized to represent the legal entity
Officials authorized to make decisions on behalf of the legal entity
Officials authorized to control the activity of the legal entity
An employee of the company, as a result of the “nonperformance” of duties by the officials referred to above.</t>
  </si>
  <si>
    <t xml:space="preserve">Have not been reported cases in 2017. </t>
  </si>
  <si>
    <t>No, but there is no special law on against  illicit enrichmen in Azerbaijan. But the  Criminal Code criminalizes the laundering of the proceeds of crime and its concealment. Article 193-1 of the Criminal Code includes two crimes on money laundering. Firstly, the Criminal Code criminalizes the concealment of the real source, disposition, movement or ownership of the rights to money resources and other property, knowing that they have been obtained through illegal acts. Secondly, the Criminal Code criminalizes the carrying out of financial operations, the conversion or the transfer of proceeds of crime.</t>
  </si>
  <si>
    <t>No, but  there are a lot publication at local media, for example,  the former  minister of the national security Eldar Mahmudov fired and afterward seven high level officials of the ministry were arrested by the police.  According the witness’ testimonies dozens of high level officials including former ministry of communication and high technology Ali Abbasov, and former head of Aztelekom (State-owned Telecommunication Sompany) Mammad Mamadov and a former head of Baku Metropoliten (State-owned Subway Company) Taghi Ahmadov  systematically paid big amount of bribe to the officials of ministry.</t>
  </si>
  <si>
    <t>Yes, Criminal Procedure Code (CPC) Chapter 32 on attachment provides for pre-trial seizure of property to
“guarantee a civil party’s claim and confiscation in circumstances provided for under criminal law. A
court orders attachment based on a reasoned request by the investigator and submissions by the prosecutor
in charge of the case. Seizure can be ordered against a third party who obtained the property illegally or if
the transfer of the property to the third person is not in good faith. Provisions in separate legislation allow
the financial intelligence unit to freeze assets for up to 30 days without judicial authorisation. But, The availability of non-conviction-based confiscation is unclear.</t>
  </si>
  <si>
    <t xml:space="preserve">Yes, partial statistics on seizure and confiscation were provided. In 607 cases conducted by ACD in 2013-15,
compensation for damage was made in 488 cases. Pre-trial seizure, however, was made in just 10 cases.
Data on confiscation were not provided. Unfortunatelly, statistics on  seizure and confiscation in 2016 and 2017 is not available. </t>
  </si>
  <si>
    <t xml:space="preserve">Yes,  On Approval of Procedures for Submission of Financial Information by Public Officials, Law of the Azerbaijan Republic  signed August 14, 2005, But In practice, Azeri law does not provide procedures and mechanism for disclouse information about assets and incomes of public officials. Therefore, so far  there is no  public disclosure of assets and incomes in Azerbaijan. </t>
  </si>
  <si>
    <t xml:space="preserve"> According to the Panama Papers and OCCRP the family members of the president, including the recent appointed the vice-president Mehriban Aliyeva and ministry of taxes Fazil Mammadov, and many other government officials have a huge amount of assets in offshore and are involved money laundry schemes across the world.  Recent investigation of OCCRP suggests that the first deputy of the prime minister Yagub Eyyyubov, and his son and the ambassador of Azerbaijan to Couincil of Europe Emin Eyyubov,   a deputy chief of the Anti-Corruption General Directorate with the Prosecutor General, Ali Nagiyev, and a member of parliament Javanshir Feyziyev are involved the laundromat in amount of 2.5 million EUR. Moreover, the many European politicians including a former Italian MP Luca Volonte, a former German MP Eduard Lintner and a Bulgarian politician and a member of the Board Directors of EBRD Kalin Mitrev was paid from the laundromat for the favorably speeches and support the country and its oppressive regime.</t>
  </si>
  <si>
    <t>Yes, but there is no special Law on whistleblower protection. In 2016 the president signed the ammendments on whistleblower  and their protection (Article 11-1 and 11-2) of Anti-Corruption  Law of Azerbaijan.</t>
  </si>
  <si>
    <t>No. There is no report about  incidents facing whistleblowers.</t>
  </si>
  <si>
    <t>No. There is noan effective legislative framework  for the transparency of media ownership. Despite most of mass media belongs oligarxs and high level politicans.</t>
  </si>
  <si>
    <t xml:space="preserve">No, there is no legal provisions requiring the disclosure of beneficial ownership of companies.
</t>
  </si>
  <si>
    <t xml:space="preserve">No,never.
</t>
  </si>
  <si>
    <t xml:space="preserve">Yes,  Chamber of Accountants (CoA) is a national supreme audit instution, established in 1999 by Parliament, article 92 of the Constitution of the Republic of Azerbaijan. Began to operate on 7 December 2001. The CoA audits the approval and execution of the state budget,  management of the public property, giving disposal on the public property, inflow of funds obtained from privatization of public property, properly utilization of funds allocated to legal entities and municipalities from the state budget. 
 </t>
  </si>
  <si>
    <t xml:space="preserve">Yes, CoA  is subordinate to Parliament. In law,  CoA institutionally is independent of the executive government and reports to the Parliament only on an annual basis. Its functions and mandate are regulated by a specific law on Chamber of Accounts, but in practice  it   strongly depends on the executive power, president adminstration. </t>
  </si>
  <si>
    <t>Yes, according to the decree on approval of the Board of the Chamber of Accounts of the Republic of Azerbaijan dated 30 december 2015,   signed by spiker of parliament, the board is consist of 9 persons including Chairman, Deputy Chairman, 5  Auditors and Heads of departments. According to the article 5 of The Law of the Republic of Azerbaijan on the Chamber of Accounts,   the term of office of the Chairman of the Chamber of Accounts, deputy chairman and auditors is 7 years. The chairman and auditors  of the Chamber  of Accounts are appointed by the Parliamentary majority. The law on Chamber Accounts  protects the leadership of the Chamber of Accounts from early dismissals. However, in practice, if desired by the executive power, dismissal is possible.</t>
  </si>
  <si>
    <t xml:space="preserve">Yes, in practice 9 audit departments,  1 supporting section  and Regional Office of Chamber of
Accounts in Nakhchivan Autonomous Republic (NAR)  under the  CA. According to the  article 5.2.6. Appointment of employees of the Office of the Chamber of Accounts
dismisses them, solves their additional education issues made by chair of the Chamber of Accounts.   The governance structure of CoA is provided by this  link:  http://sai.gov.az/upload/files/structure_chart.pdf
</t>
  </si>
  <si>
    <t>Yes, according to the  Article 13 (Cost estimates of Chamber of Accounts) of  Law of the Republic of Azerbaijan on the Chamber of Accounts,  the expenses of the Chamber of Accounts are financed from the state budget. Chamber of Accounts Costs Estimated by the Chamber of Accounts of Azerbaijan Milli Mejlis of the Republic of Azerbaijan shall be approved when considering the state budget of the year.</t>
  </si>
  <si>
    <t xml:space="preserve">Yes, the rules on drafting, reviewing and approving the annual activity report of the Chamber of Accounts’ approved with the Decision of the Board of the Chamber of Accounts dated 17 April 2007, numbered Q-30 was prepared with the purpose to defines the common requirements for the used information and the activities carried out by the structural divisions of the Chamber during the preparation and documentation of the annual activity report structure and content and to apply the unique methodology in the procedures and approaches used in report preparation.   </t>
  </si>
  <si>
    <t xml:space="preserve">Yes,  the Chamber of Accounts has published narrative report on annual basis, and reviews  on the draft and execution  state budgets.  The rules on drafting, reviewing and approving the annual activity report of the Chamber of Accounts’ cover the annual report structure, as well as the sources of information to be used in report drafting and the list of main issues to which should be focused in each section. İn practice, only general   results of audits are published  separatelly, but not regularly, this information are includes to the narrative reports as well.  But, at the same time CoA publihsed the opinion on changes to the state budget for 2017,  the opinion on state budget implementation for 2017,  the opinion on draft state budget for 2017,  the opinion on draft budget of State Social Security Foundation for 2017.
</t>
  </si>
  <si>
    <t>Partially, the parliament  usually  are organised  nominal debate the annual activity report of the Chamber of Accounts. But there is no  public discussion out of parliament, and the parlamentary discussion is too short.</t>
  </si>
  <si>
    <t>Partially, it depends on organisations, the government   reaction is rarely, but in practice,  the stolen money,  inventory and equipments had been restored to the budget  during the 2017.</t>
  </si>
  <si>
    <t xml:space="preserve">No,  Public Internal Financial Control  performed  by State Financial Control Service of the Ministry of Finance of the Republic of Azerbaijan and its regulation  was approved by the Decree # 48 of the President of the Republic of Azerbaijan dated February 9, 2009. The CoA provides audits the approval and execution of the state budget,  management of the public property, giving disposal on the public property, inflow of funds obtained from privatization of public property, properly utilization of funds allocated to legal entities and municipalities from the state budget. </t>
  </si>
  <si>
    <t xml:space="preserve"> Yes. The annual action plans, specifying internal audit control adopded by parliament every fiscal year. At the same time Strategic Development Plan of the Chamber of Accounts for 2018-2020 , the main document of the Chamber of Accounts identifying development for a long-term period and reflecting the mission, values, strategic goals , and the activities of the entity for achievement of different  indicators was developed and approved by board decision 154 of the Chamber of Accounts of the Republic of Azerbaijan December 13, 2017.</t>
  </si>
  <si>
    <t>Partially. Yes in law,  according to the Law on  of Azerbaijan Republic
On Internal Audit, all bodies of public administration, including those in charge of managing public revenues and/or expenditures, are required to have departments/divisions/systems of internal audit.Not in practice, this law implemented is not all bodies of public adminstration.</t>
  </si>
  <si>
    <t>Partially. Yes, in law. According to the Article 5." Independence of internal audit service" on the  law on  of Azerbaijan Republic
On Internal Audit, the internal audit service is independent in planning its activity, conducting internal audit and preparing reports with respect to performed audit. But, in practice all of internal audit department stronly depend on the head of public adminstration.</t>
  </si>
  <si>
    <t>Yes,  PIFC  policy performed  by State Financial Control Service of the Ministry of Finance of the Republic of Azerbaijan.</t>
  </si>
  <si>
    <t xml:space="preserve">Yes, Azerbaijan’s law on public procurement identifies 6 methods of procurement of goods, services and
works. These are open tender, two-stage tender, limited or closed tender, request for proposals,
request for quotations and direct or single source procurement. The legislation stipulates clearly that
open tender is to be used when purchasing goods valued 50,000 Manats or over.  Moreover, the minimal threshold for open
bidding is 50 thousand AZN (or about 27 thousand USD). Procuring entities are authorized to use any
method of procurement for goods and services below this threshold. According to the report of the State Service of Antimonopoly Policy and Consumer Protection (SSAPCP) at the Ministry of Economy, in 2017 on a competitive basis 7630 state purchases were made. This information was also confirmed in the conclusion of the Accounts Chamber for the execution of the state budget for 2017. However, the register of public procurement includes information only for 3146 purchases. </t>
  </si>
  <si>
    <t>Yes, according to the article  21 and 50. on the Law  ot t he Republic Of Azerbaijan
On Public Procurements   determines  conditions of use of procurement method from one source.</t>
  </si>
  <si>
    <t xml:space="preserve">Yes,  Law  ot t he Republic of Azerbaijan On Public Procurements stipulates that procurement contract must
include dispute resolution procedures (Law of Azerbaijan on Public Procurement (Article
24.1.25, Article 40.10). PPL ensures the existence of an independent (from parties involved in a procurement dispute) review body with the authority to review complaints and grant remedies. Until January 2016, State Procurement     Agency was the regulatory body overseeing this sphere. The Presidential Decree dated 15.01.2016 liquidated the Agency and delegated its
responsibilities/functions to Ministry of  Economy. As such, the Ministry is not a subordinate body. However, State Service for Antimonopoly Policy and Protection of Consumer Rights under Ministry of Economy is responsible for the
implementation of the functions of a regulatory body set forth in Law on public procurement. </t>
  </si>
  <si>
    <t xml:space="preserve">No, according to the article 12 on  on the Law  ot t he Republic of Azerbaijan On Public Procurements , cases of falsification at public procurements  If procurement agency determines that consignor (contractor) deals with falsification in order to influence taking of any decision relating to procurement procedures and if it is approved by respective executive authority, in this case convicted of falcification or  bribery are not prohibited from participating in future procurement bids. </t>
  </si>
  <si>
    <t>Yes in law,  the  Law of Azerbaijan on access to information (Article 9; Article 29) defines inter alia state bodies and municipalities as
information owners. Article 29 requires state bodies, as information owners, to disclose key budgetary information. Additionally, lists among the responsibilities of the regulatory body setting up a website, in which it must place notices of intended procurement
and the results of the procurement process. The notice of intended procurement must be placed on state newspapers and media outlets circulating internationally at least 30 bank days before tender applications are considered (20 days if the notice is published for the second time) (Law on public procurement, Article 25.1).</t>
  </si>
  <si>
    <t>No,  Law  on he Republic of Azerbaijan On Public Procurements stipulates that electronic means is the primary
method of conducting public procurement and of communication between procuring entities and
tender participants. But in fact, the concept of e-procurement is not
set forth in the law and communication is still conducted by traditional methods.</t>
  </si>
  <si>
    <t>No, despite of it is mandatory to release information about the procurement contract within 5 days of
signing the contract, but detailed tender results are not published. The winning suppliers are as a rule
kept out of spotlight and in many instances, they do not have any information about them on the
Internet, much less a website or contact information for that matter.</t>
  </si>
  <si>
    <t>No, there no  regulatory system base of  impact assessment mandatory for ordinary (non-constitutional) legislation.</t>
  </si>
  <si>
    <t>Partially.  The Center for Analysis of Economic Reforms and Communication (was established according to the Decree dated April 20 2016 of the President of Azerbaijan Republic)  is conducted the Monitoring and evaluation of the Strategic Road Maps for key sectors of the national economy will be presented every six months. But, there is no  regular monitoring and evaluation is conducted during the implementation of the policy documents and the findings.</t>
  </si>
  <si>
    <t xml:space="preserve">Yes, most of  draft law was available in the web-site of parliament. But, in fact proposals and recommendation which are made by citizens or experts never take into account. </t>
  </si>
  <si>
    <t xml:space="preserve">Partially. There are respective requirements in terms of the need to consult with stakeholders, including with civil society organizations in the process of public policy development, drafting of new legislation by respective ministers. But, </t>
  </si>
  <si>
    <t>No,  the  state never  develops policy documents on cooperation with the  participation of  independent CSOs and active citizens.</t>
  </si>
  <si>
    <t xml:space="preserve">Yes, but  the government only  inform the public as to which amendments to draft budget law of current fiscal year. </t>
  </si>
  <si>
    <t xml:space="preserve">No,  the government or parliament never held public hearing, even the discussion about  draft budget for next years organise in the closed door in parliament. </t>
  </si>
  <si>
    <t>No, there is  no single   effective institutional arrangements to provide strategic planning and policy formulation, to support decision-making. But, the Center for Analysis of Economic Reforms and Communication and  the Center for Strategic Studies under the President of Azerbaijan Republic has barely few  impact on the decision-making process. They are involved in preparation of strategic planning and programmes. The formulation of the policy making system is under the monopoly of the presidential adminstration.</t>
  </si>
  <si>
    <t>Yes, Cabinet of Ministers.but it's operation is nominal.</t>
  </si>
  <si>
    <t>Yes,  the  presidential adminstration has  sufficient capacity to evaluate and co-ordinate line ministries.</t>
  </si>
  <si>
    <t>Yes,  in law, the president admisntation, office of 1st vise-president and cabinet of ministers.  In practice  the presidential administration is dealing with bodies to co-ordinate cross-sectoral policies. In fact,   the presidential administration and office of 1st vise-president are  dealing with bodies to co-ordinate cross-sectoral policies.</t>
  </si>
  <si>
    <t xml:space="preserve"> Yes. but only  legal proposals (normative act, etc). According to the rule, any of the ministries should be co-ordinated with other concerned ministries as well as Ministry of Justice.</t>
  </si>
  <si>
    <t xml:space="preserve">Partially, the Center for Analysis of Economic Reforms and Communication and  the Center for Strategic Studies under the President of Azerbaijan Republic and  some research institutions are  providing policy advice for  ministries , for instance  Ministry of Taxes, Ministry of .Economy,  Ministry of Labor and Social Protection, and Central Bank. </t>
  </si>
  <si>
    <t>Yes, according to the “Strategic Road Maps for the National Economy and Main Economic Sectors” and sectorial road maps, the Center for Analysis of Economic Reforms and Communications evaluated of the results of implementing the Strategic Road Maps.</t>
  </si>
  <si>
    <t xml:space="preserve">No, there is no policymaking departments sufficiently resourced with qualified staff under the ministers. </t>
  </si>
  <si>
    <t>Yes,the principle of local self-government recognized in the constitution (Charter İX)</t>
  </si>
  <si>
    <t xml:space="preserve">Yes, the  Eelection code allows for the direct election of the members of the local councils (Article 210) </t>
  </si>
  <si>
    <t>No, according to the legislation position of mayors  appointed by president of Azerbaijan (article 124 of Constitution of Azerbaijan Republic).</t>
  </si>
  <si>
    <t xml:space="preserve">Yes, the status  and responsibilities of local authorities prescribed by the constitution  (Article 144) </t>
  </si>
  <si>
    <t>Yes, often. local authorities normally consulted in due time and with appropriate rights in the planning and decision-making process for busget issues  that concern them directly.</t>
  </si>
  <si>
    <t>Yes,  local authorities able to determine their own internal administrative structures (article 24, Law of status of municipality)</t>
  </si>
  <si>
    <t>Yes, Municipailites organizes discussion and approval of the local budget in accordance with Article 10 of the Law of the Republic of Azerbaijan "On Funding of Municipalities"</t>
  </si>
  <si>
    <t>Yes, in law, in accordance with the laws of the  status of municipialites of Republic of Azerbaijan (Article 46. Participation of Municipalities in Credit Relationships), municipalities may withdraw municipal lotteries and receive loans. But, in practice it never happened.</t>
  </si>
  <si>
    <t>No, all of local taxes are regulated centralised  by Tax Code.</t>
  </si>
  <si>
    <t xml:space="preserve">Yes, according to Article 50 (Judicial protection of local self-government) of  on the status of municipalities of the Republic of Azerbaijan, citizens living in the territory of a municipality, municipalities, municipal bodies, and municipal
officials may apply to a court to overturn acts violating local self-government rights, issued by 
state bodies and state officials, municipalities, municipal bodies and municipal officials, legal
persons created by the municipalities, public associations. </t>
  </si>
  <si>
    <t>Sometimes, elected officials post their schedules publicly.</t>
  </si>
  <si>
    <t>Few of them yes, yes, but it is not kept up to date, most of them -no.</t>
  </si>
  <si>
    <t>No, there is no  local authorities obliged to hold public consultations before making policies/decisions that concern citizens directly.</t>
  </si>
  <si>
    <t>Yes, Law of the Republic of Azerbaijan
On Civil Service become effective from 01 September 2001.</t>
  </si>
  <si>
    <t xml:space="preserve">Yes,  Article 8 ( Classification of state bodies) on  Law of the Republic of Azerbaijan
On Civil Service determins classification of civil servants by  categories considering their status,
hierarchy and jurisdiction. </t>
  </si>
  <si>
    <t>Yes,  the Law of the Republic of Azerbaijan
On Rules of Ethics Conduct of Civil Servants become effective from 31 May 2007 
The current Law defines rules and principles of ethics conduct for civil servants and legal
nding to observance of these rules.</t>
  </si>
  <si>
    <t>Yes, according to the article 11.2. of  the Law of the Republic of Azerbaijan
On Rules of Ethics Conduct of Civil Servants, civil servant must obey political neutrality while fulfilling his/her service duties. At the same time, according to the article  4.2.  of the aw of the Republic of Azerbaijan
On Civil Service, structures of political parties and social organizations shall not be established within
state bodies. Accoridng to the article  20.1.6. of the Law on Civil Service,  forbidding them to take part in activity of the political parties during fulfillment of service duties. However, in practice, there are numerous cases of violation of this article. In practice, civil servants are extensively involved in the activity of the ruling political party.</t>
  </si>
  <si>
    <t>Yes. The law clearly distinguishes civil servants from political appointees</t>
  </si>
  <si>
    <t>No, in t the law of the Azerbaijan Republic on the Prevention of Conflicts of Interest does not re not addressed  effectively
in the Activities of Public Officials.</t>
  </si>
  <si>
    <t>Yes,  the civil service policy and performance is published by  State Examination Center
of the Republic of Azerbaijan.</t>
  </si>
  <si>
    <t>Yes,  article 31.17 of Law of the Republic of Azerbaijan on Civil Service, 
 attestation list and reference of assessed civil servant shall be kept in his/her
personal file and its copy shall be given to a civil servant passed an attestation.</t>
  </si>
  <si>
    <t xml:space="preserve">No, there is no special  data protection act. But, the regulation of Personal Data protection in the Republic of
Azerbaijan is based on   Law “On state secret“ ;  Law “On data, data processing and data protection” and  Law “On personal data”. According to the legislation of the Republic of Azerbaijan, personal data means any information that allows for directly or indirectly
determine the identity of the person. This includes name, surname, patronymic, date of birth, other information contained in the
documents of identity, as well as data revealing racial or ethnic origin, family life, religious faith and beliefs, health or criminal
record of an individual. Additionally,  according to the   ammendment of Constitution dated  on September 26, 2016, article 32, determins  on the right to personal immunity, would prohibit access to data bases –electronic or hard copy—that disclose personal information. 
 </t>
  </si>
  <si>
    <t>Yes in legislative. The Public Service Act protects state employees from politically motivated dismissals. But  in fact, no.</t>
  </si>
  <si>
    <t>Yes,  The Civil Service Commission was a central executive power body organizing enforcement of the standard legal acts adopted in the Republic of Azerbaijan in the area of civil service, providing implementation of the policy stipulated by legislation of the Republic of Azerbaijan in the field of recruitment, placement of the personnel to the civil service on the competitive basis, control over observance of the ethics conduct rules of civil servants, professional development of civil servants, their certification and social protection, as well as other issues related to the civil service.
In 2016, President Ilham Aliyev has signed a decree on establishment of the State Exam Center public legal person of the Republic of Azerbaijan. The Civil Service Commission under the President of the Republic of Azerbaijan was abolished and their state property was transferred to the balance of the State Exam Center.  The Center also plays significant role on formation of state policy on civil service and administers tests for admission to civil service and for continuation of civil service roles.</t>
  </si>
  <si>
    <t>Yes,  the State Exam Center  have sufficient authority to ensure human resources policies are adopted and complied.</t>
  </si>
  <si>
    <t>Yes, the State Exam Center is considered to organize admission of personnel to civil service on a competitive basis.</t>
  </si>
  <si>
    <t>No,  after the double  devaluation of national currency in 2015, the salary of civil servants depreciated. Despite currently the salary of civil servants slightly more than the average salary, but the monthly average salary equals 320 dollars.</t>
  </si>
  <si>
    <t>Yes. Public authorities submit to the State  Exam Center  their needs in terms of employees (at least once a month). The Center  organises the selection procedure. All these procedures are governed by specific documents that are published on the website of the center.</t>
  </si>
  <si>
    <t xml:space="preserve">Not, there is no effective personnel information systems and  unified database of civil service employees. </t>
  </si>
  <si>
    <t>Yes,  all posts advertised publicly to ensure equal competition for posts.</t>
  </si>
  <si>
    <t>Partially, in the level of testing, there is  a competitive process including objective assessment for recruitment, but in the interview level, final decision is not make by objective criteria.</t>
  </si>
  <si>
    <t>Yes,  job descriptions prepared and utilised by State Exam Center.</t>
  </si>
  <si>
    <t xml:space="preserve">Yes, the recruitment process checked by multiple reviewers, but there is no legal base for  independent reviewers. </t>
  </si>
  <si>
    <t>Yes, formal procedures for the  recruitment of the civil servants are prescribed by the law on civil servants, State Exam Center  is responsible authority to ensure consistent practices across all public authorities.</t>
  </si>
  <si>
    <t>Yes,  the Article 30-1 ( Performance appraisal of the civil servants) on  Law of the Republic of Azerbaijan
on Civil Service, determines the service performance of civil servants holding administrative positions shall be
evaluated in the end of each calendar year. Aim of the service performance appraisal of
civil servant is to assess performance of his/her duties during the year, fulfilment of
requirement on holding position, as well as to define future development of the employee.
The service performance appraisal results shall be considered during attestation of civil
servant.   In practice,  performance appraisals undertaken on a regular basis  directly by
supervisor.</t>
  </si>
  <si>
    <t xml:space="preserve">Yes.  According to the article 30-1.6.of  Law of the Republic of Azerbaijan
on Civil Service, the results of the service performance appraisal of civil servant are formalized
through service performance appraisal document. </t>
  </si>
  <si>
    <t xml:space="preserve">Yes.  According to the  Article 32. (Promotion right in civil service) of  Law of the Republic of Azerbaijan
on Civil Service, the civil servant may be promoted in the civil service through career growth in order
set forth by  Law, as well as in result of competition or interview. </t>
  </si>
  <si>
    <t>No. The process is not open and transparent.  Promotion is based at the request of higher officials or their relatives, friends. Sometimes bribery is acceptable.</t>
  </si>
  <si>
    <t>No. There are no such provisions in the law. According to the law,Right of promotion in civil service shall be carried out with consideration of successful and fair performance of duties by civil servants, existence of vacant position,
as well as with consideration of additional education in accordance with requirements of vacant position.</t>
  </si>
  <si>
    <t xml:space="preserve">No. There are no such provisions in the law. </t>
  </si>
  <si>
    <t>No, the disciplinary procedures based upon transparent and fair principles.</t>
  </si>
  <si>
    <t>Yes, there an appropriate training system to re-skill staff, to prepare new recruits and to develop existing staff  in the  State Exam Center.</t>
  </si>
  <si>
    <t>No, in practice,  still nepotism, bribery and other negative factors are play main roleduring the selecting, appointing and promoting senior civil servants.</t>
  </si>
  <si>
    <t>It depend of the state bodies, for example representative surveys monitoring citizens satisfaction was 98 % in  Azerbaijani Service and Assessment Network (ASAN) in 2017.</t>
  </si>
  <si>
    <t>Yes, Azerbaijani Service and Assessment Network (ASAN) are using as a model for reforms of public service delivery</t>
  </si>
  <si>
    <t>Yes, Azerbaijani Service and Assessment Network (ASAN) regularly used quality management frameworks and international standarts.</t>
  </si>
  <si>
    <t xml:space="preserve">Yes, according to the Law on Rules of Ethics and Conduct of Civil Servants,  citizens can complain about the behaivor civil servants and quality of public management as well. </t>
  </si>
  <si>
    <t>No, there is no  independent bodies within public administration.</t>
  </si>
  <si>
    <t>Yes,  the President of the Republic of Azerbaijan signed the Decree on the Implementation of Law No. 261-VQ On Anti-dumping, Countervailing and Protective Measures, dated 31 May 2016 (the "Law"). The Law becomes effective after 90 days from the date of its official publication, which is 15 July 2016. The Law aims to protect Azerbaijan's economic interests by supporting and stimulating local producers, and by regulating the implementation of antidumping, countervailing and protective measures against dumped, subsidized and increased imports that cause injury or risk of injury to the domestic industry.</t>
  </si>
  <si>
    <t>Yes. The notion of a public hearing in investigations regarding potentially dumped products is presented by the Law. According to Section 28 of the Law, all the interested parties to the case are entitled to question each other in a public hearing and present written evidences to the relevant state authority (the Ministry of Economy).  The Law entitles the Cabinet of Ministers to apply antidumping measures by imposing a provisional antidumping duty or price undertakings on exporters. The Cabinet of Ministers can also impose compensation duties against exporters benefiting from foreign subsidies after following certain procedures provided under the law.</t>
  </si>
  <si>
    <t>No, Azerbaijan applied for WTO membership in June 1997, with the working party having held 14 meetings since its establishment in July 1997.  Azerbaijan had put into the working party process in the 21 years since that establishment. In this context, hAzerbaijan had submitted roughly 400 documents, including over 300 pieces of legislation, to the working party, and responded to over 2,000 questions posed by members.  In order to secure membership, an applicant must negotiate an accession package with WTO members which includes a working party report spelling out the applicant’s membership terms as well as lists (“schedules”) of commitments on tariffs and other market access terms for goods and services trade.  But still Azerbaijan out of WTO.</t>
  </si>
  <si>
    <t>Yes,  since 2003 the Committee is a full member of ISO. Azerbaijan adopted 69  AZS - IS0  standards.  Azerbaijan Standardization Institute (AZSTAND) was established on April  17 2017, as national standardization body of Azerbaijan, in accordance with the Presidential Decree No.1234 “Additional measures on improvement of management in the spheres of standardization, metrology, accreditation and protection of patent law objects”.</t>
  </si>
  <si>
    <t>No,  the draft Law on Technical Reguliation  implies that implementation on voluntary stardards. draft “Law on Technical Regulation”, discussed the meeting. The law consists of four sections and 18 articles. The law reflects the general concept of technical regulation, the goals and principles of technical regulation, legislation in this area, the scope of the law, state obligations, general requirements for technical regulations, requirements for their structure and content, as well as other issues. echnical regulations should be prepared and adopted within seven years after the entry into force of this law. If this Law  if adopted this year it will be finalise until 2025.</t>
  </si>
  <si>
    <t>Yes. The total number of national standards is 941,  including  69 IS0,   20 EN, 49  GOST R-and 79 GOST  CIS.  Harmonised with the European or international standards  accounts for 25,71 % of total number of national standards.</t>
  </si>
  <si>
    <t>Yes, but sluggishly,  Azerbaijan applies the Harmonised System (HS) to the six-digit level. The former  chairman of  suspended Azerbaijan’s State Committee for Standardization, Metrology and Patents,  on September 7, 2017 stated that about 40 percent of the standards adopted in Azerbaijan are recognized in Europe. “New standards being adopted in Azerbaijan are fully harmonized with the European ones,” he told reporters . “A number of older standards are also being improved and unified with the European and international ones.” During the presentation of the EU-funded twinning project titled “Strengthening the National Accreditation System of Azerbaijan”,  former chaoir  noted that this project will make it possible to fully bring the standards in the country to international levels. EU harmonised standards adopted in the country as national standards  accounts for    2,12  % of total number of national standards.</t>
  </si>
  <si>
    <t>Not yet.</t>
  </si>
  <si>
    <t>Yes, In 2017, the EA General Assembly decided to accept AZAC, the Azerbaijan Accreditation Centre, as a new Associate
Member of EA. Therefore, Azerbaijan Accreditation Center becomes EA associate member since 23 november 2017.</t>
  </si>
  <si>
    <t>Azerbaijan does not signed MLA&amp;BLA  with the EA</t>
  </si>
  <si>
    <t xml:space="preserve">Azerbaijan out of  CEN  </t>
  </si>
  <si>
    <t xml:space="preserve">Azerbaijan the CENELEC </t>
  </si>
  <si>
    <t xml:space="preserve">There  is no company from Azerbaijan the ETSI </t>
  </si>
  <si>
    <t xml:space="preserve">No/Yes. No, Azerbaijan does not  participate in the WTO SPS. Yes,  Azerbaijan becomes a member of Codex Alimentarius Commission since 2011. National Codex Alimentarius committee has been created in State Committee on Standardization, Metrology and Patents of Azerbaijan  to coordinate recommended measures on introduction of European Union, ISO, HACCP and Codex Alimentarius standards to the national food standard system. Decisions of the national committee are of recommendatory character. For the present 5 State standards developed on Codex Alimentarius standard base have been adopted in Azerbaijan. </t>
  </si>
  <si>
    <t xml:space="preserve">No, developed a draft law, as well as amendments to the relevant legislation to start the madatory application of the HACCP system in the country. But  proposed law is not adopted so far. </t>
  </si>
  <si>
    <t>No, no legal bas for direct application of interational standards. But, Azerbaijan adopted 25 standards  of  Codex Alimentarius.</t>
  </si>
  <si>
    <t>No, threre is no export goods so far  of animal origin to EU.</t>
  </si>
  <si>
    <t>Yes, Azerbaijan join to the Kyoto Convention  since January 2001 and  ratified 3  february 2006.</t>
  </si>
  <si>
    <t xml:space="preserve">Partially, Azerbaijan is working to accede to the World Trade Organization.  Azerbaijan has signed bilateral free trade agreements with severel   countries in the former Soviet Union, although some trade liberalizing provisions have yet to take effect.   Azerbaijan signed free trade agreements with: The Russian Federation (September 30, 1992); Moldova (May 26, 1995); Ukraine (July 28, 1995); Turkmenistan (March 18, 1996); Uzbekistan (May 27, 1996); Georgia (June 10, 1996); Kazakhstan (June 10, 1997); and Tajikistan (July 13, 2007). </t>
  </si>
  <si>
    <t>Yes, most of  customs procedures based on risk management and increasingly avoid the physical control.</t>
  </si>
  <si>
    <t>Yes, but lartially not all of customs customs checkpoint</t>
  </si>
  <si>
    <t>Yes, Even the Annual Assembly and Conference of the International Association of Authorized Economic Operators was held in Baku on May 2-4, 2018.</t>
  </si>
  <si>
    <t xml:space="preserve">Yes, the project "Electronic Customs" (e-Customs), which is one of the components of the "Electronic Azerbaijan" ("e-Azerbaijan") program, covers one of the main areas of the state program on development of the customs system (2007-2011). For this reason, the project "eCustoms" is based on legal and regulatory documents created within the framework of "eAzerbaijan". Therefore, completion of the project "e-Customs" is closely related to the implementation of "e-Azerbaijan". Creating a system of "e-Customs" is one of the main objectives of the Strategy of Information and Communication Technologies of Azerbaijan State Customs Committee and mainly consists of three subsystems:
Unified automated control system in the customs service;
Information management system of Internet resources;
Corporate Portal - an intranet system of the Customs Committee. </t>
  </si>
  <si>
    <t>Yes, the Law on Licenses and Permits, adopted on 15 March 2016, stipulates a “one-stop-shop” principle with respect to
issuing licenses. Business presence is registered by the Ministry of Taxes. Temporary residence and work
permits are issued under the so-called “one-stop-shop” principle. Registration with other state authorities
is not required, as this will be done by the Ministry of Taxes based on the “one-stopshop” principle.  Some customs chechpoint recently started implememtation single window approach, for example between Azerbaijan and Iran.</t>
  </si>
  <si>
    <t xml:space="preserve">Yes, The Republic of Azerbaijan Accounting Law from 2004 requires IFRS for the following types of entities: credit organizations; insurance companies; investment funds; non-state (private) social funds; entities with securities traded on the stock exchange; and commercial organizations that on the date, to which the financial statements are prepared, exceed two of the thresholds (for annual revenue, average number of employees during the financial year and total balance sheet) in an amount determined by the relevant executive authority. In addition, any commercial organization (other than a very small one) that has one or more subsidiaries must prepare consolidated financial statements in accordance with IFRS. </t>
  </si>
  <si>
    <t>Yes,  The Law of the Republic of Azerbaijan
on electronic trade signed 10 may 2005 and made  amendments of 19 December 2016. E-commerce has been rapidly developing in the country during the last few years. Retail e-commerce turnover in Azerbaijan in 2016 amounted to 25,613,000 manat.  In 2017, this figure increased to 46,227,000 manat. Presently, Azerbaijan ranks 68th among 144 countries in the B2C ecommerce index of the United Nations Conference on Trade and Development.</t>
  </si>
  <si>
    <t>Yes, the  Law of the Republic of Azerbaijan on Electronic Signature and Electronic Document  was signed  on  9 March 2004.Azerbaijan applied ASAN imza (easy signature) and electronic signatire since 2016.  Recently, new type of identification cards  issues to Azerbaijani citizens  wilth contain electronic signatures.</t>
  </si>
  <si>
    <t>Yes, definition of universal service/access exists,  Universal access/service policy adopted, Voice services included in Universal service/access definition. Fixed line private residential service as part of universal service definition and fixed line public payphone service as part of universal service definition. Internet services included in Universal service/access definition, dial-up Internet access as part of universal service definition.  Emergency services as part of universal service definition and directory services as part of universal service definition.</t>
  </si>
  <si>
    <t xml:space="preserve">Yes in legislative base,  but in fact it  is not independent. According to Decree №760 of the President of the Republic of Azerbaijan, dated 3 February 2016, Financial Market Supervisory Authority (FIMSA) was established with the goal of improving licensing, regulation and supervision of:  Securities market,  Investment funds, Insurance,  Credit organizations (banks, non-bank credit organization and postal operator) and Payment systems operations.  The State Registry of Movable Asset Encumbrances has been operational since March 15, 2018 and Electronic System for Information Disclosure  has been operational 3 February 2016. Both of service operates under the control of FIMSA. </t>
  </si>
  <si>
    <t>Yes. FIMSA is regulation the operation of credit organizations (banks, non-bank credit organization and postal operator.</t>
  </si>
  <si>
    <t>Yes. FIMSA is the first public legal entity that ensures the effective functioning of the financial markets, as well as protection of the rights of creditors, investors and insurers.</t>
  </si>
  <si>
    <t>Yes, Azerbaijan member of   International Association of Insurance Supervisors, but still has not adopted  strategy or road map.</t>
  </si>
  <si>
    <t>No, banking sector remains underfunded and subsidized by the state budget and State Oil Fund of Azerbaijan Republic.</t>
  </si>
  <si>
    <t>No, Azerbaijan does not adopted a strategy or a roadmap which provide for the implementation of the International Organisation of Securities Commissions' “Objectives and Principles of Securities Regulation”</t>
  </si>
  <si>
    <t xml:space="preserve"> the Land Code recognizes state, municipal, and private ownership of land in Azerbaijan. All types of ownership rights are equal. Only Azerbaijani citizens and Azerbaijani legal entities, including enterprises with foreign investment, may legally own land in Azerbaijan, according to the 1999 Land Code.</t>
  </si>
  <si>
    <t>Yes,  foreigners are not permitted to own land in Azerbaijan, but are permitted to lease land and own real estate. Foreigners are also restricted from holding a majority share in certain sectors.</t>
  </si>
  <si>
    <t>No, according to the legislation of Azerbaijan there is no difference in the rights of foreigners and local citizens in the field of buying a real estate. The foreign citizen, as well as the citizen of Azerbaijan can buy any property, except the land, i.e. can buy an apartment, a house, but do not a land plot.</t>
  </si>
  <si>
    <t>Yes, the authorities  imposed a 20% tax on some transactions where foreign currency leaves the country since 2016.</t>
  </si>
  <si>
    <t xml:space="preserve">Yes,  due to the  entry into force of the law  on Non-cash transations,  since 2017 implemeted  the  limit  for cash operations for all tax payers  in the following amounts: simplified tax payers cannot withdraw more than 15.000 azn per month and VAT payers cannot withdraw more than 30000azn per month from their bank accounts. If the tax payer exceeds this amount, the penalty for the first time will be 20% of the total amount. For the second time, it will be 30%. </t>
  </si>
  <si>
    <t>No, Azerbaijan is not member of WTO, therefore, Azerbaijan doesnot   adopt the Protocol on modification of the Trade Related Aspects on Intellectual Property Rights"</t>
  </si>
  <si>
    <t>Yes,  Azerbaijan  ratified World Intellectual Property Organization (WIPO) Convention in 1995, and became a full member of the organization. Azerbaijan ratified 17 WIPO treaties, and all of them are in force in the territory of Azerbaijan.</t>
  </si>
  <si>
    <t>Yes, the Law on Copyright and related rights of Azerbaijan was adopted on 5 June 1996.According to the Law, following the creation of work, the copyright of author is generally protected during his or her lifetime, and for 70 years after his or her death</t>
  </si>
  <si>
    <t>Yes, Azerbaijan is a member of the Assemblies of Berne, Budapest, Hague, IPC, Locarno, Madrid, Nice, PCT and Paris Unions, and Executive Committee of Paris Union, and Conference, Coordination Committee.</t>
  </si>
  <si>
    <t xml:space="preserve">Yes, in law,  on Apr 20, 2018,  According to the  president order, the State Service for Antimonopoly Policy and Consumer Protection was removed subordination of Ministry of Economy.  But in 2017 and before  the State Service for Antimonopoly Policy and Consumer Protection  was  under Ministry of Economy.  In fact,  the State Service for Antimonopoly Policy and Consumer Protection strongly depend on president adminstration and does not able to  protect of economic competation. </t>
  </si>
  <si>
    <t xml:space="preserve">Yes, in law, but in fact no. </t>
  </si>
  <si>
    <t>Not, Azeribaijan is not member of WTO.</t>
  </si>
  <si>
    <t xml:space="preserve">In law yes, but in practice without permission of presidental adminstration impossible. </t>
  </si>
  <si>
    <t xml:space="preserve">Yes,   according to the legislation requiring the obligatory approval from the competition-related bodies in the preparation of the legislation. </t>
  </si>
  <si>
    <t xml:space="preserve">No, courts are not independent, rule of law are not ensured either. The  judicial power playing key role on increasing transparency and accountability is operating fully dependent on presidential administration. The latest analysis shown that political decisions in the courts are being adopted with direct instructions from presidential administration, whereas civil and business decisions are mainly made through bribe. </t>
  </si>
  <si>
    <t>Yes, in legislative,  according to the Law of the Azerbaijan Republic  on Courts and Judges,  Employees of the Court Staff constantly are involved in training and professional, development in educational and research institution of the relevant executive authority. but in practice there  is no  implementing training programs for judges concerning the application of the competition legislations.</t>
  </si>
  <si>
    <t>No, Azerbaijan is not joined  the approach of the OECD products market regulation in identifying the restrictions to competition.</t>
  </si>
  <si>
    <t xml:space="preserve">In progress: There are some official statements on it. However, the practical steps aren’t observed. Even Azerbaijan introduces a visa regime to the countries, which don’t apply a visa regime to it, in particular to Turkey, with which it has the specific relationships. Only the citizens of 9 former SU republics can travel to Azerbaijan visa-free. But the Azerbaijani officials state that they are interested in visa facilitation regime. For example, on June 22, 2018, the Foreign Minister Elmar Mammadyarov in his speech at the 10th Non-formal Ministerial Meeting of the Eastern Partnership countries said that, we do believe that the successful implementation of readmission and visa facilitation agreements should pave the way for launching the dialogue on visa liberalization between the EU and Azerbaijan (http://www.mfa.gov.az/en/news/881/5721 ; http://www.europarl.europa.eu/sides/getDoc.do?pubRef=-%2F%2FEP%2F%2FTEXT%2BTA%2BP8-TA-2017-0440%2B0%2BDOC%2BXML%2BV0%2F%2FEN&amp;language=EN) </t>
  </si>
  <si>
    <t>Some experts argue that the government agencies interfere with the personal data and lives of opposition-minded people for political purposes. They claim that the information obtained is used as the means of oppression and blackmail. But the government agencies deny these allegations. Such claims have diminished after the changes in the leadership of the security bodies in the country in late 2015.</t>
  </si>
  <si>
    <t xml:space="preserve">Yes. The President of the Republic of Azerbaijan signed on 13 February 2007 the State Program on Establishment of the Electron Identification System in the Azerbaijan Republic for 2007-2012 (https://en.president.az/articles/9177). Later the Azerbaijani Republic also adopted the Law “On the Biometric Information” on 13 June 2008. Presidential decree, issuing application of "One passpoort - one person" practice, was issued on 17 July 2012. Not enough evidence that these passports are in line with European standards, mainly with ICAO. </t>
  </si>
  <si>
    <t>Yes. The Readmission Treaty between Azerbaijan and the EU was signed on 28 February 2014. The Treaty is effective from 1 September 2014.</t>
  </si>
  <si>
    <t xml:space="preserve">Yes. State Migration Service (https://migration.gov.az/about/dmx) </t>
  </si>
  <si>
    <t xml:space="preserve">Yes. Concept of State Migration Management Policy of the Republic Of Azerbaijan, approved by the Cabinet of Ministers on 13 July 2004 (http://mfa.gov.az/files/file/2_1.pdf). The State Migration Program of the Republic of Azerbaijan (2006-2008) approved by the President of the Republic of Azerbaijan on 25 July 2006 (https://migration.gov.az/content/pdf/2b93b6d90ee16dbfa0e160c7e29ced48.pdf). The Law of the Republic of Azerbaijan “On the Approval of the Migration Code of the Republic of Azerbaijan and its Entry into Force and Related Legal Regulation” adopted on 2 July 2013. </t>
  </si>
  <si>
    <t>Yes. The Law of the Azerbaijan Republic “On Social Protection of Internally Displaced Persons and Persons Equated to Them”.  ( May 21, 1999) (http://www.ilo.org/dyn/natlex/docs/ELECTRONIC/83699/92612/F417163612/AZE83699.pdf)</t>
  </si>
  <si>
    <t xml:space="preserve">Yes. Permission of Milli Majlis of Azerbaijan (18 november 1992) </t>
  </si>
  <si>
    <t>Yes. The law of the Republic of Azerbaijan "On status of refugees and internally displaced (persons displaced within the country) persons" ( May 21, 1999). (http://www.refugees-idps-committee.gov.az/en/laws/2.html)</t>
  </si>
  <si>
    <t>Yes. There is basic monthly data, published on website https://migration.gov.az/press/statistics</t>
  </si>
  <si>
    <t xml:space="preserve">Yes. In Baku and Yevlakh </t>
  </si>
  <si>
    <t>Yes. According to the law on  “To depart, to arrive and passports”, on 2001 “Exitenter” automotive information-searching system (AMAS)” was established. This system is intergovernment information database of the Ministries of National Security, defence, Internal Affairs, Foreign Affairs, Justice, Taxes, as well as State Border Service, Special State Security  Service and State Marine Service at the Ministry of Cabinet.</t>
  </si>
  <si>
    <t>Yes.
Criminal Code (december 30, 1999;
№ 787-IQ) (http://www.ilo.org/dyn/natlex/natlex4.detail?p_lang=en&amp;p_isn=64893), 
Code of
Criminal Procedure
of the
Azerbaijan Republic ( July 14, 2000; 907-IQ) (https://www.unodc.org/res/cld/document/aze/2000/code_of_criminal_procedure_of_the_azerbaijan_republic_english_html/Azerbaijan_Code_of_Criminal_Procedure_of_the_Azerbaijan_Republic_2000.pdf),
Customs Code of the Azerbaijan Republic (July 25, 1997, No 616, 164-IVQ; New code - June  24, 2011, 164 -IVQ) (http://www.az-customs.net/en/1296.htm)</t>
  </si>
  <si>
    <t>Yes. Law of the Republic of Azerbaijan on the Control of Illicit Trafficking in Narcotic
Drugs, Psychotropic Substances and Precursors, 18 June 1999 (https://www.unodc.org/res/cld/document/law-on-the-control-of-illicit-trafficking-of-naroctic-drugs-psychotropic-substances-and-precursors_html/Law_on_the_Control_of_Illicit_Trafficking_in_Narcotic_Drugs_Psychotropic_Substances_and_Precursors.pdf)</t>
  </si>
  <si>
    <t xml:space="preserve">Yes. Signed on 12 december 2000. Ratification on 30 October 2003 (https://treaties.un.org/Pages/ViewDetails.aspx?src=IND&amp;mtdsg_no=XVIII-12&amp;chapter=18&amp;lang=en)  </t>
  </si>
  <si>
    <t>Yes. Signed on 12 december 2000. Ratification on 30 October 2003 (https://treaties.un.org/pages/viewdetails.aspx?src=ind&amp;mtdsg_no=xviii-12-a&amp;chapter=18&amp;lang=en)</t>
  </si>
  <si>
    <t>Yes. Law of the Republic of Azerbaijan on the prevention of the legalization of criminally obtained funds or other property and the financing of terrorism (10 February 2009),  (http://www.e-qanun.az/framework/16347 ; http://www.fiu.az/eng/wp-content/uploads/2014/10/Law-767_2017.pdf)</t>
  </si>
  <si>
    <t xml:space="preserve">Yes. Azerbaijan signed the CoE Convention on Action against Human Trafficking in February 2010 and ratified in June 2010 (https://www.coe.int/en/web/anti-human-trafficking/azerbaijan). </t>
  </si>
  <si>
    <t>0.5 - Electricity and gas supplier monopolists with state ownership. Tariff Board states their prices. But they are independent in investment and other strategic and tactical issues.</t>
  </si>
  <si>
    <t>1 -Prices of gas and electricity are established by Tariff Board under Ministry of Economy</t>
  </si>
  <si>
    <t>0.5 - The information about volumes of single investments into these sectors can be available. However, information about major indexes, such as costs per unit, profit etc. of gas and electricity supply is not available for society.</t>
  </si>
  <si>
    <t>1 - On all chain of supply objects and the enterprises of power supply and gas supply belong, according to "Azeriishiq” and "Azeriqaz"</t>
  </si>
  <si>
    <t>0 - Because both power supply and gas supply are strongly monopolistic markets</t>
  </si>
  <si>
    <t>0.5 - Azerbaijan is the signatory of the European Energy Charter since 1998, and the Third Energy Package demands have already been included in the draft legal acts prepared within the EU-funded projects - twinning-program "Support for reforms in the energy sector" and Energy Reforms Support Project (ERSP). At the same time, though the Third Energy Package forbids producers of gas to control 100% of the gas pipeline in Europe, European Commission has made an exception for Azerbaijan: the Azerbaijani SOCAR has got permission to fill the gas pipeline with own gas completely.</t>
  </si>
  <si>
    <t>0.5 - There are not fully operational gas interconnections between Azerbaijan and EU countries. Gas within the project “Shahdeniz” is transported to Europe with mediation of Turkey. Now negotiations around the projects South  gas corridor are especially intensively held. Italy and Greece are already involved in this project. The closest candidate for the introduction for these negotiations is Albania. It is supposed that interconnections of Azerbaijan and EU countries will move to a new level after construction of the gas pipelines TANAPand TAP.</t>
  </si>
  <si>
    <t>Yes - A) In November 2016 Tariff Council under the Azerbaijani government established differential energy prices on natural gas and electricity. B) In the Ministry of Energy the project together with the secretariat of a power charter is prepared. The project has been prepared in the framework the Programme “EU4Energy” of the European Commission. C) The project of law about “Efficient use of energy resources and energy efficiency” was preparing during 2017; D) The project of law about “Electricity market of Azerbaijan” was preparing during 2017</t>
  </si>
  <si>
    <t>Yes. A) AR State Agency on alternative and to renewable energy sources implements different projects, including construction of wind, solar, biomass and geothermal power sources; B) The main goal of Energy Issues Regulation Agency, formed in 2017 is increase in efficiency of energy use</t>
  </si>
  <si>
    <t xml:space="preserve">No any updates. Under consideration of the adopting body. "Action Plan on improvement of ecological situation and efficient use of natural resources in Azerbaijan Republic" </t>
  </si>
  <si>
    <t xml:space="preserve">Partially. Involving the governmental bodies are partly sufficient, but cooperation among ministries and state agencies remains a key challenge. Minister of MENR got changed and all employees and structure of involving other stakeholder have been change as well.  </t>
  </si>
  <si>
    <t>no any updates</t>
  </si>
  <si>
    <t xml:space="preserve">Partially. Division covers between main central decision-making agencies rather than local or municipal.  </t>
  </si>
  <si>
    <t>Partially. It is like a State Program. After adopting the document will be send to all agencies in ready-to implement version. Internal decisions in certain agency are flexible.</t>
  </si>
  <si>
    <t>Partially. Related agencies are responsible for related activities. But main implementation agency is the Ministry of Ecology and Natural Resources.</t>
  </si>
  <si>
    <t>No. Ministry of Finance is responsible for calculation and adding budget.</t>
  </si>
  <si>
    <t xml:space="preserve">N/A Monitoring, review and controlling are still the key problem of state programs and strategies to get reforms.  </t>
  </si>
  <si>
    <t xml:space="preserve">No any significant changes have been observed. Under preparation. As a priority it mentioned in main strategic document of the country- Azerbaijan 2020: Look into the future. Currently different related documents are developing toward achiving startegic goals. </t>
  </si>
  <si>
    <t>Under preparation/no any updates.</t>
  </si>
  <si>
    <t>Yes. Included into air and water pollution sub-subjects.</t>
  </si>
  <si>
    <t>Under preparation. No any updates yet</t>
  </si>
  <si>
    <t>Yes. Ratified 8 June, 1999</t>
  </si>
  <si>
    <t>It is still challenging to get access to the full package of indicators.  But according to the “State Program on development of official statistics during 2013-2017” the “Environmental indicators system of the Republic of Azerbaijan” has been confirmed based on Guidelines on the Application of Environmental Indicators in the countries of Eastern Europe, Caucasus, Central Asia (EECCA) prepared by UN ECE Committee on Environmental Policy in collaboration of the European Environment Agency. All environmental indicators cover - Air pollution and ozone layer depletion, Climate change, Water resources, Biodiversity, Land resources, Agriculture, Energy,Transport and Wastes.</t>
  </si>
  <si>
    <t>No significant updates. Partially. Prevention of illegal unreported and unofficial fishery is regulated by the Department for Reproduction and Protection of Aquatic Bioresources of the MENR through Law on fishery. Also in 1998 Azerbaijan signed the Convention on International Trade in Endangered Species (CİTES) and provides reports regularly.</t>
  </si>
  <si>
    <t>Yes. The forest is belonging to the first category and legally can not be used for Industrial purposes (industrial cuttings are forbidden, only sanitary cuttings are permitted). But time to time we observe the crosspassing of the regulatory control.</t>
  </si>
  <si>
    <t>Under preparation. Azerbaijan has developed and submitted its INDC to the Convention, and it includes general mitigation action plan/target of the country. But, detailed mitigation action plan (including sectoral mitigation action plans) are currently under preparation</t>
  </si>
  <si>
    <t>No any updates, however there is no any adaptation related goal or target in the national INDC document that country filed to UNFCCC, it is hard to follow the process as well. Under preparation- National Adaptation Plan</t>
  </si>
  <si>
    <t>1 - The government actively invests in all means of transport within projects of TRACECA (including railway road Baku-Tbilisi-Kars), a transport corridor the North-South, and others.</t>
  </si>
  <si>
    <t>Yes. In 2016, Government of Azerbaijan has adopted 12 Strategic Roadmaps on future socio-economic development. It covers all sectors of economy focusing on sustainable development/green economy/sustainable consumption and production</t>
  </si>
  <si>
    <t xml:space="preserve">Yes. Center on Analysis of Economic Reforms and Communication under Presidential Office </t>
  </si>
  <si>
    <t>Yes. Since 1995, the Constitution of the ‘Ministry of Education Republic of Azerbaijan’
regulates and ensures the general rights of Azerbaijan’s education system and implemented several new
laws to adjust it with international education standards. For children from poor families, recreation
camps were introduced, free hot meals for primary students as well as transportation for students in rural
areas have been provided and projects like ‘SABAH’ for higher education have been implemented.</t>
  </si>
  <si>
    <t>Yes, with international cooperation, the Ministry of Education has developed some strategies and concepts to offer pedagogical education and teacher training. The leading institution in this context, the  Azerbaijan Teachers Institute and its regional branch organise course for teachers, but quality of course is low.</t>
  </si>
  <si>
    <t>Partially,  implemented by some Universitites, like Khazar University,  Azerbaijan State University of Economy (UNEC),  Azerbaijan State Oil and Industrial University,  Azerbaijan Pedogogical  University,  etc.</t>
  </si>
  <si>
    <t xml:space="preserve">Under  the preparation,  The "Greening Economies in the Eastern Neighbourhood” (EaP GREEN) programme is being implemented by OECD in cooperation with UNECE, UNEP, and UNIDO to assist the Azerbaijan  in its  transition to green economies. The programme is financed by the European Commission, the four implementing organisations and other donors Governmentof  Azerbaijan expenditureranging from 11.3% in GDP. </t>
  </si>
  <si>
    <t xml:space="preserve">During 2017, the  Ministries of Environment and Economy have developed a National Road Map for the Green Economy. One of its  priority areas is to promote sustainable public procurements. The Roadmap is pending the public public consultation and  inter-ministerial coordination process.    In 2015 a Ministry of Finance implemented a pilot action plan  for durable public procurement as part of the "Greening economies in the Eastern Neighbourhood Countries", EaP Green Programme. </t>
  </si>
  <si>
    <t>A draft  law on public procurement, including provisions on sustainable public procurements was adopted in 2015 and enacted in May 2016. In 2016, a National Development Strategy of the procurement system for 2016-2020 and the action plan for its  implementation was adopted ( GD no.1332 as of 14.12.2016).  However, the action plan does not contain explicit provisions regarding the implementation of durable public procurements.</t>
  </si>
  <si>
    <t>Average annual amount of rainfall within the country is 427 mm (or 36,96 km3), out of this  119 mm (or 10.3 km3) is expended for water formulation (69 mm for surface and 50 mm for ground waters), remaining 308 mm is evaporated. Flow module within the country is 3.78 l/s* km2, and flow ratio is 0.28.   surface water resources of the country are 30,9 cub.km, and this resource is decreasing up to 22-24 cub.km in dry years. Almost 70% of freshwater resources of the country, i.e 20,6 cub.km are formulated outside the country boundaries and enter into the territory of the country with trans boundary rivers (21 rivers) across from territories of neighboring states. Annual forecasted resources of drinkable groundwater sources within the country territory are near to 9 billion m3. Confirmed groundwater resources make 5.2 billion m3, almost one third out of this is used.</t>
  </si>
  <si>
    <t xml:space="preserve">The Law defines municipal waste as “substances, items and materials originating in residential areas as a result of human life”. This definition does not include waste from the commercial, institutional and industrial sector (CII), neither street waste and wastes from green areas and parks, which are typically also defined as municipal solid wastes. The Law is currently under revision and amendments to the definition of municipal solid waste (MSW) as well as other aspects are expected. </t>
  </si>
  <si>
    <t>Municipal waste collected
(1000t)  -1 647</t>
  </si>
  <si>
    <t>Renewable freshwater  resources per capita (m ) 2828,  but, there is no informatiomn about proportion of wastewater
treated (%)</t>
  </si>
  <si>
    <t>4 kg in 2011</t>
  </si>
  <si>
    <t>15 kg</t>
  </si>
  <si>
    <t>37,4 %</t>
  </si>
  <si>
    <t xml:space="preserve">                           N/A</t>
  </si>
  <si>
    <t>10  %, 11 132 sq km</t>
  </si>
  <si>
    <t xml:space="preserve">10,3% </t>
  </si>
  <si>
    <t>No, threr is no specific Law on higher education/ Law on universities.  For regulation of the higher education, the following laws are relevant:   Law on Education. Azerbaijan has entered the Bologna process by the adoption of the Bologna Declaration in 2005 and the adoption of the Lisbon Recognition Convention in 2006. The objective of these actions was the harmonization of Azerbaijan education system with the education systems of EU countries; in other words, the entrance into the European Higher Education Area (EHEA). Accordingly, Azerbaijan has adopted the Law on Education in 2009 as the reform law which was intended to make these goals legally binding for all higher education institutions (HEIs) in Azerbaijan.
Besides, the Government of the Republic of Azerbaijan adopted in 2012 the Development Concept “Azerbaijan 2020: Look into the Future” and in 2013 the Strategy for Development of Education in Azerbaijan by 2025, which determines the purpose, objectives/goals, directions, instruments and mechanisms for the development of education system in the Republic of Azerbaijan by 2025.</t>
  </si>
  <si>
    <t>The Ecucation  law formally introduced the European Credit Transfer System, three-cycle system of study and diploma supplement. As a result, from the academic year 2009/2010, all newly admitted students have studied under the reformed study programmes at all higher education institutions.  Higher education is divided into three levels: First level (Bachelor Studies), Second level (Master Studies), and the Third level (PhD Studies). Higher education in Azerbaijan is provided at
universities/institutes/academies/conservatoires.  First level of studies includes Bachelor Studies – last for 4-5 years, carrying 240 to 300 ECTS (300-360 credits at medical education). Second level of studies includes Master Studies – lasting for 1.5-2 years and carrying 90 to 120 ECTS. Third level of studies includes doctoral studies that are carried out in two programs: Doctor of Philosophy (PhD) and Doctor of Sciences. Doctoral studies are carried out full-time (leaving employment) and parttime
(without leaving employment). Full-time education under the Doctor of Philosophy program lasts 3
years, part-time 4 years and through dissertation research 4 years. Full-time education under the Doctor
of Sciences program lasts 4 years, part-time 5 years and through dissertation research 5 years.</t>
  </si>
  <si>
    <t>Yes, “Rules on Organizing the Credit system education at bachelor and master levels of higher education
institutions” approved by decree of the Cabinet of Ministers No. 348 December 24, 2013</t>
  </si>
  <si>
    <t>Yes, the student also receives a diploma supplement, which contains
information regarding the level, type and content of the studies successfully finished.</t>
  </si>
  <si>
    <t xml:space="preserve">Yes, following the Recommendation of the European Commission (2006) and adoption by the European
Parliament of the European Qualifications Framework for Lifelong Learning (2007), a Working Group on
elaboration of the National Qualifications Framework for Lifelong Learning of the Republic of Azerbaijan
(AzQF) was established in 2010 by the Order of the Minister of Education of Azerbaijan. In 2012 the draft
AzQF was submitted to the Council of Europe for expertise. At present, the final version of the AzQF is
submitted to the Cabinet of Ministers of the Republic of Azerbaijan for approval.
</t>
  </si>
  <si>
    <t>Yes, qualifications Framework for Lifelong Learning of the Republic of Azerbaijan is a tool for systematizing
national qualifications, developed for all citizens - learners, education providers and employers and
serves to facilitate the comparability between national and international qualifications.
The AzQF is conceptually developed in compliance with the criteria of the Qualifications Framework of
the European Higher Education Area (QF-EHEA) and the European Qualifications Framework for Lifelong
Learning (EQF). The  concept of lifelong learning was developed by national experts and adopted by
the Ministry of Education.</t>
  </si>
  <si>
    <t>Partially,  According to the order of president of republic on Jun 21, 2017, the Baku State University and Azerbaijan State Economic University will be granted the status of public legal entity  and independent in its operations.</t>
  </si>
  <si>
    <t>The Ministry of Finance controls the spending of public HEIs’ respective funds. The spending of the
institution’s own income is governed by the institution’s internal acts in accordance with its strategic goals.
Most often, the institution’s own income is spent on infrastructure and salaries. The ratio between selfprovided
income and that coming from the state budget largely varies from one higher education
institution to another.</t>
  </si>
  <si>
    <t xml:space="preserve">Every five years all teaching positions are declared vacant and must be occupied on a competitive basis.  Nevertheless, HEIs are very limited in setting staff salaries and should comply the existing legal framework. No  freedom exists in establishing incentive payments  and awards.   </t>
  </si>
  <si>
    <t xml:space="preserve">In 2017,  3370 International students studied at state and non-state higher educational institutions of Azerbaijan.  748 of them fall to CIS countries and 2622 to other countries. The number of International students accounted for 2,1  per cent in total number of student. The majority of international students studying in Azerbaijan come from countries such as Turkey, Iran, Georgia, Russia, and the People's Republic of China. In addition, students from the United States of America, Norway, India, as well as the EU Member States are undertaking studies at Azerbaijani HEIs.
Azerbaijan Medical University, Azerbaijan University of Architecture and Construction, Azerbaijan State
University of Oil and Industry, Azerbaijan State University of Economics and Azerbaijan State
Pedagogical University are among the higher education institutions dominated by the international
students. International students studying in Azerbaijan mostly prefer specialties like medicine,
architecture, engineering, humanities. </t>
  </si>
  <si>
    <t>Yes, In accordance with the Article 42 of the Constitution of the Republic of Azerbaijan everyone shall have the
right to education.</t>
  </si>
  <si>
    <t xml:space="preserve">Yes. the application of the lifelong learning principle has been one of the central activities of the Ministry of
Education of Azerbaijan in 2017. In compliance with the State Programme on reformation of
education in Azerbaijan, concept of lifelong learning was developed by national experts and adopted by
the Ministry of Education. New Law on Education adopted in 2009 reflects various aspects of formal, nonformal
and informal education. </t>
  </si>
  <si>
    <t>Yes, the  Law on Culture  was adopted in  2012 and began implementation since February 2013 by the relevant Decree of the President of Azerbaijan Republic. The Law on Culture spells out the principles and aims of the state policy, and lays down the duties of government and local authorities in this area. It guarantees the right of individuals to engage in creative activity, promotes international contacts and co-operation, prevents the state from monopolising culture, and covers preservation and development of the cultural identity and heritage of Azerbaijan and ethnic minorities, historically resident in its territory. It also provides measures to promote creativity and the activities of public agencies and organisations working in the cultural sphere.</t>
  </si>
  <si>
    <t>Yes. The Ministry of Culture  has  review the cultural policy annually base.</t>
  </si>
  <si>
    <t>UNESCO Convention on the Protection and Promotion of the Diversity of Cultural Expressions was ratified in 2009.</t>
  </si>
  <si>
    <t>Yes, in national legislation, but in  practice  thre is no  competition-based support to cultural producers.</t>
  </si>
  <si>
    <t>Yes, The Law on Youth Policy of the Republic of Azerbaijan (2002) defines youth as aged 14-29.  This age range also applies to the implementation of the state programme Azerbaijani Youth in 2017-2021.</t>
  </si>
  <si>
    <t xml:space="preserve"> In pogress, There is no any comprehensive research on youth. The Ministry of Youth and Sport, some
international organizations commission surveys to different research companies or youth NGOs. </t>
  </si>
  <si>
    <t xml:space="preserve">Yes,  the law on  Voluntary activity  was addopted in 2019,  There is a clear definition of volunteer/volunteer work and host organisations and volunteers cannot be viewed as illegal workforce. Legislation does not establish additional burdens and restrictions for engaging volunteers. 3. The rights and responsibilities of volunteers and liability rules to third parties are clearly defined. 4. The state provides incentives for the development of volunteerism through policies, programs and financial support
</t>
  </si>
  <si>
    <t>Yes, Since 1994 more than 20 legal documents (laws, governmental programs, decrees of the
President and the Cabinet of Ministers) were adopted, regulating a youth policy both directed to
development and protection of the rights of young citizens. These documents regulate youth work in
Azerbaijan.</t>
  </si>
  <si>
    <t xml:space="preserve">Yes, by Chapter 71 of the Constituion. </t>
  </si>
  <si>
    <t xml:space="preserve">Yes, local self-government may apply to the Constitutional Court to secure the rights guarantees by Chapter 71 of the Constitution. </t>
  </si>
  <si>
    <t xml:space="preserve">There are no such provisions in the law. According to the law, the promotion of a civil servant is approved by the head of respective institution, based on performances. There are no provisions about third parties which could oversee the PROMOTION process. In the answer from 2014 it is mentioned about a commission created by the Prime Minister for high level civil servants, which are state secretaries in our case. Firstly, this commission is involved in the process of selection of candidates for the positions of state secretaries, not for their PROMOTION.  Secondly, what the commission is doing is not overseeing, but full-fledged involvement in the selection. Thirdly, state secretaries are already in the highest level in civil service, they cannot be promoted. Also, the Court of Accounts, as it was mentioned previously, is not overseeing the promotion of civil servants. It is doing the control of how financial resources are used and how public patrimony is administrated. </t>
  </si>
  <si>
    <t>ttp://zakon3.rada.gov.ua/laws/show/995_791</t>
  </si>
  <si>
    <t>https://www.coe.int/en/web/conventions/full-list/-/conventions/treaty/198/signatures?p_auth=9At7UnfT</t>
  </si>
  <si>
    <t xml:space="preserve">The lifelong learning (LLL) is one of the main priorities of the “Strategic directions of development of education and science in Georgia” elaborated, but not approved by the Ministry of Education (http://www.mes.gov.ge/uploads/strategia..pdf). The LLL is integrated into the "Government Program of Georgia, Basic Data and Directions" of the government of Georgia and is supported by the framework legislation regulating the educational system of Georgia. No separate LLL concept/national document on national level designed, although some LLL aspects are reflected in the Law of Georgia on Higher Education (According to the legislation the state should ensure the lifelong learning opportunity in higher educational institutions - http://mes.gov.ge/publicInfo/wp-content/uploads/2013/12/უმაღლესი-განათლების-შესახებ-საქართველოს-კანონი..pdf)  and developed accordingly (National Qualifications Framework, learning outcomes as a basis for curriculum development, etc.). Several Higher Education Institutions (HEIs) elaborated their own LLL regulations (source: https://eacea.ec.europa.eu/sites/eacea-site/files/countryfiche_georgia_2017.pdf). </t>
  </si>
  <si>
    <t>Yes. Article 371.1 of the Law on Broadcasting requires disclosure of beneficial ownership.</t>
  </si>
  <si>
    <t xml:space="preserve">In 2002 Ukraine joined UN Convention of 1951 and Protocol of 1967 </t>
  </si>
  <si>
    <t xml:space="preserve">0,5 The document was adoptrd, but it is not fully the SD Strategy in a content, because the environemntal pillar was included only as a minor fragment, not as one of three equal and integrated parts </t>
  </si>
  <si>
    <t>1,0 New Council on Trade and Sustainable Development was established fo EU-Ukrainer Association Agreement implementation</t>
  </si>
  <si>
    <t>245,4</t>
  </si>
  <si>
    <t xml:space="preserve">The actual difference between the medium values of addopted expenditures and real expenditures is - 6.1% for the relevant period. Also it should be noted that the budget law suffered 3 rectifications, for the aforementioned period. </t>
  </si>
  <si>
    <t>average 1.6%. The ratio brought in cell N117 is when initial budgeted expenditure is taken. However, if taken corrected budgeted expenditure, then the ratio is 0.946 (see http://www.minfin.am/hy/page/petakan_byujei_hashvetvutyun_2017_t_tarekan_ - in Armenian)</t>
  </si>
  <si>
    <t xml:space="preserve">  140 000 total number of students for 2017-2018, foreign students 7.2%8012 students in 2016-2017 (total 141 000 ) , 5.6% share  and 10.061 in 2017-2018 , from 141 000 up to 7.2%
www.geostat.ge/index.php?action=page&amp;p_id=2104&amp;lang=geo</t>
  </si>
  <si>
    <t>is about 67%. The greatest length of the shared border for Ukraine is the border with Russia, the length of which is 2295 km 40 m; the shared border of Ukraine with Moldova has reached 1,222 km (including 452 km of border with the self-proclaimed Transnistrian Republic), Belarus shares 1084 km 200 m of its border with Ukraine. The shared border areas with the non EU countries are still under the process  demarcation. The most difficult talks with Russia. Ukraine  and Belarus agreed to start demarcation of the Ukrainian-Belarusian state border in the exclusion zone of the Chernobyl Nuclear Power Plant in 2019.</t>
  </si>
  <si>
    <t>67</t>
  </si>
  <si>
    <t>Please use the following scale when answering the questions:
0.00 – the country has no legal regulation of this issue in the sphere of public procurement
0.25 – the country has a legal regulation of this issue. The regulation partially covers problematic aspects of this issue. The practice of the regulation application is random.
0.50 – the country has a legal regulation of this issue. The regulation fully covers problematic aspects of this issue. The practice of the regulation application is random.
0.75 – the country has a legal regulation of this issue. The regulation fully covers problematic aspects of this issue. The practice of the regulation application is random. Non-governmental actors provide control over the practice of regulation.
1.00 – the country has a legal regulation of this issue. The regulation fully covers problematic aspects of this issue. The practice of the regulation application is positive and permanent.</t>
  </si>
  <si>
    <t xml:space="preserve">Public procurement </t>
  </si>
  <si>
    <t>No, parliament's oversight does not cover military, security and law enforcement. Parliament or MPs never initiated for investigation and organization of hearings on functioning and abuses by security and law enforcement forces.</t>
  </si>
  <si>
    <t>The Constitution, Criminal Code, Labour Code; Law governing economic activities, provision of goods and services provides an open list, but  Law on migration provides closed list.</t>
  </si>
  <si>
    <t>No change</t>
  </si>
  <si>
    <t>Goverment prepares BDD  a medium-term expenditure framework, Forecasts are
included in the BDD, which is presented to parliament in early July of each year. Georgia’s budget documentation, which includes the SFR, provides an advanced
level of macroeconomic risk analysis   including Probabilistic Fiscal Deficit
Projection for next medium term.  according to IMF Georgia’s fiscal forecasting and budgeting practices follow good or advanced
practices in many areas. However, forecast reconsiliation does not met, a significant proportion of central government revenues and expenditures are not incorporated
into the key fiscal aggregates. While numerical fiscal rules have been established to guide medium-term budget planning, there is no reporting on the consistency of budget plans with the fiscal objectives. Further, differences between successive medium-term forecasts are not explained.</t>
  </si>
  <si>
    <t>Yes, The victim of discrimination has a right to apply to the Public Defender and/or common courts to prevent discrimination and/or get compensation for discrimination (Law on the Elimination of All Forms of Discrimination). The Law on Social Protection of Persons with Disabilities provides for affirmative actions to prevent existing disadvantages for Persons with Disabilities. However, the law is not implemented in practice. The Law on Gender Equality provides for general provisions to prevent disadvantages stemming from gender specificities, however, the law is very general. The Labour Code provides affirmative actions to create favourable conditions for pregnant women and minors.</t>
  </si>
  <si>
    <t xml:space="preserve">Partially. Gender Equality Council of the Parliament of Georgia - it is not governmental agency though; Its functions are limited only to the promotion of gender equality.  </t>
  </si>
  <si>
    <t>Yes, the Public Defender (Ombudsman) is vested with the power of oversight ensuring equal treatment and elimination of discrimination by the Law on Elimination of All Forms of Discrimination, (Art. 6.). According to the Law, Ombudsman shall monitor issues regarding elimination of discrimination and ensuring equality.</t>
  </si>
  <si>
    <t>No response to the request for information has been received.</t>
  </si>
  <si>
    <t>No cases weren reported by the Prosecution Office in its 2017 annual report. No response to the request for information has been received.</t>
  </si>
  <si>
    <t>The plans to establish national system of SSP was announced in "National Action Plan for the Development of a Green Economy in the Republic of Belarus until 2020" (December, 2016).  As a result of EaP GREEN's involvement Belarus established a steering committee for Sustainable Public Procurement (SPP) and has adopted an SPP Activity Implementation Plan.</t>
  </si>
  <si>
    <t>There are no legal changes with this regards</t>
  </si>
  <si>
    <t>All the candidates participating in parliamentary and presidential elections have equal access to the state media and public broadcasting. Electoral legislation gives clear requirements for the creation of equal opportunities, and the National Council of Ukraine on Television and Radio Broadcasting can impose sanctions against mass media companies if they violate the standards. There have been no changes in both legislation and practice since 2015, but there is an ongoing dispute over the need to make such debates mandatory, because a part of candidates does not use this airtime, and voters can't assess their personal and professional qualities on open debates.</t>
  </si>
  <si>
    <t>The National Council of Ukraine on Television and Radio Broadcasting, which is a formally independent body, is authorized to impose sanctions (give a warning, or suspend a license) against mass media companies, which violate the legislation on informational coverage of election campaign, voter awareness, campaign financing, or equal access to TV and radio for the candidates. However, the procedure for consideration of complaints and making decisions is not effective enough, or not quick enough, and the National Council does not perform any supervisory or monitoring functions, – it responds to appeals from candidates or parties. Besides that, OSCE/ODIHR missions recommended to extend independence of the National Council through a more transparent and non-political formation of the body, what haven't been realized yet.</t>
  </si>
  <si>
    <t>Campaign expenses will be reimbursed from the state funds for the first time in 2019 and, therefore, this regulation is not in action now. In 2016, parliamentary parties, which overcame 5% threshold, received access to the state financing and subsidies for the adherence to gender quota requirements. Implementation of a regulation on reimbursement of campaign expenses for parties, as well as financing of political parties, which gain 2% of votes on 2019 regular parliamentary elections, will be the next step.</t>
  </si>
  <si>
    <t>Misuse of administrative resources, which hinders equal opportunities for candidates and parties, is one of the biggest problems in Ukrainian elections. Civil Network OPORA gives many examples in its monitoring reports describing the misuse of budget and personnel administrative resources. While this violation was the most widespread on 2012 parliamentary elections, its presence has decreased in 2014. At the same time, no clear regulation on sanctions for violations results in further use of dangerous practices. For example, the Government allocated subventions for almost 5 billion UAH on social and economic regional development (https://www.oporaua.org/en/news/45353-2017-state-subventions-how-to-prevent-the-state-funds-from-being-a-campaigning-tool). Thus, almost 13,000 projects were financed, and 26% of them can be characterized as misuse of administrative resources. These projects are not wide-scale, but their realization is attributed to MPs, who in fact conduct early campaigning paid from state budget.</t>
  </si>
  <si>
    <t>The legislation does not regulate each aspect of misuse of administrative resources. The problem is state officials misuse their powers to provide support for potential candidates and parties in pre-election or inter-election period, or the legislation doesn't require that state officials go on vacation for the election period, and does not prohibit campaigning when off-duty. Many gaps in the legislation conduce to violations. The analysis of court cases related to electoral violations from 2014 to 2017, conducted by Civil Network OPORA, demonstrates the absence of state officials brought to liability by a court.</t>
  </si>
  <si>
    <t>The legislation doesn’t provide a clear list if sanctions against state officials and civil servants who misuse administrative resources during elections. There is also no such court practice for 2014-2017.</t>
  </si>
  <si>
    <t>The current law on election of the President of Ukraine was adopted by the Parliament in 1999; the law on parliamentary election - in 2011; and a new law on local elections - in 2015. Each law was amended in 2017. However, these amendments were minor, and didn’t have an impact on the election system, adherence to equal opportunities principle, territorial organization of election, or activities of election commissions.</t>
  </si>
  <si>
    <t>Although laws on election of the President of Ukraine and on local elections are considered to be legitimate, it was a peak of discussion in 2017 concerning the need to change the electoral system for parliamentary elections and refuse from the relative majority system. Verkhovna Rada of Ukraine didn't succeed in adoption of all three draft laws on parliamentary elections, which suggested introduction of different types of electoral systems including open-list proportional representation system. However, a draft Electoral Code was supported in the first reading, and 4400 amendments to it were submitted for consideration. The document is still being prepared to the second reading.</t>
  </si>
  <si>
    <t xml:space="preserve">The legislation establishes clear requirements for deviation in the number of voters in majoritarian districts, which must be below 12%. However, compact residence areas of national minorities were not taken into consideration during the redistricting process in 2012 and, as a result, they were divided between two adjacent districts, forming districts with enclaves, when one district is placed geographically inside of the another. However, the biggest problems with territorial districts concern law on local elections, which doesn't establish the limit for divergence percentage. As a result of gaps in the legislation and impossibility to guarantee CEC's control over the redistricting process before elections to local councils, abnormal deviations in the number of voters in territorial electoral districts became systematical. It turned out difficult for election commissions to follow a declarative criteria saying each territorial electoral district should have number of voters as close to average as possible. As a result, almost a half of territorial election districts drawn for election of oblast council members have more than 15% deviation from the average number of voters in districts (taken as admissible in accordance with the Venice Commission recommendations). 2/3 of districts drawn for raion council elections have such excessive number of voters. The highest departures from averages within a multi-mandate district reaches 790% for raion councils and 240% for oblast councils. Thus, commissions have violated the principle of equal voting rights. The weight of a voter's voice is much bigger in small territorial districts than in large UTCs within a multi-mandate district. This may become a decisive factor under a personalized system of proportional representation on the stage of mandate distribution. </t>
  </si>
  <si>
    <t>Financial reporting is required by electoral legislation, and there is a progressive regulation demanding interim financial reports on electoral funds. However, there are no clear and efficient sanctions in case they are not submitted and, therefore, electoral subjects often ignore this requirement. The problem of unequal access to politics and ineffectiveness of means of social mobility can be solved, among other things, through improving transparency and openness of political finance. Reporting on campaign spending by election participants did not solve the systemic problem of influence of shadow funds on election process. The reasons for this are the following: 1) a significant and uncontrolled proportion of financial resources, which was spent by political actors before the end of the stage of registration of candidates and parties; 2) low level of culture and poor discipline shown by election participants during submission of interim and final reports on election fund expenses; 3) absence of high quality system of verification of content of submitted reports in the election commissions of different levels; 4) Lenient system of liability for violation of reporting procedure by electoral subjects; 5) lack of reliable information about funding sources of parties-electoral subjects.</t>
  </si>
  <si>
    <t>There are incidents when sanctions were applied for submission of false information about financial reports of parties, but they concern annual financial reports of parties that receive state financing, but not expenses from electoral funds of parties and the corresponding reports. When a violation is detected, the National Agency for the Prevention of Corruption (NAPC) appeals to the court and it imposes the corresponding sanctions and fines against responsible for the reporting individuals. If a candidate does not submit a financial report on electoral fund, the NAPC can draw up a protocol on administrative offense, and charge a fine in amount from 5,100 to 6,800 UAH. However, the Central Election Commission does not provide candidate's contact information or address upon the request of the NAPC. According to the Article 38 (3) of the Code of Administrative Offenses of Ukraine, an administrative fine for a corruption-related violation or violations under Articles 212-15 and 212-21 of the Code can be imposed within three months after its detection. Thus, the NAPC often misses the deadline and doesn't charge violators with the corresponding offenses.</t>
  </si>
  <si>
    <t>Although the legislation, which increases the transparency of political party and public financing in Ukraine is introduced, but in practice the used funds or sources of financing are not verified systematically. Parties often receive funds from individuals, which have features of dummy donations. For example, a student or a pensioner donates an amount, which exceeds his/her annual income, and there may be many such donations with equal indicators. Although these data are open for the public, both National Agency for the Prevention of Corruption and the Central Election Commission do not make any thorough verification and analytical examination of the report.</t>
  </si>
  <si>
    <t>On the other hand, the law on the State Register of Voters and the practice of its application is quite positive. Each voter can use “electronic cabinet” to verify his/her electoral data, or apply to a local State Voter Register maintenance body. These bodies work during both election period and period in between elections, providing the voters with equal and open access to the data. It is also possible to see the lists at election precincts. All the register data has been regularly updated since 2009.</t>
  </si>
  <si>
    <t xml:space="preserve">The system of party and candidate registration mostly corresponds to international standards, except for a high monetary pledge in presidential election. At the same time, there are problems related to the residency requirement, which occur during the registration of candidates in local and parliamentary elections, and result in unequal application of legislation. However, such incidents occur rarely. </t>
  </si>
  <si>
    <t>According to the statistics, the candidates do not receive refusals in registration, and the reasons are usually of a technical character. The most often reason is incorrectly submitted registration documents. However, both candidates and parties receive time for the correction of technical errors, and may charge commission's decision in a court.</t>
  </si>
  <si>
    <t>Independent candidates get registration refusals as often as affiliated candidates or candidates representing parties in power. At the same time, election to a number of council on local elections is held under proportional party representation electoral system, and independent candidates can't be nominated.</t>
  </si>
  <si>
    <t>According to the findings of opinion polls, citizens take the Central Election Commission rather negatively. The problem lies not only within its activities, but is also caused by the fact that 12 members of the CEC have had their seven-year term of office expired yet on 1 June 2014, and 1 member – on 1 February 2016. Thus, the commission suffers from inaction of the Parliament and the President, who do not appoint new members on the place of those in office for 11 years instead of 7.</t>
  </si>
  <si>
    <t>The list in ballot papers is based on non-discrimination method. According to the legislation, the candidates and parties are enlisted either in alphabetical order, or based on open public drawing of lots among electoral stakeholder.</t>
  </si>
  <si>
    <t>No. In 2017, 24 armed individuals attacked a polling station on the first local elections in united territorial communities. In result, 5 individuals were detained and charged with criminal offenses. It should be mentioned that there are mobilized paramilitary groups in Ukraine, which may be used in the same way on elections. According to OPORA's monitoring for 2016-2017, police doesn't have enough personnel and financial resourced for the protection of election precincts and ballots. Thus, the ballots were transferred to commissions with a considerable delay in 2017 local elections. Another widespread problem is access to polling places for people with disabilities.</t>
  </si>
  <si>
    <t>There are preventive measures against falsification of voting and tabulation results, but the system of sanctions is still not efficient. Based on the results of 2014 election, only 13 bills of indictment concerning electoral violations were passed; in 2015 – 69, and 2017 (local elections) – 4. Not each violation has a significant impact on election outcomes, more important problem is that individuals guilty who participate in bribery schemes are not brought to liability. There were around 10 such cases over the last years. Voter bribery remains an efficient way to falsify election outcomes, and it's difficult to assess its scale in practice.</t>
  </si>
  <si>
    <t>The existing system is not efficient and the legislation lacks proper instruments to observers or candidates who gather evidence of such violations. Government amendments to the Criminal Code are being finalized now, which are expected to provide mechanisms for reporting about and counteraction against violations by electoral stakeholders, if law-enforcement system remains inactive.</t>
  </si>
  <si>
    <t>Yes, except for voters in prisons and vote in parliamentary and presidential elections. According to statistics from 2010 to 2014, there is a significant difference between the voting results in prisons compared to other precincts around them. Pro-power parties and candidates have significant preferences. According to the findings of journalistic investigations, these voters are subject to threatening and intimidation from administrations.</t>
  </si>
  <si>
    <t>Ukrainian organizations do apply to the CEC for a permit to conduct observation, and their applications are usually satisfied. However, there is not many non-governmental structures, which conduct professional and high-quality observation.</t>
  </si>
  <si>
    <t>The legislation gives non-governmental organizations and foreign missions the right to conduct electoral observation. None of the organizations has noticed a wide-scale impact on their activities on sites.</t>
  </si>
  <si>
    <t xml:space="preserve">Election returns are rarely challenged in courts based on evidence that protocols and tabulation data had errors. </t>
  </si>
  <si>
    <t xml:space="preserve">Parties and candidates have the right to observe elections, tabulation process and preparation of tabulation protocols. </t>
  </si>
  <si>
    <t>The military vote in regular polling stations and have the right to leave their military units for a needed time to vote. Thus, each voting procedure executed by the military is open for observation.</t>
  </si>
  <si>
    <t>Yes, partially. The system of challenging and appealing functions in accordance with the legislation, but openness and impartiality of Ukrainian judges is in question. The trust to judicial system is very low.</t>
  </si>
  <si>
    <t>Non-governmental organizations recognized 2017 elections, according to their public reports, but emphasized there were problems in the electoral procedures, and gave recommendations to various state institutions to improve processes and procedures.</t>
  </si>
  <si>
    <t>The Convention became effective for Ukraine as of 01.01.2010 (http://zakon3.rada.gov.ua/laws/show/995_c16/page)</t>
  </si>
  <si>
    <t>No criminal cases may be brought under this Convention, as it obliges states to foresee some actions as crimes in their criminal codes. Only upon such implementation the actions listed in the Convention become crimes within the meaning of the national law. Unlike the ECHR, provisions of this Convention are not directly applicable during the criminal investigation (except from the provisions related to extradition). Thus, no criminal cases can be brought under this Convention - those are always brought under the national law of a country which implemented it.</t>
  </si>
  <si>
    <t>The Convention became effective for Ukraine as of 01.03.2010 (http://zakon3.rada.gov.ua/laws/show/994_101).</t>
  </si>
  <si>
    <t>No criminal cases may be brought under this Convention, as it obliges states to foresee some actions as crimes in their criminal codes. Only upon such implementation the actions listed in the Convention become crimes within the meaning of the national law. Unlike the ECHR, provisions of this Convention are not directly applicable during the criminal investigation (except from the provisions related to extradition). Thus, no criminal cases can be brought under this Convention - those are always brought under the national law of a country which implemented it. Some provisions of the Convention were implemented by a law (http://zakon2.rada.gov.ua/laws/show/221-18) in April 2013.</t>
  </si>
  <si>
    <t>The Convention became effective for Ukraine as of 01.01.2006 (http://zakon2.rada.gov.ua/laws/show/994_102)</t>
  </si>
  <si>
    <t>No civill cases may be brought under this Convention, as it obliges states to foresee some mechanisms of liablity/compensation in in their internal law. Unlike the ECHR, provisions of this Convention are not directly applicable. Thus, no civil cases can be brought under this Convention - those are always brought under the national law of a country which implemented it.</t>
  </si>
  <si>
    <t>Yes, there are the National Anti-Corruption Bureau of Ukraine (https://nabu.gov.ua/) and the Specialized Anti-Corruption Prosecutor's Office (https://www.facebook.com/sap.gov.ua/) in charge of investigating and prosecuting top-corruption cases.</t>
  </si>
  <si>
    <t>National Agency on Prevention of Corruption is in charge of developing anti-corruption strategy draft (https://nazk.gov.ua/)</t>
  </si>
  <si>
    <t>Anti-corruption strategy for 2014-2017 was adopted as a law (http://zakon3.rada.gov.ua/laws/show/1699-18)
Anti-corruption action plan for 2015-2017 was approved by the Cabinet of Ministers on the basis of the strategy: http://zakon3.rada.gov.ua/laws/show/265-2015-%D0%BF</t>
  </si>
  <si>
    <t>Not every two years. The draft for 2018-2020 strategy was presented in the end of 2017 (https://nazk.gov.ua/news/v-nazk-predstavyly-koncepciyu-novoyi-antykorupciynoyi-strategiyi-na-2018-2020-roky). So far it has been approved by the Cabinet of Ministers as a draft law (https://www.kmu.gov.ua/ua/news/uryad-shvaliv-proekt-zakonu-ukrayini-pro-antikorupcijnu-strategiyu-na-2018-2020-roki). Also, the new draft was heavily criticized by the civil society (http://pravo.org.ua/ua/news/20872350-visnovok-tsentru-politiko-pravovih-reform-na-proekt-zakonu-ukrayini-pro-antikoruptsiynu-strategiyu-na-20182020-roki)</t>
  </si>
  <si>
    <t>It is not called "liability", but measures of criminal character regarding legal persons (http://zakon3.rada.gov.ua/laws/show/2341-14/paran555#n555), but the consequences are very similar</t>
  </si>
  <si>
    <t>Even if there were such cases, they were not widely covered by media.</t>
  </si>
  <si>
    <t>Yes (http://zakon3.rada.gov.ua/laws/show/2341-14/paran2596#n2596), although the minimal amount for enrichment as a criminal offence is very high</t>
  </si>
  <si>
    <t>There were no decisions on the merits. Some cases are currently being considered by courts (https://nabu.gov.ua/nezakonne-zbagachennya-viyskovogo-prokurora-syl-ato). Many other cases are still in the phase of pre-trial investigation</t>
  </si>
  <si>
    <t>Funds and other property obtained in the result of the commission of a corruption offense are subject to confiscation or special confiscation upon the court’s decision in accordance with the law (Art. 69 of the Law on Corruption Prevention).</t>
  </si>
  <si>
    <t>Sometimes this procedure is applied in an improper way to make confiscation easier (https://www.aljazeera.com/news/2017/12/secret-court-document-exposes-state-looting-ukraine-171221121939955.html)</t>
  </si>
  <si>
    <t>Yes (http://zakon3.rada.gov.ua/laws/show/1700-18/paran439#n439)</t>
  </si>
  <si>
    <t>There were at least 14 such cases (http://www.expres.ua/news/2018/02/12/283915-chomu-rozsliduvannyah-nedostovirni-e-deklaraciyi-figuruyut-dribni), although on many occasions courts release people from criminal liability.</t>
  </si>
  <si>
    <t>The draft law has been developed (http://w1.c1.rada.gov.ua/pls/zweb2/webproc4_1?pf3511=59836) in 2016 and was put on the Verkhovna Rada agenda for the next session in March 2018.</t>
  </si>
  <si>
    <t>Whistleblower judge has been attacked, but the case is still being investigated (https://www.pravda.com.ua/news/2017/11/22/7162980/)</t>
  </si>
  <si>
    <t>Yes, since 2015 (http://zakon2.rada.gov.ua/laws/show/674-19).</t>
  </si>
  <si>
    <t>Yes.
http://zakon0.rada.gov.ua/laws/show/475-19</t>
  </si>
  <si>
    <t>Although it is defined as an administrative offence (http://zakon0.rada.gov.ua/laws/show/80731-10/paran1708#n1708), I was not able to find any court decisions where sanctions were used in practice</t>
  </si>
  <si>
    <t>Yes. According to the Law "On Public Procurement" all tenders above UAH 200 000 are to be conducted through open procedure (competetive bidding) unless there is reasonable excuse (exception), the list of which are stated in the same Law. Moreover, new Law obliged all procuring entities to report on contracts above UAH 50 000 and gave them opportunity to conduct simplified competetive procedure.</t>
  </si>
  <si>
    <t>Yes, it is limited by article 35 of the Law "On Public Procurement". Negotiated procedure (sole sourcing) is an exceptional procedure used by the contracting authority where the contracting authority awards a procurement contract after holding negotiations with one or several tenderers. The contracting authority shall apply the negotiated procedure as an exception (7 exceptions are stated in the law). This norm complies with EU directives.</t>
  </si>
  <si>
    <t>Any company can file a complaint against any procurement procedure to Complaint Review Authority which is Antimonopoly Committee of Ukraine. To file a complaint company has to pay UAH 5000 (goods and services) or UAH 15000 (services) to state budget.</t>
  </si>
  <si>
    <t>Yes. There is a permanent Council at the Antimonopoly Committee of Ukraine which consists of 3 members.</t>
  </si>
  <si>
    <t>Yes. According to Article 17 of the Law "On Public Procurement" every bidder has to submit information whether it is included in the Unified State Register of Perpetrators of Corruption or Corruption-related Offences. If so, the procuring entity has to disqualify such bidder.</t>
  </si>
  <si>
    <t>Yes. The legislation, as well as a lot of other information regarding public procurement is accessible to the public. Moreover, the main principle of award winning electronic public procurement system ProZorro is "everyone sees everything". All information on every procurement is available on prozorro.gov.ua portal without registration. Everyone has access not only to general information on procurement, but also to requirements, decisions, contracts and every documents submitted by all bidders. In addition central data base has open API with which anyone can develop analytical tools. One of such is bi.prozorro.org.</t>
  </si>
  <si>
    <t>Yes. The award winning electronic public procurement system ProZorro was launched in 2015, the main principle of which is "everyone sees everything".</t>
  </si>
  <si>
    <t>Yes. The main principle of award winning electronic public procurement system ProZorro is "everyone sees everything". All information on every procurement is available on prozorro.gov.ua portal without registration. Everyone has access not only to general information on procurement, but also to requirements, decisions, contracts and every documents submitted by all bidders. In addition central data base has open API with which anyone can develop analytical tools. One of such is bi.prozorro.org.</t>
  </si>
  <si>
    <t>No / N/A</t>
  </si>
  <si>
    <t>N/A/ 0</t>
  </si>
  <si>
    <t>N/A. As the Law on Whistle-Blowing System (which also regulates the protection of whistle-blowers) was adopted by Armenian National Assembly on June 9, 2017, and entered into effect on January 1, 2018 (see cell W340).</t>
  </si>
  <si>
    <t>In Parliament, at the moment, one deputy is a representative of an opposition party, and one deputy is a representative of an independent NGO. The parliament has 110 seats. 108 (98%) went to loyalists, and 2 (1.8%) went to opposition. The difference is 98-1.8 = 96,2</t>
  </si>
  <si>
    <t>from peer reviewer: Not sure how could this index be derived, if there are just monopolies here.</t>
  </si>
  <si>
    <t xml:space="preserve">2006 in 2016 </t>
  </si>
  <si>
    <t xml:space="preserve">Yes, during the last local elections, vote buying was not reported as a major problem. /// </t>
  </si>
  <si>
    <t xml:space="preserve">Yes. State Audit Office (SAO) is tasked with the review of donations to political parties from private individuals and legal persons. According to the OSCE/ODIHR report "During the entire election campaign, the SAO, on its own initiative, inquired about the sources of funding from 53 donors . . .[OSCE/ODIHR OM was informed that] the majority of the complaints would be addressed only after the run-off election day, as the law does not provide for expedited deadlines for the SAO to respond to complaints. This practice negatively impacted the effectiveness of oversight." </t>
  </si>
  <si>
    <t xml:space="preserve">Even the Government of the RA official di not recognize, the l ocal NGOs reported about the exictance of the political prisoners in th country usng the standards of the PACCE. In particular, the case of Andreas Ghukasyan was in the attention of the local and international organizations during 2017 year. /// </t>
  </si>
  <si>
    <t xml:space="preserve">The speaking time in plenary sittings is allotted on an equitable basis. Each MP has the right to present its view during the plenary sessions and during the sessions of the standing committees. The parliamentary fractions have a slighly higher time allotted to them to present the view of the fraction (7 minutes) compared to 5 minutes for the MPs. Each MP has the right to put 2 questions and ask for one clarification question during the presentation of a draft law. The author of the draft law has at least 7 minutes to present his/her draft law. /// </t>
  </si>
  <si>
    <t xml:space="preserve">Random assignment of cases is functioning in all courts and the Courts Administration Agency is publishing periodical reports on its web site (http://aaij.justice.md/ro/rapoarte/rapoarte-privind-repartizarea-aleatorie). There is a high perception that the system is vulnerable to manipulations. In a press conference, few lawyers mentioned about the manipulation of the random assignment of cases. 
There is no clarity whether the current specialization of judges in some courts is done as to avoid the perception of the manipulation. 
According to the Superior Council of Magistracy’s decisions, the Integrated Case Management System is periodically improved. /// </t>
  </si>
  <si>
    <t xml:space="preserve">mostly yes </t>
  </si>
  <si>
    <t xml:space="preserve">Yes, live committee sessions are available via Parliament's web-streaming. In addition, usually, citizens could attend the committee hearings in case if they have/obtain a permission (special pass) to enter the Building of the Parliament. </t>
  </si>
  <si>
    <t>Share of municipal waste recycled, % https://unstats.un.org/unsd/envstats/qindicators.cshtml</t>
  </si>
  <si>
    <t>Waste intensity: Municipal Waste (total per year), kg/per capita https://unstats.un.org/unsd/envstats/qindicators.cshtml</t>
  </si>
  <si>
    <t>12.71% In the most recent parliamentary elections held in 2014, the strongest party, the People's Front received 22.14% of the valid votes cast, while the key opposition party, the Opposition Bloc, received 9.43% of the votes.</t>
  </si>
  <si>
    <t>3 or 4 ministers out of 24 in 2017? Suprun, Hrynevych, Klympush-Tsintsadze..Who else?</t>
  </si>
  <si>
    <t xml:space="preserve">In 2017, tThe Ministry of Environment drafted a new Strategy until 2030. It was supported by the Government and was sent to the Parliament in April 2018. </t>
  </si>
  <si>
    <t xml:space="preserve">Yes, it was opened for comments and suggestions from the public </t>
  </si>
  <si>
    <t xml:space="preserve">It would be great to mention names of the sectoral strategies under preparation. And by whom? </t>
  </si>
  <si>
    <t xml:space="preserve">On November 8, 2017, the government approved the National Waste Management Strategy by 2030. </t>
  </si>
  <si>
    <t>Ilinear tranformation?= 0.6</t>
  </si>
  <si>
    <t>What is the name of it?</t>
  </si>
  <si>
    <t>may be 0: https://www.kyivpost.com/ukraine-politics/eu-sawmill-firms-accused-of-colluding-in-destruction-of-ukraines-forest.html</t>
  </si>
  <si>
    <t xml:space="preserve">Fixed (wired)-broadband internet subscriptions per 100 inhabitants 
Source: World bank 2017 - Previous edition: ITU   
http://www.itu.int/net4/itu-d/icteye/
</t>
  </si>
  <si>
    <t xml:space="preserve">Percentage of individuals using the Internet
Source: World bank 2017 - Previous edition: ITU  
http://www.itu.int/net4/itu-d/icteye/
</t>
  </si>
  <si>
    <t>Child mortality under 5 rate (per 1000 live birth) in 2017 https://data.worldbank.org/indicator/SH.DYN.MORT</t>
  </si>
  <si>
    <t>The main national document is the Law "On Culture" of Ukraine is adopted in 2010, amended in 2017. Link: http://zakon5.rada.gov.ua/laws/show/2778-17</t>
  </si>
  <si>
    <t>Annually conducted by the COMPENDIUM Platform. Link: http://demcult.org/kompendium-2017-onovleni-nacionalni-pr/</t>
  </si>
  <si>
    <t>Ratified in 2010 but the implementation has not started yet. Link: http://portal.unesco.org/en/ev.php-URL_ID=47521&amp;URL_DO=DO_TOPIC&amp;URL_SECTION=201.html</t>
  </si>
  <si>
    <t>Legislation is enabled by means of the Law "On Culture" of Ukraine. Competitions are organized and conducted by the Ministry of Culture of Ukraine</t>
  </si>
  <si>
    <t>The main national document is a State Programme "Youth of Ukraine 2016-2020 " was adopted in 2016, amended in 2017. Link: http://zakon3.rada.gov.ua/laws/show/148-2016-%D0%BF</t>
  </si>
  <si>
    <t>Is actively conducted the 3rd edition (annually) in a raw. Link: http://dsmsu.gov.ua/index/ua/category/362</t>
  </si>
  <si>
    <t xml:space="preserve">Legal provisions partually enabling the approximation of standards and best practicies of the EU volunteering systems have been adopted in 2016. Though, the framework policy for the volunteering service and standards is foreseen in the amended Draft Law "On Youth" of Ukraine, what has been registered in the Parliament in 2017 but had not been voted or even put on voting yet sinse that time.  Link: http://w1.c1.rada.gov.ua/pls/zweb2/webproc4_1?%20pf3511%20=%2057368 </t>
  </si>
  <si>
    <t>A package of legal provisions is at the preparation stage. Though, there is a program lounched by the Ministry of Youth and Sports of Ukraine in cooperation with UNDP on the matter. Link: http://youth-worker.org.ua/about/</t>
  </si>
  <si>
    <t xml:space="preserve">The Electoral Code (art.69 as of 26.04.18) states that state-owned media should provide free airtime to all election candidates in a fair and non-discriminatory manner.  According to the revised art. 70, the national broadcasters should provide each candidate  free airtime to present the election programme (5 minutes on TV and 10 minutes on Radio) during  the parliamentary, presidential and republican referendum election campaigns. In addition, the state-owned broadcasters had to provide each candidate 1 minute of daily free airtime for election ads. The airtime for paid election ads (no more than 2 minutes daily per candidate) is granted to all election candidates at the same broadcasting hours. In addition, the national media (including the state-owned one) is obliged to organise election debates with all candidates during parliamentary, presidential and republican referendum campaigns, while the local media (including the state-owned) should organise local election and referenda debates.  During the last 2016 presidential elections only the public broadcaster followed its obligation to organize debates and provided free airtime.  Both the international and national observers concluded that the public broadcaster Moldova 1 generally covered the election campaign in a generally balanced manner during  (See the OSCE/ODIHR EOM report - http://bit.ly/2rJYs2X and the final media monitoring report issued by 2 national media NGOs - http://bit.ly/2r9uvZC). The problem is that the state-public broadcaster has a relatively low audience in comparison with other  4  private  broadcasters with nationwide coverage (Prime TV, Publika TV, Canal 2, Canal 3), that displayed an explicitly biased coverage of the contestants. // </t>
  </si>
  <si>
    <t>Score of the expert: Yes ////</t>
  </si>
  <si>
    <t>Previously, the Court of Accounts was reporting before the Parliament and answering to MPs questions. This practice is slowly changing and the audited institution is invited to provide explanations. ///</t>
  </si>
  <si>
    <t xml:space="preserve">EXPERT: 0. Periodically media reports on the violations of declaration requirements by politicians and civil servants at all levels. Since the enactment of the new Civil Service Code, the Civil Service Bureau is mandated with checking no more than 5% of the declarations and in case of finding major violations, must refer the case to prosecution. There have been no publicly known cases of such investigation or prosecution in this period. </t>
  </si>
  <si>
    <t xml:space="preserve"> EXPERT: There have been a lot of allegations about highly politicized justice system and court decisions, but not about politicization of Police or Army. The same is valid about Intelligence and Information Service, since there is a general scarcity of public information / reports / hearings about its activity by / from parliamentarian committees, ruling political parties, opposition or journalists.</t>
  </si>
  <si>
    <t xml:space="preserve">Expert: No. There is no clear system in place for training of newly recruited civil servants. Nor is there a clear system in place for judging the need for additional personnel, or their specific qualifications. /// </t>
  </si>
  <si>
    <t>Based on 2014 figures, 0: 50%, 1: 0%/ n/a where opposition groups count for fewer than 5% of MPs</t>
  </si>
  <si>
    <t>Average: 2.55 for 2017-2108 The level of execution of the state budget - in 2015 - 84,3%, in 2016 - 95,9%, in 2017 -98%.</t>
  </si>
  <si>
    <t xml:space="preserve">Deviation between actual aggregate expenditure and budgeted expenditure: Average % of budgeted expenditure, (2016-2017). </t>
  </si>
  <si>
    <t>Added 2014 lowest EaP (from 2015 index), and upper benchmark (max. score) of 4, updated formulas</t>
  </si>
  <si>
    <t>Does the legislative framework provide for the appointment of judges based on objective criteria (such as the passing of an exam, performance in law school, other training, experience, professionalism, and reputation in the legal community)? Yes/No</t>
  </si>
  <si>
    <t>Number of women – MPs in the (lower house) national Parliament   = Gender Empowerment Measure? % of the total Number 2017.  http://archive.ipu.org/wmn-e/arc/classif010118.htm</t>
  </si>
  <si>
    <t>Is ex ante regulatory impact assessment mandatory for ordinary (non-constitutional) legislation? Yes/No</t>
  </si>
  <si>
    <t xml:space="preserve">Resolving insolvency, WB Doing Business Report 2018  http://www.doingbusiness.org/ </t>
  </si>
  <si>
    <t>Starting a business. WB Doing Business Report 2018 http://www.doingbusiness.org/</t>
  </si>
  <si>
    <t>Paying taxes, WB Doing Business Report 2018   http://www.doingbusiness.org/</t>
  </si>
  <si>
    <t>Contract enforcement, WB Doing Business Report 2018   http://www.doingbusiness.org/</t>
  </si>
  <si>
    <t>Does your contry have the ACAA or any other mutual recognition agreement with the EU?</t>
  </si>
  <si>
    <t>Does your country export goods of animal origin to EU? Yes/No/Under preparation</t>
  </si>
  <si>
    <t>For how many animal product categories has the EU recognised the country's plans for monitoring residuals?</t>
  </si>
  <si>
    <t>Does your country implement systems of identification and traceabiliy for animals? Yes/No</t>
  </si>
  <si>
    <t>Does your country implement strategies of food safety aimed to harmonise its legislation with the EU? Yes/No/Under preparation</t>
  </si>
  <si>
    <t>Energy intensity. Specify the consumption of energy per unit of GDP; TPES Tons of oil  equivalent (toe) / GDP in '000 USD (at PPP) - IEA Key World Energy statistics 2018   https://webstore.iea.org/download/direct/2291?filename=key_world_2018.pdf</t>
  </si>
  <si>
    <t>CO2 intensity, kg CO2 per '000 USD GDP (at PPP) - IEA Key World Energy statistics 2017   https://webstore.iea.org/download/direct/2291?filename=key_world_2018.pdf</t>
  </si>
  <si>
    <t>There is a single web-portal of open data (https://data.gov.ua/). Local government authorities as holders of open data place open data prescribed by law at this web-portlal. For example please see Severodonetsk local council page: https://data.gov.ua/organization/ed2b5d1d-3d88-47d6-ab87-96a7893d08ed. But not all local government authorities created their pages at this web-portal. That is why may by to put 0.5</t>
  </si>
  <si>
    <t xml:space="preserve">There have been several attempts to impede such activities of SCOs and media but they were followed by public resonance. For instance, in 2017, journalists of the TV program “Schemes: Corruption in Details” and activists of the Anti-Corruption Action Center were intimidated and even persecuted because of their investigations on the lack of transparency of revenues of the SSU employees and possible “corruption schemes” (https://nv.ua/ukr/publications/tskuvannja-bortsiv-z-koruptsijeju-antikoruptsioneri-stali-ob-jektom-peresliduvan-z-boku-chinovnikiv-i-pravoohorontsiv-1679976.html )  </t>
  </si>
  <si>
    <t>According to a survey developed by a Moldovan NGO (Center for Policies and Reforms) -  to 14.3% requests of information submitted in 2017 , the public authorities provided  delayed answers and to 14.3%  - no answers at all. (https://cpr.md/2018/06/29/cum-statul-ingradeste-presei-accesul-la-informatia-de-interes-public/) . Analysing the received answers , 20% of them included the refusal to provide the requested information , 20% of the answers were irrelevant, and 40% were incomplete.</t>
  </si>
  <si>
    <t xml:space="preserve">In the case of government and parliament decisions all of them are published on their websites.  
In the case of court cases and judgements also yes. But, taking in some cases, the judgements are published without name, or other details. The authorities argued these kind of cases by mentioning the law on Personal Data Protection. Even if the decision of depersonalizing the court cases decisions was and still is highly contested by civil society sector and was qualified as a restriction on access to information for journalists, judges are still using this Law in order to hide certain details or information on some specific cases.  Although a new Regulation on publication of judments entered into force in November 2017 and stipulates the that the names of the parties to the trial will not be anonymized "in any case", the Center for Reforms and Policies found out that  it is applied arbitrarly and the judgments uploaded on the court portal continue to unduly hide the names of  participants in the trial, as well as information that does not  fall under category of personal data.https://www.facebook.com/notes/cpr-moldova-centrul-de-politici-%C8%99i-reforme/un-an-pierdut-transparen%C8%9Ba-accesul-la-informa%C8%9Bii-%C8%99i-datele-cu-caracter-personal-/749964095192396/
</t>
  </si>
  <si>
    <t xml:space="preserve">A judicial Code of ethics was adopted in April 2017 and entered into force in May 2017. The Superior Council of Magistracy adopted the rules of the Ethics committee in may 2018 and the members were selected in June 2018. </t>
  </si>
  <si>
    <t>Article 1 of the Law 121 on Ensuring Equality provides for an indicative list of protected grounds, except the sexual orientation, that is not included in the list. The law prohibits the discrimination based on sexual orientation only during employment (art 7). Other Laws have a closed list.</t>
  </si>
  <si>
    <t>There is no explicit provision in the Law that would enable the Equality Body to take cases to Court on behalf of the a victim.  According tot he Regulation of the Equality Body, as a determining agent, it shall refer the protocol of the offense and the case materials to the court for consideration )art. 33, http://lex.justice.md/md/346943/.</t>
  </si>
  <si>
    <t>There is no explicit provision that enables the Equality Body to take cases to courts in its own name. The Equality Body can initiatiate and examine a case ex officio under its own procedure. According tot he Regulation of the Equality Body, as a determining agent, it shall refer the protocol of the offense and the case materials to the court for consideration )art. 33, http://lex.justice.md/md/346943/.</t>
  </si>
  <si>
    <t>Article 12(b) of the Law 121 on ensuring equality provides that "the council initiates proposals for the modification of the current legislation in the area of prevention and
combating discrimination".  
However, Article 73 of the Constitution provides that  the following institutions are vested with the right to legal initiative: MPs, President of the Republic of Moldova, Government, Popular Assembly of Gagauzia.</t>
  </si>
  <si>
    <t>According to the article 15 of the Law  on public function and civil servants’ status, civil servant are not allowed to publicly express their political preferences and to have preferable treatment of political parties, but at the same time, according to the article 16, civil servants could be members of political parties.  In September 2018 a draft law prohibiting the civil servants to be members of political parties was proposed by a group od MPs.</t>
  </si>
  <si>
    <t>GoM approved a Food Safety Strategy for 2018-2022 in December, 2017 -  https://gov.md/en/content/government-approves-food-safety-strategy; http://lex.justice.md/md/373834/. The strategy came into effect in January 2018.</t>
  </si>
  <si>
    <t>Under peparation. Expected to be launched in 2019. http://www.customs.gov.md/ro/content/serviciul-vamal-la-jumatate-de-termen-proiectului-twinning-realizari-si-recomandari.</t>
  </si>
  <si>
    <t>In July 2017, a new regulation on internal governance and risk management in banking sector came into force. A new law on banking activity, based on Basel III principles and drafted with the assistance of central banks in the Netherlands and Romania, came into force on January 1, 2018. The application of the new law,will be staggered between 2018 and 2020, to give banks time to adjust to the new requirements.  In December 2017, the Moldovan authorities amended legislation to allow the state to step in and buy banks' shares held by non-transparent shareholders.</t>
  </si>
  <si>
    <t xml:space="preserve">On May 22, 2018 Government of the Republic of Moldova adopted a Nation strategy and action plan  on combating trafficking in human beings http://lex.justice.md/index.php?action=view&amp;view=doc&amp;lang=1&amp;id=375580. </t>
  </si>
  <si>
    <t>Chisinau airport is operated in concession since 2013. Other international airport (Marculesti) is still state owned.</t>
  </si>
  <si>
    <t>Ukrainian Criminal code has got article 161, which secure from discrimination and hate crimes, but it`s isn`t often used in practise.</t>
  </si>
  <si>
    <t>Only  Civil Procedural Code article 60 that provides the shift of the burden on proof,also the family code of Ukraine has got anti-discriminational articles. In European countries family code is typically the part of Ukrainian legislation</t>
  </si>
  <si>
    <t>No, only labour code</t>
  </si>
  <si>
    <t>Yes, the law on Association of the citizens</t>
  </si>
  <si>
    <t>YEs</t>
  </si>
  <si>
    <t>The Presidium of the local Council within its competence in the manner prescribed by the legislation and the regulations of the Council: "3.1. organizes work on the preparation of sessions of the Council, informs the deputies of the Council and informs citizens about the time and place of the sessions of the Council, as well as about the issues submitted to the Council, and the decisions taken on them" (art. 15 Law "On local government and self-government in the Republic of Belarus"). The regualations of local councils may directly prescribes obligations to inform citisens by web-site or local newspapers on their schedules. In practice, this happens sometimes.</t>
  </si>
  <si>
    <t>Each official structure in Belarus has its web-page. Often they are not carefully supported and do not contain up to date information. Webpages of the local councils are not independent and make part of the webpages of the executive committees. At the local web-portals usually possible to have acsses to decisions, budget data, some servises, options to send electronic questions.</t>
  </si>
  <si>
    <t>Admission to higher education is centrelized  regulated by State Examination Center of the Republic of Azerbaijan, there is no discrimination, every citizens has equal right and access.   State Examination Center determines the subjects and access points in entrance examinations for specialized secondary and higher educational institutions, Bachelor and Master level of higher education.</t>
  </si>
  <si>
    <t>2 out of 19, 10.52%</t>
  </si>
  <si>
    <t>There are limitations for land acquisition in the RA</t>
  </si>
  <si>
    <t>No limitation for real estate acquisition in Armenia</t>
  </si>
  <si>
    <t>Internal Security Service of MIA. There are internal investigative units that deal with abuse of power within police, army and security forces. As well Prosecutor Office can innitiate the investigation.</t>
  </si>
  <si>
    <t xml:space="preserve">Approximately 20 people, citizens of the Russian Federation are in the Ukrainian prisons (convicted of armed conflicts in the Donbass or after the annexation of the Crimea). The  US Human Rights Report for 2017 mentioned that "there were reports of a small number of people, some of whom
human rights groups were considered political prisoners". https://ua.usembassy.gov/wp-content/uploads/sites/151/HHR_2017_Ukr.pdf http://assembly.coe.int/nw/xml/XRef/Xref-DocDetails-EN.asp?FileID=24221&amp;lang=EN  https://www.hrw.org/world-report/2018/country-chapters/ukraine </t>
  </si>
  <si>
    <t>Inverse standardisation: Yes: 0 - No: 1</t>
  </si>
  <si>
    <t xml:space="preserve"> Yes=0, No=1,</t>
  </si>
  <si>
    <t>No yet, but the request to lauch the talks has been voiced by UA</t>
  </si>
  <si>
    <t>yes, but gradually decreasing  -- better than a year before</t>
  </si>
  <si>
    <t>Yes, In 2017, the EA General Assembly decided to accept AZAC, the Azerbaijan Accreditation Centre, as a new Associate
Member of EA. Therefore, Azerbaijan Accreditation Center becomes EA associate member since 23 november 2017.  https://report.az/en/business/azerbaijan-accreditation-center-becomes-ea-associate-member/</t>
  </si>
  <si>
    <t>9 out of 16, so 56.25%, third evaluation round (2017), https://rm.coe.int/third-evaluation-round-addendum-to-the-second-compliance-report-on-ukr/168073428e</t>
  </si>
  <si>
    <t>0/20, 2016 report, https://rm.coe.int/CoERMPublicCommonSearchServices/DisplayDCTMContent?documentId=09000016806c21be</t>
  </si>
  <si>
    <t>15/17, so 88.24%, report December 2015, https://rm.coe.int/CoERMPublicCommonSearchServices/DisplayDCTMContent?documentId=09000016806c9b08</t>
  </si>
  <si>
    <t>8/15, so 53.33%, December 2016 report, https://rm.coe.int/CoERMPublicCommonSearchServices/DisplayDCTMContent?documentId=09000016806cc315</t>
  </si>
  <si>
    <t>5/18, so 27.8%, December 2017 report, https://rm.coe.int/fourth-evaluation-round-corruption-prevention-in-respect-of-members-of/1680775f12</t>
  </si>
  <si>
    <t>11/21, so 52.38%, March 2017 report, https://rm.coe.int/CoERMPublicCommonSearchServices/DisplayDCTMContent?documentId=09000016806fe9f2</t>
  </si>
  <si>
    <t>Calibration 0- 0,5-1</t>
  </si>
  <si>
    <t>The Action Plan until 2030 was adopted on 06.12.2017: http://zakon5.rada.gov.ua/laws/show/878-2017-%D1%80</t>
  </si>
  <si>
    <t>It would be great to explain by mentioning adopted normative acts.. For instance: https://www.kmu.gov.ua/ua/npas/249573705</t>
  </si>
  <si>
    <t>updated with new report released Sept 2018</t>
  </si>
  <si>
    <t>2.4.1</t>
  </si>
  <si>
    <t>all signed: Ratification Acceptance(A) Approval(AA) Accession(a)
Codes added here. All ratified, so all 1</t>
  </si>
  <si>
    <t>Partially  1) the concept of affirmative measure is expressly provided in the  equal rights and equal opportunities between women and men (Gender Law), 2) Marriage age in Azerbaijan Republic is determined: for men  and  for women - 18 years. (18)  to avoid gender inequality. 3) Head of city  executive committtee instructed to put disability signs in parking areas to ensure equal opportunities․</t>
  </si>
  <si>
    <t>Yes.  1) the concept of affirmative measure is expressly provided in the  equal rights and equal opportunities between women and men (Gender Law), 2) Marriage age in Azerbaijan Republic is determined: for men  and  for women - 18 years. (18)  to avoid gender inequality. 3) Head of city  executive committtee instructed to put disability signs in parking areas to ensure equal opportunities․</t>
  </si>
  <si>
    <r>
      <t xml:space="preserve"> The report of the Ombudsman (http://ombudsman.md/sites/default/files/document/attachments/raport_2017_engl.pdf) and the Report of the NTPM (http://ombudsman.md/sites/default/files/document/attachments/raport_cppt_npm_moldova_ro.pdf), and NGOs stress the incapacity and the lack of will to address torture and impunity. </t>
    </r>
    <r>
      <rPr>
        <b/>
        <sz val="11"/>
        <rFont val="Calibri"/>
        <family val="2"/>
      </rPr>
      <t>Also the report of the 2017 US State Department for Moldova included  torture at prisons and psychoneurological
institutions among the most significant HR issues,   https://www.state.gov/documents/organization/277439.pdf</t>
    </r>
  </si>
  <si>
    <r>
      <t>Ministers are appointed and dismissed by the Prime Minister. The Parliament approves the composition of the Government through the vote of confidence after the Parliamentary elections (in the process of formation of a new government) and in cases defined by the Constitution (when the government ceases to exercise its authority). /</t>
    </r>
    <r>
      <rPr>
        <b/>
        <sz val="11"/>
        <rFont val="Calibri"/>
        <family val="2"/>
      </rPr>
      <t>/later addition</t>
    </r>
    <r>
      <rPr>
        <sz val="11"/>
        <rFont val="Calibri"/>
        <family val="2"/>
      </rPr>
      <t xml:space="preserve"> I do not know what should be the score in this case. The legislature approves the appointment of the cabinet of ministers (gives the vote of confidence) at the initial stage, when the new PM is appointed by the Parliament and only in case when more than 1/3 of the government composition is changed. In all other cases, the ministers are appointed and dismissed by the PM. </t>
    </r>
  </si>
  <si>
    <r>
      <t xml:space="preserve">1. Definition: This form of discrimination is defined in Article 2 of the Law 121 on Ensuring Equality.
2. Liability: the remedies that can be offered by the Equality body are: finding discrimination, issuing recommendations to  prevent similar cases in the future; documenting the misdeameanour (if discrimination occured in the following areas: </t>
    </r>
    <r>
      <rPr>
        <b/>
        <sz val="11"/>
        <rFont val="Calibri"/>
        <family val="2"/>
      </rPr>
      <t>education, labour, access publicly available to goods and services</t>
    </r>
    <r>
      <rPr>
        <sz val="11"/>
        <rFont val="Calibri"/>
        <family val="2"/>
      </rPr>
      <t xml:space="preserve">); the documented misdeameanour is applied only by the Court. </t>
    </r>
  </si>
  <si>
    <r>
      <t xml:space="preserve"> Water quality and management is regulated by RA Water Code. Now the basin management plans are developing. Plans for 2 basins were adopted in 2016.
In 09.03.2017:
“The  2017-2022 Action Plan for implementation of  the Akhouryan Water Basin Management Plans was approved by  RA Government Protocol Decision N10-32
“The 2017-2022  Management Plan for the Akhuryan Water Basin Area and Priority Measures for Effective Governance” were approved by RA Government Decision  No. 240-N
</t>
    </r>
    <r>
      <rPr>
        <u/>
        <sz val="11"/>
        <rFont val="Calibri"/>
        <family val="2"/>
      </rPr>
      <t>Water resource management</t>
    </r>
    <r>
      <rPr>
        <sz val="11"/>
        <rFont val="Calibri"/>
        <family val="2"/>
      </rPr>
      <t xml:space="preserve">
“The Ararat Valley Water Resources Effective Management Program” - approved by RA Government Decision  No. 413-N, 06.05.2017 
</t>
    </r>
  </si>
  <si>
    <r>
      <rPr>
        <b/>
        <sz val="11"/>
        <rFont val="Calibri"/>
        <family val="2"/>
      </rPr>
      <t>37 groups</t>
    </r>
    <r>
      <rPr>
        <sz val="11"/>
        <rFont val="Calibri"/>
        <family val="2"/>
      </rPr>
      <t xml:space="preserve"> of UNECE env..indicators and more than </t>
    </r>
    <r>
      <rPr>
        <b/>
        <sz val="11"/>
        <rFont val="Calibri"/>
        <family val="2"/>
      </rPr>
      <t xml:space="preserve">100 individual </t>
    </r>
    <r>
      <rPr>
        <sz val="11"/>
        <rFont val="Calibri"/>
        <family val="2"/>
      </rPr>
      <t xml:space="preserve">indicators.
http://www.armstat.am    ---  http://armstatbank.am/pxweb/en/ArmStatBank/?rxid=002cc9e9-1bc8-4ae6-aaa3-40c0e377450a
</t>
    </r>
  </si>
  <si>
    <r>
      <t xml:space="preserve">Public human rights organizations, lawyers, </t>
    </r>
    <r>
      <rPr>
        <u/>
        <sz val="11"/>
        <rFont val="Calibri"/>
        <family val="2"/>
      </rPr>
      <t>journalistshttps://helsinki.org.ua/appeals/vidkryta-zayava-pravozahysnyh-orhanizatsij-schodo-politychno-motyvovanoho-peresliduvannya-ta-nezakonnoho-zasudzhennya-ilmi-umerova/</t>
    </r>
    <r>
      <rPr>
        <sz val="11"/>
        <rFont val="Calibri"/>
        <family val="2"/>
      </rPr>
      <t xml:space="preserve"> </t>
    </r>
  </si>
  <si>
    <r>
      <t xml:space="preserve">Annual report of the Ombudsman also public activists, monitors, journalists.
</t>
    </r>
    <r>
      <rPr>
        <u/>
        <sz val="11"/>
        <rFont val="Calibri"/>
        <family val="2"/>
      </rPr>
      <t>http://www.ombudsman.gov.ua/ua/all-news/pr/13318-uj-do-verxovnoii-radi-ukraiini-napravleno-schorichnu-dopovid-upovnovazhen/</t>
    </r>
    <r>
      <rPr>
        <sz val="11"/>
        <rFont val="Calibri"/>
        <family val="2"/>
      </rPr>
      <t xml:space="preserve">
</t>
    </r>
  </si>
  <si>
    <r>
      <t xml:space="preserve">Yes, but there are reasons to believe that standards and recommendations are not fully implemented.
Particular attention was paid to "inhuman" conditions of detention in prisons in Odessa and Kyiv (CPT report). Many institutions improve craftsmanship, know about standards, but most institutions do not and can not meet all standards for many objective and non-objective reasons. 
Annual report of the Ombudsman
</t>
    </r>
    <r>
      <rPr>
        <u/>
        <sz val="11"/>
        <rFont val="Calibri"/>
        <family val="2"/>
      </rPr>
      <t>http://www.ombudsman.gov.ua/ua/all-news/pr/13318-uj-do-verxovnoii-radi-ukraiini-napravleno-schorichnu-dopovid-upovnovazhen/</t>
    </r>
  </si>
  <si>
    <r>
      <t xml:space="preserve">Yes it is formally, but practically no, because the investigation is not yet conducted the State Bureau of Investigations is a new law enforcement agency. Forming a team. </t>
    </r>
    <r>
      <rPr>
        <u/>
        <sz val="11"/>
        <rFont val="Calibri"/>
        <family val="2"/>
      </rPr>
      <t>http://dbr.gov.ua/</t>
    </r>
  </si>
  <si>
    <r>
      <t xml:space="preserve">On the 17th of July 1997 ratification of the European Convention of Human Rights in Ukraine </t>
    </r>
    <r>
      <rPr>
        <u/>
        <sz val="11"/>
        <rFont val="Calibri"/>
        <family val="2"/>
      </rPr>
      <t>http://zakon2.rada.gov.ua/laws/show/475/97-%D0%B2%D1%80</t>
    </r>
    <r>
      <rPr>
        <sz val="11"/>
        <rFont val="Calibri"/>
        <family val="2"/>
      </rPr>
      <t xml:space="preserve">
The European Convention of Human Rights </t>
    </r>
    <r>
      <rPr>
        <u/>
        <sz val="11"/>
        <rFont val="Calibri"/>
        <family val="2"/>
      </rPr>
      <t>http://zakon2.rada.gov.ua/laws/show/995_004</t>
    </r>
    <r>
      <rPr>
        <sz val="11"/>
        <rFont val="Calibri"/>
        <family val="2"/>
      </rPr>
      <t xml:space="preserve"> Ukrainian text
</t>
    </r>
  </si>
  <si>
    <r>
      <t xml:space="preserve">Yes. Since the 1th of July 2015 the system of free legal aid is functioning in Ukraine.
In 2017 year are 551 access point for free legal aid operates. Almost 880 thousand Ukrainians applied for legal aid in civil, criminal and administrative cases.
Official website legal aid </t>
    </r>
    <r>
      <rPr>
        <u/>
        <sz val="11"/>
        <rFont val="Calibri"/>
        <family val="2"/>
      </rPr>
      <t>http://legalaid.gov.ua/ua/</t>
    </r>
    <r>
      <rPr>
        <sz val="11"/>
        <rFont val="Calibri"/>
        <family val="2"/>
      </rPr>
      <t xml:space="preserve">
Report about work in 2017 year </t>
    </r>
    <r>
      <rPr>
        <u/>
        <sz val="11"/>
        <rFont val="Calibri"/>
        <family val="2"/>
      </rPr>
      <t>http://legalaid.gov.ua/ua/holovna/181-sichen-2018/2187-predstavleno-pidsumky-roboty-systemy-bpd-u-2017-rotsi</t>
    </r>
  </si>
  <si>
    <r>
      <t xml:space="preserve">Since the 22th of February 2000, decision of the Constitutional Court of Ukraine </t>
    </r>
    <r>
      <rPr>
        <u/>
        <sz val="11"/>
        <rFont val="Calibri"/>
        <family val="2"/>
      </rPr>
      <t>http://zakon2.rada.gov.ua/laws/show/v011p710-99</t>
    </r>
  </si>
  <si>
    <r>
      <t xml:space="preserve">Yes. The Convention ratified on the 24th of January 1997
</t>
    </r>
    <r>
      <rPr>
        <u/>
        <sz val="11"/>
        <rFont val="Calibri"/>
        <family val="2"/>
      </rPr>
      <t>http://zakon5.rada.gov.ua/laws/show/995_068</t>
    </r>
    <r>
      <rPr>
        <sz val="11"/>
        <rFont val="Calibri"/>
        <family val="2"/>
      </rPr>
      <t xml:space="preserve">
</t>
    </r>
  </si>
  <si>
    <r>
      <t xml:space="preserve">https://www.coe.int/en/web/cpt/ukraine 
The report of CPT (2015-2016) has not been published on the official website of the Ministry of Justice. there is information since 2014 year
</t>
    </r>
    <r>
      <rPr>
        <u/>
        <sz val="11"/>
        <rFont val="Calibri"/>
        <family val="2"/>
      </rPr>
      <t>https://minjust.gov.ua/news/ministry/komitet-proti-tortur-radi-evropi-opublikuvav-dopovid-schodo-ukraini-19684</t>
    </r>
    <r>
      <rPr>
        <sz val="11"/>
        <rFont val="Calibri"/>
        <family val="2"/>
      </rPr>
      <t xml:space="preserve">
</t>
    </r>
  </si>
  <si>
    <r>
      <t xml:space="preserve">Yes. On the 21th of July 2006 country ratify OPCAT
</t>
    </r>
    <r>
      <rPr>
        <u/>
        <sz val="11"/>
        <rFont val="Calibri"/>
        <family val="2"/>
      </rPr>
      <t>http://zakon2.rada.gov.ua/laws/show/22-16</t>
    </r>
    <r>
      <rPr>
        <sz val="11"/>
        <rFont val="Calibri"/>
        <family val="2"/>
      </rPr>
      <t xml:space="preserve">
Ukrainian text
</t>
    </r>
    <r>
      <rPr>
        <u/>
        <sz val="11"/>
        <rFont val="Calibri"/>
        <family val="2"/>
      </rPr>
      <t>http://zakon5.rada.gov.ua/laws/show/995_f48</t>
    </r>
  </si>
  <si>
    <r>
      <rPr>
        <u/>
        <sz val="11"/>
        <rFont val="Calibri"/>
        <family val="2"/>
      </rPr>
      <t>http://zakon3.rada.gov.ua/laws/show/2939-17</t>
    </r>
  </si>
  <si>
    <r>
      <t xml:space="preserve">Partially. As a rule they are open, but a committee may vote to hold in closed form is the are issues which are sensitive for national secrets </t>
    </r>
    <r>
      <rPr>
        <u/>
        <sz val="11"/>
        <rFont val="Calibri"/>
        <family val="2"/>
      </rPr>
      <t>http://zakon3.rada.gov.ua/laws/show/116/95-%D0%B2%D1%80</t>
    </r>
  </si>
  <si>
    <r>
      <t xml:space="preserve">Average deviation for 2014-2016 is 4,6%. Average deviation for 2015-2017 is 3,6%.The level of actual execution of the state budget was: in 2014 - 93,3%; in 2015 - 96,2%, in 2016 - 96,7%, in 2017 -96,4%. The data source:  annual reports on the State Budget of Ukraine for 2014-2016. Available at the following link: </t>
    </r>
    <r>
      <rPr>
        <u/>
        <sz val="11"/>
        <rFont val="Calibri"/>
        <family val="2"/>
      </rPr>
      <t>http://www.treasury.gov.ua/main/uk/doccatalog/list?currDir=146477</t>
    </r>
    <r>
      <rPr>
        <sz val="11"/>
        <rFont val="Calibri"/>
        <family val="2"/>
      </rPr>
      <t>.</t>
    </r>
  </si>
  <si>
    <r>
      <t xml:space="preserve">Yes.  All of information listed above is disclosed in the draft law and supporting documents sent by the Government to the Verkhovna Rada of Ukraine. It is available at the following link: </t>
    </r>
    <r>
      <rPr>
        <u/>
        <sz val="11"/>
        <rFont val="Calibri"/>
        <family val="2"/>
      </rPr>
      <t>http://w1.c1.rada.gov.ua/pls/zweb2/webproc4_1?pf3511=60032</t>
    </r>
    <r>
      <rPr>
        <sz val="11"/>
        <rFont val="Calibri"/>
        <family val="2"/>
      </rPr>
      <t>. The Explanatory Note to the draft law on the State Budget for 2017 refers, inter alia, to the macro-economic assumptions elaborated by the Ministry of Economic development and Trade of Ukraine in the Forecast of Economic and Social Development of Ukraine for 2016-2019 years.</t>
    </r>
  </si>
  <si>
    <r>
      <t xml:space="preserve">Yes. Under the articles 59 and 60 of the Budget Code, the State Treasury Service of Ukraine files in-year budget execution reports. The monthly report is submitted to the Verkhovna Rada of Ukraine, President of Ukraine, the Cabinet of Ministers of Ukraine, the Accounting Chamber of Ukraine and the Ministry of Finance of Ukraine no later than the 15th day of the month following the reporting month. The quarterly report is submitted to the Verkhovna Rada of Ukraine, President of Ukraine, the Cabinet of Ministers of Ukraine, the Accounting Chamber of Ukraine and the Ministry of Finance of Ukraine no later than 35 days after the end of the reporting quarter. All the reports are available on the website of the State Treasury Service of Ukraine at the following link:  </t>
    </r>
    <r>
      <rPr>
        <u/>
        <sz val="11"/>
        <rFont val="Calibri"/>
        <family val="2"/>
      </rPr>
      <t>http://www.treasury.gov.ua/main/uk/doccatalog/list?currDir=146477</t>
    </r>
  </si>
  <si>
    <r>
      <t xml:space="preserve">Yes. Under the article 61 of the Budget Code, the annual report on the state budget of Ukraine is submitted by the Cabinet of Ministers of Ukraine to the Verkhovna Rada of Ukraine, President of Ukraine, the Cabinet of Ministers of Ukraine and the Accounting Chamber of Ukraine no later than 1 April of the year following the reporting year. All the reports are available on the website of the State Treasury Service of Ukraine at the following link:  </t>
    </r>
    <r>
      <rPr>
        <u/>
        <sz val="11"/>
        <rFont val="Calibri"/>
        <family val="2"/>
      </rPr>
      <t>http://www.treasury.gov.ua/main/uk/doccatalog/list?currDir=146477</t>
    </r>
  </si>
  <si>
    <r>
      <t xml:space="preserve">Yes. Information on expenditures on elementary school and on health care is disclosed in the Annual Report on the State Budget of Ukraine for 2017, Part II.2. Expenditures by functional classification of budget expenditures and financing. The report is available on the website of the State Treasury Service of Ukraine at the following link:  </t>
    </r>
    <r>
      <rPr>
        <u/>
        <sz val="11"/>
        <rFont val="Calibri"/>
        <family val="2"/>
      </rPr>
      <t>http://www.treasury.gov.ua/main/uk/doccatalog/list?currDir=400657</t>
    </r>
  </si>
  <si>
    <r>
      <t xml:space="preserve">There are legislative provisions (Law on the National Police 2016 - </t>
    </r>
    <r>
      <rPr>
        <u/>
        <sz val="11"/>
        <rFont val="Calibri"/>
        <family val="2"/>
      </rPr>
      <t>http://zakon5.rada.gov.ua/laws/show/580-19/page2</t>
    </r>
    <r>
      <rPr>
        <sz val="11"/>
        <rFont val="Calibri"/>
        <family val="2"/>
      </rPr>
      <t>) and regulations released by the Ministry of Interior in 2016 and registered by the Ministry of Justice (</t>
    </r>
    <r>
      <rPr>
        <u/>
        <sz val="11"/>
        <rFont val="Calibri"/>
        <family val="2"/>
      </rPr>
      <t>http://zakon5.rada.gov.ua/laws/show/z0250-16#n91</t>
    </r>
    <r>
      <rPr>
        <sz val="11"/>
        <rFont val="Calibri"/>
        <family val="2"/>
      </rPr>
      <t xml:space="preserve">). Ministerial regulations, by the way, do not include details to explain all provisions of the law.  </t>
    </r>
  </si>
  <si>
    <r>
      <t>There is the Department of internal security of the National police, which includes sections of monitoring and analysis, organizational work and operational development. It is responsible for investigation of all kinds of abuses including those that affect civilians and corruption. Units of this Department are in all regions of Ukraine (</t>
    </r>
    <r>
      <rPr>
        <u/>
        <sz val="11"/>
        <rFont val="Calibri"/>
        <family val="2"/>
      </rPr>
      <t>https://www.npu.gov.ua/about/struktura/struktura/</t>
    </r>
    <r>
      <rPr>
        <sz val="11"/>
        <rFont val="Calibri"/>
        <family val="2"/>
      </rPr>
      <t>).</t>
    </r>
  </si>
  <si>
    <r>
      <t>The internal control and enforcement mechanism of the Armed Forces of Ukraine includes the Military Service of the Law Enforcement, responsible for investigation of all kinds of abuses by servicemen. The Service has central and regional units to cover all the territory of Ukraine. The Main Inspection of the MoD is a control body to oversight application of laws and regulations in the Armed Forces (</t>
    </r>
    <r>
      <rPr>
        <u/>
        <sz val="11"/>
        <rFont val="Calibri"/>
        <family val="2"/>
      </rPr>
      <t>http://www.mil.gov.ua/ministry/struktura-aparatu-ministerstva/gimou.html</t>
    </r>
    <r>
      <rPr>
        <sz val="11"/>
        <rFont val="Calibri"/>
        <family val="2"/>
      </rPr>
      <t>).</t>
    </r>
  </si>
  <si>
    <r>
      <t>There departments responsible for internal control and enforcement in the Security Service of Ukraine and intelligence services. They are responsible for both security of special services’ personnel and control and investigation of abuses that affect civilians (</t>
    </r>
    <r>
      <rPr>
        <u/>
        <sz val="11"/>
        <rFont val="Calibri"/>
        <family val="2"/>
      </rPr>
      <t>http://zakon4.rada.gov.ua/laws/show/1860/2005</t>
    </r>
    <r>
      <rPr>
        <sz val="11"/>
        <rFont val="Calibri"/>
        <family val="2"/>
      </rPr>
      <t>).</t>
    </r>
  </si>
  <si>
    <r>
      <t>There are focal points for reporting abuses, including contacts of the Department of Internal Security and the Section on prevention of corruption and lustration (</t>
    </r>
    <r>
      <rPr>
        <u/>
        <sz val="11"/>
        <rFont val="Calibri"/>
        <family val="2"/>
      </rPr>
      <t>https://www.npu.gov.ua/konataktu.html</t>
    </r>
    <r>
      <rPr>
        <sz val="11"/>
        <rFont val="Calibri"/>
        <family val="2"/>
      </rPr>
      <t xml:space="preserve">). At the same time there is no hot-line like it is organized in the MoD. </t>
    </r>
  </si>
  <si>
    <r>
      <t>There are several possibilities for internal confidential complaint in the Armed Forces due to available contacts (telephones and e-mails) on the MoD web-site (</t>
    </r>
    <r>
      <rPr>
        <u/>
        <sz val="11"/>
        <rFont val="Calibri"/>
        <family val="2"/>
      </rPr>
      <t>http://www.mil.gov.ua/kontakti/garyacha-liniya.html</t>
    </r>
    <r>
      <rPr>
        <sz val="11"/>
        <rFont val="Calibri"/>
        <family val="2"/>
      </rPr>
      <t>). A serviceman can use these options to report some abuses.</t>
    </r>
  </si>
  <si>
    <r>
      <t>There are all necessary contacts for reporting abuses, including numbers and e-mails, which are available at the webpage of the Security Service of Ukraine. There are helplines and also a trust line. The last one is 24/7 (</t>
    </r>
    <r>
      <rPr>
        <u/>
        <sz val="11"/>
        <rFont val="Calibri"/>
        <family val="2"/>
      </rPr>
      <t>https://ssu.gov.ua/ua/pages/30</t>
    </r>
    <r>
      <rPr>
        <sz val="11"/>
        <rFont val="Calibri"/>
        <family val="2"/>
      </rPr>
      <t xml:space="preserve">). </t>
    </r>
  </si>
  <si>
    <r>
      <t>Nothing changed in 2017. According to the Article 89 of the Constitution of Ukraine and the Articles 85-87 of the Regulations of the Verkhovna Rada of Ukraine, the Parliament has rights to establish temporal special investigation commission, but their conclusions and proposals are not decisive for institutions, which carry out criminal proceedings (</t>
    </r>
    <r>
      <rPr>
        <u/>
        <sz val="11"/>
        <rFont val="Calibri"/>
        <family val="2"/>
      </rPr>
      <t>http://zakon2.rada.gov.ua/laws/show/254%D0%BA/96-%D0%B2%D1%80/paran5091#n5091</t>
    </r>
    <r>
      <rPr>
        <sz val="11"/>
        <rFont val="Calibri"/>
        <family val="2"/>
      </rPr>
      <t>). These commissions can attract attention of the Government and President to the problems and apply to solve them (</t>
    </r>
    <r>
      <rPr>
        <u/>
        <sz val="11"/>
        <rFont val="Calibri"/>
        <family val="2"/>
      </rPr>
      <t>http://zakon2.rada.gov.ua/laws/show/1861-17/paran682#n682</t>
    </r>
    <r>
      <rPr>
        <sz val="11"/>
        <rFont val="Calibri"/>
        <family val="2"/>
      </rPr>
      <t>). According to the law on Security Service of Ukraine(Atr.31), it presents an annual report on its activities. The Parliament and its committees can organize hearings. 
National police, Security Service of Ukraine or Armed Forces are not accountable to the Parliament, but, according to the law on Democratic civil control over Military organization and law-enforcement agencies of the state (was vivid in 2017), a MP (Art.10) can apply to officials in these agencies (</t>
    </r>
    <r>
      <rPr>
        <u/>
        <sz val="11"/>
        <rFont val="Calibri"/>
        <family val="2"/>
      </rPr>
      <t>http://zakon5.rada.gov.ua/laws/show/975-15</t>
    </r>
    <r>
      <rPr>
        <sz val="11"/>
        <rFont val="Calibri"/>
        <family val="2"/>
      </rPr>
      <t xml:space="preserve">). 
</t>
    </r>
  </si>
  <si>
    <r>
      <t xml:space="preserve">Only separate decisions of the National Security and Defence Council are subject to parliamentary scrutiny on: declaration of the state of war and peace; usage of the Armed Forces and other military formations; appointment of the Head of the Security Service of Ukraine on the President’s proposal; approval of the structure, number, functions of the Security Service of Ukraine, Armed Forces, other military formations and the Ministry of Interior; approval of decisions on military assistance abroad, sending Ukrainian military units abroad and access of foreign military units on the Ukrainian territory (Article 85, Constitution of Ukraine - </t>
    </r>
    <r>
      <rPr>
        <u/>
        <sz val="11"/>
        <rFont val="Calibri"/>
        <family val="2"/>
      </rPr>
      <t>http://zakon2.rada.gov.ua/laws/show/254%D0%BA/96-%D0%B2%D1%80/paran5091#n5091</t>
    </r>
    <r>
      <rPr>
        <sz val="11"/>
        <rFont val="Calibri"/>
        <family val="2"/>
      </rPr>
      <t xml:space="preserve">). </t>
    </r>
  </si>
  <si>
    <r>
      <t>All political parties, including opposition, are represented in parliamentary oversight bodies, first of all in the Committee on national security and defense (</t>
    </r>
    <r>
      <rPr>
        <u/>
        <sz val="11"/>
        <rFont val="Calibri"/>
        <family val="2"/>
      </rPr>
      <t>http://w1.c1.rada.gov.ua/pls/site2/p_komity_list?pidid=2633</t>
    </r>
    <r>
      <rPr>
        <sz val="11"/>
        <rFont val="Calibri"/>
        <family val="2"/>
      </rPr>
      <t>).</t>
    </r>
  </si>
  <si>
    <r>
      <t>According to the Law of Ukraine “On the Commissioner of the Verkhovna Rada of Ukraine on Human Rights” (Article 13), the Ombudsman has competence to undertake investigations and site visit in cases of human rights abuse by security and law enforcement bodies (</t>
    </r>
    <r>
      <rPr>
        <u/>
        <sz val="11"/>
        <rFont val="Calibri"/>
        <family val="2"/>
      </rPr>
      <t>http://zakon2.rada.gov.ua/laws/show/776/97-%D0%B2%D1%80</t>
    </r>
    <r>
      <rPr>
        <sz val="11"/>
        <rFont val="Calibri"/>
        <family val="2"/>
      </rPr>
      <t xml:space="preserve">). He/she can also receive restricted documents. </t>
    </r>
  </si>
  <si>
    <r>
      <t>The Ombudsman reports annually to the Parliament. All annual reports are published on the official website of the Ombudsman. They include issues on the situation of human rights in the security and law enforcement institutions (</t>
    </r>
    <r>
      <rPr>
        <u/>
        <sz val="11"/>
        <rFont val="Calibri"/>
        <family val="2"/>
      </rPr>
      <t>http://www.ombudsman.gov.ua/ua/page/secretariat/docs/presentations/&amp;page=3</t>
    </r>
    <r>
      <rPr>
        <sz val="11"/>
        <rFont val="Calibri"/>
        <family val="2"/>
      </rPr>
      <t>). (</t>
    </r>
    <r>
      <rPr>
        <u/>
        <sz val="11"/>
        <rFont val="Calibri"/>
        <family val="2"/>
      </rPr>
      <t>http://www.ombudsman.gov.ua/ua/page/secretariat/docs/presentations/</t>
    </r>
    <r>
      <rPr>
        <sz val="11"/>
        <rFont val="Calibri"/>
        <family val="2"/>
      </rPr>
      <t xml:space="preserve">; </t>
    </r>
    <r>
      <rPr>
        <u/>
        <sz val="11"/>
        <rFont val="Calibri"/>
        <family val="2"/>
      </rPr>
      <t>http://www.ombudsman.gov.ua/ua/publication/presentations/schorichna-dopovid-2017-r/</t>
    </r>
    <r>
      <rPr>
        <sz val="11"/>
        <rFont val="Calibri"/>
        <family val="2"/>
      </rPr>
      <t xml:space="preserve">). </t>
    </r>
  </si>
  <si>
    <r>
      <t>There is the Department of Communications and Press of the Ministry of Defense of Ukraine (</t>
    </r>
    <r>
      <rPr>
        <u/>
        <sz val="11"/>
        <rFont val="Calibri"/>
        <family val="2"/>
      </rPr>
      <t>http://www.mil.gov.ua/ministry/struktura-aparatu-ministerstva/upimou.html</t>
    </r>
    <r>
      <rPr>
        <sz val="11"/>
        <rFont val="Calibri"/>
        <family val="2"/>
      </rPr>
      <t>). There is necessary contact information on the web-site of MoD.</t>
    </r>
  </si>
  <si>
    <r>
      <t>There is the Department of Communications of the Ministry of Interior of Ukraine (</t>
    </r>
    <r>
      <rPr>
        <u/>
        <sz val="11"/>
        <rFont val="Calibri"/>
        <family val="2"/>
      </rPr>
      <t>http://mvs.gov.ua/ua/pages//457_Kontakti_dlya_informaciynih_zapitiv_vid_predstavnikiv_zasobiv_masovoi_informacii.htm</t>
    </r>
    <r>
      <rPr>
        <sz val="11"/>
        <rFont val="Calibri"/>
        <family val="2"/>
      </rPr>
      <t>). There are necessary contact information and described procedures on the web-site of MoI (</t>
    </r>
    <r>
      <rPr>
        <u/>
        <sz val="11"/>
        <rFont val="Calibri"/>
        <family val="2"/>
      </rPr>
      <t>http://mvs.gov.ua/ua/pages/Zapiti_ZMI.htm/</t>
    </r>
    <r>
      <rPr>
        <sz val="11"/>
        <rFont val="Calibri"/>
        <family val="2"/>
      </rPr>
      <t>).</t>
    </r>
  </si>
  <si>
    <r>
      <t>There is the Press-Centre of the SSU of Ukraine (</t>
    </r>
    <r>
      <rPr>
        <u/>
        <sz val="11"/>
        <rFont val="Calibri"/>
        <family val="2"/>
      </rPr>
      <t>https://ssu.gov.ua/ua/pages/89</t>
    </r>
    <r>
      <rPr>
        <sz val="11"/>
        <rFont val="Calibri"/>
        <family val="2"/>
      </rPr>
      <t>) and procedures to receive public information (</t>
    </r>
    <r>
      <rPr>
        <u/>
        <sz val="11"/>
        <rFont val="Calibri"/>
        <family val="2"/>
      </rPr>
      <t>https://ssu.gov.ua/ua/pages/87</t>
    </r>
    <r>
      <rPr>
        <sz val="11"/>
        <rFont val="Calibri"/>
        <family val="2"/>
      </rPr>
      <t>). The Intelligence Service includes its Press-Service.</t>
    </r>
  </si>
  <si>
    <r>
      <t>There is the mentioned information on the MoI web-site (</t>
    </r>
    <r>
      <rPr>
        <u/>
        <sz val="11"/>
        <rFont val="Calibri"/>
        <family val="2"/>
      </rPr>
      <t>http://mvs.gov.ua/ua/pages/Struktura_Ministerstva_vnutrishnih_sprav_Ukraini.htm</t>
    </r>
    <r>
      <rPr>
        <sz val="11"/>
        <rFont val="Calibri"/>
        <family val="2"/>
      </rPr>
      <t>), except confidential or restricted information on operational decisions. The budget figures are on the Parliament's web-site (</t>
    </r>
    <r>
      <rPr>
        <u/>
        <sz val="11"/>
        <rFont val="Calibri"/>
        <family val="2"/>
      </rPr>
      <t>http://zakon3.rada.gov.ua/laws/show/1801-19</t>
    </r>
    <r>
      <rPr>
        <sz val="11"/>
        <rFont val="Calibri"/>
        <family val="2"/>
      </rPr>
      <t>).</t>
    </r>
  </si>
  <si>
    <r>
      <t>There is the mentioned information on the Services’ web-sites (</t>
    </r>
    <r>
      <rPr>
        <u/>
        <sz val="11"/>
        <rFont val="Calibri"/>
        <family val="2"/>
      </rPr>
      <t>https://ssu.gov.ua/ua/pages/109</t>
    </r>
    <r>
      <rPr>
        <sz val="11"/>
        <rFont val="Calibri"/>
        <family val="2"/>
      </rPr>
      <t xml:space="preserve">; </t>
    </r>
    <r>
      <rPr>
        <u/>
        <sz val="11"/>
        <rFont val="Calibri"/>
        <family val="2"/>
      </rPr>
      <t>http://szru.gov.ua/index_ua/index.html%3Fpage_id=107.html</t>
    </r>
    <r>
      <rPr>
        <sz val="11"/>
        <rFont val="Calibri"/>
        <family val="2"/>
      </rPr>
      <t>), except confidential or restricted information on operational decisions. The general budget figures are on the Parliament's web-site (</t>
    </r>
    <r>
      <rPr>
        <u/>
        <sz val="11"/>
        <rFont val="Calibri"/>
        <family val="2"/>
      </rPr>
      <t>http://zakon3.rada.gov.ua/laws/show/1801-19</t>
    </r>
    <r>
      <rPr>
        <sz val="11"/>
        <rFont val="Calibri"/>
        <family val="2"/>
      </rPr>
      <t>).</t>
    </r>
  </si>
  <si>
    <r>
      <t>Information on budget expenses for military/armed forces is open for citizens on the websites of the Parliament (</t>
    </r>
    <r>
      <rPr>
        <u/>
        <sz val="11"/>
        <rFont val="Calibri"/>
        <family val="2"/>
      </rPr>
      <t>http://zakon3.rada.gov.ua/laws/show/1801-19/page2</t>
    </r>
    <r>
      <rPr>
        <sz val="11"/>
        <rFont val="Calibri"/>
        <family val="2"/>
      </rPr>
      <t>) and MoD (</t>
    </r>
    <r>
      <rPr>
        <u/>
        <sz val="11"/>
        <rFont val="Calibri"/>
        <family val="2"/>
      </rPr>
      <t>http://www.mil.gov.ua/diyalnist/byudzhet-ta-vikonannya-czilovix-program/</t>
    </r>
    <r>
      <rPr>
        <sz val="11"/>
        <rFont val="Calibri"/>
        <family val="2"/>
      </rPr>
      <t>). Although, the report on expenses in 2017 is not still published on the MoD web-site (</t>
    </r>
    <r>
      <rPr>
        <u/>
        <sz val="11"/>
        <rFont val="Calibri"/>
        <family val="2"/>
      </rPr>
      <t>http://www.mil.gov.ua/diyalnist/byudzhet-ta-vikonannya-czilovix-program/vikonannya-ministerstvom-oboroni-ukraini-derzhavnogo-byudzhetu/</t>
    </r>
    <r>
      <rPr>
        <sz val="11"/>
        <rFont val="Calibri"/>
        <family val="2"/>
      </rPr>
      <t>).</t>
    </r>
  </si>
  <si>
    <r>
      <t>MoI publishes regular information massages and reports on its activities (</t>
    </r>
    <r>
      <rPr>
        <u/>
        <sz val="11"/>
        <rFont val="Calibri"/>
        <family val="2"/>
      </rPr>
      <t>http://mvs.gov.ua/ua/news/</t>
    </r>
    <r>
      <rPr>
        <sz val="11"/>
        <rFont val="Calibri"/>
        <family val="2"/>
      </rPr>
      <t>). Besides, its services and agencies (Border Service, National Police, National Guard etc.) practice regular public reporting about their activities.</t>
    </r>
  </si>
  <si>
    <r>
      <t>SSU publishes news and shares some information on its web-site (</t>
    </r>
    <r>
      <rPr>
        <u/>
        <sz val="11"/>
        <rFont val="Calibri"/>
        <family val="2"/>
      </rPr>
      <t>https://ssu.gov.ua/ua/news/1/category/21</t>
    </r>
    <r>
      <rPr>
        <sz val="11"/>
        <rFont val="Calibri"/>
        <family val="2"/>
      </rPr>
      <t xml:space="preserve">), but sometimes the Service is late for sharing information while the media does it. SSU publishes mostly positive news and not problems. </t>
    </r>
  </si>
  <si>
    <r>
      <t xml:space="preserve">MoI does not publish statistics, but it publishes some cases on human rights violations by law-enforcement personnel, if they have become public (For example: </t>
    </r>
    <r>
      <rPr>
        <u/>
        <sz val="11"/>
        <rFont val="Calibri"/>
        <family val="2"/>
      </rPr>
      <t>http://mvs.gov.ua/ua/pages/151_vropeyskiy-sud-z-prav-lyudini-.htm</t>
    </r>
    <r>
      <rPr>
        <sz val="11"/>
        <rFont val="Calibri"/>
        <family val="2"/>
      </rPr>
      <t xml:space="preserve">). </t>
    </r>
  </si>
  <si>
    <r>
      <t>According to the Law of Ukraine “On access to public information”, civil society and media have access, on request, to official documents. There is a procedure for this (</t>
    </r>
    <r>
      <rPr>
        <u/>
        <sz val="11"/>
        <rFont val="Calibri"/>
        <family val="2"/>
      </rPr>
      <t>http://www.mil.gov.ua/dlya-zmi/forma-ta-poryadok-podannya-zhurnalistskogo-zapitu.html</t>
    </r>
    <r>
      <rPr>
        <sz val="11"/>
        <rFont val="Calibri"/>
        <family val="2"/>
      </rPr>
      <t xml:space="preserve">). However, they can be provided by general information without requested details or receive response that requested information is restricted or confidential. </t>
    </r>
  </si>
  <si>
    <r>
      <t>According to the Law of Ukraine “On access to public information”, civil society and media have access, on request, to official documents. There is a procedure for this (</t>
    </r>
    <r>
      <rPr>
        <u/>
        <sz val="11"/>
        <rFont val="Calibri"/>
        <family val="2"/>
      </rPr>
      <t>http://mvs.gov.ua/ua/pages/Zapiti_ZMI.htm/</t>
    </r>
    <r>
      <rPr>
        <sz val="11"/>
        <rFont val="Calibri"/>
        <family val="2"/>
      </rPr>
      <t xml:space="preserve">). However, they can be provided by general information without requested details or receive response that requested information is restricted or confidential. </t>
    </r>
  </si>
  <si>
    <r>
      <t>According to the Law of Ukraine “On access to public information”, civil society and media have access, on request, to official documents. There is a procedure for this (</t>
    </r>
    <r>
      <rPr>
        <u/>
        <sz val="11"/>
        <rFont val="Calibri"/>
        <family val="2"/>
      </rPr>
      <t>https://ssu.gov.ua/ua/pages/87</t>
    </r>
    <r>
      <rPr>
        <sz val="11"/>
        <rFont val="Calibri"/>
        <family val="2"/>
      </rPr>
      <t>). However, they can be provided by general information without requested details or receive response that requested information is restricted or confidential</t>
    </r>
  </si>
  <si>
    <r>
      <t>Civil Council under the MoD exists and was relatively active in 2017 (</t>
    </r>
    <r>
      <rPr>
        <u/>
        <sz val="11"/>
        <rFont val="Calibri"/>
        <family val="2"/>
      </rPr>
      <t>http://www.mil.gov.ua/diyalnist/zvyazki-z-gromadskistyu/</t>
    </r>
    <r>
      <rPr>
        <sz val="11"/>
        <rFont val="Calibri"/>
        <family val="2"/>
      </rPr>
      <t xml:space="preserve">). Besides, MoD, Armed Forces and their structures organized consultations with civil society organisations, through the Office on reforms or directly, and participated in different discussions on security policies and reforms. </t>
    </r>
  </si>
  <si>
    <r>
      <t>Civil Council and Expert Council on human rights and reforms under the MoI exist and were relatively active in 2017 (</t>
    </r>
    <r>
      <rPr>
        <u/>
        <sz val="11"/>
        <rFont val="Calibri"/>
        <family val="2"/>
      </rPr>
      <t>http://mvs.gov.ua/ua/pages/268_Konsultacii_z_gromadskistyu.htm</t>
    </r>
    <r>
      <rPr>
        <sz val="11"/>
        <rFont val="Calibri"/>
        <family val="2"/>
      </rPr>
      <t>). Besides, MoI organized public discussions (</t>
    </r>
    <r>
      <rPr>
        <u/>
        <sz val="11"/>
        <rFont val="Calibri"/>
        <family val="2"/>
      </rPr>
      <t>http://mvs.gov.ua/ua/pages/82_Gromadski-obgovorennya.htm</t>
    </r>
    <r>
      <rPr>
        <sz val="11"/>
        <rFont val="Calibri"/>
        <family val="2"/>
      </rPr>
      <t>) and consultations (</t>
    </r>
    <r>
      <rPr>
        <u/>
        <sz val="11"/>
        <rFont val="Calibri"/>
        <family val="2"/>
      </rPr>
      <t>http://mvs.gov.ua/ua/pages/82_Gromadski-obgovorennya.htm</t>
    </r>
    <r>
      <rPr>
        <sz val="11"/>
        <rFont val="Calibri"/>
        <family val="2"/>
      </rPr>
      <t>), as well as MoI representatives participated in different public events on security policies and reforms.</t>
    </r>
  </si>
  <si>
    <r>
      <t>Civil Council under the SSU officially announced but there is no information on its work, as its web-site is not active (</t>
    </r>
    <r>
      <rPr>
        <u/>
        <sz val="11"/>
        <rFont val="Calibri"/>
        <family val="2"/>
      </rPr>
      <t>http://gromradasbu.org.ua/</t>
    </r>
    <r>
      <rPr>
        <sz val="11"/>
        <rFont val="Calibri"/>
        <family val="2"/>
      </rPr>
      <t>) and its Facebook-page was used only for distribution of the SSU official information (</t>
    </r>
    <r>
      <rPr>
        <u/>
        <sz val="11"/>
        <rFont val="Calibri"/>
        <family val="2"/>
      </rPr>
      <t>https://www.facebook.com/gromradasbu/</t>
    </r>
    <r>
      <rPr>
        <sz val="11"/>
        <rFont val="Calibri"/>
        <family val="2"/>
      </rPr>
      <t>).</t>
    </r>
  </si>
  <si>
    <r>
      <t xml:space="preserve">CSOs have possibilities to participate in hearings on functioning and abuses by security and law enforcement forces in the Parliament and its committees (For example: </t>
    </r>
    <r>
      <rPr>
        <u/>
        <sz val="11"/>
        <rFont val="Calibri"/>
        <family val="2"/>
      </rPr>
      <t>http://iportal.rada.gov.ua/news/Novyny/152174.html</t>
    </r>
    <r>
      <rPr>
        <sz val="11"/>
        <rFont val="Calibri"/>
        <family val="2"/>
      </rPr>
      <t xml:space="preserve">). Although, some hearings are closed for CSOs because of confidential information to be used there. </t>
    </r>
  </si>
  <si>
    <r>
      <t xml:space="preserve">(case against Youcontrol and SBU reporting on the cases against administrators of anti-UA groups in social networks: </t>
    </r>
    <r>
      <rPr>
        <u/>
        <sz val="11"/>
        <rFont val="Calibri"/>
        <family val="2"/>
      </rPr>
      <t>https://netfreedom.org.ua/sbu-zvituye-jaka-statystyka-zatryman-agitatoriv-administratoriv-antyurkainskych-grup/</t>
    </r>
  </si>
  <si>
    <r>
      <t>Prcatice still differs significantly form what is stated by the Constitution and the respective laws provides for. In 2017, the competition to the new Supreme Court was held where numerous shortcomings connected to lack of transparency and dubious decision making were indicated by the civil society and the Public Integrity Council, an official body responsible for analyzing judicial integrity. As a result of the competition many respected lawyers did not get the positoins, and at least 27 judges appointed to the Supreme Court do not meet basic integrity criteria (</t>
    </r>
    <r>
      <rPr>
        <u/>
        <sz val="11"/>
        <rFont val="Calibri"/>
        <family val="2"/>
      </rPr>
      <t>http://www.dejure.foundation/wp-content/uploads/2018/01/Establishment-of-the-new-Supreme-court-key-lessons.pdf</t>
    </r>
    <r>
      <rPr>
        <sz val="11"/>
        <rFont val="Calibri"/>
        <family val="2"/>
      </rPr>
      <t>)</t>
    </r>
  </si>
  <si>
    <r>
      <t>No. The practice of the formation of the new Supreme Court (which was a promotion procedure for the incumbent judges) showed that the promotion is still heavily influenced politically, and the judicial council responsible for the promotion is not doing its job objectively (</t>
    </r>
    <r>
      <rPr>
        <u/>
        <sz val="11"/>
        <rFont val="Calibri"/>
        <family val="2"/>
      </rPr>
      <t>http://www.dejure.foundation/wp-content/uploads/2018/01/Establishment-of-the-new-Supreme-court-key-lessons.pdf</t>
    </r>
    <r>
      <rPr>
        <sz val="11"/>
        <rFont val="Calibri"/>
        <family val="2"/>
      </rPr>
      <t>). The qualificaltion assessment of all judges as a part of the judicial reform the country is undergoing is also a part of the promotion procedures since the judges are receiving scores that will be taken into account for promotion purposes. THis process was alos havily criticized by the civil society as hasty and non-transparent (</t>
    </r>
    <r>
      <rPr>
        <u/>
        <sz val="11"/>
        <rFont val="Calibri"/>
        <family val="2"/>
      </rPr>
      <t>https://grd.gov.ua/news/152/the-public-integrity-council-suspends-its-participation-in-the-qualification-ass</t>
    </r>
    <r>
      <rPr>
        <sz val="11"/>
        <rFont val="Calibri"/>
        <family val="2"/>
      </rPr>
      <t>)</t>
    </r>
  </si>
  <si>
    <r>
      <t>Yes, partially. According to the law, a judge cannot be detained, held in custody, or arrested without the consent of the Superior Council of Justice, unless there is a criminal guilty verdict against the judge, except for the detention during or immediately after the commission of grave or especially grave crime (including obtaining illigal benefits). However, in practice the judicial governance bodies that are not politicall independent are sometimes used to discipline the judges who refuse to adopt certain decisions or are actively opposing corruption (</t>
    </r>
    <r>
      <rPr>
        <u/>
        <sz val="11"/>
        <rFont val="Calibri"/>
        <family val="2"/>
      </rPr>
      <t>http://www.atlanticcouncil.org/blogs/ukrainealert/the-only-way-to-improve-ukraine-s-courts</t>
    </r>
    <r>
      <rPr>
        <sz val="11"/>
        <rFont val="Calibri"/>
        <family val="2"/>
      </rPr>
      <t>)</t>
    </r>
  </si>
  <si>
    <r>
      <t>Yes. Texts of all court decisions and dissenting opinions of judges are to be included in the electronic register of court decisions (</t>
    </r>
    <r>
      <rPr>
        <u/>
        <sz val="11"/>
        <rFont val="Calibri"/>
        <family val="2"/>
      </rPr>
      <t>http://reyestr.court.gov.ua</t>
    </r>
    <r>
      <rPr>
        <sz val="11"/>
        <rFont val="Calibri"/>
        <family val="2"/>
      </rPr>
      <t>), which is open to the public and free of charge. In practice, some courts do not yet provide their decisions to the register. Nevertheless, with the launch of the registry, it has become an important source of information about the courts’ activity. As for the recording of court proceedings, there is a mandatory audio recording of trials. But CD recordings of the trial can be provided only to persons who are participants of the proceedings. However, everyone has the right to use a personal recorder in any open trial.</t>
    </r>
  </si>
  <si>
    <t xml:space="preserve">Yes. Article 46 of the Law on Procurement provides that each person (both physical and legal) has the right to appeal actions (inaction) and/or decisions of the procuring entities, tender commission and Procurement Appeals Council (PAC - in 2018 PAC was dissolved ). The decisions of the procuring entities or tender commission can be appealed to the PAC or court. The person also can appeal to court against the decisions of PAC. Moreover, any person, who suffered losses as a result of violations committed by the above mentioned entities, can also demand through court compensation for damages incurred. </t>
  </si>
  <si>
    <t>Yes. It is the Procurement Review Council (PAC). Its status, powers, composition and functioning are defined by Articles 47-49 of the Law on Procurement. [As a result of changes introduced in the Law on Procurement in March 23, 2018, PAC was dissolved and each appeal is reviewed by a person appointed by the Government.]</t>
  </si>
  <si>
    <r>
      <rPr>
        <sz val="11"/>
        <rFont val="Calibri"/>
        <family val="2"/>
      </rPr>
      <t>Not always. According to the State Regulatory Service (</t>
    </r>
    <r>
      <rPr>
        <u/>
        <sz val="11"/>
        <rFont val="Calibri"/>
        <family val="2"/>
      </rPr>
      <t>http://www.drs.gov.ua/regulatory_policy/informatsiya-pro-zdijsnennya-organamy-vykonavchoyi-vlady-derzhavnoyi-regulyatornoyi-polityky-u-2017-rotsi/</t>
    </r>
    <r>
      <rPr>
        <sz val="11"/>
        <rFont val="Calibri"/>
        <family val="2"/>
      </rPr>
      <t>) in 2017 almost 98 % of regulatory acts were accompanied by a regulatory impact assessment. However, the quality of RIA needs to be improved</t>
    </r>
  </si>
  <si>
    <r>
      <t>Yes.</t>
    </r>
    <r>
      <rPr>
        <sz val="11"/>
        <rFont val="Calibri"/>
        <family val="2"/>
      </rPr>
      <t xml:space="preserve"> The requirements for public consultation are established in the RoP of the Cabinet of Ministries of Ukraine (CMU), the resolution of the CMU on Ensuring Public Participation and the Law "On the Principles of State Regulatory Policy in the Sphere of Economic Activity" for consultations on regulatory acts affecting businesses</t>
    </r>
  </si>
  <si>
    <r>
      <t xml:space="preserve">Not always. </t>
    </r>
    <r>
      <rPr>
        <sz val="11"/>
        <rFont val="Calibri"/>
        <family val="2"/>
      </rPr>
      <t>In practice, public consultations sometimes are not held. In some cases ministries and agencies provide explanatory notes to the draft legislative acts simply concluding that public consultations were not necessary, even though the legal acts would have impacts on the environment or on the rights and freedoms of citizens etc</t>
    </r>
  </si>
  <si>
    <r>
      <rPr>
        <b/>
        <sz val="11"/>
        <rFont val="Calibri"/>
        <family val="2"/>
      </rPr>
      <t>Rarely.</t>
    </r>
    <r>
      <rPr>
        <sz val="11"/>
        <rFont val="Calibri"/>
        <family val="2"/>
      </rPr>
      <t xml:space="preserve"> Resolution of the Cabinet of Ministries on Ensuring Public Participation requires that executive bodies prepare a report on the public discussion that contains the proposals received as well as feedback on them, and that the report be publicly available on both the ministry’s website and the Government’s civil society portal. But in practice they do this in rare cases</t>
    </r>
  </si>
  <si>
    <r>
      <rPr>
        <b/>
        <sz val="11"/>
        <rFont val="Calibri"/>
        <family val="2"/>
      </rPr>
      <t xml:space="preserve">Often, yes. </t>
    </r>
    <r>
      <rPr>
        <sz val="11"/>
        <rFont val="Calibri"/>
        <family val="2"/>
      </rPr>
      <t>The Rules of Procedure of the Verkhovna Rada of Ukraine provides the possibility for the public to initiate parliamentary hearings by submitting an electronic petition. The public may also participate in parliamentary hearings by filing an application. Under the Rules, parliamentary hearings may be held no more than once a month. In 2017, four parliamentary hearings were held</t>
    </r>
  </si>
  <si>
    <r>
      <rPr>
        <b/>
        <sz val="11"/>
        <rFont val="Calibri"/>
        <family val="2"/>
      </rPr>
      <t>No.</t>
    </r>
    <r>
      <rPr>
        <sz val="11"/>
        <rFont val="Calibri"/>
        <family val="2"/>
      </rPr>
      <t xml:space="preserve"> The state capacity for strategic planning and policy analysis is very low. The public administration reform sets the build-up of this very capacity as one of its strategic priorities. The state ministries and secretariat reform envisages creation of respective institutional mechanisms for strategic planning and policy analysis.</t>
    </r>
  </si>
  <si>
    <r>
      <rPr>
        <b/>
        <sz val="11"/>
        <rFont val="Calibri"/>
        <family val="2"/>
      </rPr>
      <t>Yes.</t>
    </r>
    <r>
      <rPr>
        <sz val="11"/>
        <rFont val="Calibri"/>
        <family val="2"/>
      </rPr>
      <t xml:space="preserve"> Secretariat of Cabinet of Ministries</t>
    </r>
  </si>
  <si>
    <r>
      <rPr>
        <b/>
        <sz val="11"/>
        <rFont val="Calibri"/>
        <family val="2"/>
      </rPr>
      <t xml:space="preserve">Partially. </t>
    </r>
    <r>
      <rPr>
        <sz val="11"/>
        <rFont val="Calibri"/>
        <family val="2"/>
      </rPr>
      <t>The Secretariat is still being reorganized. Cabinet of Ministers rules and procedures are inefficient and envisages only the need to provide obligatory expert analysis of draft government decisions and coordinate with separate subdivisions of the Secretariat of the Cabinet of Ministers. Such rules and procedures are inefficient and are not in line with the classical requirements for the public policy development cycle.</t>
    </r>
  </si>
  <si>
    <r>
      <rPr>
        <b/>
        <sz val="11"/>
        <rFont val="Calibri"/>
        <family val="2"/>
      </rPr>
      <t xml:space="preserve">Partiually. </t>
    </r>
    <r>
      <rPr>
        <sz val="11"/>
        <rFont val="Calibri"/>
        <family val="2"/>
      </rPr>
      <t>To coordinate cross-sectoral policies it is established Interministerial coordination commissions. But they are not effective in practice</t>
    </r>
  </si>
  <si>
    <r>
      <rPr>
        <b/>
        <sz val="11"/>
        <rFont val="Calibri"/>
        <family val="2"/>
      </rPr>
      <t xml:space="preserve"> Yes. </t>
    </r>
    <r>
      <rPr>
        <sz val="11"/>
        <rFont val="Calibri"/>
        <family val="2"/>
      </rPr>
      <t>The Rules of Procedure of the Cabinet of Ministries envisage such procedures. Nevertheless, they are inefficient and are currently under revision</t>
    </r>
  </si>
  <si>
    <r>
      <rPr>
        <b/>
        <sz val="11"/>
        <rFont val="Calibri"/>
        <family val="2"/>
      </rPr>
      <t xml:space="preserve">No. </t>
    </r>
    <r>
      <rPr>
        <sz val="11"/>
        <rFont val="Calibri"/>
        <family val="2"/>
      </rPr>
      <t>Three are non-governmental think tanks. However, the connection between them and the State is week. The Government does not commission services from such centers. The existing system of state analytical institutes of quite inefficient and ineffective</t>
    </r>
  </si>
  <si>
    <r>
      <rPr>
        <b/>
        <sz val="11"/>
        <rFont val="Calibri"/>
        <family val="2"/>
      </rPr>
      <t xml:space="preserve">No. </t>
    </r>
    <r>
      <rPr>
        <sz val="11"/>
        <rFont val="Calibri"/>
        <family val="2"/>
      </rPr>
      <t>In real terms, there is no such system to evaluate the implementation of state policies. There is a formal practice of generalizing statistical indicators.</t>
    </r>
  </si>
  <si>
    <r>
      <rPr>
        <b/>
        <sz val="11"/>
        <rFont val="Calibri"/>
        <family val="2"/>
      </rPr>
      <t>Partially.</t>
    </r>
    <r>
      <rPr>
        <sz val="11"/>
        <rFont val="Calibri"/>
        <family val="2"/>
      </rPr>
      <t xml:space="preserve"> In September 2017 in the frame of public administration reform in 10 ministries, 2 agencies and in Secretariat of Cabinet of Ministries the separate directorates for policymakeing have been established. Recruitment of staff in these directorates was ongoing during the assessment period, and the new structures were not yet fully functional. Not all ministries have established such directorates, however, so they have not been comprehensively resourced with qualified staff for policymaking</t>
    </r>
  </si>
  <si>
    <r>
      <rPr>
        <b/>
        <sz val="11"/>
        <rFont val="Calibri"/>
        <family val="2"/>
      </rPr>
      <t xml:space="preserve">Yes. </t>
    </r>
    <r>
      <rPr>
        <sz val="11"/>
        <rFont val="Calibri"/>
        <family val="2"/>
      </rPr>
      <t>The Constitution of Ukraine contain a special chapter on local self-government</t>
    </r>
  </si>
  <si>
    <r>
      <rPr>
        <b/>
        <sz val="11"/>
        <rFont val="Calibri"/>
        <family val="2"/>
      </rPr>
      <t xml:space="preserve">Yes. </t>
    </r>
    <r>
      <rPr>
        <sz val="11"/>
        <rFont val="Calibri"/>
        <family val="2"/>
      </rPr>
      <t>The Constitution of Ukraine provides for the direct election of the members of local councils. There is a special law "On Local Elections", which details the election procedures</t>
    </r>
  </si>
  <si>
    <r>
      <rPr>
        <b/>
        <sz val="11"/>
        <rFont val="Calibri"/>
        <family val="2"/>
      </rPr>
      <t xml:space="preserve">Yes. </t>
    </r>
    <r>
      <rPr>
        <sz val="11"/>
        <rFont val="Calibri"/>
        <family val="2"/>
      </rPr>
      <t>The Constitution of Ukraine prescribes that territorial communities directly elect the village, town or city mayor, who heads the executive body of the council</t>
    </r>
  </si>
  <si>
    <r>
      <rPr>
        <b/>
        <sz val="11"/>
        <rFont val="Calibri"/>
        <family val="2"/>
      </rPr>
      <t xml:space="preserve">Yes, often. </t>
    </r>
    <r>
      <rPr>
        <sz val="11"/>
        <rFont val="Calibri"/>
        <family val="2"/>
      </rPr>
      <t>The Rules of Procedure of the Cabinet of Ministries prescribes obligatory consultations with local self-government authorities for all draft acts that have importance and concerns for them. In the process of drafting law on state budget for the next year it is obligation of the Cabinet of Ministries to consult with all-Ukrainian associations of local self-government authoritites</t>
    </r>
  </si>
  <si>
    <r>
      <rPr>
        <b/>
        <sz val="11"/>
        <rFont val="Calibri"/>
        <family val="2"/>
      </rPr>
      <t xml:space="preserve">Yes. </t>
    </r>
    <r>
      <rPr>
        <sz val="11"/>
        <rFont val="Calibri"/>
        <family val="2"/>
      </rPr>
      <t>According to the Law "On Local Self-Government in Ukraine" only local councils (by proposition of village, town or city mayor) are authorized to determine the internal administrative structures of the appropriate executive bodies</t>
    </r>
  </si>
  <si>
    <r>
      <rPr>
        <b/>
        <sz val="11"/>
        <rFont val="Calibri"/>
        <family val="2"/>
      </rPr>
      <t xml:space="preserve">Yes. </t>
    </r>
    <r>
      <rPr>
        <sz val="11"/>
        <rFont val="Calibri"/>
        <family val="2"/>
      </rPr>
      <t>It is prescribed by the Constitution, the Budget Code and the Law "On Local Self-Government in Ukraine</t>
    </r>
  </si>
  <si>
    <r>
      <rPr>
        <b/>
        <sz val="11"/>
        <rFont val="Calibri"/>
        <family val="2"/>
      </rPr>
      <t>Only with the approval of the central authority.</t>
    </r>
    <r>
      <rPr>
        <sz val="11"/>
        <rFont val="Calibri"/>
        <family val="2"/>
      </rPr>
      <t xml:space="preserve"> According to the Budget Code to take loans cities are obliged to agree their decision with the Ministry of Finance</t>
    </r>
  </si>
  <si>
    <r>
      <rPr>
        <b/>
        <sz val="11"/>
        <rFont val="Calibri"/>
        <family val="2"/>
      </rPr>
      <t>Could regulate, but does not have authority to abolish.</t>
    </r>
    <r>
      <rPr>
        <sz val="11"/>
        <rFont val="Calibri"/>
        <family val="2"/>
      </rPr>
      <t xml:space="preserve"> According to the Tax code there two local taxes and two local fees. Local councils could regulate tax rates and tax bases but they could not abolish the taxes if there is a taxable income or activity prescribed by the Tax Cod</t>
    </r>
  </si>
  <si>
    <r>
      <rPr>
        <b/>
        <sz val="11"/>
        <rFont val="Calibri"/>
        <family val="2"/>
      </rPr>
      <t xml:space="preserve">Yes. </t>
    </r>
    <r>
      <rPr>
        <sz val="11"/>
        <rFont val="Calibri"/>
        <family val="2"/>
      </rPr>
      <t>The Constitution of Ukraine in article 145 prescribes that the rights of local self-government are protected by a court procedure</t>
    </r>
  </si>
  <si>
    <r>
      <rPr>
        <b/>
        <sz val="11"/>
        <rFont val="Calibri"/>
        <family val="2"/>
      </rPr>
      <t>Sometimes.</t>
    </r>
    <r>
      <rPr>
        <sz val="11"/>
        <rFont val="Calibri"/>
        <family val="2"/>
      </rPr>
      <t xml:space="preserve"> The elected officials post their schedule of admission of citizens publicly</t>
    </r>
  </si>
  <si>
    <r>
      <rPr>
        <b/>
        <sz val="11"/>
        <rFont val="Calibri"/>
        <family val="2"/>
      </rPr>
      <t xml:space="preserve">Sometimes. </t>
    </r>
    <r>
      <rPr>
        <sz val="11"/>
        <rFont val="Calibri"/>
        <family val="2"/>
      </rPr>
      <t>The Law "On Local Self-Government in Ukraine" obliges the village, town or city mayors to ensure posting agendas of local councils meetings and meeting materials in advance. The Law "On Access to Public Information" prescribes public posting of all draft decisions not later than 20 working days before meeting. But this requirements are not always adhered to in practice</t>
    </r>
  </si>
  <si>
    <r>
      <rPr>
        <b/>
        <sz val="11"/>
        <rFont val="Calibri"/>
        <family val="2"/>
      </rPr>
      <t xml:space="preserve"> Yes. </t>
    </r>
    <r>
      <rPr>
        <sz val="11"/>
        <rFont val="Calibri"/>
        <family val="2"/>
      </rPr>
      <t>The new Law on civil service entered into force in 2016</t>
    </r>
  </si>
  <si>
    <r>
      <rPr>
        <b/>
        <sz val="11"/>
        <rFont val="Calibri"/>
        <family val="2"/>
      </rPr>
      <t xml:space="preserve">Yes. </t>
    </r>
    <r>
      <rPr>
        <sz val="11"/>
        <rFont val="Calibri"/>
        <family val="2"/>
      </rPr>
      <t>The law on civil service provides clear-cut distinction between political and administrative categories of staff. There are three categories of civil servants</t>
    </r>
  </si>
  <si>
    <r>
      <rPr>
        <b/>
        <sz val="11"/>
        <rFont val="Calibri"/>
        <family val="2"/>
      </rPr>
      <t xml:space="preserve"> Yes. </t>
    </r>
    <r>
      <rPr>
        <sz val="11"/>
        <rFont val="Calibri"/>
        <family val="2"/>
      </rPr>
      <t>There is a set ethical code of conduct for civil servants</t>
    </r>
  </si>
  <si>
    <r>
      <rPr>
        <b/>
        <sz val="11"/>
        <rFont val="Calibri"/>
        <family val="2"/>
      </rPr>
      <t xml:space="preserve">Yes. </t>
    </r>
    <r>
      <rPr>
        <sz val="11"/>
        <rFont val="Calibri"/>
        <family val="2"/>
      </rPr>
      <t>The highest category of civil servants cannot be part of political parties or be politically active or be a people’s deputy. A civil servant is not at liberty to demonstrate their political views</t>
    </r>
  </si>
  <si>
    <r>
      <rPr>
        <b/>
        <sz val="11"/>
        <rFont val="Calibri"/>
        <family val="2"/>
      </rPr>
      <t xml:space="preserve">Yes. </t>
    </r>
    <r>
      <rPr>
        <sz val="11"/>
        <rFont val="Calibri"/>
        <family val="2"/>
      </rPr>
      <t>The law on civil service makes a clear distinction between political and administrative positions</t>
    </r>
  </si>
  <si>
    <r>
      <rPr>
        <b/>
        <sz val="11"/>
        <rFont val="Calibri"/>
        <family val="2"/>
      </rPr>
      <t xml:space="preserve">Partially. </t>
    </r>
    <r>
      <rPr>
        <sz val="11"/>
        <rFont val="Calibri"/>
        <family val="2"/>
      </rPr>
      <t>There is an e-declaration system in place. However, the existing system is inefficient and does not prove its effectiveness in practice</t>
    </r>
  </si>
  <si>
    <r>
      <rPr>
        <b/>
        <sz val="11"/>
        <rFont val="Calibri"/>
        <family val="2"/>
      </rPr>
      <t xml:space="preserve">Yes. </t>
    </r>
    <r>
      <rPr>
        <sz val="11"/>
        <rFont val="Calibri"/>
        <family val="2"/>
      </rPr>
      <t>Every civil servant has access to his/her profile</t>
    </r>
  </si>
  <si>
    <r>
      <rPr>
        <b/>
        <sz val="11"/>
        <rFont val="Calibri"/>
        <family val="2"/>
      </rPr>
      <t xml:space="preserve">Yes. </t>
    </r>
    <r>
      <rPr>
        <sz val="11"/>
        <rFont val="Calibri"/>
        <family val="2"/>
      </rPr>
      <t>There is a special law on personal data protection</t>
    </r>
  </si>
  <si>
    <r>
      <rPr>
        <b/>
        <sz val="11"/>
        <rFont val="Calibri"/>
        <family val="2"/>
      </rPr>
      <t>Partially.</t>
    </r>
    <r>
      <rPr>
        <sz val="11"/>
        <rFont val="Calibri"/>
        <family val="2"/>
      </rPr>
      <t xml:space="preserve"> Such system exists formally. However, the new law on civil service is in place only for two years, and there was no possible way to test it fully, as there were no changes of the Government.</t>
    </r>
  </si>
  <si>
    <r>
      <rPr>
        <b/>
        <sz val="11"/>
        <rFont val="Calibri"/>
        <family val="2"/>
      </rPr>
      <t xml:space="preserve">Yes. </t>
    </r>
    <r>
      <rPr>
        <sz val="11"/>
        <rFont val="Calibri"/>
        <family val="2"/>
      </rPr>
      <t>There is a National Agency on Civil Service to develop and co-ordinate related Issues</t>
    </r>
  </si>
  <si>
    <r>
      <rPr>
        <b/>
        <sz val="11"/>
        <rFont val="Calibri"/>
        <family val="2"/>
      </rPr>
      <t xml:space="preserve">Yes. </t>
    </r>
    <r>
      <rPr>
        <sz val="11"/>
        <rFont val="Calibri"/>
        <family val="2"/>
      </rPr>
      <t>The National Agency has wide-ranging authority in terms of the implementation of human resources policy</t>
    </r>
  </si>
  <si>
    <r>
      <rPr>
        <b/>
        <sz val="11"/>
        <rFont val="Calibri"/>
        <family val="2"/>
      </rPr>
      <t>Yes.</t>
    </r>
    <r>
      <rPr>
        <sz val="11"/>
        <rFont val="Calibri"/>
        <family val="2"/>
      </rPr>
      <t xml:space="preserve"> There is a Special Commission on the issues of the highest category of civil servants. The commission is in charge of the competitive selection of the highest category of civil servants. Without commission’s decision, the Government has no right of firing state secretaries of ministries before their term expires. There is a mechanism for civil servants to protect their rights in court</t>
    </r>
  </si>
  <si>
    <r>
      <rPr>
        <b/>
        <sz val="11"/>
        <rFont val="Calibri"/>
        <family val="2"/>
      </rPr>
      <t xml:space="preserve">Partially. </t>
    </r>
    <r>
      <rPr>
        <sz val="11"/>
        <rFont val="Calibri"/>
        <family val="2"/>
      </rPr>
      <t>In 2017 the level of pay on the lowest positions has gone up. For the newly introduced directorates and respective reformative positions it was developed a new remuneration system. This allowed attracting high-quality personnel to 10 ministries, 2 agencies and Secretariat of Cabinet of Ministries. Due to this the average month salary in public administration sector in December 2017 reached 10.887 UAH, which was the 4th highest salary among the other sectors of Ukrainian economy</t>
    </r>
  </si>
  <si>
    <r>
      <rPr>
        <b/>
        <sz val="11"/>
        <rFont val="Calibri"/>
        <family val="2"/>
      </rPr>
      <t xml:space="preserve">No. </t>
    </r>
    <r>
      <rPr>
        <sz val="11"/>
        <rFont val="Calibri"/>
        <family val="2"/>
      </rPr>
      <t>The current system on carrier planning for civil servants exists purely on paper and is inefficient</t>
    </r>
  </si>
  <si>
    <r>
      <rPr>
        <b/>
        <sz val="11"/>
        <rFont val="Calibri"/>
        <family val="2"/>
      </rPr>
      <t>No.</t>
    </r>
    <r>
      <rPr>
        <sz val="11"/>
        <rFont val="Calibri"/>
        <family val="2"/>
      </rPr>
      <t xml:space="preserve"> The single personnel management system was only in its creation stage</t>
    </r>
  </si>
  <si>
    <r>
      <rPr>
        <b/>
        <sz val="11"/>
        <rFont val="Calibri"/>
        <family val="2"/>
      </rPr>
      <t>Yes.</t>
    </r>
    <r>
      <rPr>
        <sz val="11"/>
        <rFont val="Calibri"/>
        <family val="2"/>
      </rPr>
      <t xml:space="preserve"> All existing vacancies should be posted on the official website of the National Agency on Civil Service</t>
    </r>
  </si>
  <si>
    <r>
      <t> </t>
    </r>
    <r>
      <rPr>
        <b/>
        <sz val="11"/>
        <rFont val="Calibri"/>
        <family val="2"/>
      </rPr>
      <t>Yes.</t>
    </r>
    <r>
      <rPr>
        <sz val="11"/>
        <rFont val="Calibri"/>
        <family val="2"/>
      </rPr>
      <t xml:space="preserve"> According to the Law "On Civil Service" the fully competitive selection mechanism was introduced for those willing to become a civil servant</t>
    </r>
  </si>
  <si>
    <r>
      <rPr>
        <b/>
        <sz val="11"/>
        <rFont val="Calibri"/>
        <family val="2"/>
      </rPr>
      <t>Partially.</t>
    </r>
    <r>
      <rPr>
        <sz val="11"/>
        <rFont val="Calibri"/>
        <family val="2"/>
      </rPr>
      <t xml:space="preserve"> The existing system is inefficient and is under revision</t>
    </r>
  </si>
  <si>
    <r>
      <rPr>
        <b/>
        <sz val="11"/>
        <rFont val="Calibri"/>
        <family val="2"/>
      </rPr>
      <t>Yes.</t>
    </r>
    <r>
      <rPr>
        <sz val="11"/>
        <rFont val="Calibri"/>
        <family val="2"/>
      </rPr>
      <t xml:space="preserve"> Specially created commissions are in charge of the competitive selection process. The National Agency on Civil Service is authorized to handle and monitor the state of the selection process</t>
    </r>
  </si>
  <si>
    <r>
      <rPr>
        <b/>
        <sz val="11"/>
        <rFont val="Calibri"/>
        <family val="2"/>
      </rPr>
      <t>No.</t>
    </r>
    <r>
      <rPr>
        <sz val="11"/>
        <rFont val="Calibri"/>
        <family val="2"/>
      </rPr>
      <t xml:space="preserve"> In August 2017 the Government adopted a Template Order on Performance Appraising of Civil Servants. According to this for each civil servants it was assigned the set of tasks and KPIs to measure the performance of the tasks. The first such appraisal will be done at the end of 2018</t>
    </r>
  </si>
  <si>
    <r>
      <rPr>
        <b/>
        <sz val="11"/>
        <rFont val="Calibri"/>
        <family val="2"/>
      </rPr>
      <t>Yes.</t>
    </r>
    <r>
      <rPr>
        <sz val="11"/>
        <rFont val="Calibri"/>
        <family val="2"/>
      </rPr>
      <t xml:space="preserve"> In August 2017 the Government adopted a Template Order on Performance Appraising of Civil Servants</t>
    </r>
  </si>
  <si>
    <r>
      <rPr>
        <b/>
        <sz val="11"/>
        <rFont val="Calibri"/>
        <family val="2"/>
      </rPr>
      <t>Yes.</t>
    </r>
    <r>
      <rPr>
        <sz val="11"/>
        <rFont val="Calibri"/>
        <family val="2"/>
      </rPr>
      <t xml:space="preserve"> Formally the system exists, it will be improved after conducting annual performance appraisal</t>
    </r>
  </si>
  <si>
    <r>
      <rPr>
        <b/>
        <sz val="11"/>
        <rFont val="Calibri"/>
        <family val="2"/>
      </rPr>
      <t>Yes.</t>
    </r>
    <r>
      <rPr>
        <sz val="11"/>
        <rFont val="Calibri"/>
        <family val="2"/>
      </rPr>
      <t xml:space="preserve"> There is a clear appeal procedure, including the one through court appeals</t>
    </r>
  </si>
  <si>
    <r>
      <rPr>
        <b/>
        <sz val="11"/>
        <rFont val="Calibri"/>
        <family val="2"/>
      </rPr>
      <t xml:space="preserve">Yes. </t>
    </r>
    <r>
      <rPr>
        <sz val="11"/>
        <rFont val="Calibri"/>
        <family val="2"/>
      </rPr>
      <t>The procedure envisages the creation of special disciplinary commissions with participation of trade unions and civil society organizations</t>
    </r>
  </si>
  <si>
    <r>
      <rPr>
        <b/>
        <sz val="11"/>
        <rFont val="Calibri"/>
        <family val="2"/>
      </rPr>
      <t xml:space="preserve">Yes. </t>
    </r>
    <r>
      <rPr>
        <sz val="11"/>
        <rFont val="Calibri"/>
        <family val="2"/>
      </rPr>
      <t>In August 2017 the Government adopted the Concept of Reform of the Training System for Public representatives in Ukraine, which aims at ensuring a clear links between training needs assessment and  training programmes</t>
    </r>
  </si>
  <si>
    <r>
      <rPr>
        <b/>
        <sz val="11"/>
        <rFont val="Calibri"/>
        <family val="2"/>
      </rPr>
      <t xml:space="preserve">Yes. </t>
    </r>
    <r>
      <rPr>
        <sz val="11"/>
        <rFont val="Calibri"/>
        <family val="2"/>
      </rPr>
      <t>Centers for delivering administrative services study public satisfaction on a regular basis. But generally, representative surveys are sporadically arising initiatives. There is no systematic practice in place in all executive authorities</t>
    </r>
  </si>
  <si>
    <r>
      <rPr>
        <b/>
        <sz val="11"/>
        <rFont val="Calibri"/>
        <family val="2"/>
      </rPr>
      <t>No.</t>
    </r>
    <r>
      <rPr>
        <sz val="11"/>
        <rFont val="Calibri"/>
        <family val="2"/>
      </rPr>
      <t xml:space="preserve"> Practically speaking, the results of some of these sporadical initiatives are almost always disregarded.</t>
    </r>
  </si>
  <si>
    <r>
      <rPr>
        <b/>
        <sz val="11"/>
        <rFont val="Calibri"/>
        <family val="2"/>
      </rPr>
      <t xml:space="preserve">No. </t>
    </r>
    <r>
      <rPr>
        <sz val="11"/>
        <rFont val="Calibri"/>
        <family val="2"/>
      </rPr>
      <t>There are a few initiatives. Neither systematic, nor standardized practice exists</t>
    </r>
  </si>
  <si>
    <r>
      <t>http://www.licentiere.gov.md/pageview.php?l=ro&amp;idc=22</t>
    </r>
    <r>
      <rPr>
        <u/>
        <sz val="11"/>
        <rFont val="Calibri"/>
        <family val="2"/>
      </rPr>
      <t xml:space="preserve"> </t>
    </r>
  </si>
  <si>
    <r>
      <t>http://mf.gov.md/ro/content/hot%C4%83r%C3%AErea-guvernului-pivind-aplicarea-standardelor-interna%C8%9Bionale-de-raportare-fianciar%C4%83-0</t>
    </r>
    <r>
      <rPr>
        <u/>
        <sz val="11"/>
        <rFont val="Calibri"/>
        <family val="2"/>
      </rPr>
      <t xml:space="preserve"> </t>
    </r>
  </si>
  <si>
    <r>
      <t>http://en.anrceti.md/node/5</t>
    </r>
    <r>
      <rPr>
        <u/>
        <sz val="11"/>
        <rFont val="Calibri"/>
        <family val="2"/>
      </rPr>
      <t xml:space="preserve"> </t>
    </r>
  </si>
  <si>
    <r>
      <t>http://lex.justice.md/md/370018/</t>
    </r>
    <r>
      <rPr>
        <u/>
        <sz val="11"/>
        <rFont val="Calibri"/>
        <family val="2"/>
      </rPr>
      <t xml:space="preserve"> </t>
    </r>
  </si>
  <si>
    <r>
      <t>http://112.md/2018/07/03/din-1-iulie-2018-solicitarea-ambulantei-politiei-si-pompierilor-este-posibila-doar-la-numarul-unic-de-urgenta-112/</t>
    </r>
    <r>
      <rPr>
        <u/>
        <sz val="11"/>
        <rFont val="Calibri"/>
        <family val="2"/>
      </rPr>
      <t xml:space="preserve"> </t>
    </r>
  </si>
  <si>
    <r>
      <rPr>
        <sz val="11"/>
        <rFont val="Calibri"/>
        <family val="2"/>
      </rPr>
      <t>http://zakon5.rada.gov.ua/laws/show/1000/2011On June 27, 2016 Ukraine and European Organization for Justice (Eurojust) signed the Agreement on Cooperation. Cooperation between Ukraine and Eurojust is a crucial</t>
    </r>
    <r>
      <rPr>
        <u/>
        <sz val="11"/>
        <rFont val="Calibri"/>
        <family val="2"/>
      </rPr>
      <t xml:space="preserve"> </t>
    </r>
    <r>
      <rPr>
        <sz val="11"/>
        <rFont val="Calibri"/>
        <family val="2"/>
      </rPr>
      <t>element in combating serious crime, particularly organised crime and terrorism. In practice, cooperation agreements enable the exchange of operational data, including personal data, in line with European standards on data protection. The Strategy of Ukraine’s Cybersecurity was approved on 15 March 2016</t>
    </r>
  </si>
  <si>
    <t>EXPERT: We are aware about at least two cases of police use of pepper spray in the last three years, but no official complains to courts about the illegal use or illegal police actions.</t>
  </si>
  <si>
    <t xml:space="preserve">Inverse scoring: No means 1, while Yes means 0 </t>
  </si>
  <si>
    <t xml:space="preserve">No, but </t>
  </si>
  <si>
    <t xml:space="preserve"> There are political prisoners in the country, but the number of them varies for two reasons: 1. Some prisoners are released, but, unfortunately, the authorities continue harassment of civil activists, and the list is constantly replenished with new political prisoners; 2. The second reason is that there are 3 different lists prepared by 3 different groups of civil society.
The first list provided by the Monitoring Group of Human Rights Organizations of Azerbaijan. In cooperation with other famous HR defenders the list of 32 political prisoners was recognized and submitted to the pardoning commission. The criteria can in accordance with the criteria of the Council of Europe, be found here: http://assembly.coe.int/nw/xml/XRef/Xref-XML2HTML-en.asp?fileid=19150&amp;lang=en
Resolution 1900 (2012) Final version, article 3.
In this list of political prisoners, mostly civil activists, including young bloggers, journalists, politicians. Along with also separately presented a list of more than 80 people of Islamist religious figures arrested for political reasons. In relation to them, human rights defenders demand a fair investigation and trial, as many violations were revealed in their cases. However, in accordance with another criterion of the Council of Europe, see Resolution 1900 (2012) Final version, article 4 and 5 for lack of information about the nature of their activities and insufficient evidence of their innocence, human rights activists noted them not as political prisoners, but arrested for political reasons.
Two other groups of civil activists of Azerbaijan have prepared lists with the number of political prisoners between 80 and 100, where most of them are religious figures.
All 3 lists differ from each other not by the number of prisoners, but by the definition of recognition of the arrested political prisoners.
Five criteria of the term "political prisoner", according to the resolution adopted on October 3, 2012 are as follows: : (a) If the detention was carried out directly in violation of one of the main guarantees set forth in the European Convention on Human Rights and the protocols thereto; (b) If the detention decision was made for purely political reasons, without regard to any criminal offense; (c) If, for political reasons, the length of the custody or its conditions is clearly not proportional to the crime; d) if, for political reasons, a person is detained on a discriminatory basis compared to other persons; (e) If the detention is the result of proceedings that were manifestly unfair, and this appears to be related to the political motivations of the authorities.
</t>
  </si>
  <si>
    <t xml:space="preserve">Coding: 1 = President not entitled to dissolve the legislature; 0 = President is entitled to dissolve the legislature, 0.5 = Only in circumstances where Parliament cannot secure a majority to support the government within the timeframe as prescribed in the Constitution </t>
  </si>
  <si>
    <t xml:space="preserve">Fight against corruption </t>
  </si>
  <si>
    <t xml:space="preserve">yes, but sometimes its hard to put it in practice </t>
  </si>
  <si>
    <r>
      <t>Education and life-long learning opportunities:</t>
    </r>
    <r>
      <rPr>
        <i/>
        <sz val="11"/>
        <color indexed="8"/>
        <rFont val="Calibri"/>
        <family val="2"/>
      </rPr>
      <t/>
    </r>
  </si>
  <si>
    <t>APPROXIMATION</t>
  </si>
  <si>
    <t xml:space="preserve">Democratic Rights and Elections, including Political Pluralism
</t>
  </si>
  <si>
    <t>Scale: Yes (0), No (1). 0.5 if only one rare, isolated case, and the interference/control was subsequently lifted.</t>
  </si>
  <si>
    <t>Scale Yes (0), No (1). Again, maybe 0.5 could be considered if, for instance, there was just one case, and the journalist was quickly acquitted/the charges dropped, for instance?</t>
  </si>
  <si>
    <t xml:space="preserve">Have there been reported cases of intimidation of journalists or other media professionals?
</t>
  </si>
  <si>
    <t>Scale Yes (0), No (1). Again, especially in cases of journalists investigating corruption, it could be carried out by secret service following political orders, it could be ordered by individual politicians, but also by business groups/individuals (obviously, these may be politically connected). If there was one isolated case, and it was not clear if there was a connection to the government or public authorities, this might merit an 0.5 score.</t>
  </si>
  <si>
    <t xml:space="preserve">Have there been reported cases of direct or indirect government interference in, or control over, the editorial freedom of public or independent media outlets (such as court injunctions or acts of censorship or pressure to remove editorial staff) or the functioning of media outlets (such as pressure to remove management, or to remove a licence to broadcast of a locally owned and based media organisation)? 
</t>
  </si>
  <si>
    <t xml:space="preserve">Have there been reported cases of journalists being prosecuted, fined or jailed on charges related to their professional activities (including those still in jail, but sentenced before the period covered by this edition of the Index) ? 
</t>
  </si>
  <si>
    <t>Legislative initiatives restricting the right of access to information, and reducing the transparency of public institutions are a source of concern. At least 30 libel suits were filed in 2017 against the founder of the Sut.am website in connection with its coverage of alleged electoral fraud. Impunity largely prevails when journalists are physically attacked.</t>
  </si>
  <si>
    <t xml:space="preserve">The number of attacks on media personnel has increased in recent years and at least 17 journalists were the victims of violence in 2017.
The 2017 parliamentary election campaign was the most fraught period. Shoghik Galstyan and Hayk Petrosyan of the news website Araratnews.am and Sisak Gabrielyan of the Radio Free Europe/Radio Liberty Armenian service were attacked near the headquarters of one of the candidates in Yerevan on election day itself.
Three other journalists were previously the victims of violence during the election campaign, while several journalists were threatened and prevented from covering the voting. </t>
  </si>
  <si>
    <t>Moldova: 10% For Chisinau: Municipal waste: 1609,5 thousands tons
Recycled waste: 479,2 thousands tons
Percentage: 479,2 / 1609,5 *100 = 29,77 %
Source: National Bureau of Statistics - http://www.statistica.md/public/files/publicatii_electronice/Mediu/Resurse_naturale_2017.pdf, pag. 58</t>
  </si>
  <si>
    <t>No change: 0.5, Increase: 0.5, Decrease: 0</t>
  </si>
  <si>
    <t>2.1.2.1</t>
  </si>
  <si>
    <t>2.1.2.1.1</t>
  </si>
  <si>
    <t>2.1.2.1.2</t>
  </si>
  <si>
    <t>2.1.2.2</t>
  </si>
  <si>
    <t>2.1.2.3</t>
  </si>
  <si>
    <t>2.1.2.4</t>
  </si>
  <si>
    <t>2.1.2.5</t>
  </si>
  <si>
    <t>2.1.2.7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</si>
</sst>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00_-;\-* #,##0.00_-;_-* &quot;-&quot;??_-;_-@_-"/>
    <numFmt numFmtId="165" formatCode="0.0"/>
    <numFmt numFmtId="166" formatCode="0.00;[Red]0.00"/>
  </numFmts>
  <fonts count="124">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Calibri"/>
      <family val="2"/>
    </font>
    <font>
      <b/>
      <sz val="11"/>
      <color indexed="8"/>
      <name val="Calibri"/>
      <family val="2"/>
    </font>
    <font>
      <sz val="11"/>
      <name val="Calibri"/>
      <family val="2"/>
    </font>
    <font>
      <b/>
      <sz val="12"/>
      <name val="Calibri"/>
      <family val="2"/>
    </font>
    <font>
      <b/>
      <sz val="9"/>
      <name val="Calibri"/>
      <family val="2"/>
    </font>
    <font>
      <b/>
      <sz val="14"/>
      <name val="Calibri"/>
      <family val="2"/>
    </font>
    <font>
      <sz val="9"/>
      <name val="Calibri"/>
      <family val="2"/>
    </font>
    <font>
      <sz val="8"/>
      <name val="Calibri"/>
      <family val="2"/>
    </font>
    <font>
      <i/>
      <sz val="11"/>
      <color indexed="8"/>
      <name val="Calibri"/>
      <family val="2"/>
    </font>
    <font>
      <sz val="9"/>
      <name val="Merriweather"/>
    </font>
    <font>
      <sz val="9"/>
      <name val="Times New Roman"/>
      <family val="1"/>
    </font>
    <font>
      <sz val="10"/>
      <color indexed="8"/>
      <name val="Calibri"/>
      <family val="2"/>
    </font>
    <font>
      <b/>
      <i/>
      <sz val="12"/>
      <name val="Calibri"/>
      <family val="2"/>
    </font>
    <font>
      <sz val="10"/>
      <name val="Calibri"/>
      <family val="2"/>
    </font>
    <font>
      <sz val="11"/>
      <color indexed="10"/>
      <name val="Calibri"/>
      <family val="2"/>
    </font>
    <font>
      <sz val="10"/>
      <name val="Times New Roman"/>
      <family val="1"/>
    </font>
    <font>
      <i/>
      <sz val="11"/>
      <name val="Calibri"/>
      <family val="2"/>
    </font>
    <font>
      <sz val="12"/>
      <name val="Times New Roman"/>
      <family val="1"/>
    </font>
    <font>
      <i/>
      <sz val="9"/>
      <name val="Calibri"/>
      <family val="2"/>
    </font>
    <font>
      <sz val="12"/>
      <name val="Calibri"/>
      <family val="2"/>
    </font>
    <font>
      <u/>
      <sz val="9"/>
      <name val="Calibri"/>
      <family val="2"/>
    </font>
    <font>
      <i/>
      <sz val="11"/>
      <color indexed="57"/>
      <name val="Calibri"/>
      <family val="2"/>
    </font>
    <font>
      <b/>
      <sz val="11"/>
      <name val="Calibri"/>
      <family val="2"/>
    </font>
    <font>
      <b/>
      <sz val="10"/>
      <name val="Calibri"/>
      <family val="2"/>
    </font>
    <font>
      <sz val="10"/>
      <name val="Calibri"/>
      <family val="2"/>
    </font>
    <font>
      <sz val="11"/>
      <name val="Calibri"/>
      <family val="2"/>
    </font>
    <font>
      <b/>
      <sz val="11"/>
      <color indexed="48"/>
      <name val="Calibri"/>
      <family val="2"/>
    </font>
    <font>
      <sz val="11"/>
      <color indexed="48"/>
      <name val="Calibri"/>
      <family val="2"/>
    </font>
    <font>
      <sz val="10"/>
      <color indexed="10"/>
      <name val="Calibri"/>
      <family val="2"/>
    </font>
    <font>
      <sz val="11"/>
      <color indexed="12"/>
      <name val="Calibri"/>
      <family val="2"/>
    </font>
    <font>
      <sz val="10"/>
      <name val="Menlo Regular"/>
      <family val="2"/>
    </font>
    <font>
      <sz val="11"/>
      <color rgb="FF000000"/>
      <name val="Calibri"/>
      <family val="2"/>
    </font>
    <font>
      <u/>
      <sz val="11"/>
      <color theme="10"/>
      <name val="Calibri"/>
      <family val="2"/>
    </font>
    <font>
      <b/>
      <sz val="11"/>
      <color rgb="FF000000"/>
      <name val="Calibri"/>
      <family val="2"/>
    </font>
    <font>
      <b/>
      <sz val="9"/>
      <color rgb="FF000000"/>
      <name val="Calibri"/>
      <family val="2"/>
    </font>
    <font>
      <b/>
      <sz val="16"/>
      <color rgb="FF000000"/>
      <name val="Calibri"/>
      <family val="2"/>
    </font>
    <font>
      <b/>
      <sz val="14"/>
      <color rgb="FF000000"/>
      <name val="Calibri"/>
      <family val="2"/>
    </font>
    <font>
      <b/>
      <sz val="12"/>
      <color rgb="FF000000"/>
      <name val="Calibri"/>
      <family val="2"/>
    </font>
    <font>
      <sz val="9"/>
      <color rgb="FF000000"/>
      <name val="Calibri"/>
      <family val="2"/>
    </font>
    <font>
      <sz val="11"/>
      <color rgb="FF333300"/>
      <name val="Calibri"/>
      <family val="2"/>
    </font>
    <font>
      <sz val="11"/>
      <color rgb="FFDD0806"/>
      <name val="Calibri"/>
      <family val="2"/>
    </font>
    <font>
      <sz val="9"/>
      <color rgb="FF0000D4"/>
      <name val="Calibri"/>
      <family val="2"/>
    </font>
    <font>
      <sz val="11"/>
      <color rgb="FF4600A5"/>
      <name val="Calibri"/>
      <family val="2"/>
    </font>
    <font>
      <u/>
      <sz val="9"/>
      <color rgb="FF0000FF"/>
      <name val="Calibri"/>
      <family val="2"/>
    </font>
    <font>
      <b/>
      <sz val="9"/>
      <color rgb="FF0000D4"/>
      <name val="Calibri"/>
      <family val="2"/>
    </font>
    <font>
      <sz val="11"/>
      <color rgb="FF4F81BD"/>
      <name val="Calibri"/>
      <family val="2"/>
    </font>
    <font>
      <sz val="9"/>
      <color rgb="FFDD0806"/>
      <name val="Calibri"/>
      <family val="2"/>
    </font>
    <font>
      <sz val="9"/>
      <color rgb="FF4F81BD"/>
      <name val="Calibri"/>
      <family val="2"/>
    </font>
    <font>
      <sz val="11"/>
      <color rgb="FF0000D4"/>
      <name val="Calibri"/>
      <family val="2"/>
    </font>
    <font>
      <i/>
      <sz val="11"/>
      <color rgb="FF000000"/>
      <name val="Calibri"/>
      <family val="2"/>
    </font>
    <font>
      <sz val="9"/>
      <color rgb="FF000000"/>
      <name val="Arial"/>
      <family val="2"/>
    </font>
    <font>
      <sz val="9"/>
      <color rgb="FFFF0000"/>
      <name val="Calibri"/>
      <family val="2"/>
    </font>
    <font>
      <sz val="9"/>
      <color rgb="FFDD0806"/>
      <name val="Times New Roman"/>
      <family val="1"/>
    </font>
    <font>
      <sz val="11"/>
      <color rgb="FF993366"/>
      <name val="Calibri"/>
      <family val="2"/>
    </font>
    <font>
      <b/>
      <sz val="10"/>
      <color rgb="FF000000"/>
      <name val="Calibri"/>
      <family val="2"/>
    </font>
    <font>
      <sz val="10"/>
      <color rgb="FF000000"/>
      <name val="Calibri"/>
      <family val="2"/>
    </font>
    <font>
      <sz val="8"/>
      <color rgb="FF0000D4"/>
      <name val="Calibri"/>
      <family val="2"/>
    </font>
    <font>
      <sz val="8"/>
      <color rgb="FF000000"/>
      <name val="Calibri"/>
      <family val="2"/>
    </font>
    <font>
      <sz val="9"/>
      <color rgb="FF33CCCC"/>
      <name val="Calibri"/>
      <family val="2"/>
    </font>
    <font>
      <b/>
      <sz val="9"/>
      <color rgb="FF33CCCC"/>
      <name val="Calibri"/>
      <family val="2"/>
    </font>
    <font>
      <sz val="11"/>
      <color rgb="FF339966"/>
      <name val="Calibri"/>
      <family val="2"/>
    </font>
    <font>
      <sz val="9"/>
      <color rgb="FF548DD4"/>
      <name val="Calibri"/>
      <family val="2"/>
    </font>
    <font>
      <sz val="9"/>
      <color rgb="FF002060"/>
      <name val="Calibri"/>
      <family val="2"/>
    </font>
    <font>
      <sz val="9"/>
      <color rgb="FF3366FF"/>
      <name val="Calibri"/>
      <family val="2"/>
    </font>
    <font>
      <sz val="8"/>
      <color rgb="FFFF0000"/>
      <name val="Calibri"/>
      <family val="2"/>
    </font>
    <font>
      <u/>
      <sz val="8"/>
      <color rgb="FF0000D4"/>
      <name val="Calibri"/>
      <family val="2"/>
    </font>
    <font>
      <b/>
      <sz val="11"/>
      <color rgb="FFF79646"/>
      <name val="Calibri"/>
      <family val="2"/>
    </font>
    <font>
      <b/>
      <sz val="11"/>
      <color rgb="FFFF0000"/>
      <name val="Calibri"/>
      <family val="2"/>
    </font>
    <font>
      <sz val="11"/>
      <color rgb="FFFF0000"/>
      <name val="Calibri"/>
      <family val="2"/>
    </font>
    <font>
      <b/>
      <sz val="9"/>
      <color rgb="FFFF0000"/>
      <name val="Calibri"/>
      <family val="2"/>
    </font>
    <font>
      <sz val="10"/>
      <color rgb="FF0000D4"/>
      <name val="Calibri"/>
      <family val="2"/>
    </font>
    <font>
      <sz val="9"/>
      <color rgb="FF0000D4"/>
      <name val="Merriweather"/>
    </font>
    <font>
      <sz val="9"/>
      <color rgb="FF1F497D"/>
      <name val="Calibri"/>
      <family val="2"/>
    </font>
    <font>
      <b/>
      <sz val="11"/>
      <color rgb="FF339966"/>
      <name val="Calibri"/>
      <family val="2"/>
    </font>
    <font>
      <sz val="9"/>
      <color rgb="FF000000"/>
      <name val="Times New Roman"/>
      <family val="1"/>
    </font>
    <font>
      <b/>
      <sz val="9"/>
      <color rgb="FF252525"/>
      <name val="Arial"/>
      <family val="2"/>
    </font>
    <font>
      <b/>
      <sz val="8"/>
      <color rgb="FF000000"/>
      <name val="Calibri"/>
      <family val="2"/>
    </font>
    <font>
      <b/>
      <sz val="11"/>
      <color rgb="FF006411"/>
      <name val="Calibri"/>
      <family val="2"/>
    </font>
    <font>
      <b/>
      <i/>
      <sz val="11"/>
      <color rgb="FF000000"/>
      <name val="Calibri"/>
      <family val="2"/>
    </font>
    <font>
      <b/>
      <sz val="11"/>
      <color rgb="FF90713A"/>
      <name val="Calibri"/>
      <family val="2"/>
    </font>
    <font>
      <sz val="9"/>
      <color rgb="FFF20884"/>
      <name val="Calibri"/>
      <family val="2"/>
    </font>
    <font>
      <sz val="12"/>
      <color rgb="FF000000"/>
      <name val="Cambria"/>
      <family val="1"/>
    </font>
    <font>
      <sz val="11"/>
      <color rgb="FF90713A"/>
      <name val="Calibri"/>
      <family val="2"/>
    </font>
    <font>
      <b/>
      <sz val="12"/>
      <color rgb="FF000000"/>
      <name val="Cambria"/>
      <family val="1"/>
    </font>
    <font>
      <sz val="12"/>
      <color rgb="FFDD0806"/>
      <name val="Times New Roman"/>
      <family val="1"/>
    </font>
    <font>
      <sz val="11"/>
      <color rgb="FFF20884"/>
      <name val="Calibri"/>
      <family val="2"/>
    </font>
    <font>
      <sz val="9"/>
      <color rgb="FF006411"/>
      <name val="Calibri"/>
      <family val="2"/>
    </font>
    <font>
      <b/>
      <sz val="11"/>
      <color rgb="FFB17ED8"/>
      <name val="Calibri"/>
      <family val="2"/>
    </font>
    <font>
      <b/>
      <sz val="10"/>
      <color rgb="FF0000D4"/>
      <name val="Calibri"/>
      <family val="2"/>
    </font>
    <font>
      <sz val="10"/>
      <color rgb="FFDD0806"/>
      <name val="Calibri"/>
      <family val="2"/>
    </font>
    <font>
      <sz val="10"/>
      <color rgb="FF333333"/>
      <name val="Calibri"/>
      <family val="2"/>
    </font>
    <font>
      <sz val="10"/>
      <color rgb="FFFF0000"/>
      <name val="Calibri"/>
      <family val="2"/>
    </font>
    <font>
      <b/>
      <sz val="11"/>
      <color theme="9" tint="-0.249977111117893"/>
      <name val="Calibri"/>
      <family val="2"/>
    </font>
    <font>
      <b/>
      <sz val="10"/>
      <color rgb="FFFF0000"/>
      <name val="Calibri"/>
      <family val="2"/>
    </font>
    <font>
      <sz val="10"/>
      <color theme="1"/>
      <name val="Calibri"/>
      <family val="2"/>
    </font>
    <font>
      <sz val="10"/>
      <color rgb="FF555555"/>
      <name val="Calibri"/>
      <family val="2"/>
    </font>
    <font>
      <sz val="10"/>
      <color rgb="FF1F497D"/>
      <name val="Calibri"/>
      <family val="2"/>
    </font>
    <font>
      <b/>
      <sz val="10"/>
      <color rgb="FF252525"/>
      <name val="Calibri"/>
      <family val="2"/>
    </font>
    <font>
      <b/>
      <sz val="11"/>
      <color theme="1"/>
      <name val="Calibri"/>
      <family val="2"/>
    </font>
    <font>
      <sz val="11"/>
      <color rgb="FF212121"/>
      <name val="Calibri"/>
      <family val="2"/>
      <scheme val="minor"/>
    </font>
    <font>
      <sz val="10"/>
      <color rgb="FF222222"/>
      <name val="Calibri"/>
      <family val="2"/>
    </font>
    <font>
      <b/>
      <sz val="11"/>
      <color rgb="FF660066"/>
      <name val="Times New Roman"/>
      <family val="1"/>
    </font>
    <font>
      <b/>
      <sz val="11"/>
      <name val="Calibri"/>
      <family val="2"/>
      <scheme val="minor"/>
    </font>
    <font>
      <sz val="11"/>
      <color theme="1"/>
      <name val="Calibri"/>
      <family val="2"/>
    </font>
    <font>
      <b/>
      <sz val="11"/>
      <color rgb="FF4F81BD"/>
      <name val="Calibri"/>
      <family val="2"/>
    </font>
    <font>
      <u/>
      <sz val="11"/>
      <color theme="11"/>
      <name val="Calibri"/>
      <family val="2"/>
    </font>
    <font>
      <b/>
      <sz val="16"/>
      <name val="Calibri"/>
      <family val="2"/>
    </font>
    <font>
      <u/>
      <sz val="11"/>
      <color theme="10"/>
      <name val="Calibri"/>
      <family val="2"/>
    </font>
    <font>
      <sz val="11"/>
      <color rgb="FF000000"/>
      <name val="Calibri"/>
      <family val="2"/>
      <charset val="204"/>
    </font>
    <font>
      <sz val="11"/>
      <color rgb="FF000000"/>
      <name val="Calibri"/>
      <family val="2"/>
    </font>
    <font>
      <u/>
      <sz val="11"/>
      <color theme="10"/>
      <name val="Calibri"/>
      <family val="2"/>
    </font>
    <font>
      <u/>
      <sz val="11"/>
      <color theme="10"/>
      <name val="Calibri"/>
      <family val="2"/>
    </font>
    <font>
      <sz val="11"/>
      <color rgb="FF000000"/>
      <name val="Calibri"/>
      <family val="2"/>
    </font>
    <font>
      <u/>
      <sz val="11"/>
      <name val="Calibri"/>
      <family val="2"/>
    </font>
    <font>
      <sz val="11"/>
      <color rgb="FF1F497D"/>
      <name val="Calibri"/>
      <family val="2"/>
    </font>
    <font>
      <sz val="14"/>
      <name val="Calibri"/>
      <family val="2"/>
    </font>
    <font>
      <b/>
      <sz val="14"/>
      <color theme="0"/>
      <name val="Calibri"/>
      <family val="2"/>
    </font>
  </fonts>
  <fills count="109">
    <fill>
      <patternFill patternType="none"/>
    </fill>
    <fill>
      <patternFill patternType="gray125"/>
    </fill>
    <fill>
      <patternFill patternType="solid">
        <fgColor rgb="FFFFC000"/>
        <bgColor rgb="FFFFC000"/>
      </patternFill>
    </fill>
    <fill>
      <patternFill patternType="solid">
        <fgColor rgb="FFFFCC00"/>
        <bgColor rgb="FFFFCC00"/>
      </patternFill>
    </fill>
    <fill>
      <patternFill patternType="solid">
        <fgColor rgb="FFFFFF99"/>
        <bgColor rgb="FFFFFF99"/>
      </patternFill>
    </fill>
    <fill>
      <patternFill patternType="solid">
        <fgColor rgb="FFFFFFFF"/>
        <bgColor rgb="FFFFFFFF"/>
      </patternFill>
    </fill>
    <fill>
      <patternFill patternType="solid">
        <fgColor rgb="FFE5B8B7"/>
        <bgColor rgb="FFE5B8B7"/>
      </patternFill>
    </fill>
    <fill>
      <patternFill patternType="solid">
        <fgColor rgb="FFC0C0C0"/>
        <bgColor rgb="FFC0C0C0"/>
      </patternFill>
    </fill>
    <fill>
      <patternFill patternType="solid">
        <fgColor rgb="FF00ABEA"/>
        <bgColor rgb="FF00ABEA"/>
      </patternFill>
    </fill>
    <fill>
      <patternFill patternType="solid">
        <fgColor rgb="FFD8D8D8"/>
        <bgColor rgb="FFD8D8D8"/>
      </patternFill>
    </fill>
    <fill>
      <patternFill patternType="solid">
        <fgColor rgb="FFCCFFCC"/>
        <bgColor rgb="FFCCFFCC"/>
      </patternFill>
    </fill>
    <fill>
      <patternFill patternType="solid">
        <fgColor rgb="FFBFBFBF"/>
        <bgColor rgb="FFBFBFBF"/>
      </patternFill>
    </fill>
    <fill>
      <patternFill patternType="solid">
        <fgColor rgb="FFFCF305"/>
        <bgColor rgb="FFFCF305"/>
      </patternFill>
    </fill>
    <fill>
      <patternFill patternType="solid">
        <fgColor rgb="FFCC99FF"/>
        <bgColor rgb="FFCC99FF"/>
      </patternFill>
    </fill>
    <fill>
      <patternFill patternType="solid">
        <fgColor rgb="FF1FB714"/>
        <bgColor rgb="FF1FB714"/>
      </patternFill>
    </fill>
    <fill>
      <patternFill patternType="solid">
        <fgColor rgb="FF33CCCC"/>
        <bgColor rgb="FF33CCCC"/>
      </patternFill>
    </fill>
    <fill>
      <patternFill patternType="solid">
        <fgColor rgb="FFFEA746"/>
        <bgColor rgb="FFFEA746"/>
      </patternFill>
    </fill>
    <fill>
      <patternFill patternType="solid">
        <fgColor rgb="FFDD0806"/>
        <bgColor rgb="FFDD0806"/>
      </patternFill>
    </fill>
    <fill>
      <patternFill patternType="solid">
        <fgColor rgb="FFFF9900"/>
        <bgColor rgb="FFFF9900"/>
      </patternFill>
    </fill>
    <fill>
      <patternFill patternType="solid">
        <fgColor rgb="FFFF99CC"/>
        <bgColor rgb="FFFF99CC"/>
      </patternFill>
    </fill>
    <fill>
      <patternFill patternType="solid">
        <fgColor rgb="FF99CCFF"/>
        <bgColor rgb="FF99CCFF"/>
      </patternFill>
    </fill>
    <fill>
      <patternFill patternType="solid">
        <fgColor rgb="FF99CC00"/>
        <bgColor rgb="FF99CC00"/>
      </patternFill>
    </fill>
    <fill>
      <patternFill patternType="solid">
        <fgColor rgb="FFFFC000"/>
        <bgColor rgb="FFFFCC00"/>
      </patternFill>
    </fill>
    <fill>
      <patternFill patternType="solid">
        <fgColor rgb="FFFFC000"/>
        <bgColor rgb="FFFFFF99"/>
      </patternFill>
    </fill>
    <fill>
      <patternFill patternType="solid">
        <fgColor theme="0"/>
        <bgColor indexed="64"/>
      </patternFill>
    </fill>
    <fill>
      <patternFill patternType="solid">
        <fgColor rgb="FFFFC000"/>
        <bgColor indexed="64"/>
      </patternFill>
    </fill>
    <fill>
      <patternFill patternType="solid">
        <fgColor theme="0"/>
        <bgColor rgb="FFC6D9F0"/>
      </patternFill>
    </fill>
    <fill>
      <patternFill patternType="solid">
        <fgColor rgb="FFFFFF99"/>
        <bgColor indexed="64"/>
      </patternFill>
    </fill>
    <fill>
      <patternFill patternType="solid">
        <fgColor theme="9" tint="0.39997558519241921"/>
        <bgColor indexed="64"/>
      </patternFill>
    </fill>
    <fill>
      <patternFill patternType="solid">
        <fgColor theme="9" tint="0.39997558519241921"/>
        <bgColor rgb="FFFFFFFF"/>
      </patternFill>
    </fill>
    <fill>
      <patternFill patternType="solid">
        <fgColor theme="0"/>
        <bgColor rgb="FFFFFFFF"/>
      </patternFill>
    </fill>
    <fill>
      <patternFill patternType="solid">
        <fgColor theme="8" tint="0.39997558519241921"/>
        <bgColor indexed="64"/>
      </patternFill>
    </fill>
    <fill>
      <patternFill patternType="solid">
        <fgColor theme="0"/>
        <bgColor rgb="FFC2D69B"/>
      </patternFill>
    </fill>
    <fill>
      <patternFill patternType="solid">
        <fgColor rgb="FFFFFF99"/>
        <bgColor rgb="FFFFFFFF"/>
      </patternFill>
    </fill>
    <fill>
      <patternFill patternType="solid">
        <fgColor theme="7"/>
        <bgColor rgb="FFFFFF99"/>
      </patternFill>
    </fill>
    <fill>
      <patternFill patternType="solid">
        <fgColor theme="0"/>
        <bgColor rgb="FFFF0000"/>
      </patternFill>
    </fill>
    <fill>
      <patternFill patternType="solid">
        <fgColor theme="9" tint="0.39997558519241921"/>
        <bgColor rgb="FF92D050"/>
      </patternFill>
    </fill>
    <fill>
      <patternFill patternType="solid">
        <fgColor theme="9" tint="0.39997558519241921"/>
        <bgColor rgb="FF94C45D"/>
      </patternFill>
    </fill>
    <fill>
      <patternFill patternType="solid">
        <fgColor theme="0"/>
        <bgColor rgb="FF92D050"/>
      </patternFill>
    </fill>
    <fill>
      <patternFill patternType="solid">
        <fgColor theme="0"/>
        <bgColor rgb="FF94C45D"/>
      </patternFill>
    </fill>
    <fill>
      <patternFill patternType="solid">
        <fgColor theme="0"/>
        <bgColor rgb="FFFFC000"/>
      </patternFill>
    </fill>
    <fill>
      <patternFill patternType="solid">
        <fgColor rgb="FF7030A0"/>
        <bgColor indexed="64"/>
      </patternFill>
    </fill>
    <fill>
      <patternFill patternType="solid">
        <fgColor rgb="FFFFFF00"/>
        <bgColor rgb="FFFFFFFF"/>
      </patternFill>
    </fill>
    <fill>
      <patternFill patternType="solid">
        <fgColor theme="7"/>
        <bgColor rgb="FFFFCC00"/>
      </patternFill>
    </fill>
    <fill>
      <patternFill patternType="solid">
        <fgColor theme="7"/>
        <bgColor indexed="64"/>
      </patternFill>
    </fill>
    <fill>
      <patternFill patternType="solid">
        <fgColor theme="0"/>
        <bgColor rgb="FFFFCC00"/>
      </patternFill>
    </fill>
    <fill>
      <patternFill patternType="solid">
        <fgColor theme="9" tint="0.39997558519241921"/>
        <bgColor rgb="FF000000"/>
      </patternFill>
    </fill>
    <fill>
      <patternFill patternType="solid">
        <fgColor rgb="FFFFFF00"/>
        <bgColor indexed="64"/>
      </patternFill>
    </fill>
    <fill>
      <patternFill patternType="solid">
        <fgColor rgb="FFFFFFFF"/>
        <bgColor indexed="64"/>
      </patternFill>
    </fill>
    <fill>
      <patternFill patternType="solid">
        <fgColor theme="0" tint="-0.14999847407452621"/>
        <bgColor rgb="FFFFFFFF"/>
      </patternFill>
    </fill>
    <fill>
      <patternFill patternType="solid">
        <fgColor theme="9" tint="0.39997558519241921"/>
        <bgColor rgb="FFFFC000"/>
      </patternFill>
    </fill>
    <fill>
      <patternFill patternType="solid">
        <fgColor rgb="FFFFC000"/>
        <bgColor rgb="FFFF0000"/>
      </patternFill>
    </fill>
    <fill>
      <patternFill patternType="solid">
        <fgColor rgb="FFFFC000"/>
        <bgColor rgb="FF969696"/>
      </patternFill>
    </fill>
    <fill>
      <patternFill patternType="solid">
        <fgColor theme="0"/>
        <bgColor rgb="FF000000"/>
      </patternFill>
    </fill>
    <fill>
      <patternFill patternType="solid">
        <fgColor rgb="FFFFC000"/>
        <bgColor rgb="FFFFFFFF"/>
      </patternFill>
    </fill>
    <fill>
      <patternFill patternType="solid">
        <fgColor theme="9" tint="0.39997558519241921"/>
        <bgColor rgb="FFF2DBDB"/>
      </patternFill>
    </fill>
    <fill>
      <patternFill patternType="solid">
        <fgColor theme="7"/>
        <bgColor rgb="FFF2DBDB"/>
      </patternFill>
    </fill>
    <fill>
      <patternFill patternType="solid">
        <fgColor theme="9" tint="0.79998168889431442"/>
        <bgColor rgb="FFF2DBDB"/>
      </patternFill>
    </fill>
    <fill>
      <patternFill patternType="solid">
        <fgColor theme="0"/>
        <bgColor rgb="FFFFFF99"/>
      </patternFill>
    </fill>
    <fill>
      <patternFill patternType="solid">
        <fgColor rgb="FFFFFF00"/>
        <bgColor rgb="FFFF0000"/>
      </patternFill>
    </fill>
    <fill>
      <patternFill patternType="solid">
        <fgColor theme="9" tint="0.39997558519241921"/>
        <bgColor rgb="FFFFCC00"/>
      </patternFill>
    </fill>
    <fill>
      <patternFill patternType="solid">
        <fgColor theme="8" tint="0.59999389629810485"/>
        <bgColor rgb="FFFF0000"/>
      </patternFill>
    </fill>
    <fill>
      <patternFill patternType="solid">
        <fgColor theme="9" tint="0.39997558519241921"/>
        <bgColor rgb="FFFFFF99"/>
      </patternFill>
    </fill>
    <fill>
      <patternFill patternType="solid">
        <fgColor theme="5" tint="0.59999389629810485"/>
        <bgColor indexed="64"/>
      </patternFill>
    </fill>
    <fill>
      <patternFill patternType="solid">
        <fgColor rgb="FFCCFFCC"/>
        <bgColor indexed="64"/>
      </patternFill>
    </fill>
    <fill>
      <patternFill patternType="solid">
        <fgColor theme="9"/>
        <bgColor indexed="64"/>
      </patternFill>
    </fill>
    <fill>
      <patternFill patternType="solid">
        <fgColor theme="7"/>
        <bgColor rgb="FFFFC000"/>
      </patternFill>
    </fill>
    <fill>
      <patternFill patternType="solid">
        <fgColor theme="9" tint="0.39997558519241921"/>
        <bgColor rgb="FFFF0000"/>
      </patternFill>
    </fill>
    <fill>
      <patternFill patternType="solid">
        <fgColor rgb="FFFFFFFF"/>
        <bgColor rgb="FF000000"/>
      </patternFill>
    </fill>
    <fill>
      <patternFill patternType="solid">
        <fgColor rgb="FFFFFFFF"/>
        <bgColor rgb="FF92D050"/>
      </patternFill>
    </fill>
    <fill>
      <patternFill patternType="solid">
        <fgColor theme="5" tint="0.59999389629810485"/>
        <bgColor rgb="FFFFFF99"/>
      </patternFill>
    </fill>
    <fill>
      <patternFill patternType="solid">
        <fgColor indexed="9"/>
        <bgColor indexed="26"/>
      </patternFill>
    </fill>
    <fill>
      <patternFill patternType="solid">
        <fgColor theme="4" tint="0.39997558519241921"/>
        <bgColor indexed="64"/>
      </patternFill>
    </fill>
    <fill>
      <patternFill patternType="solid">
        <fgColor theme="4" tint="0.39997558519241921"/>
        <bgColor rgb="FFFFFFFF"/>
      </patternFill>
    </fill>
    <fill>
      <patternFill patternType="solid">
        <fgColor theme="7" tint="0.79998168889431442"/>
        <bgColor indexed="64"/>
      </patternFill>
    </fill>
    <fill>
      <patternFill patternType="solid">
        <fgColor theme="7" tint="0.79998168889431442"/>
        <bgColor rgb="FFFFFFFF"/>
      </patternFill>
    </fill>
    <fill>
      <patternFill patternType="solid">
        <fgColor theme="7" tint="0.79998168889431442"/>
        <bgColor rgb="FFFFFF99"/>
      </patternFill>
    </fill>
    <fill>
      <patternFill patternType="solid">
        <fgColor theme="7" tint="0.79998168889431442"/>
        <bgColor rgb="FF92D050"/>
      </patternFill>
    </fill>
    <fill>
      <patternFill patternType="solid">
        <fgColor theme="5" tint="0.39997558519241921"/>
        <bgColor indexed="64"/>
      </patternFill>
    </fill>
    <fill>
      <patternFill patternType="solid">
        <fgColor theme="9" tint="0.59999389629810485"/>
        <bgColor indexed="64"/>
      </patternFill>
    </fill>
    <fill>
      <patternFill patternType="solid">
        <fgColor theme="4" tint="0.39997558519241921"/>
        <bgColor rgb="FFFFC000"/>
      </patternFill>
    </fill>
    <fill>
      <patternFill patternType="solid">
        <fgColor rgb="FFFFFF99"/>
        <bgColor rgb="FFFFC000"/>
      </patternFill>
    </fill>
    <fill>
      <patternFill patternType="solid">
        <fgColor theme="9" tint="0.59999389629810485"/>
        <bgColor rgb="FFFFFF99"/>
      </patternFill>
    </fill>
    <fill>
      <patternFill patternType="solid">
        <fgColor theme="5" tint="0.59999389629810485"/>
        <bgColor rgb="FFFFC000"/>
      </patternFill>
    </fill>
    <fill>
      <patternFill patternType="solid">
        <fgColor theme="5" tint="0.39997558519241921"/>
        <bgColor rgb="FFFFCC00"/>
      </patternFill>
    </fill>
    <fill>
      <patternFill patternType="solid">
        <fgColor theme="5" tint="0.39997558519241921"/>
        <bgColor rgb="FFFFC000"/>
      </patternFill>
    </fill>
    <fill>
      <patternFill patternType="solid">
        <fgColor theme="5" tint="0.39997558519241921"/>
        <bgColor rgb="FFFFFF99"/>
      </patternFill>
    </fill>
    <fill>
      <patternFill patternType="solid">
        <fgColor theme="4" tint="0.39997558519241921"/>
        <bgColor rgb="FFFFCC00"/>
      </patternFill>
    </fill>
    <fill>
      <patternFill patternType="solid">
        <fgColor theme="4" tint="0.39997558519241921"/>
        <bgColor rgb="FFFFFF99"/>
      </patternFill>
    </fill>
    <fill>
      <patternFill patternType="solid">
        <fgColor rgb="FF00B0F0"/>
        <bgColor rgb="FFFFFF99"/>
      </patternFill>
    </fill>
    <fill>
      <patternFill patternType="solid">
        <fgColor rgb="FF00B0F0"/>
        <bgColor rgb="FFFFC000"/>
      </patternFill>
    </fill>
    <fill>
      <patternFill patternType="solid">
        <fgColor theme="5" tint="0.39997558519241921"/>
        <bgColor rgb="FFFFFFFF"/>
      </patternFill>
    </fill>
    <fill>
      <patternFill patternType="solid">
        <fgColor theme="5" tint="-0.249977111117893"/>
        <bgColor rgb="FFFFC000"/>
      </patternFill>
    </fill>
    <fill>
      <patternFill patternType="solid">
        <fgColor theme="5" tint="0.59999389629810485"/>
        <bgColor rgb="FFFFFFFF"/>
      </patternFill>
    </fill>
    <fill>
      <patternFill patternType="solid">
        <fgColor theme="5" tint="0.39997558519241921"/>
        <bgColor rgb="FF969696"/>
      </patternFill>
    </fill>
    <fill>
      <patternFill patternType="solid">
        <fgColor theme="5" tint="-0.249977111117893"/>
        <bgColor rgb="FFFFCC00"/>
      </patternFill>
    </fill>
    <fill>
      <patternFill patternType="solid">
        <fgColor theme="5" tint="0.39997558519241921"/>
        <bgColor rgb="FFFF0000"/>
      </patternFill>
    </fill>
    <fill>
      <patternFill patternType="solid">
        <fgColor theme="9" tint="0.59999389629810485"/>
        <bgColor rgb="FFFFFFFF"/>
      </patternFill>
    </fill>
    <fill>
      <patternFill patternType="solid">
        <fgColor theme="4" tint="0.39997558519241921"/>
        <bgColor rgb="FFFF0000"/>
      </patternFill>
    </fill>
    <fill>
      <patternFill patternType="solid">
        <fgColor theme="4" tint="0.39997558519241921"/>
        <bgColor rgb="FF000000"/>
      </patternFill>
    </fill>
    <fill>
      <patternFill patternType="solid">
        <fgColor theme="4" tint="0.39997558519241921"/>
        <bgColor rgb="FF92D050"/>
      </patternFill>
    </fill>
    <fill>
      <patternFill patternType="solid">
        <fgColor theme="9" tint="0.59999389629810485"/>
        <bgColor rgb="FF92D050"/>
      </patternFill>
    </fill>
    <fill>
      <patternFill patternType="solid">
        <fgColor theme="9" tint="0.59999389629810485"/>
        <bgColor rgb="FF94C45D"/>
      </patternFill>
    </fill>
    <fill>
      <patternFill patternType="solid">
        <fgColor theme="9" tint="0.59999389629810485"/>
        <bgColor rgb="FFFF0000"/>
      </patternFill>
    </fill>
    <fill>
      <patternFill patternType="solid">
        <fgColor theme="9" tint="0.59999389629810485"/>
        <bgColor rgb="FFF2DBDB"/>
      </patternFill>
    </fill>
    <fill>
      <patternFill patternType="solid">
        <fgColor rgb="FFFFC000"/>
        <bgColor rgb="FFF2DBDB"/>
      </patternFill>
    </fill>
    <fill>
      <patternFill patternType="solid">
        <fgColor theme="4"/>
        <bgColor indexed="64"/>
      </patternFill>
    </fill>
    <fill>
      <patternFill patternType="solid">
        <fgColor theme="4" tint="0.79998168889431442"/>
        <bgColor indexed="64"/>
      </patternFill>
    </fill>
    <fill>
      <patternFill patternType="solid">
        <fgColor theme="0"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thin">
        <color auto="1"/>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C0C0C0"/>
      </right>
      <top/>
      <bottom style="thin">
        <color rgb="FFC0C0C0"/>
      </bottom>
      <diagonal/>
    </border>
    <border>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auto="1"/>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auto="1"/>
      </right>
      <top/>
      <bottom style="thin">
        <color auto="1"/>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double">
        <color rgb="FF333333"/>
      </left>
      <right/>
      <top style="double">
        <color rgb="FF333333"/>
      </top>
      <bottom/>
      <diagonal/>
    </border>
    <border>
      <left/>
      <right/>
      <top/>
      <bottom style="thin">
        <color rgb="FF000000"/>
      </bottom>
      <diagonal/>
    </border>
    <border>
      <left style="thin">
        <color rgb="FF000000"/>
      </left>
      <right style="thin">
        <color auto="1"/>
      </right>
      <top style="thin">
        <color auto="1"/>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74">
    <xf numFmtId="0" fontId="0" fillId="0" borderId="0"/>
    <xf numFmtId="43" fontId="38" fillId="0" borderId="0" applyFont="0" applyFill="0" applyBorder="0" applyAlignment="0" applyProtection="0"/>
    <xf numFmtId="43" fontId="38" fillId="0" borderId="0" applyFont="0" applyFill="0" applyBorder="0" applyAlignment="0" applyProtection="0"/>
    <xf numFmtId="0" fontId="39" fillId="0" borderId="0" applyNumberFormat="0" applyFill="0" applyBorder="0" applyAlignment="0" applyProtection="0"/>
    <xf numFmtId="0" fontId="38" fillId="0" borderId="0"/>
    <xf numFmtId="0" fontId="38" fillId="0" borderId="0"/>
    <xf numFmtId="0" fontId="38" fillId="0" borderId="0"/>
    <xf numFmtId="9" fontId="38"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4" fillId="0" borderId="0" applyNumberFormat="0" applyFill="0" applyBorder="0" applyAlignment="0" applyProtection="0"/>
    <xf numFmtId="0" fontId="115" fillId="0" borderId="0"/>
    <xf numFmtId="0" fontId="38" fillId="0" borderId="0"/>
    <xf numFmtId="0" fontId="38" fillId="0" borderId="0"/>
    <xf numFmtId="0" fontId="38" fillId="0" borderId="0"/>
    <xf numFmtId="9" fontId="38" fillId="0" borderId="0" applyFont="0" applyFill="0" applyBorder="0" applyAlignment="0" applyProtection="0"/>
    <xf numFmtId="0" fontId="6" fillId="0" borderId="0"/>
    <xf numFmtId="164" fontId="38" fillId="0" borderId="0" applyFont="0" applyFill="0" applyBorder="0" applyAlignment="0" applyProtection="0"/>
    <xf numFmtId="164" fontId="38"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0" fontId="116" fillId="0" borderId="0"/>
    <xf numFmtId="0" fontId="116" fillId="0" borderId="0"/>
    <xf numFmtId="0" fontId="116" fillId="0" borderId="0"/>
    <xf numFmtId="9" fontId="116" fillId="0" borderId="0" applyFont="0" applyFill="0" applyBorder="0" applyAlignment="0" applyProtection="0"/>
    <xf numFmtId="0" fontId="117" fillId="0" borderId="0" applyNumberFormat="0" applyFill="0" applyBorder="0" applyAlignment="0" applyProtection="0"/>
    <xf numFmtId="0" fontId="38" fillId="0" borderId="0"/>
    <xf numFmtId="0" fontId="118" fillId="0" borderId="0" applyNumberFormat="0" applyFill="0" applyBorder="0" applyAlignment="0" applyProtection="0"/>
    <xf numFmtId="0" fontId="5" fillId="0" borderId="0"/>
    <xf numFmtId="164" fontId="38" fillId="0" borderId="0" applyFont="0" applyFill="0" applyBorder="0" applyAlignment="0" applyProtection="0"/>
    <xf numFmtId="164" fontId="38" fillId="0" borderId="0" applyFont="0" applyFill="0" applyBorder="0" applyAlignment="0" applyProtection="0"/>
    <xf numFmtId="0" fontId="4" fillId="0" borderId="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0" fontId="38" fillId="0" borderId="0"/>
    <xf numFmtId="0" fontId="38" fillId="0" borderId="0"/>
    <xf numFmtId="0" fontId="38" fillId="0" borderId="0"/>
    <xf numFmtId="9" fontId="38"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164" fontId="38" fillId="0" borderId="0" applyFont="0" applyFill="0" applyBorder="0" applyAlignment="0" applyProtection="0"/>
    <xf numFmtId="164" fontId="38"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0" fontId="119" fillId="0" borderId="0"/>
    <xf numFmtId="0" fontId="119" fillId="0" borderId="0"/>
    <xf numFmtId="0" fontId="119" fillId="0" borderId="0"/>
    <xf numFmtId="9" fontId="119"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3" fillId="0" borderId="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0" fontId="3" fillId="0" borderId="0"/>
    <xf numFmtId="164" fontId="38" fillId="0" borderId="0" applyFont="0" applyFill="0" applyBorder="0" applyAlignment="0" applyProtection="0"/>
    <xf numFmtId="164" fontId="38" fillId="0" borderId="0" applyFont="0" applyFill="0" applyBorder="0" applyAlignment="0" applyProtection="0"/>
    <xf numFmtId="0" fontId="3" fillId="0" borderId="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0" fontId="3" fillId="0" borderId="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0" fontId="38" fillId="0" borderId="0"/>
    <xf numFmtId="0" fontId="38" fillId="0" borderId="0"/>
    <xf numFmtId="0" fontId="38" fillId="0" borderId="0"/>
    <xf numFmtId="9" fontId="38"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615">
    <xf numFmtId="0" fontId="0" fillId="0" borderId="0" xfId="0" applyFont="1" applyAlignment="1"/>
    <xf numFmtId="0" fontId="0" fillId="0" borderId="12" xfId="0" applyFont="1" applyBorder="1" applyAlignment="1">
      <alignment horizontal="center" vertical="center"/>
    </xf>
    <xf numFmtId="0" fontId="0" fillId="0" borderId="0" xfId="0" applyFont="1" applyAlignment="1">
      <alignment horizontal="center" vertical="center"/>
    </xf>
    <xf numFmtId="0" fontId="7" fillId="0" borderId="0" xfId="0" applyFont="1" applyAlignment="1">
      <alignment vertical="center" wrapText="1"/>
    </xf>
    <xf numFmtId="0" fontId="7" fillId="0" borderId="12" xfId="0" applyFont="1" applyBorder="1" applyAlignment="1">
      <alignment vertical="center" wrapText="1"/>
    </xf>
    <xf numFmtId="2" fontId="40" fillId="0" borderId="12" xfId="0" applyNumberFormat="1" applyFont="1" applyBorder="1" applyAlignment="1">
      <alignment horizontal="center" vertical="center"/>
    </xf>
    <xf numFmtId="0" fontId="41" fillId="2" borderId="12" xfId="0" applyFont="1" applyFill="1" applyBorder="1" applyAlignment="1">
      <alignment vertical="center" wrapText="1"/>
    </xf>
    <xf numFmtId="0" fontId="7" fillId="0" borderId="12" xfId="0" applyFont="1" applyBorder="1" applyAlignment="1">
      <alignment horizontal="center" vertical="center" wrapText="1"/>
    </xf>
    <xf numFmtId="2" fontId="40" fillId="0" borderId="0" xfId="0" applyNumberFormat="1" applyFont="1" applyAlignment="1">
      <alignment horizontal="center" vertical="center"/>
    </xf>
    <xf numFmtId="0" fontId="7" fillId="2" borderId="12" xfId="0" applyFont="1" applyFill="1" applyBorder="1" applyAlignment="1">
      <alignment vertical="center"/>
    </xf>
    <xf numFmtId="0" fontId="41" fillId="3" borderId="0" xfId="0" applyFont="1" applyFill="1" applyBorder="1" applyAlignment="1">
      <alignment vertical="center"/>
    </xf>
    <xf numFmtId="0" fontId="7" fillId="0" borderId="0" xfId="0" applyFont="1" applyAlignment="1">
      <alignment horizontal="center" vertical="center" wrapText="1"/>
    </xf>
    <xf numFmtId="0" fontId="0" fillId="0" borderId="12" xfId="0" applyFont="1" applyBorder="1" applyAlignment="1">
      <alignment vertical="center"/>
    </xf>
    <xf numFmtId="0" fontId="0" fillId="4" borderId="12" xfId="0" applyFont="1" applyFill="1" applyBorder="1" applyAlignment="1">
      <alignment horizontal="center" vertical="center"/>
    </xf>
    <xf numFmtId="0" fontId="7" fillId="0" borderId="0" xfId="0" applyFont="1" applyAlignment="1">
      <alignment vertical="center"/>
    </xf>
    <xf numFmtId="0" fontId="0" fillId="0" borderId="0" xfId="0" applyFont="1" applyAlignment="1">
      <alignment vertical="center"/>
    </xf>
    <xf numFmtId="0" fontId="0" fillId="4" borderId="0" xfId="0" applyFont="1" applyFill="1" applyBorder="1" applyAlignment="1">
      <alignment horizontal="center" vertical="center"/>
    </xf>
    <xf numFmtId="0" fontId="0" fillId="2" borderId="12" xfId="0" applyFont="1" applyFill="1" applyBorder="1" applyAlignment="1">
      <alignment vertical="center" wrapText="1"/>
    </xf>
    <xf numFmtId="0" fontId="0" fillId="3" borderId="0" xfId="0" applyFont="1" applyFill="1" applyBorder="1" applyAlignment="1">
      <alignment vertical="center" wrapText="1"/>
    </xf>
    <xf numFmtId="0" fontId="0" fillId="2" borderId="12" xfId="0" applyFont="1" applyFill="1" applyBorder="1" applyAlignment="1">
      <alignment vertical="center"/>
    </xf>
    <xf numFmtId="0" fontId="0" fillId="4" borderId="12" xfId="0" applyFont="1" applyFill="1" applyBorder="1" applyAlignment="1">
      <alignment vertical="center"/>
    </xf>
    <xf numFmtId="0" fontId="40" fillId="4" borderId="12" xfId="0" applyFont="1" applyFill="1" applyBorder="1" applyAlignment="1">
      <alignment horizontal="center" vertical="center"/>
    </xf>
    <xf numFmtId="0" fontId="42" fillId="4" borderId="12" xfId="0" applyFont="1" applyFill="1" applyBorder="1" applyAlignment="1">
      <alignment horizontal="center" vertical="center" wrapText="1"/>
    </xf>
    <xf numFmtId="0" fontId="0" fillId="4" borderId="0" xfId="0" applyFont="1" applyFill="1" applyBorder="1" applyAlignment="1">
      <alignment vertical="center"/>
    </xf>
    <xf numFmtId="2" fontId="43" fillId="4" borderId="12" xfId="0" applyNumberFormat="1" applyFont="1" applyFill="1" applyBorder="1" applyAlignment="1">
      <alignment horizontal="center" vertical="center"/>
    </xf>
    <xf numFmtId="0" fontId="40" fillId="2" borderId="12" xfId="0" applyFont="1" applyFill="1" applyBorder="1" applyAlignment="1">
      <alignment vertical="center" wrapText="1"/>
    </xf>
    <xf numFmtId="0" fontId="11" fillId="4" borderId="12" xfId="0" applyFont="1" applyFill="1" applyBorder="1" applyAlignment="1">
      <alignment horizontal="center" vertical="center"/>
    </xf>
    <xf numFmtId="0" fontId="40" fillId="4" borderId="0" xfId="0" applyFont="1" applyFill="1" applyBorder="1" applyAlignment="1">
      <alignment horizontal="center" vertical="center"/>
    </xf>
    <xf numFmtId="0" fontId="40" fillId="2" borderId="12" xfId="0" applyFont="1" applyFill="1" applyBorder="1" applyAlignment="1">
      <alignment vertical="center"/>
    </xf>
    <xf numFmtId="0" fontId="40" fillId="4" borderId="12" xfId="0" applyFont="1" applyFill="1" applyBorder="1" applyAlignment="1">
      <alignment vertical="center"/>
    </xf>
    <xf numFmtId="2" fontId="43" fillId="4" borderId="0" xfId="0" applyNumberFormat="1" applyFont="1" applyFill="1" applyBorder="1" applyAlignment="1">
      <alignment horizontal="center" vertical="center"/>
    </xf>
    <xf numFmtId="0" fontId="40" fillId="3" borderId="12" xfId="0" applyFont="1" applyFill="1" applyBorder="1" applyAlignment="1">
      <alignment horizontal="center" vertical="center"/>
    </xf>
    <xf numFmtId="0" fontId="40" fillId="3" borderId="0" xfId="0" applyFont="1" applyFill="1" applyBorder="1" applyAlignment="1">
      <alignment vertical="center" wrapText="1"/>
    </xf>
    <xf numFmtId="0" fontId="12" fillId="4" borderId="0" xfId="0" applyFont="1" applyFill="1" applyBorder="1" applyAlignment="1">
      <alignment horizontal="center" vertical="center"/>
    </xf>
    <xf numFmtId="0" fontId="40" fillId="4" borderId="0" xfId="0" applyFont="1" applyFill="1" applyBorder="1" applyAlignment="1">
      <alignment vertical="center"/>
    </xf>
    <xf numFmtId="0" fontId="43" fillId="3" borderId="12" xfId="0" applyFont="1" applyFill="1" applyBorder="1" applyAlignment="1">
      <alignment horizontal="center" vertical="center" wrapText="1"/>
    </xf>
    <xf numFmtId="0" fontId="40" fillId="3" borderId="13" xfId="0" applyFont="1" applyFill="1" applyBorder="1" applyAlignment="1">
      <alignment horizontal="center" vertical="center"/>
    </xf>
    <xf numFmtId="2" fontId="43" fillId="3" borderId="12" xfId="0" applyNumberFormat="1" applyFont="1" applyFill="1" applyBorder="1" applyAlignment="1">
      <alignment horizontal="center" vertical="center"/>
    </xf>
    <xf numFmtId="0" fontId="11" fillId="2" borderId="12" xfId="0" applyFont="1" applyFill="1" applyBorder="1" applyAlignment="1">
      <alignment horizontal="center" vertical="center"/>
    </xf>
    <xf numFmtId="0" fontId="40" fillId="3" borderId="13" xfId="0" applyFont="1" applyFill="1" applyBorder="1" applyAlignment="1">
      <alignment vertical="center" wrapText="1"/>
    </xf>
    <xf numFmtId="0" fontId="40" fillId="2" borderId="12" xfId="0" applyFont="1" applyFill="1" applyBorder="1" applyAlignment="1">
      <alignment horizontal="center" vertical="center"/>
    </xf>
    <xf numFmtId="0" fontId="7" fillId="2" borderId="12" xfId="0" applyFont="1" applyFill="1" applyBorder="1" applyAlignment="1">
      <alignment vertical="center" wrapText="1"/>
    </xf>
    <xf numFmtId="2" fontId="44" fillId="2" borderId="12" xfId="0" applyNumberFormat="1" applyFont="1" applyFill="1" applyBorder="1" applyAlignment="1">
      <alignment horizontal="center" vertical="center"/>
    </xf>
    <xf numFmtId="0" fontId="40" fillId="3" borderId="13" xfId="0" applyFont="1" applyFill="1" applyBorder="1" applyAlignment="1">
      <alignment vertical="center"/>
    </xf>
    <xf numFmtId="0" fontId="11" fillId="2" borderId="12" xfId="0" applyFont="1" applyFill="1" applyBorder="1" applyAlignment="1">
      <alignment horizontal="center" vertical="center" wrapText="1"/>
    </xf>
    <xf numFmtId="0" fontId="40" fillId="3" borderId="0" xfId="0" applyFont="1" applyFill="1" applyBorder="1" applyAlignment="1">
      <alignment horizontal="center" vertical="center"/>
    </xf>
    <xf numFmtId="0" fontId="43" fillId="3" borderId="0" xfId="0" applyFont="1" applyFill="1" applyBorder="1" applyAlignment="1">
      <alignment horizontal="center" vertical="center" wrapText="1"/>
    </xf>
    <xf numFmtId="0" fontId="13" fillId="2" borderId="12" xfId="0" applyFont="1" applyFill="1" applyBorder="1" applyAlignment="1">
      <alignment horizontal="center" vertical="center" wrapText="1"/>
    </xf>
    <xf numFmtId="2" fontId="43" fillId="3" borderId="0" xfId="0" applyNumberFormat="1" applyFont="1" applyFill="1" applyBorder="1" applyAlignment="1">
      <alignment horizontal="center" vertical="center"/>
    </xf>
    <xf numFmtId="0" fontId="41" fillId="2" borderId="12" xfId="0" applyFont="1" applyFill="1" applyBorder="1" applyAlignment="1">
      <alignment vertical="center"/>
    </xf>
    <xf numFmtId="0" fontId="7" fillId="4" borderId="12" xfId="0" applyFont="1" applyFill="1" applyBorder="1" applyAlignment="1">
      <alignment vertical="center" wrapText="1"/>
    </xf>
    <xf numFmtId="2" fontId="0" fillId="4" borderId="12" xfId="0" applyNumberFormat="1" applyFont="1" applyFill="1" applyBorder="1" applyAlignment="1">
      <alignment horizontal="center"/>
    </xf>
    <xf numFmtId="0" fontId="7" fillId="3" borderId="0" xfId="0" applyFont="1" applyFill="1" applyBorder="1" applyAlignment="1">
      <alignment horizontal="center" vertical="center"/>
    </xf>
    <xf numFmtId="0" fontId="0" fillId="2" borderId="12" xfId="0" applyFont="1" applyFill="1" applyBorder="1" applyAlignment="1">
      <alignment wrapText="1"/>
    </xf>
    <xf numFmtId="0" fontId="40" fillId="3" borderId="0" xfId="0" applyFont="1" applyFill="1" applyBorder="1" applyAlignment="1">
      <alignment vertical="center"/>
    </xf>
    <xf numFmtId="0" fontId="40" fillId="2" borderId="0" xfId="0" applyFont="1" applyFill="1" applyBorder="1" applyAlignment="1">
      <alignment horizontal="center" vertical="center"/>
    </xf>
    <xf numFmtId="0" fontId="13" fillId="4" borderId="12" xfId="0" applyFont="1" applyFill="1" applyBorder="1" applyAlignment="1">
      <alignment horizontal="center" vertical="center" wrapText="1"/>
    </xf>
    <xf numFmtId="0" fontId="45" fillId="2" borderId="12" xfId="0" applyFont="1" applyFill="1" applyBorder="1" applyAlignment="1">
      <alignment vertical="center"/>
    </xf>
    <xf numFmtId="0" fontId="45" fillId="0" borderId="12" xfId="0" applyFont="1" applyBorder="1" applyAlignment="1">
      <alignment vertical="center"/>
    </xf>
    <xf numFmtId="0" fontId="7" fillId="2" borderId="0" xfId="0" applyFont="1" applyFill="1" applyBorder="1" applyAlignment="1">
      <alignment vertical="center" wrapText="1"/>
    </xf>
    <xf numFmtId="0" fontId="7" fillId="0" borderId="12" xfId="0" applyFont="1" applyBorder="1" applyAlignment="1">
      <alignment horizontal="left" wrapText="1"/>
    </xf>
    <xf numFmtId="2" fontId="44" fillId="2" borderId="0" xfId="0" applyNumberFormat="1" applyFont="1" applyFill="1" applyBorder="1" applyAlignment="1">
      <alignment horizontal="center" vertical="center"/>
    </xf>
    <xf numFmtId="0" fontId="40" fillId="2" borderId="0" xfId="0" applyFont="1" applyFill="1" applyBorder="1" applyAlignment="1">
      <alignment vertical="center" wrapText="1"/>
    </xf>
    <xf numFmtId="0" fontId="11" fillId="2" borderId="0" xfId="0" applyFont="1" applyFill="1" applyBorder="1" applyAlignment="1">
      <alignment horizontal="center" vertical="center" wrapText="1"/>
    </xf>
    <xf numFmtId="0" fontId="41" fillId="2" borderId="0" xfId="0" applyFont="1" applyFill="1" applyBorder="1" applyAlignment="1">
      <alignment vertical="center"/>
    </xf>
    <xf numFmtId="2" fontId="0" fillId="0" borderId="12" xfId="0" applyNumberFormat="1" applyFont="1" applyBorder="1" applyAlignment="1">
      <alignment horizontal="center"/>
    </xf>
    <xf numFmtId="0" fontId="40" fillId="2" borderId="0" xfId="0" applyFont="1" applyFill="1" applyBorder="1" applyAlignment="1">
      <alignment vertical="center"/>
    </xf>
    <xf numFmtId="0" fontId="13" fillId="0" borderId="12" xfId="0" applyFont="1" applyBorder="1" applyAlignment="1">
      <alignment horizontal="center" vertical="center" wrapText="1"/>
    </xf>
    <xf numFmtId="0" fontId="13" fillId="0" borderId="12" xfId="0" applyFont="1" applyBorder="1" applyAlignment="1">
      <alignment vertical="center" wrapText="1"/>
    </xf>
    <xf numFmtId="0" fontId="13" fillId="5" borderId="12" xfId="0" applyFont="1" applyFill="1" applyBorder="1" applyAlignment="1">
      <alignment horizontal="center" vertical="center" wrapText="1"/>
    </xf>
    <xf numFmtId="0" fontId="7" fillId="4" borderId="0" xfId="0" applyFont="1" applyFill="1" applyBorder="1" applyAlignment="1">
      <alignment vertical="center" wrapText="1"/>
    </xf>
    <xf numFmtId="2" fontId="13" fillId="0" borderId="12" xfId="0" applyNumberFormat="1" applyFont="1" applyBorder="1" applyAlignment="1">
      <alignment horizontal="center" vertical="center" wrapText="1"/>
    </xf>
    <xf numFmtId="2" fontId="0" fillId="4" borderId="0" xfId="0" applyNumberFormat="1" applyFont="1" applyFill="1" applyBorder="1" applyAlignment="1">
      <alignment horizontal="center"/>
    </xf>
    <xf numFmtId="0" fontId="0" fillId="3" borderId="0" xfId="0" applyFont="1" applyFill="1" applyBorder="1" applyAlignment="1">
      <alignment wrapText="1"/>
    </xf>
    <xf numFmtId="0" fontId="13" fillId="4" borderId="0" xfId="0" applyFont="1" applyFill="1" applyBorder="1" applyAlignment="1">
      <alignment horizontal="center" vertical="center" wrapText="1"/>
    </xf>
    <xf numFmtId="0" fontId="13" fillId="0" borderId="0" xfId="0" applyFont="1" applyAlignment="1">
      <alignment horizontal="center" vertical="center" wrapText="1"/>
    </xf>
    <xf numFmtId="0" fontId="45" fillId="4" borderId="0" xfId="0" applyFont="1" applyFill="1" applyBorder="1" applyAlignment="1">
      <alignment vertical="center"/>
    </xf>
    <xf numFmtId="0" fontId="45" fillId="0" borderId="0" xfId="0" applyFont="1" applyAlignment="1">
      <alignment vertical="center"/>
    </xf>
    <xf numFmtId="2" fontId="45" fillId="4" borderId="12" xfId="0" applyNumberFormat="1" applyFont="1" applyFill="1" applyBorder="1" applyAlignment="1">
      <alignment horizontal="center"/>
    </xf>
    <xf numFmtId="0" fontId="7" fillId="0" borderId="0" xfId="0" applyFont="1" applyAlignment="1">
      <alignment horizontal="left" wrapText="1"/>
    </xf>
    <xf numFmtId="2" fontId="0" fillId="6" borderId="0" xfId="0" applyNumberFormat="1" applyFont="1" applyFill="1" applyBorder="1" applyAlignment="1">
      <alignment horizontal="center"/>
    </xf>
    <xf numFmtId="0" fontId="13" fillId="6" borderId="0" xfId="0" applyFont="1" applyFill="1" applyBorder="1" applyAlignment="1">
      <alignment horizontal="center" vertical="center" wrapText="1"/>
    </xf>
    <xf numFmtId="0" fontId="45" fillId="4" borderId="12" xfId="0" applyFont="1" applyFill="1" applyBorder="1" applyAlignment="1">
      <alignment vertical="center"/>
    </xf>
    <xf numFmtId="0" fontId="13" fillId="6" borderId="0" xfId="0" applyFont="1" applyFill="1" applyBorder="1" applyAlignment="1">
      <alignment vertical="center" wrapText="1"/>
    </xf>
    <xf numFmtId="0" fontId="0" fillId="0" borderId="0" xfId="0" applyFont="1" applyAlignment="1">
      <alignment wrapText="1"/>
    </xf>
    <xf numFmtId="2" fontId="45" fillId="0" borderId="12" xfId="0" applyNumberFormat="1" applyFont="1" applyBorder="1" applyAlignment="1">
      <alignment horizontal="center" vertical="center" wrapText="1"/>
    </xf>
    <xf numFmtId="2" fontId="13" fillId="6" borderId="0" xfId="0" applyNumberFormat="1" applyFont="1" applyFill="1" applyBorder="1" applyAlignment="1">
      <alignment horizontal="center" vertical="center" wrapText="1"/>
    </xf>
    <xf numFmtId="2" fontId="0" fillId="0" borderId="0" xfId="0" applyNumberFormat="1" applyFont="1" applyAlignment="1">
      <alignment horizontal="center"/>
    </xf>
    <xf numFmtId="2" fontId="13" fillId="0" borderId="0" xfId="0" applyNumberFormat="1" applyFont="1" applyAlignment="1">
      <alignment horizontal="center" vertical="center" wrapText="1"/>
    </xf>
    <xf numFmtId="0" fontId="45" fillId="0" borderId="12" xfId="0" applyFont="1" applyBorder="1" applyAlignment="1">
      <alignment vertical="center" wrapText="1"/>
    </xf>
    <xf numFmtId="2" fontId="13" fillId="0" borderId="12" xfId="0" applyNumberFormat="1" applyFont="1" applyBorder="1" applyAlignment="1">
      <alignment horizontal="center"/>
    </xf>
    <xf numFmtId="2" fontId="0" fillId="5" borderId="12" xfId="0" applyNumberFormat="1" applyFont="1" applyFill="1" applyBorder="1" applyAlignment="1">
      <alignment horizontal="center"/>
    </xf>
    <xf numFmtId="2" fontId="13" fillId="5" borderId="12" xfId="0" applyNumberFormat="1" applyFont="1" applyFill="1" applyBorder="1" applyAlignment="1">
      <alignment horizontal="center" vertical="center" wrapText="1"/>
    </xf>
    <xf numFmtId="10" fontId="13" fillId="0" borderId="12" xfId="0" applyNumberFormat="1" applyFont="1" applyBorder="1" applyAlignment="1">
      <alignment horizontal="center" vertical="center" wrapText="1"/>
    </xf>
    <xf numFmtId="0" fontId="7" fillId="5" borderId="0" xfId="0" applyFont="1" applyFill="1" applyBorder="1" applyAlignment="1">
      <alignment horizontal="left" wrapText="1"/>
    </xf>
    <xf numFmtId="0" fontId="7" fillId="6" borderId="0" xfId="0" applyFont="1" applyFill="1" applyBorder="1" applyAlignment="1">
      <alignment horizontal="left" wrapText="1"/>
    </xf>
    <xf numFmtId="0" fontId="7" fillId="2" borderId="12" xfId="0" applyFont="1" applyFill="1" applyBorder="1" applyAlignment="1">
      <alignment wrapText="1"/>
    </xf>
    <xf numFmtId="2" fontId="44" fillId="2" borderId="12" xfId="0" applyNumberFormat="1" applyFont="1" applyFill="1" applyBorder="1" applyAlignment="1">
      <alignment horizontal="center"/>
    </xf>
    <xf numFmtId="0" fontId="41" fillId="2" borderId="12" xfId="0" applyFont="1" applyFill="1" applyBorder="1"/>
    <xf numFmtId="0" fontId="40" fillId="2" borderId="12" xfId="0" applyFont="1" applyFill="1" applyBorder="1"/>
    <xf numFmtId="0" fontId="13" fillId="4" borderId="12" xfId="0" applyFont="1" applyFill="1" applyBorder="1" applyAlignment="1">
      <alignment horizontal="center" vertical="center"/>
    </xf>
    <xf numFmtId="0" fontId="45" fillId="2" borderId="12" xfId="0" applyFont="1" applyFill="1" applyBorder="1"/>
    <xf numFmtId="0" fontId="45" fillId="4" borderId="12" xfId="0" applyFont="1" applyFill="1" applyBorder="1"/>
    <xf numFmtId="0" fontId="0" fillId="4" borderId="12" xfId="0" applyFont="1" applyFill="1" applyBorder="1"/>
    <xf numFmtId="0" fontId="0" fillId="0" borderId="12" xfId="0" applyFont="1" applyBorder="1" applyAlignment="1">
      <alignment horizontal="center"/>
    </xf>
    <xf numFmtId="0" fontId="7" fillId="0" borderId="12" xfId="0" applyFont="1" applyBorder="1" applyAlignment="1">
      <alignment wrapText="1"/>
    </xf>
    <xf numFmtId="0" fontId="13" fillId="0" borderId="12" xfId="0" applyFont="1" applyBorder="1" applyAlignment="1">
      <alignment horizontal="center" vertical="center"/>
    </xf>
    <xf numFmtId="0" fontId="45" fillId="0" borderId="12" xfId="0" applyFont="1" applyBorder="1"/>
    <xf numFmtId="0" fontId="0" fillId="0" borderId="12" xfId="0" applyFont="1" applyBorder="1"/>
    <xf numFmtId="0" fontId="13" fillId="5" borderId="12" xfId="0" applyFont="1" applyFill="1" applyBorder="1" applyAlignment="1">
      <alignment horizontal="center" vertical="center"/>
    </xf>
    <xf numFmtId="0" fontId="0" fillId="2" borderId="12" xfId="0" applyFont="1" applyFill="1" applyBorder="1"/>
    <xf numFmtId="2" fontId="40" fillId="5" borderId="12" xfId="0" applyNumberFormat="1" applyFont="1" applyFill="1" applyBorder="1" applyAlignment="1">
      <alignment horizontal="center"/>
    </xf>
    <xf numFmtId="0" fontId="40" fillId="2" borderId="12" xfId="0" applyFont="1" applyFill="1" applyBorder="1" applyAlignment="1">
      <alignment horizontal="center" wrapText="1"/>
    </xf>
    <xf numFmtId="0" fontId="7" fillId="6" borderId="0" xfId="0" applyFont="1" applyFill="1" applyBorder="1" applyAlignment="1">
      <alignment vertical="center" wrapText="1"/>
    </xf>
    <xf numFmtId="2" fontId="40" fillId="2" borderId="12" xfId="0" applyNumberFormat="1" applyFont="1" applyFill="1" applyBorder="1" applyAlignment="1">
      <alignment horizontal="center" wrapText="1"/>
    </xf>
    <xf numFmtId="2" fontId="45" fillId="5" borderId="12" xfId="0" applyNumberFormat="1" applyFont="1" applyFill="1" applyBorder="1" applyAlignment="1">
      <alignment horizontal="center"/>
    </xf>
    <xf numFmtId="2" fontId="45" fillId="5" borderId="12" xfId="0" applyNumberFormat="1" applyFont="1" applyFill="1" applyBorder="1" applyAlignment="1">
      <alignment horizontal="center" wrapText="1"/>
    </xf>
    <xf numFmtId="0" fontId="41" fillId="2" borderId="12" xfId="0" applyFont="1" applyFill="1" applyBorder="1" applyAlignment="1">
      <alignment wrapText="1"/>
    </xf>
    <xf numFmtId="0" fontId="45" fillId="5" borderId="12" xfId="0" applyFont="1" applyFill="1" applyBorder="1" applyAlignment="1">
      <alignment horizontal="center" vertical="center"/>
    </xf>
    <xf numFmtId="0" fontId="0" fillId="4" borderId="12" xfId="0" applyFont="1" applyFill="1" applyBorder="1" applyAlignment="1">
      <alignment horizontal="center"/>
    </xf>
    <xf numFmtId="2" fontId="45" fillId="5" borderId="12" xfId="0" applyNumberFormat="1" applyFont="1" applyFill="1" applyBorder="1" applyAlignment="1">
      <alignment horizontal="center" vertical="center" wrapText="1"/>
    </xf>
    <xf numFmtId="0" fontId="7" fillId="4" borderId="12" xfId="0" applyFont="1" applyFill="1" applyBorder="1" applyAlignment="1">
      <alignment wrapText="1"/>
    </xf>
    <xf numFmtId="2" fontId="13" fillId="5" borderId="12" xfId="0" applyNumberFormat="1" applyFont="1" applyFill="1" applyBorder="1" applyAlignment="1">
      <alignment horizontal="center" wrapText="1"/>
    </xf>
    <xf numFmtId="0" fontId="40" fillId="2" borderId="0" xfId="0" applyFont="1" applyFill="1" applyBorder="1" applyAlignment="1">
      <alignment horizontal="center" wrapText="1"/>
    </xf>
    <xf numFmtId="0" fontId="40" fillId="2" borderId="0" xfId="0" applyFont="1" applyFill="1" applyBorder="1" applyAlignment="1">
      <alignment wrapText="1"/>
    </xf>
    <xf numFmtId="2" fontId="46" fillId="0" borderId="12" xfId="0" applyNumberFormat="1" applyFont="1" applyBorder="1" applyAlignment="1">
      <alignment horizontal="center" vertical="center"/>
    </xf>
    <xf numFmtId="2" fontId="40" fillId="2" borderId="0" xfId="0" applyNumberFormat="1" applyFont="1" applyFill="1" applyBorder="1" applyAlignment="1">
      <alignment horizontal="center" wrapText="1"/>
    </xf>
    <xf numFmtId="1" fontId="45" fillId="5" borderId="12" xfId="0" applyNumberFormat="1" applyFont="1" applyFill="1" applyBorder="1" applyAlignment="1">
      <alignment horizontal="center"/>
    </xf>
    <xf numFmtId="0" fontId="41" fillId="2" borderId="0" xfId="0" applyFont="1" applyFill="1" applyBorder="1" applyAlignment="1">
      <alignment wrapText="1"/>
    </xf>
    <xf numFmtId="1" fontId="46" fillId="0" borderId="12" xfId="0" applyNumberFormat="1" applyFont="1" applyBorder="1" applyAlignment="1">
      <alignment horizontal="center"/>
    </xf>
    <xf numFmtId="0" fontId="0" fillId="4" borderId="0" xfId="0" applyFont="1" applyFill="1" applyBorder="1" applyAlignment="1">
      <alignment horizontal="center"/>
    </xf>
    <xf numFmtId="2" fontId="40" fillId="2" borderId="12" xfId="0" applyNumberFormat="1" applyFont="1" applyFill="1" applyBorder="1" applyAlignment="1">
      <alignment horizontal="center"/>
    </xf>
    <xf numFmtId="2" fontId="46" fillId="0" borderId="12" xfId="0" applyNumberFormat="1" applyFont="1" applyBorder="1" applyAlignment="1">
      <alignment horizontal="center"/>
    </xf>
    <xf numFmtId="0" fontId="7" fillId="4" borderId="0" xfId="0" applyFont="1" applyFill="1" applyBorder="1" applyAlignment="1">
      <alignment wrapText="1"/>
    </xf>
    <xf numFmtId="2" fontId="45" fillId="5" borderId="12" xfId="0" applyNumberFormat="1" applyFont="1" applyFill="1" applyBorder="1" applyAlignment="1">
      <alignment horizontal="center" vertical="center"/>
    </xf>
    <xf numFmtId="0" fontId="0" fillId="3" borderId="0" xfId="0" applyFont="1" applyFill="1" applyBorder="1"/>
    <xf numFmtId="0" fontId="11" fillId="3" borderId="12" xfId="0" applyFont="1" applyFill="1" applyBorder="1" applyAlignment="1">
      <alignment horizontal="center" vertical="center"/>
    </xf>
    <xf numFmtId="0" fontId="45" fillId="4" borderId="0" xfId="0" applyFont="1" applyFill="1" applyBorder="1"/>
    <xf numFmtId="0" fontId="0" fillId="4" borderId="0" xfId="0" applyFont="1" applyFill="1" applyBorder="1"/>
    <xf numFmtId="0" fontId="11" fillId="4" borderId="12" xfId="0" applyFont="1" applyFill="1" applyBorder="1" applyAlignment="1">
      <alignment horizontal="center" vertical="center" wrapText="1"/>
    </xf>
    <xf numFmtId="16" fontId="13" fillId="5" borderId="12" xfId="0" applyNumberFormat="1" applyFont="1" applyFill="1" applyBorder="1" applyAlignment="1">
      <alignment horizontal="center" vertical="center" wrapText="1"/>
    </xf>
    <xf numFmtId="0" fontId="41" fillId="0" borderId="12" xfId="0" applyFont="1" applyBorder="1"/>
    <xf numFmtId="0" fontId="40" fillId="0" borderId="12" xfId="0" applyFont="1" applyBorder="1"/>
    <xf numFmtId="0" fontId="0" fillId="0" borderId="0" xfId="0" applyFont="1" applyAlignment="1">
      <alignment horizontal="center"/>
    </xf>
    <xf numFmtId="0" fontId="7" fillId="0" borderId="0" xfId="0" applyFont="1" applyAlignment="1">
      <alignment wrapText="1"/>
    </xf>
    <xf numFmtId="2" fontId="0" fillId="0" borderId="12" xfId="0" applyNumberFormat="1" applyFont="1" applyBorder="1" applyAlignment="1">
      <alignment horizontal="center" vertical="center"/>
    </xf>
    <xf numFmtId="0" fontId="45" fillId="0" borderId="0" xfId="0" applyFont="1"/>
    <xf numFmtId="0" fontId="45" fillId="0" borderId="12" xfId="0" applyFont="1" applyBorder="1" applyAlignment="1">
      <alignment horizontal="center" vertical="center" wrapText="1"/>
    </xf>
    <xf numFmtId="2" fontId="7" fillId="0" borderId="12" xfId="0" applyNumberFormat="1" applyFont="1" applyBorder="1" applyAlignment="1">
      <alignment horizontal="center" wrapText="1"/>
    </xf>
    <xf numFmtId="0" fontId="0" fillId="0" borderId="0" xfId="0" applyFont="1"/>
    <xf numFmtId="0" fontId="0" fillId="2" borderId="12" xfId="0" applyFont="1" applyFill="1" applyBorder="1" applyAlignment="1">
      <alignment horizontal="left" vertical="center" wrapText="1"/>
    </xf>
    <xf numFmtId="16" fontId="13" fillId="6" borderId="0" xfId="0" applyNumberFormat="1" applyFont="1" applyFill="1" applyBorder="1" applyAlignment="1">
      <alignment horizontal="center" vertical="center" wrapText="1"/>
    </xf>
    <xf numFmtId="0" fontId="7" fillId="5" borderId="12" xfId="0" applyFont="1" applyFill="1" applyBorder="1" applyAlignment="1">
      <alignment wrapText="1"/>
    </xf>
    <xf numFmtId="2" fontId="0" fillId="0" borderId="12" xfId="0" applyNumberFormat="1" applyFont="1" applyBorder="1" applyAlignment="1">
      <alignment horizontal="center" wrapText="1"/>
    </xf>
    <xf numFmtId="16" fontId="0" fillId="4" borderId="12" xfId="0" applyNumberFormat="1" applyFont="1" applyFill="1" applyBorder="1" applyAlignment="1">
      <alignment horizontal="center" wrapText="1"/>
    </xf>
    <xf numFmtId="2" fontId="47" fillId="0" borderId="12" xfId="0" applyNumberFormat="1" applyFont="1" applyBorder="1" applyAlignment="1">
      <alignment horizontal="center"/>
    </xf>
    <xf numFmtId="0" fontId="14" fillId="6" borderId="0" xfId="0" applyFont="1" applyFill="1" applyBorder="1" applyAlignment="1">
      <alignment horizontal="center" vertical="center" wrapText="1"/>
    </xf>
    <xf numFmtId="2" fontId="13" fillId="5" borderId="12" xfId="0" applyNumberFormat="1" applyFont="1" applyFill="1" applyBorder="1" applyAlignment="1">
      <alignment horizontal="center"/>
    </xf>
    <xf numFmtId="0" fontId="7" fillId="2" borderId="0" xfId="0" applyFont="1" applyFill="1" applyBorder="1" applyAlignment="1">
      <alignment wrapText="1"/>
    </xf>
    <xf numFmtId="0" fontId="13" fillId="0" borderId="12" xfId="0" applyFont="1" applyBorder="1"/>
    <xf numFmtId="2" fontId="44" fillId="2" borderId="0" xfId="0" applyNumberFormat="1" applyFont="1" applyFill="1" applyBorder="1" applyAlignment="1">
      <alignment horizontal="center"/>
    </xf>
    <xf numFmtId="0" fontId="40" fillId="2" borderId="0" xfId="0" applyFont="1" applyFill="1" applyBorder="1"/>
    <xf numFmtId="2" fontId="0" fillId="4" borderId="12" xfId="0" applyNumberFormat="1" applyFont="1" applyFill="1" applyBorder="1" applyAlignment="1">
      <alignment horizontal="center" wrapText="1"/>
    </xf>
    <xf numFmtId="0" fontId="11" fillId="2" borderId="0" xfId="0" applyFont="1" applyFill="1" applyBorder="1" applyAlignment="1">
      <alignment horizontal="center" vertical="center"/>
    </xf>
    <xf numFmtId="0" fontId="0" fillId="0" borderId="12" xfId="0" applyFont="1" applyBorder="1" applyAlignment="1">
      <alignment horizontal="center" wrapText="1"/>
    </xf>
    <xf numFmtId="0" fontId="41" fillId="2" borderId="0" xfId="0" applyFont="1" applyFill="1" applyBorder="1"/>
    <xf numFmtId="16" fontId="0" fillId="4" borderId="0" xfId="0" applyNumberFormat="1" applyFont="1" applyFill="1" applyBorder="1" applyAlignment="1">
      <alignment horizontal="center" wrapText="1"/>
    </xf>
    <xf numFmtId="0" fontId="13" fillId="4" borderId="0" xfId="0" applyFont="1" applyFill="1" applyBorder="1" applyAlignment="1">
      <alignment horizontal="center" vertical="center"/>
    </xf>
    <xf numFmtId="0" fontId="7" fillId="6" borderId="0" xfId="0" applyFont="1" applyFill="1" applyBorder="1" applyAlignment="1">
      <alignment wrapText="1"/>
    </xf>
    <xf numFmtId="2" fontId="7" fillId="5" borderId="12" xfId="0" applyNumberFormat="1" applyFont="1" applyFill="1" applyBorder="1" applyAlignment="1">
      <alignment horizontal="center"/>
    </xf>
    <xf numFmtId="0" fontId="13" fillId="6" borderId="0" xfId="0" applyFont="1" applyFill="1" applyBorder="1" applyAlignment="1">
      <alignment horizontal="center" vertical="center"/>
    </xf>
    <xf numFmtId="0" fontId="41" fillId="4" borderId="12" xfId="0" applyFont="1" applyFill="1" applyBorder="1"/>
    <xf numFmtId="0" fontId="40" fillId="4" borderId="12" xfId="0" applyFont="1" applyFill="1" applyBorder="1"/>
    <xf numFmtId="0" fontId="40" fillId="0" borderId="12" xfId="0" applyFont="1" applyBorder="1" applyAlignment="1">
      <alignment horizontal="left" wrapText="1"/>
    </xf>
    <xf numFmtId="0" fontId="0" fillId="0" borderId="12" xfId="0" applyFont="1" applyBorder="1" applyAlignment="1">
      <alignment horizontal="center" vertical="center" wrapText="1"/>
    </xf>
    <xf numFmtId="2" fontId="40" fillId="6" borderId="0" xfId="0" applyNumberFormat="1" applyFont="1" applyFill="1" applyBorder="1" applyAlignment="1">
      <alignment horizontal="center"/>
    </xf>
    <xf numFmtId="2" fontId="13" fillId="0" borderId="12" xfId="0" applyNumberFormat="1" applyFont="1" applyBorder="1" applyAlignment="1">
      <alignment horizontal="center" wrapText="1"/>
    </xf>
    <xf numFmtId="2" fontId="13" fillId="5" borderId="12" xfId="0" applyNumberFormat="1" applyFont="1" applyFill="1" applyBorder="1" applyAlignment="1">
      <alignment horizontal="center" vertical="center"/>
    </xf>
    <xf numFmtId="2" fontId="0" fillId="6" borderId="0" xfId="0" applyNumberFormat="1" applyFont="1" applyFill="1" applyBorder="1" applyAlignment="1">
      <alignment horizontal="center" wrapText="1"/>
    </xf>
    <xf numFmtId="0" fontId="40" fillId="0" borderId="12" xfId="0" applyFont="1" applyBorder="1" applyAlignment="1">
      <alignment horizontal="left" vertical="top" wrapText="1"/>
    </xf>
    <xf numFmtId="2" fontId="45" fillId="6" borderId="0" xfId="0" applyNumberFormat="1" applyFont="1" applyFill="1" applyBorder="1" applyAlignment="1">
      <alignment horizontal="center" wrapText="1"/>
    </xf>
    <xf numFmtId="0" fontId="0" fillId="4" borderId="12" xfId="0" applyFont="1" applyFill="1" applyBorder="1" applyAlignment="1">
      <alignment horizontal="left"/>
    </xf>
    <xf numFmtId="0" fontId="48" fillId="6" borderId="0" xfId="0" applyFont="1" applyFill="1" applyBorder="1" applyAlignment="1">
      <alignment horizontal="center" vertical="center" wrapText="1"/>
    </xf>
    <xf numFmtId="0" fontId="7" fillId="4" borderId="12" xfId="0" applyFont="1" applyFill="1" applyBorder="1" applyAlignment="1">
      <alignment horizontal="left" wrapText="1"/>
    </xf>
    <xf numFmtId="2" fontId="0" fillId="2" borderId="12" xfId="0" applyNumberFormat="1" applyFont="1" applyFill="1" applyBorder="1" applyAlignment="1">
      <alignment wrapText="1"/>
    </xf>
    <xf numFmtId="0" fontId="11" fillId="5" borderId="12" xfId="0" applyFont="1" applyFill="1" applyBorder="1" applyAlignment="1">
      <alignment horizontal="center" vertical="center" wrapText="1"/>
    </xf>
    <xf numFmtId="2" fontId="13" fillId="4" borderId="12" xfId="0" applyNumberFormat="1" applyFont="1" applyFill="1" applyBorder="1" applyAlignment="1">
      <alignment horizontal="center" vertical="center"/>
    </xf>
    <xf numFmtId="2" fontId="11" fillId="4" borderId="12" xfId="0" applyNumberFormat="1" applyFont="1" applyFill="1" applyBorder="1" applyAlignment="1">
      <alignment horizontal="center" vertical="center"/>
    </xf>
    <xf numFmtId="2" fontId="0" fillId="6" borderId="0" xfId="0" applyNumberFormat="1" applyFont="1" applyFill="1" applyBorder="1" applyAlignment="1">
      <alignment horizontal="center" vertical="center" wrapText="1"/>
    </xf>
    <xf numFmtId="2" fontId="41" fillId="5" borderId="12" xfId="0" applyNumberFormat="1" applyFont="1" applyFill="1" applyBorder="1" applyAlignment="1">
      <alignment horizontal="center" wrapText="1"/>
    </xf>
    <xf numFmtId="2" fontId="49" fillId="0" borderId="12" xfId="0" applyNumberFormat="1" applyFont="1" applyBorder="1" applyAlignment="1">
      <alignment horizontal="center"/>
    </xf>
    <xf numFmtId="2" fontId="48" fillId="6" borderId="0" xfId="0" applyNumberFormat="1" applyFont="1" applyFill="1" applyBorder="1" applyAlignment="1">
      <alignment horizontal="center" wrapText="1"/>
    </xf>
    <xf numFmtId="2" fontId="0" fillId="5" borderId="12" xfId="0" applyNumberFormat="1" applyFont="1" applyFill="1" applyBorder="1" applyAlignment="1">
      <alignment horizontal="center" vertical="center"/>
    </xf>
    <xf numFmtId="0" fontId="0" fillId="0" borderId="12" xfId="0" applyFont="1" applyBorder="1" applyAlignment="1">
      <alignment horizontal="left" wrapText="1"/>
    </xf>
    <xf numFmtId="0" fontId="40" fillId="6" borderId="0" xfId="0" applyFont="1" applyFill="1" applyBorder="1" applyAlignment="1">
      <alignment horizontal="left" wrapText="1"/>
    </xf>
    <xf numFmtId="2" fontId="0" fillId="6" borderId="0" xfId="0" applyNumberFormat="1" applyFont="1" applyFill="1" applyBorder="1" applyAlignment="1">
      <alignment horizontal="center" vertical="center"/>
    </xf>
    <xf numFmtId="0" fontId="50" fillId="5" borderId="12" xfId="0" applyFont="1" applyFill="1" applyBorder="1" applyAlignment="1">
      <alignment horizontal="center" wrapText="1"/>
    </xf>
    <xf numFmtId="0" fontId="40" fillId="0" borderId="0" xfId="0" applyFont="1" applyAlignment="1">
      <alignment horizontal="left" vertical="top" wrapText="1"/>
    </xf>
    <xf numFmtId="0" fontId="13" fillId="0" borderId="0" xfId="0" applyFont="1" applyAlignment="1">
      <alignment horizontal="center" vertical="center"/>
    </xf>
    <xf numFmtId="0" fontId="0" fillId="4" borderId="0" xfId="0" applyFont="1" applyFill="1" applyBorder="1" applyAlignment="1">
      <alignment horizontal="left"/>
    </xf>
    <xf numFmtId="0" fontId="7" fillId="4" borderId="0" xfId="0" applyFont="1" applyFill="1" applyBorder="1" applyAlignment="1">
      <alignment horizontal="left" wrapText="1"/>
    </xf>
    <xf numFmtId="0" fontId="0" fillId="0" borderId="12" xfId="0" applyFont="1" applyBorder="1" applyAlignment="1">
      <alignment horizontal="left" vertical="top" wrapText="1"/>
    </xf>
    <xf numFmtId="0" fontId="11" fillId="4" borderId="0" xfId="0" applyFont="1" applyFill="1" applyBorder="1" applyAlignment="1">
      <alignment horizontal="center" vertical="center"/>
    </xf>
    <xf numFmtId="0" fontId="11" fillId="4" borderId="0" xfId="0" applyFont="1" applyFill="1" applyBorder="1" applyAlignment="1">
      <alignment horizontal="center" vertical="center" wrapText="1"/>
    </xf>
    <xf numFmtId="0" fontId="7" fillId="4" borderId="12" xfId="0" applyFont="1" applyFill="1" applyBorder="1"/>
    <xf numFmtId="0" fontId="41" fillId="4" borderId="0" xfId="0" applyFont="1" applyFill="1" applyBorder="1"/>
    <xf numFmtId="0" fontId="40" fillId="4" borderId="0" xfId="0" applyFont="1" applyFill="1" applyBorder="1"/>
    <xf numFmtId="0" fontId="11" fillId="5" borderId="12" xfId="0" applyFont="1" applyFill="1" applyBorder="1" applyAlignment="1">
      <alignment horizontal="center" vertical="center"/>
    </xf>
    <xf numFmtId="0" fontId="41" fillId="0" borderId="0" xfId="0" applyFont="1"/>
    <xf numFmtId="0" fontId="0" fillId="0" borderId="12" xfId="0" applyFont="1" applyBorder="1" applyAlignment="1">
      <alignment horizontal="left"/>
    </xf>
    <xf numFmtId="0" fontId="40" fillId="0" borderId="0" xfId="0" applyFont="1"/>
    <xf numFmtId="0" fontId="7" fillId="2" borderId="12" xfId="0" applyFont="1" applyFill="1" applyBorder="1" applyAlignment="1">
      <alignment horizontal="left" wrapText="1"/>
    </xf>
    <xf numFmtId="0" fontId="0" fillId="6" borderId="0" xfId="0" applyFont="1" applyFill="1" applyBorder="1" applyAlignment="1">
      <alignment horizontal="left" wrapText="1"/>
    </xf>
    <xf numFmtId="2" fontId="47" fillId="2" borderId="12" xfId="0" applyNumberFormat="1" applyFont="1" applyFill="1" applyBorder="1" applyAlignment="1">
      <alignment horizontal="left" vertical="center" wrapText="1"/>
    </xf>
    <xf numFmtId="0" fontId="51" fillId="2" borderId="12" xfId="0" applyFont="1" applyFill="1" applyBorder="1" applyAlignment="1">
      <alignment horizontal="center" vertical="center" wrapText="1"/>
    </xf>
    <xf numFmtId="0" fontId="7" fillId="4" borderId="12" xfId="0" applyFont="1" applyFill="1" applyBorder="1" applyAlignment="1">
      <alignment horizontal="left"/>
    </xf>
    <xf numFmtId="0" fontId="51" fillId="4" borderId="12" xfId="0" applyFont="1" applyFill="1" applyBorder="1" applyAlignment="1">
      <alignment horizontal="center" vertical="center" wrapText="1"/>
    </xf>
    <xf numFmtId="0" fontId="0" fillId="6" borderId="0" xfId="0" applyFont="1" applyFill="1" applyBorder="1" applyAlignment="1">
      <alignment horizontal="left" vertical="top" wrapText="1"/>
    </xf>
    <xf numFmtId="0" fontId="52" fillId="0" borderId="12" xfId="0" applyFont="1" applyBorder="1" applyAlignment="1">
      <alignment horizontal="center" wrapText="1"/>
    </xf>
    <xf numFmtId="0" fontId="53" fillId="6" borderId="0" xfId="0" applyFont="1" applyFill="1" applyBorder="1" applyAlignment="1">
      <alignment horizontal="center" vertical="center" wrapText="1"/>
    </xf>
    <xf numFmtId="0" fontId="7" fillId="0" borderId="12" xfId="0" applyFont="1" applyBorder="1" applyAlignment="1">
      <alignment horizontal="left" vertical="top" wrapText="1"/>
    </xf>
    <xf numFmtId="0" fontId="11" fillId="6" borderId="0" xfId="0" applyFont="1" applyFill="1" applyBorder="1" applyAlignment="1">
      <alignment horizontal="center" vertical="center"/>
    </xf>
    <xf numFmtId="0" fontId="54" fillId="2" borderId="12" xfId="0" applyFont="1" applyFill="1" applyBorder="1"/>
    <xf numFmtId="0" fontId="0" fillId="0" borderId="0" xfId="0" applyFont="1" applyAlignment="1">
      <alignment horizontal="left"/>
    </xf>
    <xf numFmtId="0" fontId="54" fillId="0" borderId="12" xfId="0" applyFont="1" applyBorder="1"/>
    <xf numFmtId="0" fontId="52" fillId="0" borderId="12" xfId="0" applyFont="1" applyBorder="1"/>
    <xf numFmtId="0" fontId="45" fillId="5" borderId="12" xfId="0" applyFont="1" applyFill="1" applyBorder="1" applyAlignment="1">
      <alignment vertical="center"/>
    </xf>
    <xf numFmtId="0" fontId="0" fillId="2" borderId="12" xfId="0" applyFont="1" applyFill="1" applyBorder="1" applyAlignment="1">
      <alignment horizontal="left" wrapText="1"/>
    </xf>
    <xf numFmtId="0" fontId="45" fillId="5" borderId="12" xfId="0" applyFont="1" applyFill="1" applyBorder="1" applyAlignment="1">
      <alignment horizontal="center" vertical="center" wrapText="1"/>
    </xf>
    <xf numFmtId="2" fontId="55" fillId="6" borderId="0" xfId="0" applyNumberFormat="1" applyFont="1" applyFill="1" applyBorder="1" applyAlignment="1">
      <alignment horizontal="center" vertical="center"/>
    </xf>
    <xf numFmtId="0" fontId="53" fillId="0" borderId="12" xfId="0" applyFont="1" applyBorder="1" applyAlignment="1">
      <alignment horizontal="center" vertical="center" wrapText="1"/>
    </xf>
    <xf numFmtId="2" fontId="53" fillId="0" borderId="12" xfId="0" applyNumberFormat="1" applyFont="1" applyBorder="1" applyAlignment="1">
      <alignment horizontal="center" wrapText="1"/>
    </xf>
    <xf numFmtId="2" fontId="45" fillId="0" borderId="12" xfId="0" applyNumberFormat="1" applyFont="1" applyBorder="1" applyAlignment="1">
      <alignment horizontal="center" wrapText="1"/>
    </xf>
    <xf numFmtId="0" fontId="48" fillId="6" borderId="0" xfId="0" applyFont="1" applyFill="1" applyBorder="1" applyAlignment="1">
      <alignment horizontal="center" vertical="center"/>
    </xf>
    <xf numFmtId="2" fontId="13" fillId="0" borderId="12" xfId="0" applyNumberFormat="1" applyFont="1" applyBorder="1" applyAlignment="1">
      <alignment horizontal="left" vertical="center" wrapText="1"/>
    </xf>
    <xf numFmtId="0" fontId="56" fillId="0" borderId="12" xfId="0" applyFont="1" applyBorder="1" applyAlignment="1">
      <alignment horizontal="left" wrapText="1"/>
    </xf>
    <xf numFmtId="0" fontId="57" fillId="5" borderId="12" xfId="0" applyFont="1" applyFill="1" applyBorder="1" applyAlignment="1">
      <alignment shrinkToFit="1"/>
    </xf>
    <xf numFmtId="2" fontId="13" fillId="0" borderId="12" xfId="0" applyNumberFormat="1" applyFont="1" applyBorder="1" applyAlignment="1">
      <alignment horizontal="center" vertical="center"/>
    </xf>
    <xf numFmtId="0" fontId="45" fillId="6" borderId="0" xfId="0" applyFont="1" applyFill="1" applyBorder="1" applyAlignment="1">
      <alignment vertical="center"/>
    </xf>
    <xf numFmtId="0" fontId="45" fillId="6" borderId="0" xfId="0" applyFont="1" applyFill="1" applyBorder="1" applyAlignment="1">
      <alignment horizontal="center" vertical="center"/>
    </xf>
    <xf numFmtId="2" fontId="40" fillId="4" borderId="12" xfId="0" applyNumberFormat="1" applyFont="1" applyFill="1" applyBorder="1" applyAlignment="1">
      <alignment horizontal="center"/>
    </xf>
    <xf numFmtId="0" fontId="0" fillId="3" borderId="0" xfId="0" applyFont="1" applyFill="1" applyBorder="1" applyAlignment="1">
      <alignment horizontal="left" vertical="center"/>
    </xf>
    <xf numFmtId="2" fontId="41" fillId="4" borderId="12" xfId="0" applyNumberFormat="1" applyFont="1" applyFill="1" applyBorder="1" applyAlignment="1">
      <alignment horizontal="center"/>
    </xf>
    <xf numFmtId="0" fontId="40" fillId="0" borderId="12" xfId="0" applyFont="1" applyBorder="1" applyAlignment="1">
      <alignment wrapText="1"/>
    </xf>
    <xf numFmtId="2" fontId="45" fillId="0" borderId="12" xfId="0" applyNumberFormat="1" applyFont="1" applyBorder="1" applyAlignment="1">
      <alignment horizontal="center" vertical="top" wrapText="1"/>
    </xf>
    <xf numFmtId="0" fontId="45" fillId="6" borderId="0" xfId="0" applyFont="1" applyFill="1" applyBorder="1" applyAlignment="1">
      <alignment horizontal="center" vertical="center" wrapText="1"/>
    </xf>
    <xf numFmtId="2" fontId="45" fillId="0" borderId="12" xfId="0" applyNumberFormat="1" applyFont="1" applyBorder="1" applyAlignment="1">
      <alignment horizontal="center"/>
    </xf>
    <xf numFmtId="0" fontId="47" fillId="0" borderId="12" xfId="0" applyFont="1" applyBorder="1"/>
    <xf numFmtId="0" fontId="58" fillId="0" borderId="12" xfId="0" applyFont="1" applyBorder="1" applyAlignment="1">
      <alignment horizontal="center" vertical="center" wrapText="1"/>
    </xf>
    <xf numFmtId="0" fontId="40" fillId="6" borderId="0" xfId="0" applyFont="1" applyFill="1" applyBorder="1" applyAlignment="1">
      <alignment wrapText="1"/>
    </xf>
    <xf numFmtId="2" fontId="0" fillId="0" borderId="12" xfId="0" applyNumberFormat="1" applyFont="1" applyBorder="1" applyAlignment="1">
      <alignment horizontal="center" vertical="center" wrapText="1"/>
    </xf>
    <xf numFmtId="2" fontId="58" fillId="0" borderId="12" xfId="0" applyNumberFormat="1" applyFont="1" applyBorder="1" applyAlignment="1">
      <alignment horizontal="center" wrapText="1"/>
    </xf>
    <xf numFmtId="0" fontId="13" fillId="5" borderId="12" xfId="0" applyFont="1" applyFill="1" applyBorder="1" applyAlignment="1">
      <alignment horizontal="left" vertical="center" wrapText="1"/>
    </xf>
    <xf numFmtId="0" fontId="0" fillId="0" borderId="0" xfId="0" applyFont="1" applyAlignment="1">
      <alignment horizontal="left" vertical="top" wrapText="1"/>
    </xf>
    <xf numFmtId="0" fontId="40" fillId="0" borderId="0" xfId="0" applyFont="1" applyAlignment="1">
      <alignment wrapText="1"/>
    </xf>
    <xf numFmtId="0" fontId="0" fillId="0" borderId="12" xfId="0" applyFont="1" applyBorder="1" applyAlignment="1">
      <alignment vertical="top" wrapText="1"/>
    </xf>
    <xf numFmtId="0" fontId="16" fillId="0" borderId="12" xfId="0" applyFont="1" applyBorder="1" applyAlignment="1">
      <alignment horizontal="center" vertical="center" wrapText="1"/>
    </xf>
    <xf numFmtId="0" fontId="13" fillId="2" borderId="12" xfId="0" applyFont="1" applyFill="1" applyBorder="1" applyAlignment="1">
      <alignment vertical="center" wrapText="1"/>
    </xf>
    <xf numFmtId="2" fontId="45" fillId="0" borderId="12" xfId="0" applyNumberFormat="1" applyFont="1" applyBorder="1" applyAlignment="1">
      <alignment horizontal="center" vertical="center"/>
    </xf>
    <xf numFmtId="2" fontId="48" fillId="0" borderId="12" xfId="0" applyNumberFormat="1" applyFont="1" applyBorder="1" applyAlignment="1">
      <alignment horizontal="center" vertical="center" wrapText="1"/>
    </xf>
    <xf numFmtId="0" fontId="40" fillId="2" borderId="12" xfId="0" applyFont="1" applyFill="1" applyBorder="1" applyAlignment="1">
      <alignment wrapText="1"/>
    </xf>
    <xf numFmtId="0" fontId="0" fillId="3" borderId="0" xfId="0" applyFont="1" applyFill="1" applyBorder="1" applyAlignment="1">
      <alignment horizontal="left"/>
    </xf>
    <xf numFmtId="0" fontId="0" fillId="2" borderId="12" xfId="0" applyFont="1" applyFill="1" applyBorder="1" applyAlignment="1">
      <alignment vertical="top" wrapText="1"/>
    </xf>
    <xf numFmtId="0" fontId="13" fillId="5" borderId="12" xfId="0" applyFont="1" applyFill="1" applyBorder="1" applyAlignment="1">
      <alignment vertical="center" wrapText="1"/>
    </xf>
    <xf numFmtId="2" fontId="40" fillId="2" borderId="12" xfId="0" applyNumberFormat="1" applyFont="1" applyFill="1" applyBorder="1" applyAlignment="1">
      <alignment horizontal="center" vertical="center"/>
    </xf>
    <xf numFmtId="2" fontId="0" fillId="4" borderId="12" xfId="0" applyNumberFormat="1" applyFont="1" applyFill="1" applyBorder="1" applyAlignment="1">
      <alignment horizontal="center" vertical="center"/>
    </xf>
    <xf numFmtId="0" fontId="13" fillId="0" borderId="12" xfId="0" applyFont="1" applyBorder="1" applyAlignment="1">
      <alignment wrapText="1"/>
    </xf>
    <xf numFmtId="0" fontId="0" fillId="3" borderId="0" xfId="0" applyFont="1" applyFill="1" applyBorder="1" applyAlignment="1">
      <alignment vertical="top" wrapText="1"/>
    </xf>
    <xf numFmtId="2" fontId="45" fillId="4" borderId="12" xfId="0" applyNumberFormat="1" applyFont="1" applyFill="1" applyBorder="1" applyAlignment="1">
      <alignment horizontal="center" vertical="center"/>
    </xf>
    <xf numFmtId="2" fontId="45" fillId="4" borderId="12" xfId="0" applyNumberFormat="1" applyFont="1" applyFill="1" applyBorder="1" applyAlignment="1">
      <alignment horizontal="center" vertical="center" wrapText="1"/>
    </xf>
    <xf numFmtId="0" fontId="13" fillId="5" borderId="12" xfId="0" applyFont="1" applyFill="1" applyBorder="1" applyAlignment="1">
      <alignment wrapText="1"/>
    </xf>
    <xf numFmtId="2" fontId="0" fillId="0" borderId="0" xfId="0" applyNumberFormat="1" applyFont="1" applyAlignment="1">
      <alignment horizontal="center" vertical="center"/>
    </xf>
    <xf numFmtId="2" fontId="40" fillId="2" borderId="0" xfId="0" applyNumberFormat="1" applyFont="1" applyFill="1" applyBorder="1" applyAlignment="1">
      <alignment horizontal="center" vertical="center"/>
    </xf>
    <xf numFmtId="0" fontId="7" fillId="2" borderId="0" xfId="0" applyFont="1" applyFill="1" applyBorder="1" applyAlignment="1">
      <alignment horizontal="center" vertical="center" wrapText="1"/>
    </xf>
    <xf numFmtId="2" fontId="45" fillId="4" borderId="12" xfId="0" applyNumberFormat="1" applyFont="1" applyFill="1" applyBorder="1" applyAlignment="1">
      <alignment horizontal="center" wrapText="1"/>
    </xf>
    <xf numFmtId="2" fontId="0" fillId="4" borderId="0" xfId="0" applyNumberFormat="1" applyFont="1" applyFill="1" applyBorder="1" applyAlignment="1">
      <alignment horizontal="center" vertical="center"/>
    </xf>
    <xf numFmtId="0" fontId="0" fillId="4" borderId="0" xfId="0" applyFont="1" applyFill="1" applyBorder="1" applyAlignment="1">
      <alignment vertical="center" wrapText="1"/>
    </xf>
    <xf numFmtId="2" fontId="13" fillId="0" borderId="12" xfId="0" applyNumberFormat="1" applyFont="1" applyBorder="1" applyAlignment="1">
      <alignment horizontal="center" vertical="top" wrapText="1"/>
    </xf>
    <xf numFmtId="14" fontId="0" fillId="4" borderId="12" xfId="0" applyNumberFormat="1" applyFont="1" applyFill="1" applyBorder="1" applyAlignment="1">
      <alignment horizontal="center" vertical="center"/>
    </xf>
    <xf numFmtId="2" fontId="0" fillId="4" borderId="0" xfId="0" applyNumberFormat="1" applyFont="1" applyFill="1" applyBorder="1" applyAlignment="1">
      <alignment horizontal="center" wrapText="1"/>
    </xf>
    <xf numFmtId="0" fontId="11" fillId="3" borderId="12" xfId="0" applyFont="1" applyFill="1" applyBorder="1" applyAlignment="1">
      <alignment vertical="center"/>
    </xf>
    <xf numFmtId="2" fontId="13" fillId="5" borderId="12" xfId="0" applyNumberFormat="1" applyFont="1" applyFill="1" applyBorder="1" applyAlignment="1">
      <alignment wrapText="1"/>
    </xf>
    <xf numFmtId="0" fontId="59" fillId="0" borderId="12" xfId="0" applyFont="1" applyBorder="1"/>
    <xf numFmtId="14" fontId="0" fillId="4" borderId="0" xfId="0" applyNumberFormat="1" applyFont="1" applyFill="1" applyBorder="1" applyAlignment="1">
      <alignment horizontal="center" vertical="center"/>
    </xf>
    <xf numFmtId="0" fontId="17" fillId="0" borderId="12" xfId="0" applyFont="1" applyBorder="1" applyAlignment="1">
      <alignment vertical="top" wrapText="1"/>
    </xf>
    <xf numFmtId="2" fontId="47" fillId="5" borderId="12" xfId="0" applyNumberFormat="1" applyFont="1" applyFill="1" applyBorder="1" applyAlignment="1">
      <alignment horizontal="center"/>
    </xf>
    <xf numFmtId="0" fontId="0" fillId="5" borderId="12" xfId="0" applyFont="1" applyFill="1" applyBorder="1"/>
    <xf numFmtId="2" fontId="0" fillId="5" borderId="12" xfId="0" applyNumberFormat="1" applyFont="1" applyFill="1" applyBorder="1"/>
    <xf numFmtId="2" fontId="45" fillId="6" borderId="0" xfId="0" applyNumberFormat="1" applyFont="1" applyFill="1" applyBorder="1" applyAlignment="1">
      <alignment horizontal="center" vertical="top" wrapText="1"/>
    </xf>
    <xf numFmtId="0" fontId="13" fillId="0" borderId="12" xfId="0" applyFont="1" applyBorder="1" applyAlignment="1">
      <alignment vertical="center"/>
    </xf>
    <xf numFmtId="0" fontId="48" fillId="0" borderId="12" xfId="0" applyFont="1" applyBorder="1" applyAlignment="1">
      <alignment horizontal="center" vertical="center" wrapText="1"/>
    </xf>
    <xf numFmtId="0" fontId="14" fillId="0" borderId="0" xfId="0" applyFont="1" applyAlignment="1">
      <alignment horizontal="center" vertical="center" wrapText="1"/>
    </xf>
    <xf numFmtId="2" fontId="0" fillId="5" borderId="12" xfId="0" applyNumberFormat="1" applyFont="1" applyFill="1" applyBorder="1" applyAlignment="1">
      <alignment horizontal="center" wrapText="1"/>
    </xf>
    <xf numFmtId="2" fontId="0" fillId="5" borderId="12" xfId="0" applyNumberFormat="1" applyFont="1" applyFill="1" applyBorder="1" applyAlignment="1">
      <alignment horizontal="center" vertical="center" wrapText="1"/>
    </xf>
    <xf numFmtId="0" fontId="41" fillId="2" borderId="12" xfId="0" applyFont="1" applyFill="1" applyBorder="1" applyAlignment="1">
      <alignment horizontal="center" vertical="center" wrapText="1"/>
    </xf>
    <xf numFmtId="0" fontId="11" fillId="2" borderId="12" xfId="0" applyFont="1" applyFill="1" applyBorder="1" applyAlignment="1">
      <alignment vertical="center" wrapText="1"/>
    </xf>
    <xf numFmtId="2" fontId="41" fillId="2" borderId="12" xfId="0" applyNumberFormat="1" applyFont="1" applyFill="1" applyBorder="1" applyAlignment="1">
      <alignment horizontal="center" vertical="center"/>
    </xf>
    <xf numFmtId="2" fontId="48" fillId="6" borderId="0" xfId="0" applyNumberFormat="1" applyFont="1" applyFill="1" applyBorder="1" applyAlignment="1">
      <alignment horizontal="center" vertical="top" wrapText="1"/>
    </xf>
    <xf numFmtId="16" fontId="45" fillId="4" borderId="12" xfId="0" applyNumberFormat="1" applyFont="1" applyFill="1" applyBorder="1" applyAlignment="1">
      <alignment horizontal="center" vertical="center"/>
    </xf>
    <xf numFmtId="2" fontId="40" fillId="4" borderId="0" xfId="0" applyNumberFormat="1" applyFont="1" applyFill="1" applyBorder="1" applyAlignment="1">
      <alignment horizontal="center"/>
    </xf>
    <xf numFmtId="2" fontId="60" fillId="6" borderId="0" xfId="0" applyNumberFormat="1" applyFont="1" applyFill="1" applyBorder="1" applyAlignment="1">
      <alignment horizontal="center" vertical="center"/>
    </xf>
    <xf numFmtId="0" fontId="40" fillId="4" borderId="12" xfId="0" applyFont="1" applyFill="1" applyBorder="1" applyAlignment="1">
      <alignment horizontal="center"/>
    </xf>
    <xf numFmtId="0" fontId="11" fillId="4" borderId="12" xfId="0" applyFont="1" applyFill="1" applyBorder="1" applyAlignment="1">
      <alignment vertical="center" wrapText="1"/>
    </xf>
    <xf numFmtId="0" fontId="41" fillId="2" borderId="0" xfId="0" applyFont="1" applyFill="1" applyBorder="1" applyAlignment="1">
      <alignment horizontal="center" vertical="center" wrapText="1"/>
    </xf>
    <xf numFmtId="0" fontId="11" fillId="2" borderId="0" xfId="0" applyFont="1" applyFill="1" applyBorder="1" applyAlignment="1">
      <alignment vertical="center" wrapText="1"/>
    </xf>
    <xf numFmtId="2" fontId="41" fillId="2" borderId="0" xfId="0" applyNumberFormat="1" applyFont="1" applyFill="1" applyBorder="1" applyAlignment="1">
      <alignment horizontal="center" vertical="center"/>
    </xf>
    <xf numFmtId="0" fontId="45" fillId="2" borderId="12" xfId="0" applyFont="1" applyFill="1" applyBorder="1" applyAlignment="1">
      <alignment vertical="center" wrapText="1"/>
    </xf>
    <xf numFmtId="0" fontId="41" fillId="2" borderId="0" xfId="0" applyFont="1" applyFill="1" applyBorder="1" applyAlignment="1">
      <alignment vertical="center" wrapText="1"/>
    </xf>
    <xf numFmtId="0" fontId="45" fillId="0" borderId="12" xfId="0" applyFont="1" applyBorder="1" applyAlignment="1">
      <alignment horizontal="center" vertical="center"/>
    </xf>
    <xf numFmtId="16" fontId="45" fillId="4" borderId="0" xfId="0" applyNumberFormat="1" applyFont="1" applyFill="1" applyBorder="1" applyAlignment="1">
      <alignment horizontal="center" vertical="center"/>
    </xf>
    <xf numFmtId="0" fontId="11" fillId="4" borderId="0" xfId="0" applyFont="1" applyFill="1" applyBorder="1" applyAlignment="1">
      <alignment vertical="center" wrapText="1"/>
    </xf>
    <xf numFmtId="0" fontId="13" fillId="0" borderId="12" xfId="0" applyFont="1" applyBorder="1" applyAlignment="1">
      <alignment horizontal="left" vertical="top" wrapText="1"/>
    </xf>
    <xf numFmtId="0" fontId="13" fillId="0" borderId="12" xfId="0" applyFont="1" applyBorder="1" applyAlignment="1">
      <alignment horizontal="center" wrapText="1"/>
    </xf>
    <xf numFmtId="2" fontId="45" fillId="4" borderId="0" xfId="0" applyNumberFormat="1" applyFont="1" applyFill="1" applyBorder="1" applyAlignment="1">
      <alignment horizontal="center" vertical="center"/>
    </xf>
    <xf numFmtId="0" fontId="45" fillId="3" borderId="0" xfId="0" applyFont="1" applyFill="1" applyBorder="1" applyAlignment="1">
      <alignment vertical="center" wrapText="1"/>
    </xf>
    <xf numFmtId="0" fontId="48" fillId="5" borderId="12" xfId="0" applyFont="1" applyFill="1" applyBorder="1" applyAlignment="1">
      <alignment horizontal="center" vertical="center" wrapText="1"/>
    </xf>
    <xf numFmtId="0" fontId="17" fillId="5" borderId="12" xfId="0" applyFont="1" applyFill="1" applyBorder="1" applyAlignment="1">
      <alignment horizontal="left" wrapText="1"/>
    </xf>
    <xf numFmtId="0" fontId="45" fillId="0" borderId="0" xfId="0" applyFont="1" applyAlignment="1">
      <alignment horizontal="center" vertical="center"/>
    </xf>
    <xf numFmtId="0" fontId="0" fillId="5" borderId="12" xfId="0" applyFont="1" applyFill="1" applyBorder="1" applyAlignment="1">
      <alignment wrapText="1"/>
    </xf>
    <xf numFmtId="0" fontId="11" fillId="6" borderId="0" xfId="0" applyFont="1" applyFill="1" applyBorder="1" applyAlignment="1">
      <alignment vertical="center" wrapText="1"/>
    </xf>
    <xf numFmtId="0" fontId="45" fillId="5" borderId="12" xfId="0" applyFont="1" applyFill="1" applyBorder="1"/>
    <xf numFmtId="0" fontId="13" fillId="0" borderId="12" xfId="0" applyFont="1" applyBorder="1" applyAlignment="1">
      <alignment horizontal="center"/>
    </xf>
    <xf numFmtId="2" fontId="60" fillId="6" borderId="0" xfId="0" applyNumberFormat="1" applyFont="1" applyFill="1" applyBorder="1" applyAlignment="1">
      <alignment horizontal="center"/>
    </xf>
    <xf numFmtId="2" fontId="47" fillId="6" borderId="0" xfId="0" applyNumberFormat="1" applyFont="1" applyFill="1" applyBorder="1" applyAlignment="1">
      <alignment horizontal="center"/>
    </xf>
    <xf numFmtId="0" fontId="45" fillId="0" borderId="0" xfId="0" applyFont="1" applyAlignment="1">
      <alignment vertical="center" wrapText="1"/>
    </xf>
    <xf numFmtId="2" fontId="45" fillId="6" borderId="0" xfId="0" applyNumberFormat="1" applyFont="1" applyFill="1" applyBorder="1" applyAlignment="1">
      <alignment horizontal="center" vertical="center"/>
    </xf>
    <xf numFmtId="0" fontId="45" fillId="4" borderId="12" xfId="0" applyFont="1" applyFill="1" applyBorder="1" applyAlignment="1">
      <alignment horizontal="center" vertical="center"/>
    </xf>
    <xf numFmtId="2" fontId="61" fillId="4" borderId="12" xfId="0" applyNumberFormat="1" applyFont="1" applyFill="1" applyBorder="1" applyAlignment="1">
      <alignment horizontal="center" vertical="center"/>
    </xf>
    <xf numFmtId="0" fontId="45" fillId="4" borderId="0" xfId="0" applyFont="1" applyFill="1" applyBorder="1" applyAlignment="1">
      <alignment horizontal="center" vertical="center"/>
    </xf>
    <xf numFmtId="2" fontId="62" fillId="4" borderId="12" xfId="0" applyNumberFormat="1" applyFont="1" applyFill="1" applyBorder="1" applyAlignment="1">
      <alignment horizontal="center" vertical="center"/>
    </xf>
    <xf numFmtId="2" fontId="61" fillId="4" borderId="0" xfId="0" applyNumberFormat="1" applyFont="1" applyFill="1" applyBorder="1" applyAlignment="1">
      <alignment horizontal="center" vertical="center"/>
    </xf>
    <xf numFmtId="14" fontId="45" fillId="4" borderId="12" xfId="0" applyNumberFormat="1" applyFont="1" applyFill="1" applyBorder="1" applyAlignment="1">
      <alignment horizontal="center" vertical="center"/>
    </xf>
    <xf numFmtId="2" fontId="62" fillId="4" borderId="0" xfId="0" applyNumberFormat="1" applyFont="1" applyFill="1" applyBorder="1" applyAlignment="1">
      <alignment horizontal="center" vertical="center"/>
    </xf>
    <xf numFmtId="14" fontId="45" fillId="4" borderId="0" xfId="0" applyNumberFormat="1" applyFont="1" applyFill="1" applyBorder="1" applyAlignment="1">
      <alignment horizontal="center" vertical="center"/>
    </xf>
    <xf numFmtId="0" fontId="11" fillId="0" borderId="12" xfId="0" applyFont="1" applyBorder="1" applyAlignment="1">
      <alignment vertical="center" wrapText="1"/>
    </xf>
    <xf numFmtId="0" fontId="11" fillId="0" borderId="0" xfId="0" applyFont="1" applyAlignment="1">
      <alignment vertical="center" wrapText="1"/>
    </xf>
    <xf numFmtId="0" fontId="13" fillId="3" borderId="0" xfId="0" applyFont="1" applyFill="1" applyBorder="1" applyAlignment="1">
      <alignment vertical="center" wrapText="1"/>
    </xf>
    <xf numFmtId="2" fontId="60" fillId="0" borderId="12" xfId="0" applyNumberFormat="1" applyFont="1" applyBorder="1" applyAlignment="1">
      <alignment horizontal="center"/>
    </xf>
    <xf numFmtId="0" fontId="0" fillId="4" borderId="12" xfId="0" applyFont="1" applyFill="1" applyBorder="1" applyAlignment="1">
      <alignment horizontal="center" wrapText="1"/>
    </xf>
    <xf numFmtId="2" fontId="45" fillId="6" borderId="0" xfId="0" applyNumberFormat="1" applyFont="1" applyFill="1" applyBorder="1" applyAlignment="1">
      <alignment horizontal="center" vertical="center" wrapText="1"/>
    </xf>
    <xf numFmtId="2" fontId="13" fillId="5" borderId="12" xfId="0" applyNumberFormat="1" applyFont="1" applyFill="1" applyBorder="1" applyAlignment="1">
      <alignment horizontal="center" vertical="top" wrapText="1"/>
    </xf>
    <xf numFmtId="2" fontId="0" fillId="2" borderId="12" xfId="0" applyNumberFormat="1" applyFont="1" applyFill="1" applyBorder="1" applyAlignment="1">
      <alignment horizontal="center" wrapText="1"/>
    </xf>
    <xf numFmtId="2" fontId="13" fillId="6" borderId="0" xfId="0" applyNumberFormat="1" applyFont="1" applyFill="1" applyBorder="1" applyAlignment="1">
      <alignment horizontal="center" wrapText="1"/>
    </xf>
    <xf numFmtId="0" fontId="0" fillId="0" borderId="0" xfId="0" applyFont="1" applyAlignment="1">
      <alignment horizontal="center" vertical="center" wrapText="1"/>
    </xf>
    <xf numFmtId="2" fontId="60" fillId="0" borderId="0" xfId="0" applyNumberFormat="1" applyFont="1" applyAlignment="1">
      <alignment horizontal="center"/>
    </xf>
    <xf numFmtId="0" fontId="0" fillId="0" borderId="0" xfId="0" applyFont="1" applyAlignment="1">
      <alignment vertical="center" wrapText="1"/>
    </xf>
    <xf numFmtId="2" fontId="45" fillId="0" borderId="0" xfId="0" applyNumberFormat="1" applyFont="1" applyAlignment="1">
      <alignment horizontal="center" wrapText="1"/>
    </xf>
    <xf numFmtId="2" fontId="45" fillId="0" borderId="0" xfId="0" applyNumberFormat="1" applyFont="1" applyAlignment="1">
      <alignment horizontal="center" vertical="center" wrapText="1"/>
    </xf>
    <xf numFmtId="2" fontId="13" fillId="0" borderId="0" xfId="0" applyNumberFormat="1" applyFont="1" applyAlignment="1">
      <alignment horizontal="center" wrapText="1"/>
    </xf>
    <xf numFmtId="2" fontId="0" fillId="2" borderId="12" xfId="0" applyNumberFormat="1" applyFont="1" applyFill="1" applyBorder="1" applyAlignment="1">
      <alignment horizontal="center"/>
    </xf>
    <xf numFmtId="2" fontId="40" fillId="2" borderId="0" xfId="0" applyNumberFormat="1" applyFont="1" applyFill="1" applyBorder="1" applyAlignment="1">
      <alignment horizontal="center"/>
    </xf>
    <xf numFmtId="0" fontId="0" fillId="4" borderId="0" xfId="0" applyFont="1" applyFill="1" applyBorder="1" applyAlignment="1">
      <alignment horizontal="center" wrapText="1"/>
    </xf>
    <xf numFmtId="0" fontId="45" fillId="6" borderId="0" xfId="0" applyFont="1" applyFill="1" applyBorder="1"/>
    <xf numFmtId="0" fontId="13" fillId="5" borderId="12" xfId="0" applyFont="1" applyFill="1" applyBorder="1" applyAlignment="1">
      <alignment horizontal="left" vertical="center"/>
    </xf>
    <xf numFmtId="2" fontId="0" fillId="0" borderId="0" xfId="0" applyNumberFormat="1" applyFont="1" applyAlignment="1">
      <alignment horizontal="center" wrapText="1"/>
    </xf>
    <xf numFmtId="16" fontId="40" fillId="2" borderId="12" xfId="0" applyNumberFormat="1" applyFont="1" applyFill="1" applyBorder="1" applyAlignment="1">
      <alignment horizontal="center" wrapText="1"/>
    </xf>
    <xf numFmtId="2" fontId="47" fillId="6" borderId="0" xfId="0" applyNumberFormat="1" applyFont="1" applyFill="1" applyBorder="1" applyAlignment="1">
      <alignment horizontal="center" vertical="center" wrapText="1"/>
    </xf>
    <xf numFmtId="0" fontId="43" fillId="4" borderId="12" xfId="0" applyFont="1" applyFill="1" applyBorder="1" applyAlignment="1">
      <alignment horizontal="center" wrapText="1"/>
    </xf>
    <xf numFmtId="2" fontId="40" fillId="0" borderId="12" xfId="0" applyNumberFormat="1" applyFont="1" applyBorder="1" applyAlignment="1">
      <alignment horizontal="center"/>
    </xf>
    <xf numFmtId="0" fontId="45" fillId="3" borderId="12" xfId="0" applyFont="1" applyFill="1" applyBorder="1"/>
    <xf numFmtId="1" fontId="45" fillId="5" borderId="12" xfId="0" applyNumberFormat="1" applyFont="1" applyFill="1" applyBorder="1" applyAlignment="1">
      <alignment horizontal="center" wrapText="1"/>
    </xf>
    <xf numFmtId="165" fontId="45" fillId="5" borderId="12" xfId="0" applyNumberFormat="1" applyFont="1" applyFill="1" applyBorder="1" applyAlignment="1">
      <alignment horizontal="center" wrapText="1"/>
    </xf>
    <xf numFmtId="2" fontId="63" fillId="6" borderId="0" xfId="0" applyNumberFormat="1" applyFont="1" applyFill="1" applyBorder="1" applyAlignment="1">
      <alignment horizontal="center" vertical="center" wrapText="1"/>
    </xf>
    <xf numFmtId="0" fontId="40" fillId="4" borderId="12" xfId="0" applyFont="1" applyFill="1" applyBorder="1" applyAlignment="1">
      <alignment horizontal="center" wrapText="1"/>
    </xf>
    <xf numFmtId="0" fontId="13" fillId="3" borderId="12" xfId="0" applyFont="1" applyFill="1" applyBorder="1"/>
    <xf numFmtId="0" fontId="0" fillId="6" borderId="0" xfId="0" applyFont="1" applyFill="1" applyBorder="1" applyAlignment="1">
      <alignment horizontal="center" vertical="center" wrapText="1"/>
    </xf>
    <xf numFmtId="2" fontId="64" fillId="6" borderId="0" xfId="0" applyNumberFormat="1" applyFont="1" applyFill="1" applyBorder="1" applyAlignment="1">
      <alignment horizontal="center" vertical="center" wrapText="1"/>
    </xf>
    <xf numFmtId="0" fontId="65" fillId="5" borderId="12" xfId="0" applyFont="1" applyFill="1" applyBorder="1" applyAlignment="1">
      <alignment horizontal="center" vertical="center" wrapText="1"/>
    </xf>
    <xf numFmtId="0" fontId="40" fillId="0" borderId="12" xfId="0" applyFont="1" applyBorder="1" applyAlignment="1">
      <alignment horizontal="center"/>
    </xf>
    <xf numFmtId="0" fontId="66" fillId="5" borderId="12" xfId="0" applyFont="1" applyFill="1" applyBorder="1" applyAlignment="1">
      <alignment horizontal="center" vertical="center" wrapText="1"/>
    </xf>
    <xf numFmtId="16" fontId="40" fillId="2" borderId="0" xfId="0" applyNumberFormat="1" applyFont="1" applyFill="1" applyBorder="1" applyAlignment="1">
      <alignment horizontal="center" wrapText="1"/>
    </xf>
    <xf numFmtId="0" fontId="41" fillId="3" borderId="12" xfId="0" applyFont="1" applyFill="1" applyBorder="1"/>
    <xf numFmtId="0" fontId="13" fillId="2" borderId="0" xfId="0" applyFont="1" applyFill="1" applyBorder="1" applyAlignment="1">
      <alignment horizontal="center" vertical="center" wrapText="1"/>
    </xf>
    <xf numFmtId="0" fontId="40" fillId="4" borderId="0" xfId="0" applyFont="1" applyFill="1" applyBorder="1" applyAlignment="1">
      <alignment horizontal="center"/>
    </xf>
    <xf numFmtId="165" fontId="45" fillId="5" borderId="12" xfId="0" applyNumberFormat="1" applyFont="1" applyFill="1" applyBorder="1" applyAlignment="1">
      <alignment horizontal="center" vertical="center"/>
    </xf>
    <xf numFmtId="165" fontId="45" fillId="5" borderId="12" xfId="0" applyNumberFormat="1" applyFont="1" applyFill="1" applyBorder="1" applyAlignment="1">
      <alignment horizontal="center" vertical="center" wrapText="1"/>
    </xf>
    <xf numFmtId="165" fontId="41" fillId="5" borderId="12" xfId="0" applyNumberFormat="1" applyFont="1" applyFill="1" applyBorder="1" applyAlignment="1">
      <alignment horizontal="center" vertical="center" wrapText="1"/>
    </xf>
    <xf numFmtId="165" fontId="65" fillId="5" borderId="12" xfId="0" applyNumberFormat="1" applyFont="1" applyFill="1" applyBorder="1" applyAlignment="1">
      <alignment horizontal="center" vertical="center"/>
    </xf>
    <xf numFmtId="165" fontId="67" fillId="0" borderId="12" xfId="0" applyNumberFormat="1" applyFont="1" applyBorder="1" applyAlignment="1">
      <alignment horizontal="center" wrapText="1"/>
    </xf>
    <xf numFmtId="2" fontId="7" fillId="2" borderId="12" xfId="0" applyNumberFormat="1" applyFont="1" applyFill="1" applyBorder="1" applyAlignment="1">
      <alignment horizontal="center" wrapText="1"/>
    </xf>
    <xf numFmtId="0" fontId="40" fillId="2" borderId="12" xfId="0" applyFont="1" applyFill="1" applyBorder="1" applyAlignment="1">
      <alignment horizontal="left" wrapText="1"/>
    </xf>
    <xf numFmtId="165" fontId="13" fillId="0" borderId="12" xfId="0" applyNumberFormat="1" applyFont="1" applyBorder="1" applyAlignment="1">
      <alignment horizontal="center" vertical="center"/>
    </xf>
    <xf numFmtId="2" fontId="68" fillId="0" borderId="12" xfId="0" applyNumberFormat="1" applyFont="1" applyBorder="1" applyAlignment="1">
      <alignment horizontal="center" wrapText="1"/>
    </xf>
    <xf numFmtId="2" fontId="49" fillId="5" borderId="12" xfId="0" applyNumberFormat="1" applyFont="1" applyFill="1" applyBorder="1" applyAlignment="1">
      <alignment horizontal="center" vertical="center"/>
    </xf>
    <xf numFmtId="0" fontId="57" fillId="0" borderId="12" xfId="0" applyFont="1" applyBorder="1" applyAlignment="1">
      <alignment shrinkToFit="1"/>
    </xf>
    <xf numFmtId="2" fontId="48" fillId="6" borderId="0" xfId="0" applyNumberFormat="1" applyFont="1" applyFill="1" applyBorder="1" applyAlignment="1">
      <alignment horizontal="center" vertical="center" wrapText="1"/>
    </xf>
    <xf numFmtId="2" fontId="49" fillId="6" borderId="0" xfId="0" applyNumberFormat="1" applyFont="1" applyFill="1" applyBorder="1" applyAlignment="1">
      <alignment horizontal="center"/>
    </xf>
    <xf numFmtId="0" fontId="43" fillId="0" borderId="12" xfId="0" applyFont="1" applyBorder="1" applyAlignment="1">
      <alignment horizontal="center" wrapText="1"/>
    </xf>
    <xf numFmtId="0" fontId="11" fillId="0" borderId="12" xfId="0" applyFont="1" applyBorder="1" applyAlignment="1">
      <alignment horizontal="center" vertical="center"/>
    </xf>
    <xf numFmtId="0" fontId="10" fillId="2" borderId="12" xfId="0" applyFont="1" applyFill="1" applyBorder="1"/>
    <xf numFmtId="2" fontId="7" fillId="2" borderId="12" xfId="0" applyNumberFormat="1" applyFont="1" applyFill="1" applyBorder="1" applyAlignment="1">
      <alignment horizontal="center"/>
    </xf>
    <xf numFmtId="0" fontId="11" fillId="2" borderId="12" xfId="0" applyFont="1" applyFill="1" applyBorder="1"/>
    <xf numFmtId="0" fontId="7" fillId="2" borderId="12" xfId="0" applyFont="1" applyFill="1" applyBorder="1"/>
    <xf numFmtId="0" fontId="40" fillId="4" borderId="12" xfId="0" applyFont="1" applyFill="1" applyBorder="1" applyAlignment="1">
      <alignment wrapText="1"/>
    </xf>
    <xf numFmtId="0" fontId="7" fillId="2" borderId="12" xfId="0" applyFont="1" applyFill="1" applyBorder="1" applyAlignment="1">
      <alignment horizontal="center"/>
    </xf>
    <xf numFmtId="2" fontId="40" fillId="5" borderId="12" xfId="0" applyNumberFormat="1" applyFont="1" applyFill="1" applyBorder="1" applyAlignment="1">
      <alignment horizontal="center" wrapText="1"/>
    </xf>
    <xf numFmtId="0" fontId="41" fillId="5" borderId="12" xfId="0" applyFont="1" applyFill="1" applyBorder="1"/>
    <xf numFmtId="0" fontId="58" fillId="5" borderId="12" xfId="0" applyFont="1" applyFill="1" applyBorder="1" applyAlignment="1">
      <alignment horizontal="center" vertical="center" wrapText="1"/>
    </xf>
    <xf numFmtId="0" fontId="0" fillId="5" borderId="12" xfId="0" applyFont="1" applyFill="1" applyBorder="1" applyAlignment="1">
      <alignment horizontal="center" vertical="center" wrapText="1"/>
    </xf>
    <xf numFmtId="2" fontId="55" fillId="6" borderId="0" xfId="0" applyNumberFormat="1" applyFont="1" applyFill="1" applyBorder="1" applyAlignment="1">
      <alignment horizontal="center" wrapText="1"/>
    </xf>
    <xf numFmtId="0" fontId="55" fillId="6" borderId="0" xfId="0" applyFont="1" applyFill="1" applyBorder="1" applyAlignment="1">
      <alignment horizontal="center" vertical="center" wrapText="1"/>
    </xf>
    <xf numFmtId="0" fontId="40" fillId="6" borderId="0" xfId="0" applyFont="1" applyFill="1" applyBorder="1"/>
    <xf numFmtId="2" fontId="0" fillId="3" borderId="0" xfId="0" applyNumberFormat="1" applyFont="1" applyFill="1" applyBorder="1"/>
    <xf numFmtId="2" fontId="13" fillId="6" borderId="0" xfId="0" applyNumberFormat="1" applyFont="1" applyFill="1" applyBorder="1" applyAlignment="1">
      <alignment horizontal="center" vertical="center"/>
    </xf>
    <xf numFmtId="2" fontId="11" fillId="6" borderId="0" xfId="0" applyNumberFormat="1" applyFont="1" applyFill="1" applyBorder="1" applyAlignment="1">
      <alignment horizontal="center" vertical="center"/>
    </xf>
    <xf numFmtId="0" fontId="40" fillId="0" borderId="12" xfId="0" applyFont="1" applyBorder="1" applyAlignment="1">
      <alignment vertical="top" wrapText="1"/>
    </xf>
    <xf numFmtId="0" fontId="69" fillId="5" borderId="12" xfId="0" applyFont="1" applyFill="1" applyBorder="1" applyAlignment="1">
      <alignment horizontal="center" vertical="center" wrapText="1"/>
    </xf>
    <xf numFmtId="2" fontId="49" fillId="6" borderId="0" xfId="0" applyNumberFormat="1" applyFont="1" applyFill="1" applyBorder="1" applyAlignment="1">
      <alignment horizontal="center" vertical="center"/>
    </xf>
    <xf numFmtId="2" fontId="55" fillId="6" borderId="0" xfId="0" applyNumberFormat="1" applyFont="1" applyFill="1" applyBorder="1" applyAlignment="1">
      <alignment horizontal="center"/>
    </xf>
    <xf numFmtId="0" fontId="7" fillId="6" borderId="0" xfId="0" applyFont="1" applyFill="1" applyBorder="1"/>
    <xf numFmtId="0" fontId="11"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2" fontId="62" fillId="6" borderId="0" xfId="0" applyNumberFormat="1" applyFont="1" applyFill="1" applyBorder="1" applyAlignment="1">
      <alignment horizontal="center" vertical="center" wrapText="1"/>
    </xf>
    <xf numFmtId="0" fontId="7" fillId="2" borderId="0" xfId="0" applyFont="1" applyFill="1" applyBorder="1" applyAlignment="1">
      <alignment horizontal="center"/>
    </xf>
    <xf numFmtId="0" fontId="7" fillId="2" borderId="0" xfId="0" applyFont="1" applyFill="1" applyBorder="1" applyAlignment="1">
      <alignment horizontal="left" wrapText="1"/>
    </xf>
    <xf numFmtId="2" fontId="47" fillId="2" borderId="0" xfId="0" applyNumberFormat="1" applyFont="1" applyFill="1" applyBorder="1" applyAlignment="1">
      <alignment horizontal="left" vertical="center"/>
    </xf>
    <xf numFmtId="0" fontId="51" fillId="2" borderId="0" xfId="0" applyFont="1" applyFill="1" applyBorder="1" applyAlignment="1">
      <alignment horizontal="center" vertical="center" wrapText="1"/>
    </xf>
    <xf numFmtId="0" fontId="7" fillId="4" borderId="0" xfId="0" applyFont="1" applyFill="1" applyBorder="1" applyAlignment="1">
      <alignment horizontal="left"/>
    </xf>
    <xf numFmtId="0" fontId="51" fillId="4" borderId="0" xfId="0" applyFont="1" applyFill="1" applyBorder="1" applyAlignment="1">
      <alignment horizontal="center" vertical="center" wrapText="1"/>
    </xf>
    <xf numFmtId="0" fontId="0" fillId="0" borderId="0" xfId="0" applyFont="1" applyAlignment="1">
      <alignment horizontal="center" wrapText="1"/>
    </xf>
    <xf numFmtId="2" fontId="47" fillId="0" borderId="12" xfId="0" applyNumberFormat="1" applyFont="1" applyBorder="1" applyAlignment="1">
      <alignment horizontal="center" vertical="center" wrapText="1"/>
    </xf>
    <xf numFmtId="0" fontId="40" fillId="6" borderId="0" xfId="0" applyFont="1" applyFill="1" applyBorder="1" applyAlignment="1">
      <alignment horizontal="left" vertical="top" wrapText="1"/>
    </xf>
    <xf numFmtId="0" fontId="40" fillId="3" borderId="12" xfId="0" applyFont="1" applyFill="1" applyBorder="1" applyAlignment="1">
      <alignment horizontal="center"/>
    </xf>
    <xf numFmtId="2" fontId="55" fillId="6" borderId="0" xfId="0" applyNumberFormat="1" applyFont="1" applyFill="1" applyBorder="1" applyAlignment="1">
      <alignment horizontal="center" vertical="top" wrapText="1"/>
    </xf>
    <xf numFmtId="0" fontId="40" fillId="2" borderId="12" xfId="0" applyFont="1" applyFill="1" applyBorder="1" applyAlignment="1">
      <alignment horizontal="center"/>
    </xf>
    <xf numFmtId="0" fontId="43" fillId="3" borderId="12" xfId="0" applyFont="1" applyFill="1" applyBorder="1" applyAlignment="1">
      <alignment horizontal="center" wrapText="1"/>
    </xf>
    <xf numFmtId="2" fontId="43" fillId="3" borderId="12" xfId="0" applyNumberFormat="1" applyFont="1" applyFill="1" applyBorder="1" applyAlignment="1">
      <alignment horizontal="center"/>
    </xf>
    <xf numFmtId="2" fontId="47" fillId="6" borderId="0" xfId="0" applyNumberFormat="1" applyFont="1" applyFill="1" applyBorder="1" applyAlignment="1">
      <alignment horizontal="center" wrapText="1"/>
    </xf>
    <xf numFmtId="0" fontId="63" fillId="6" borderId="0" xfId="0" applyFont="1" applyFill="1" applyBorder="1" applyAlignment="1">
      <alignment wrapText="1"/>
    </xf>
    <xf numFmtId="2" fontId="45" fillId="5" borderId="12" xfId="0" applyNumberFormat="1" applyFont="1" applyFill="1" applyBorder="1" applyAlignment="1">
      <alignment horizontal="left" vertical="top" wrapText="1"/>
    </xf>
    <xf numFmtId="0" fontId="45" fillId="0" borderId="12" xfId="0" applyFont="1" applyBorder="1" applyAlignment="1">
      <alignment wrapText="1"/>
    </xf>
    <xf numFmtId="2" fontId="0" fillId="5" borderId="12" xfId="0" applyNumberFormat="1" applyFont="1" applyFill="1" applyBorder="1" applyAlignment="1">
      <alignment horizontal="left" vertical="top" wrapText="1"/>
    </xf>
    <xf numFmtId="0" fontId="56" fillId="6" borderId="0" xfId="0" applyFont="1" applyFill="1" applyBorder="1" applyAlignment="1">
      <alignment horizontal="left" wrapText="1"/>
    </xf>
    <xf numFmtId="2" fontId="14" fillId="5" borderId="12" xfId="0" applyNumberFormat="1" applyFont="1" applyFill="1" applyBorder="1" applyAlignment="1">
      <alignment horizontal="center" vertical="center" wrapText="1"/>
    </xf>
    <xf numFmtId="2" fontId="47" fillId="5" borderId="12" xfId="0" applyNumberFormat="1" applyFont="1" applyFill="1" applyBorder="1" applyAlignment="1">
      <alignment horizontal="left" vertical="top" wrapText="1"/>
    </xf>
    <xf numFmtId="0" fontId="45" fillId="0" borderId="12" xfId="0" applyFont="1" applyBorder="1" applyAlignment="1">
      <alignment horizontal="left" vertical="top" wrapText="1"/>
    </xf>
    <xf numFmtId="0" fontId="7" fillId="6" borderId="0" xfId="0" applyFont="1" applyFill="1" applyBorder="1" applyAlignment="1">
      <alignment horizontal="left"/>
    </xf>
    <xf numFmtId="0" fontId="49" fillId="6" borderId="0" xfId="0" applyFont="1" applyFill="1" applyBorder="1" applyAlignment="1">
      <alignment horizontal="center" vertical="center" wrapText="1"/>
    </xf>
    <xf numFmtId="0" fontId="0" fillId="2" borderId="0" xfId="0" applyFont="1" applyFill="1" applyBorder="1" applyAlignment="1">
      <alignment wrapText="1"/>
    </xf>
    <xf numFmtId="2" fontId="0" fillId="6" borderId="0" xfId="0" applyNumberFormat="1" applyFont="1" applyFill="1" applyBorder="1" applyAlignment="1">
      <alignment horizontal="center" vertical="top" wrapText="1"/>
    </xf>
    <xf numFmtId="9" fontId="13" fillId="0" borderId="12" xfId="0" applyNumberFormat="1" applyFont="1" applyBorder="1" applyAlignment="1">
      <alignment horizontal="center" vertical="center" wrapText="1"/>
    </xf>
    <xf numFmtId="17" fontId="13" fillId="5" borderId="12" xfId="0" applyNumberFormat="1" applyFont="1" applyFill="1" applyBorder="1" applyAlignment="1">
      <alignment horizontal="center" vertical="center" wrapText="1"/>
    </xf>
    <xf numFmtId="2" fontId="55" fillId="6" borderId="0" xfId="0" applyNumberFormat="1" applyFont="1" applyFill="1" applyBorder="1" applyAlignment="1">
      <alignment horizontal="center" vertical="center" wrapText="1"/>
    </xf>
    <xf numFmtId="0" fontId="48" fillId="6" borderId="0" xfId="0" applyFont="1" applyFill="1" applyBorder="1" applyAlignment="1">
      <alignment vertical="center" wrapText="1"/>
    </xf>
    <xf numFmtId="0" fontId="70" fillId="0" borderId="12" xfId="0" applyFont="1" applyBorder="1" applyAlignment="1">
      <alignment horizontal="center" vertical="center" wrapText="1"/>
    </xf>
    <xf numFmtId="0" fontId="0" fillId="2" borderId="0" xfId="0" applyFont="1" applyFill="1" applyBorder="1" applyAlignment="1">
      <alignment horizontal="left" wrapText="1"/>
    </xf>
    <xf numFmtId="0" fontId="13" fillId="2" borderId="12" xfId="0" applyFont="1" applyFill="1" applyBorder="1"/>
    <xf numFmtId="0" fontId="20" fillId="0" borderId="12" xfId="0" applyFont="1" applyBorder="1" applyAlignment="1">
      <alignment horizontal="center" vertical="center" wrapText="1"/>
    </xf>
    <xf numFmtId="0" fontId="11" fillId="3" borderId="12" xfId="0" applyFont="1" applyFill="1" applyBorder="1" applyAlignment="1">
      <alignment horizontal="center" vertical="center" wrapText="1"/>
    </xf>
    <xf numFmtId="0" fontId="47" fillId="6" borderId="0" xfId="0" applyFont="1" applyFill="1" applyBorder="1"/>
    <xf numFmtId="0" fontId="71" fillId="5" borderId="12" xfId="0" applyFont="1" applyFill="1" applyBorder="1" applyAlignment="1">
      <alignment horizontal="center" vertical="center" wrapText="1"/>
    </xf>
    <xf numFmtId="0" fontId="64" fillId="2" borderId="0" xfId="0" applyFont="1" applyFill="1" applyBorder="1"/>
    <xf numFmtId="0" fontId="14" fillId="4" borderId="0" xfId="0" applyFont="1" applyFill="1" applyBorder="1" applyAlignment="1">
      <alignment horizontal="center" vertical="center" wrapText="1"/>
    </xf>
    <xf numFmtId="2" fontId="0" fillId="4" borderId="0" xfId="0" applyNumberFormat="1" applyFont="1" applyFill="1" applyBorder="1"/>
    <xf numFmtId="0" fontId="0" fillId="2" borderId="0" xfId="0" applyFont="1" applyFill="1" applyBorder="1"/>
    <xf numFmtId="0" fontId="45" fillId="2" borderId="0" xfId="0" applyFont="1" applyFill="1" applyBorder="1"/>
    <xf numFmtId="2" fontId="0" fillId="0" borderId="0" xfId="0" applyNumberFormat="1" applyFont="1"/>
    <xf numFmtId="0" fontId="45" fillId="0" borderId="0" xfId="0" applyFont="1" applyAlignment="1">
      <alignment horizontal="center" vertical="center" wrapText="1"/>
    </xf>
    <xf numFmtId="0" fontId="72" fillId="6" borderId="0" xfId="0" applyFont="1" applyFill="1" applyBorder="1" applyAlignment="1">
      <alignment horizontal="center" vertical="center" wrapText="1"/>
    </xf>
    <xf numFmtId="0" fontId="73" fillId="4" borderId="0" xfId="0" applyFont="1" applyFill="1" applyBorder="1" applyAlignment="1">
      <alignment wrapText="1"/>
    </xf>
    <xf numFmtId="2" fontId="74" fillId="4" borderId="0" xfId="0" applyNumberFormat="1" applyFont="1" applyFill="1" applyBorder="1" applyAlignment="1">
      <alignment horizontal="center"/>
    </xf>
    <xf numFmtId="0" fontId="75" fillId="0" borderId="0" xfId="0" applyFont="1" applyAlignment="1">
      <alignment wrapText="1"/>
    </xf>
    <xf numFmtId="2" fontId="0" fillId="2" borderId="0" xfId="0" applyNumberFormat="1" applyFont="1" applyFill="1" applyBorder="1" applyAlignment="1">
      <alignment horizontal="center"/>
    </xf>
    <xf numFmtId="0" fontId="0" fillId="2" borderId="12" xfId="0" applyFont="1" applyFill="1" applyBorder="1" applyAlignment="1">
      <alignment horizontal="left"/>
    </xf>
    <xf numFmtId="0" fontId="76" fillId="5" borderId="12" xfId="0" applyFont="1" applyFill="1" applyBorder="1" applyAlignment="1">
      <alignment horizontal="center" vertical="center"/>
    </xf>
    <xf numFmtId="0" fontId="77" fillId="6" borderId="0" xfId="0" applyFont="1" applyFill="1" applyBorder="1" applyAlignment="1">
      <alignment horizontal="center" vertical="center" wrapText="1"/>
    </xf>
    <xf numFmtId="0" fontId="0" fillId="0" borderId="12" xfId="0" applyFont="1" applyBorder="1" applyAlignment="1">
      <alignment horizontal="center" vertical="top" wrapText="1"/>
    </xf>
    <xf numFmtId="0" fontId="45" fillId="6" borderId="0" xfId="0" applyFont="1" applyFill="1" applyBorder="1" applyAlignment="1">
      <alignment vertical="center" wrapText="1"/>
    </xf>
    <xf numFmtId="2" fontId="0" fillId="0" borderId="12" xfId="0" applyNumberFormat="1" applyFont="1" applyBorder="1" applyAlignment="1">
      <alignment horizontal="center" vertical="top"/>
    </xf>
    <xf numFmtId="49" fontId="13" fillId="5" borderId="12" xfId="0" applyNumberFormat="1" applyFont="1" applyFill="1" applyBorder="1" applyAlignment="1">
      <alignment horizontal="center" vertical="center" wrapText="1"/>
    </xf>
    <xf numFmtId="49" fontId="13" fillId="0" borderId="12" xfId="0" applyNumberFormat="1" applyFont="1" applyBorder="1" applyAlignment="1">
      <alignment horizontal="center" vertical="center" wrapText="1"/>
    </xf>
    <xf numFmtId="0" fontId="0" fillId="6" borderId="0" xfId="0" applyFont="1" applyFill="1" applyBorder="1" applyAlignment="1">
      <alignment vertical="top" wrapText="1"/>
    </xf>
    <xf numFmtId="0" fontId="78" fillId="6" borderId="0" xfId="0" applyFont="1" applyFill="1" applyBorder="1" applyAlignment="1">
      <alignment horizontal="center" vertical="center" wrapText="1"/>
    </xf>
    <xf numFmtId="0" fontId="13" fillId="0" borderId="0" xfId="0" applyFont="1" applyAlignment="1">
      <alignment vertical="center" wrapText="1"/>
    </xf>
    <xf numFmtId="1" fontId="45" fillId="0" borderId="12" xfId="0" applyNumberFormat="1" applyFont="1" applyBorder="1" applyAlignment="1">
      <alignment horizontal="left" vertical="center" wrapText="1"/>
    </xf>
    <xf numFmtId="1" fontId="13" fillId="5" borderId="12" xfId="0" applyNumberFormat="1" applyFont="1" applyFill="1" applyBorder="1" applyAlignment="1">
      <alignment horizontal="center" vertical="center" wrapText="1"/>
    </xf>
    <xf numFmtId="1" fontId="13" fillId="0" borderId="12" xfId="0" applyNumberFormat="1" applyFont="1" applyBorder="1" applyAlignment="1">
      <alignment horizontal="center" vertical="center" wrapText="1"/>
    </xf>
    <xf numFmtId="2" fontId="47" fillId="0" borderId="0" xfId="0" applyNumberFormat="1" applyFont="1" applyAlignment="1">
      <alignment horizontal="center" vertical="center" wrapText="1"/>
    </xf>
    <xf numFmtId="0" fontId="40" fillId="3" borderId="13" xfId="0" applyFont="1" applyFill="1" applyBorder="1" applyAlignment="1">
      <alignment horizontal="center"/>
    </xf>
    <xf numFmtId="0" fontId="40" fillId="3" borderId="13" xfId="0" applyFont="1" applyFill="1" applyBorder="1"/>
    <xf numFmtId="0" fontId="41" fillId="3" borderId="13" xfId="0" applyFont="1" applyFill="1" applyBorder="1"/>
    <xf numFmtId="0" fontId="43" fillId="4" borderId="0" xfId="0" applyFont="1" applyFill="1" applyBorder="1" applyAlignment="1">
      <alignment horizontal="center" wrapText="1"/>
    </xf>
    <xf numFmtId="0" fontId="40" fillId="3" borderId="0" xfId="0" applyFont="1" applyFill="1" applyBorder="1"/>
    <xf numFmtId="0" fontId="40" fillId="2" borderId="0" xfId="0" applyFont="1" applyFill="1" applyBorder="1" applyAlignment="1">
      <alignment horizontal="center"/>
    </xf>
    <xf numFmtId="0" fontId="13" fillId="0" borderId="0" xfId="0" applyFont="1"/>
    <xf numFmtId="0" fontId="0" fillId="2" borderId="0" xfId="0" applyFont="1" applyFill="1" applyBorder="1" applyAlignment="1">
      <alignment vertical="center" wrapText="1"/>
    </xf>
    <xf numFmtId="0" fontId="40" fillId="7" borderId="0" xfId="0" applyFont="1" applyFill="1" applyBorder="1" applyAlignment="1">
      <alignment horizontal="center" vertical="center"/>
    </xf>
    <xf numFmtId="0" fontId="42" fillId="7" borderId="0" xfId="0" applyFont="1" applyFill="1" applyBorder="1" applyAlignment="1">
      <alignment horizontal="center" vertical="center" wrapText="1"/>
    </xf>
    <xf numFmtId="2" fontId="43" fillId="7" borderId="0" xfId="0" applyNumberFormat="1" applyFont="1" applyFill="1" applyBorder="1" applyAlignment="1">
      <alignment horizontal="center" vertical="center"/>
    </xf>
    <xf numFmtId="0" fontId="12" fillId="7" borderId="0" xfId="0" applyFont="1" applyFill="1" applyBorder="1" applyAlignment="1">
      <alignment horizontal="center" vertical="center"/>
    </xf>
    <xf numFmtId="0" fontId="40" fillId="7" borderId="0" xfId="0" applyFont="1" applyFill="1" applyBorder="1" applyAlignment="1">
      <alignment vertical="center"/>
    </xf>
    <xf numFmtId="16" fontId="7" fillId="2" borderId="12" xfId="0" applyNumberFormat="1" applyFont="1" applyFill="1" applyBorder="1" applyAlignment="1">
      <alignment horizontal="center"/>
    </xf>
    <xf numFmtId="0" fontId="40" fillId="2" borderId="13" xfId="0" applyFont="1" applyFill="1" applyBorder="1" applyAlignment="1">
      <alignment vertical="center" wrapText="1"/>
    </xf>
    <xf numFmtId="0" fontId="43" fillId="7" borderId="0" xfId="0" applyFont="1" applyFill="1" applyBorder="1" applyAlignment="1">
      <alignment horizontal="center" vertical="center" wrapText="1"/>
    </xf>
    <xf numFmtId="16" fontId="40" fillId="4" borderId="12" xfId="0" applyNumberFormat="1" applyFont="1" applyFill="1" applyBorder="1" applyAlignment="1">
      <alignment horizontal="center"/>
    </xf>
    <xf numFmtId="165" fontId="55" fillId="6" borderId="0" xfId="0" applyNumberFormat="1" applyFont="1" applyFill="1" applyBorder="1" applyAlignment="1">
      <alignment horizontal="center" wrapText="1"/>
    </xf>
    <xf numFmtId="0" fontId="7" fillId="7" borderId="0" xfId="0" applyFont="1" applyFill="1" applyBorder="1" applyAlignment="1">
      <alignment horizontal="center" vertical="center"/>
    </xf>
    <xf numFmtId="0" fontId="7" fillId="7" borderId="0" xfId="0" applyFont="1" applyFill="1" applyBorder="1" applyAlignment="1">
      <alignment vertical="center" wrapText="1"/>
    </xf>
    <xf numFmtId="2" fontId="40" fillId="7" borderId="0" xfId="0" applyNumberFormat="1" applyFont="1" applyFill="1" applyBorder="1" applyAlignment="1">
      <alignment horizontal="center"/>
    </xf>
    <xf numFmtId="0" fontId="11" fillId="7" borderId="0" xfId="0" applyFont="1" applyFill="1" applyBorder="1" applyAlignment="1">
      <alignment horizontal="center" vertical="center" wrapText="1"/>
    </xf>
    <xf numFmtId="0" fontId="40" fillId="0" borderId="0" xfId="0" applyFont="1" applyAlignment="1">
      <alignment horizontal="center"/>
    </xf>
    <xf numFmtId="0" fontId="41" fillId="7" borderId="0" xfId="0" applyFont="1" applyFill="1" applyBorder="1" applyAlignment="1">
      <alignment vertical="center"/>
    </xf>
    <xf numFmtId="0" fontId="79" fillId="5" borderId="12" xfId="0" applyFont="1" applyFill="1" applyBorder="1" applyAlignment="1">
      <alignment horizontal="center" vertical="center" wrapText="1"/>
    </xf>
    <xf numFmtId="0" fontId="7" fillId="7" borderId="0" xfId="0" applyFont="1" applyFill="1" applyBorder="1" applyAlignment="1">
      <alignment horizontal="center" wrapText="1"/>
    </xf>
    <xf numFmtId="0" fontId="7" fillId="7" borderId="0" xfId="0" applyFont="1" applyFill="1" applyBorder="1" applyAlignment="1">
      <alignment horizontal="left" wrapText="1"/>
    </xf>
    <xf numFmtId="2" fontId="7" fillId="6" borderId="0" xfId="0" applyNumberFormat="1" applyFont="1" applyFill="1" applyBorder="1" applyAlignment="1">
      <alignment horizontal="center" wrapText="1"/>
    </xf>
    <xf numFmtId="2" fontId="0" fillId="7" borderId="0" xfId="0" applyNumberFormat="1" applyFont="1" applyFill="1" applyBorder="1" applyAlignment="1">
      <alignment horizontal="center"/>
    </xf>
    <xf numFmtId="0" fontId="13" fillId="7" borderId="0" xfId="0" applyFont="1" applyFill="1" applyBorder="1" applyAlignment="1">
      <alignment horizontal="center" vertical="center" wrapText="1"/>
    </xf>
    <xf numFmtId="2" fontId="13" fillId="7" borderId="0" xfId="0" applyNumberFormat="1" applyFont="1" applyFill="1" applyBorder="1" applyAlignment="1">
      <alignment horizontal="center" vertical="center" wrapText="1"/>
    </xf>
    <xf numFmtId="0" fontId="45" fillId="7" borderId="0" xfId="0" applyFont="1" applyFill="1" applyBorder="1" applyAlignment="1">
      <alignment vertical="center"/>
    </xf>
    <xf numFmtId="0" fontId="0" fillId="7" borderId="0" xfId="0" applyFont="1" applyFill="1" applyBorder="1" applyAlignment="1">
      <alignment vertical="center"/>
    </xf>
    <xf numFmtId="165" fontId="13" fillId="6" borderId="0" xfId="0" applyNumberFormat="1" applyFont="1" applyFill="1" applyBorder="1" applyAlignment="1">
      <alignment horizontal="center" vertical="center"/>
    </xf>
    <xf numFmtId="165" fontId="13" fillId="6" borderId="0" xfId="0" applyNumberFormat="1" applyFont="1" applyFill="1" applyBorder="1" applyAlignment="1">
      <alignment horizontal="center" vertical="center" wrapText="1"/>
    </xf>
    <xf numFmtId="165" fontId="11" fillId="6" borderId="0" xfId="0" applyNumberFormat="1" applyFont="1" applyFill="1" applyBorder="1" applyAlignment="1">
      <alignment horizontal="center" vertical="center" wrapText="1"/>
    </xf>
    <xf numFmtId="0" fontId="0" fillId="6" borderId="0" xfId="0" applyFont="1" applyFill="1" applyBorder="1"/>
    <xf numFmtId="2" fontId="0" fillId="8" borderId="0" xfId="0" applyNumberFormat="1" applyFont="1" applyFill="1" applyBorder="1" applyAlignment="1">
      <alignment horizontal="center"/>
    </xf>
    <xf numFmtId="165" fontId="67" fillId="6" borderId="0" xfId="0" applyNumberFormat="1" applyFont="1" applyFill="1" applyBorder="1" applyAlignment="1">
      <alignment horizontal="center" wrapText="1"/>
    </xf>
    <xf numFmtId="0" fontId="7" fillId="7" borderId="0" xfId="0" applyFont="1" applyFill="1" applyBorder="1" applyAlignment="1">
      <alignment wrapText="1"/>
    </xf>
    <xf numFmtId="2" fontId="7" fillId="2" borderId="0" xfId="0" applyNumberFormat="1" applyFont="1" applyFill="1" applyBorder="1" applyAlignment="1">
      <alignment horizontal="center" wrapText="1"/>
    </xf>
    <xf numFmtId="0" fontId="40" fillId="2" borderId="0" xfId="0" applyFont="1" applyFill="1" applyBorder="1" applyAlignment="1">
      <alignment horizontal="left"/>
    </xf>
    <xf numFmtId="0" fontId="80" fillId="0" borderId="0" xfId="0" applyFont="1" applyAlignment="1">
      <alignment vertical="center" wrapText="1"/>
    </xf>
    <xf numFmtId="0" fontId="48" fillId="0" borderId="0" xfId="0" applyFont="1" applyAlignment="1">
      <alignment horizontal="center" vertical="center" wrapText="1"/>
    </xf>
    <xf numFmtId="0" fontId="0" fillId="7" borderId="0" xfId="0" applyFont="1" applyFill="1" applyBorder="1" applyAlignment="1">
      <alignment horizontal="center" vertical="center"/>
    </xf>
    <xf numFmtId="10" fontId="13" fillId="7" borderId="0" xfId="0" applyNumberFormat="1" applyFont="1" applyFill="1" applyBorder="1" applyAlignment="1">
      <alignment horizontal="center" vertical="center" wrapText="1"/>
    </xf>
    <xf numFmtId="10" fontId="13" fillId="0" borderId="0" xfId="0" applyNumberFormat="1" applyFont="1" applyAlignment="1">
      <alignment horizontal="center" vertical="center" wrapText="1"/>
    </xf>
    <xf numFmtId="0" fontId="0" fillId="9" borderId="0" xfId="0" applyFont="1" applyFill="1" applyBorder="1" applyAlignment="1">
      <alignment horizontal="center" vertical="center"/>
    </xf>
    <xf numFmtId="0" fontId="7" fillId="9" borderId="0" xfId="0" applyFont="1" applyFill="1" applyBorder="1" applyAlignment="1">
      <alignment vertical="center" wrapText="1"/>
    </xf>
    <xf numFmtId="0" fontId="0" fillId="5" borderId="12" xfId="0" applyFont="1" applyFill="1" applyBorder="1" applyAlignment="1">
      <alignment horizontal="center"/>
    </xf>
    <xf numFmtId="2" fontId="0" fillId="9" borderId="0" xfId="0" applyNumberFormat="1" applyFont="1" applyFill="1" applyBorder="1" applyAlignment="1">
      <alignment horizontal="center"/>
    </xf>
    <xf numFmtId="0" fontId="40" fillId="5" borderId="12" xfId="0" applyFont="1" applyFill="1" applyBorder="1" applyAlignment="1">
      <alignment horizontal="left" wrapText="1"/>
    </xf>
    <xf numFmtId="0" fontId="13" fillId="9" borderId="0" xfId="0" applyFont="1" applyFill="1" applyBorder="1" applyAlignment="1">
      <alignment horizontal="center" vertical="center" wrapText="1"/>
    </xf>
    <xf numFmtId="0" fontId="45" fillId="9" borderId="0" xfId="0" applyFont="1" applyFill="1" applyBorder="1" applyAlignment="1">
      <alignment vertical="center"/>
    </xf>
    <xf numFmtId="0" fontId="0" fillId="9" borderId="0" xfId="0" applyFont="1" applyFill="1" applyBorder="1" applyAlignment="1">
      <alignment vertical="center"/>
    </xf>
    <xf numFmtId="0" fontId="0" fillId="7" borderId="0" xfId="0" applyFont="1" applyFill="1" applyBorder="1" applyAlignment="1">
      <alignment horizontal="center"/>
    </xf>
    <xf numFmtId="0" fontId="45" fillId="7" borderId="0" xfId="0" applyFont="1" applyFill="1" applyBorder="1"/>
    <xf numFmtId="0" fontId="0" fillId="7" borderId="0" xfId="0" applyFont="1" applyFill="1" applyBorder="1"/>
    <xf numFmtId="1" fontId="0" fillId="0" borderId="0" xfId="0" applyNumberFormat="1" applyFont="1" applyAlignment="1">
      <alignment horizontal="center"/>
    </xf>
    <xf numFmtId="16" fontId="40" fillId="2" borderId="12" xfId="0" applyNumberFormat="1" applyFont="1" applyFill="1" applyBorder="1" applyAlignment="1">
      <alignment horizontal="center"/>
    </xf>
    <xf numFmtId="0" fontId="43" fillId="0" borderId="0" xfId="0" applyFont="1" applyAlignment="1">
      <alignment horizontal="center" wrapText="1"/>
    </xf>
    <xf numFmtId="2" fontId="40" fillId="0" borderId="0" xfId="0" applyNumberFormat="1" applyFont="1" applyAlignment="1">
      <alignment horizontal="center"/>
    </xf>
    <xf numFmtId="16" fontId="13" fillId="0" borderId="0" xfId="0" applyNumberFormat="1" applyFont="1" applyAlignment="1">
      <alignment horizontal="center" vertical="center" wrapText="1"/>
    </xf>
    <xf numFmtId="0" fontId="11" fillId="0" borderId="0" xfId="0" applyFont="1" applyAlignment="1">
      <alignment horizontal="center" vertical="center"/>
    </xf>
    <xf numFmtId="16" fontId="0" fillId="4" borderId="12" xfId="0" applyNumberFormat="1" applyFont="1" applyFill="1" applyBorder="1" applyAlignment="1">
      <alignment horizontal="center"/>
    </xf>
    <xf numFmtId="16" fontId="7" fillId="2" borderId="0" xfId="0" applyNumberFormat="1" applyFont="1" applyFill="1" applyBorder="1" applyAlignment="1">
      <alignment horizontal="center"/>
    </xf>
    <xf numFmtId="0" fontId="10" fillId="2" borderId="0" xfId="0" applyFont="1" applyFill="1" applyBorder="1"/>
    <xf numFmtId="2" fontId="7" fillId="2" borderId="0" xfId="0" applyNumberFormat="1" applyFont="1" applyFill="1" applyBorder="1" applyAlignment="1">
      <alignment horizontal="center"/>
    </xf>
    <xf numFmtId="0" fontId="7" fillId="2" borderId="0" xfId="0" applyFont="1" applyFill="1" applyBorder="1"/>
    <xf numFmtId="16" fontId="0" fillId="7" borderId="0" xfId="0" applyNumberFormat="1" applyFont="1" applyFill="1" applyBorder="1" applyAlignment="1">
      <alignment horizontal="center" wrapText="1"/>
    </xf>
    <xf numFmtId="0" fontId="13" fillId="5" borderId="12" xfId="0" applyFont="1" applyFill="1" applyBorder="1" applyAlignment="1">
      <alignment horizontal="left" vertical="top" wrapText="1"/>
    </xf>
    <xf numFmtId="0" fontId="11" fillId="2" borderId="0" xfId="0" applyFont="1" applyFill="1" applyBorder="1"/>
    <xf numFmtId="16" fontId="40" fillId="4" borderId="0" xfId="0" applyNumberFormat="1" applyFont="1" applyFill="1" applyBorder="1" applyAlignment="1">
      <alignment horizontal="center"/>
    </xf>
    <xf numFmtId="0" fontId="13" fillId="7" borderId="0" xfId="0" applyFont="1" applyFill="1" applyBorder="1" applyAlignment="1">
      <alignment horizontal="center" vertical="center"/>
    </xf>
    <xf numFmtId="0" fontId="40" fillId="4" borderId="0" xfId="0" applyFont="1" applyFill="1" applyBorder="1" applyAlignment="1">
      <alignment wrapText="1"/>
    </xf>
    <xf numFmtId="2" fontId="0" fillId="7" borderId="0" xfId="0" applyNumberFormat="1" applyFont="1" applyFill="1" applyBorder="1" applyAlignment="1">
      <alignment horizontal="center" wrapText="1"/>
    </xf>
    <xf numFmtId="0" fontId="55" fillId="6" borderId="0" xfId="0" applyFont="1" applyFill="1" applyBorder="1" applyAlignment="1">
      <alignment horizontal="center" vertical="center"/>
    </xf>
    <xf numFmtId="2" fontId="0" fillId="7" borderId="0" xfId="0" applyNumberFormat="1" applyFont="1" applyFill="1" applyBorder="1" applyAlignment="1">
      <alignment horizontal="center" vertical="center" wrapText="1"/>
    </xf>
    <xf numFmtId="0" fontId="40" fillId="7" borderId="0" xfId="0" applyFont="1" applyFill="1" applyBorder="1" applyAlignment="1">
      <alignment horizontal="center"/>
    </xf>
    <xf numFmtId="2" fontId="0" fillId="0" borderId="12" xfId="0" applyNumberFormat="1" applyFont="1" applyBorder="1" applyAlignment="1">
      <alignment horizontal="left" vertical="top" wrapText="1"/>
    </xf>
    <xf numFmtId="0" fontId="41" fillId="7" borderId="0" xfId="0" applyFont="1" applyFill="1" applyBorder="1"/>
    <xf numFmtId="0" fontId="40" fillId="7" borderId="0" xfId="0" applyFont="1" applyFill="1" applyBorder="1"/>
    <xf numFmtId="0" fontId="40" fillId="7" borderId="0" xfId="0" applyFont="1" applyFill="1" applyBorder="1" applyAlignment="1">
      <alignment horizontal="left" wrapText="1"/>
    </xf>
    <xf numFmtId="0" fontId="7" fillId="4" borderId="0" xfId="0" applyFont="1" applyFill="1" applyBorder="1"/>
    <xf numFmtId="0" fontId="40" fillId="0" borderId="0" xfId="0" applyFont="1" applyAlignment="1">
      <alignment horizontal="left" wrapText="1"/>
    </xf>
    <xf numFmtId="0" fontId="45" fillId="0" borderId="0" xfId="0" applyFont="1" applyAlignment="1">
      <alignment wrapText="1"/>
    </xf>
    <xf numFmtId="0" fontId="81" fillId="0" borderId="0" xfId="0" applyFont="1" applyAlignment="1">
      <alignment horizontal="left" vertical="top" wrapText="1"/>
    </xf>
    <xf numFmtId="9" fontId="13" fillId="0" borderId="0" xfId="0" applyNumberFormat="1" applyFont="1" applyAlignment="1">
      <alignment horizontal="center" vertical="center" wrapText="1"/>
    </xf>
    <xf numFmtId="0" fontId="0" fillId="7" borderId="0" xfId="0" applyFont="1" applyFill="1" applyBorder="1" applyAlignment="1">
      <alignment horizontal="left"/>
    </xf>
    <xf numFmtId="0" fontId="70" fillId="0" borderId="0" xfId="0" applyFont="1" applyAlignment="1">
      <alignment horizontal="center" vertical="center" wrapText="1"/>
    </xf>
    <xf numFmtId="0" fontId="40" fillId="0" borderId="0" xfId="0" applyFont="1" applyAlignment="1">
      <alignment vertical="top" wrapText="1"/>
    </xf>
    <xf numFmtId="0" fontId="13" fillId="0" borderId="0" xfId="0" applyFont="1" applyAlignment="1">
      <alignment wrapText="1"/>
    </xf>
    <xf numFmtId="0" fontId="40" fillId="4" borderId="0" xfId="0" applyFont="1" applyFill="1" applyBorder="1" applyAlignment="1">
      <alignment horizontal="center" wrapText="1"/>
    </xf>
    <xf numFmtId="0" fontId="11" fillId="7" borderId="0" xfId="0" applyFont="1" applyFill="1" applyBorder="1" applyAlignment="1">
      <alignment horizontal="center" vertical="center"/>
    </xf>
    <xf numFmtId="0" fontId="82" fillId="0" borderId="0" xfId="0" applyFont="1" applyAlignment="1">
      <alignment horizontal="center" vertical="center"/>
    </xf>
    <xf numFmtId="0" fontId="0" fillId="2" borderId="0" xfId="0" applyFont="1" applyFill="1" applyBorder="1" applyAlignment="1">
      <alignment horizontal="center"/>
    </xf>
    <xf numFmtId="0" fontId="0" fillId="7" borderId="0" xfId="0" applyFont="1" applyFill="1" applyBorder="1" applyAlignment="1">
      <alignment horizontal="left" wrapText="1"/>
    </xf>
    <xf numFmtId="0" fontId="10" fillId="2" borderId="0"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83" fillId="2" borderId="0" xfId="0" applyFont="1" applyFill="1" applyBorder="1"/>
    <xf numFmtId="2" fontId="47" fillId="0" borderId="0" xfId="0" applyNumberFormat="1" applyFont="1" applyAlignment="1">
      <alignment horizontal="center"/>
    </xf>
    <xf numFmtId="0" fontId="47" fillId="6" borderId="0" xfId="0" applyFont="1" applyFill="1" applyBorder="1" applyAlignment="1">
      <alignment horizontal="center" vertical="center" wrapText="1"/>
    </xf>
    <xf numFmtId="2" fontId="0" fillId="7" borderId="0" xfId="0" applyNumberFormat="1" applyFont="1" applyFill="1" applyBorder="1" applyAlignment="1">
      <alignment horizontal="center" vertical="center"/>
    </xf>
    <xf numFmtId="0" fontId="0" fillId="2" borderId="0" xfId="0" applyFont="1" applyFill="1" applyBorder="1" applyAlignment="1">
      <alignment horizontal="left" vertical="center"/>
    </xf>
    <xf numFmtId="0" fontId="45" fillId="7" borderId="0" xfId="0" applyFont="1" applyFill="1" applyBorder="1" applyAlignment="1">
      <alignment horizontal="center" vertical="center" wrapText="1"/>
    </xf>
    <xf numFmtId="2" fontId="45" fillId="7" borderId="0" xfId="0" applyNumberFormat="1" applyFont="1" applyFill="1" applyBorder="1" applyAlignment="1">
      <alignment horizontal="center" wrapText="1"/>
    </xf>
    <xf numFmtId="2" fontId="7" fillId="4" borderId="0" xfId="0" applyNumberFormat="1" applyFont="1" applyFill="1" applyBorder="1" applyAlignment="1">
      <alignment horizontal="center"/>
    </xf>
    <xf numFmtId="0" fontId="45" fillId="4" borderId="0" xfId="0" applyFont="1" applyFill="1" applyBorder="1" applyAlignment="1">
      <alignment horizontal="center" vertical="center" wrapText="1"/>
    </xf>
    <xf numFmtId="0" fontId="0" fillId="0" borderId="0" xfId="0" applyFont="1" applyAlignment="1">
      <alignment horizontal="left" wrapText="1"/>
    </xf>
    <xf numFmtId="2" fontId="0" fillId="10" borderId="0" xfId="0" applyNumberFormat="1" applyFont="1" applyFill="1" applyBorder="1" applyAlignment="1">
      <alignment horizontal="center"/>
    </xf>
    <xf numFmtId="0" fontId="40" fillId="7" borderId="0" xfId="0" applyFont="1" applyFill="1" applyBorder="1" applyAlignment="1">
      <alignment wrapText="1"/>
    </xf>
    <xf numFmtId="0" fontId="55" fillId="0" borderId="0" xfId="0" applyFont="1" applyAlignment="1">
      <alignment horizontal="center" vertical="center" wrapText="1"/>
    </xf>
    <xf numFmtId="0" fontId="14" fillId="5" borderId="12" xfId="0" applyFont="1" applyFill="1" applyBorder="1" applyAlignment="1">
      <alignment horizontal="center" vertical="center" wrapText="1"/>
    </xf>
    <xf numFmtId="0" fontId="40" fillId="3" borderId="0" xfId="0" applyFont="1" applyFill="1" applyBorder="1" applyAlignment="1">
      <alignment horizontal="center"/>
    </xf>
    <xf numFmtId="0" fontId="43" fillId="3" borderId="0" xfId="0" applyFont="1" applyFill="1" applyBorder="1" applyAlignment="1">
      <alignment horizontal="center" wrapText="1"/>
    </xf>
    <xf numFmtId="2" fontId="43" fillId="3" borderId="0" xfId="0" applyNumberFormat="1" applyFont="1" applyFill="1" applyBorder="1" applyAlignment="1">
      <alignment horizontal="center"/>
    </xf>
    <xf numFmtId="0" fontId="11" fillId="3" borderId="0" xfId="0" applyFont="1" applyFill="1" applyBorder="1" applyAlignment="1">
      <alignment vertical="center"/>
    </xf>
    <xf numFmtId="0" fontId="41" fillId="3" borderId="0" xfId="0" applyFont="1" applyFill="1" applyBorder="1"/>
    <xf numFmtId="16" fontId="40" fillId="2" borderId="0" xfId="0" applyNumberFormat="1" applyFont="1" applyFill="1" applyBorder="1" applyAlignment="1">
      <alignment horizontal="center"/>
    </xf>
    <xf numFmtId="2" fontId="0" fillId="8" borderId="0" xfId="0" applyNumberFormat="1" applyFont="1" applyFill="1" applyBorder="1" applyAlignment="1">
      <alignment horizontal="center" vertical="center"/>
    </xf>
    <xf numFmtId="16" fontId="0" fillId="4" borderId="0" xfId="0" applyNumberFormat="1" applyFont="1" applyFill="1" applyBorder="1" applyAlignment="1">
      <alignment horizontal="center"/>
    </xf>
    <xf numFmtId="0" fontId="84" fillId="4" borderId="0" xfId="0" applyFont="1" applyFill="1" applyBorder="1" applyAlignment="1">
      <alignment wrapText="1"/>
    </xf>
    <xf numFmtId="0" fontId="0" fillId="2" borderId="0" xfId="0" applyFont="1" applyFill="1" applyBorder="1" applyAlignment="1">
      <alignment horizontal="left"/>
    </xf>
    <xf numFmtId="0" fontId="13" fillId="8" borderId="0" xfId="0" applyFont="1" applyFill="1" applyBorder="1" applyAlignment="1">
      <alignment horizontal="center" vertical="center"/>
    </xf>
    <xf numFmtId="0" fontId="84" fillId="6" borderId="0" xfId="0" applyFont="1" applyFill="1" applyBorder="1" applyAlignment="1">
      <alignment wrapText="1"/>
    </xf>
    <xf numFmtId="2" fontId="0" fillId="6" borderId="0" xfId="0" applyNumberFormat="1" applyFont="1" applyFill="1" applyBorder="1" applyAlignment="1">
      <alignment horizontal="left" vertical="top" wrapText="1"/>
    </xf>
    <xf numFmtId="0" fontId="13" fillId="6" borderId="0" xfId="0" applyFont="1" applyFill="1" applyBorder="1" applyAlignment="1">
      <alignment horizontal="left" vertical="top" wrapText="1"/>
    </xf>
    <xf numFmtId="0" fontId="70" fillId="6" borderId="0" xfId="0" applyFont="1" applyFill="1" applyBorder="1" applyAlignment="1">
      <alignment horizontal="center" vertical="center" wrapText="1"/>
    </xf>
    <xf numFmtId="2" fontId="77" fillId="6" borderId="0" xfId="0" applyNumberFormat="1" applyFont="1" applyFill="1" applyBorder="1" applyAlignment="1">
      <alignment horizontal="center" vertical="center" wrapText="1"/>
    </xf>
    <xf numFmtId="0" fontId="0" fillId="2" borderId="0" xfId="0" applyFont="1" applyFill="1" applyBorder="1" applyAlignment="1">
      <alignment vertical="top" wrapText="1"/>
    </xf>
    <xf numFmtId="0" fontId="13" fillId="7" borderId="0" xfId="0" applyFont="1" applyFill="1" applyBorder="1" applyAlignment="1">
      <alignment vertical="center" wrapText="1"/>
    </xf>
    <xf numFmtId="2" fontId="0" fillId="0" borderId="0" xfId="0" applyNumberFormat="1" applyFont="1" applyAlignment="1">
      <alignment horizontal="center" vertical="center" wrapText="1"/>
    </xf>
    <xf numFmtId="2" fontId="0" fillId="0" borderId="0" xfId="0" applyNumberFormat="1" applyFont="1" applyAlignment="1">
      <alignment horizontal="left" vertical="top" wrapText="1"/>
    </xf>
    <xf numFmtId="2" fontId="14" fillId="6" borderId="0" xfId="0" applyNumberFormat="1" applyFont="1" applyFill="1" applyBorder="1" applyAlignment="1">
      <alignment horizontal="center" vertical="center" wrapText="1"/>
    </xf>
    <xf numFmtId="2" fontId="47" fillId="6" borderId="0" xfId="0" applyNumberFormat="1" applyFont="1" applyFill="1" applyBorder="1" applyAlignment="1">
      <alignment horizontal="left" vertical="top" wrapText="1"/>
    </xf>
    <xf numFmtId="9" fontId="13" fillId="6" borderId="0" xfId="0" applyNumberFormat="1" applyFont="1" applyFill="1" applyBorder="1" applyAlignment="1">
      <alignment horizontal="center" vertical="center" wrapText="1"/>
    </xf>
    <xf numFmtId="14" fontId="0" fillId="7" borderId="0" xfId="0" applyNumberFormat="1" applyFont="1" applyFill="1" applyBorder="1" applyAlignment="1">
      <alignment horizontal="center" vertical="center"/>
    </xf>
    <xf numFmtId="0" fontId="0" fillId="11" borderId="0" xfId="0" applyFont="1" applyFill="1" applyBorder="1" applyAlignment="1">
      <alignment horizontal="center" vertical="center"/>
    </xf>
    <xf numFmtId="0" fontId="7" fillId="11" borderId="0" xfId="0" applyFont="1" applyFill="1" applyBorder="1" applyAlignment="1">
      <alignment vertical="center" wrapText="1"/>
    </xf>
    <xf numFmtId="0" fontId="20" fillId="0" borderId="0" xfId="0" applyFont="1" applyAlignment="1">
      <alignment horizontal="center" vertical="center" wrapText="1"/>
    </xf>
    <xf numFmtId="0" fontId="40" fillId="4" borderId="12" xfId="0" applyFont="1" applyFill="1" applyBorder="1" applyAlignment="1">
      <alignment horizontal="left" vertical="center" wrapText="1"/>
    </xf>
    <xf numFmtId="0" fontId="13" fillId="5" borderId="0" xfId="0" applyFont="1" applyFill="1" applyBorder="1" applyAlignment="1">
      <alignment horizontal="center" vertical="center" wrapText="1"/>
    </xf>
    <xf numFmtId="2" fontId="40" fillId="4" borderId="12" xfId="0" applyNumberFormat="1" applyFont="1" applyFill="1" applyBorder="1" applyAlignment="1">
      <alignment horizontal="center" vertical="center"/>
    </xf>
    <xf numFmtId="0" fontId="83" fillId="4" borderId="0" xfId="0" applyFont="1" applyFill="1" applyBorder="1"/>
    <xf numFmtId="0" fontId="63" fillId="6" borderId="0" xfId="0" applyFont="1" applyFill="1" applyBorder="1" applyAlignment="1">
      <alignment horizontal="center" vertical="center" wrapText="1"/>
    </xf>
    <xf numFmtId="0" fontId="64" fillId="0" borderId="0" xfId="0" applyFont="1"/>
    <xf numFmtId="0" fontId="41" fillId="4" borderId="12" xfId="0" applyFont="1" applyFill="1" applyBorder="1" applyAlignment="1">
      <alignment vertical="center"/>
    </xf>
    <xf numFmtId="0" fontId="48" fillId="7" borderId="0" xfId="0" applyFont="1" applyFill="1" applyBorder="1" applyAlignment="1">
      <alignment horizontal="center" vertical="center" wrapText="1"/>
    </xf>
    <xf numFmtId="2" fontId="85" fillId="4" borderId="12" xfId="0" applyNumberFormat="1" applyFont="1" applyFill="1" applyBorder="1" applyAlignment="1">
      <alignment horizontal="center" vertical="center"/>
    </xf>
    <xf numFmtId="16" fontId="45" fillId="7" borderId="0" xfId="0" applyNumberFormat="1" applyFont="1" applyFill="1" applyBorder="1" applyAlignment="1">
      <alignment horizontal="center" vertical="center"/>
    </xf>
    <xf numFmtId="0" fontId="11" fillId="7" borderId="0" xfId="0" applyFont="1" applyFill="1" applyBorder="1" applyAlignment="1">
      <alignment vertical="center" wrapText="1"/>
    </xf>
    <xf numFmtId="2" fontId="45" fillId="7" borderId="0" xfId="0" applyNumberFormat="1" applyFont="1" applyFill="1" applyBorder="1" applyAlignment="1">
      <alignment horizontal="center" vertical="center"/>
    </xf>
    <xf numFmtId="0" fontId="0" fillId="4" borderId="0" xfId="0" applyFont="1" applyFill="1" applyBorder="1" applyAlignment="1">
      <alignment horizontal="center" vertical="center" wrapText="1"/>
    </xf>
    <xf numFmtId="0" fontId="64" fillId="4" borderId="0" xfId="0" applyFont="1" applyFill="1" applyBorder="1"/>
    <xf numFmtId="0" fontId="45" fillId="2" borderId="0" xfId="0" applyFont="1" applyFill="1" applyBorder="1" applyAlignment="1">
      <alignment vertical="center" wrapText="1"/>
    </xf>
    <xf numFmtId="0" fontId="45" fillId="11" borderId="0" xfId="0" applyFont="1" applyFill="1" applyBorder="1" applyAlignment="1">
      <alignment horizontal="center" vertical="center"/>
    </xf>
    <xf numFmtId="0" fontId="40" fillId="0" borderId="12" xfId="0" applyFont="1" applyBorder="1" applyAlignment="1">
      <alignment horizontal="center" vertical="center"/>
    </xf>
    <xf numFmtId="0" fontId="11" fillId="11" borderId="0" xfId="0" applyFont="1" applyFill="1" applyBorder="1" applyAlignment="1">
      <alignment vertical="center" wrapText="1"/>
    </xf>
    <xf numFmtId="1" fontId="13" fillId="2" borderId="12" xfId="0" applyNumberFormat="1"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5" fillId="5" borderId="12" xfId="0" applyFont="1" applyFill="1" applyBorder="1" applyAlignment="1">
      <alignment horizontal="center" vertical="top" wrapText="1"/>
    </xf>
    <xf numFmtId="2" fontId="7" fillId="0" borderId="12" xfId="0" applyNumberFormat="1" applyFont="1" applyBorder="1" applyAlignment="1">
      <alignment horizontal="center" vertical="center" wrapText="1"/>
    </xf>
    <xf numFmtId="2" fontId="45" fillId="0" borderId="0" xfId="0" applyNumberFormat="1" applyFont="1" applyAlignment="1">
      <alignment horizontal="center" vertical="center"/>
    </xf>
    <xf numFmtId="0" fontId="62" fillId="0" borderId="12" xfId="0" applyFont="1" applyBorder="1" applyAlignment="1">
      <alignment vertical="center"/>
    </xf>
    <xf numFmtId="2" fontId="0" fillId="6" borderId="0" xfId="0" applyNumberFormat="1" applyFont="1" applyFill="1" applyBorder="1"/>
    <xf numFmtId="0" fontId="86" fillId="0" borderId="12" xfId="0" applyFont="1" applyBorder="1" applyAlignment="1">
      <alignment wrapText="1"/>
    </xf>
    <xf numFmtId="0" fontId="64" fillId="6" borderId="0" xfId="0" applyFont="1" applyFill="1" applyBorder="1" applyAlignment="1">
      <alignment horizontal="center" vertical="center" wrapText="1"/>
    </xf>
    <xf numFmtId="0" fontId="45" fillId="5" borderId="12" xfId="0" applyFont="1" applyFill="1" applyBorder="1" applyAlignment="1">
      <alignment horizontal="left" vertical="top" wrapText="1"/>
    </xf>
    <xf numFmtId="0" fontId="45" fillId="5" borderId="12" xfId="0" applyFont="1" applyFill="1" applyBorder="1" applyAlignment="1">
      <alignment horizontal="center"/>
    </xf>
    <xf numFmtId="0" fontId="41" fillId="7" borderId="0" xfId="0" applyFont="1" applyFill="1" applyBorder="1" applyAlignment="1">
      <alignment horizontal="center" vertical="center"/>
    </xf>
    <xf numFmtId="2" fontId="61" fillId="7" borderId="0" xfId="0" applyNumberFormat="1" applyFont="1" applyFill="1" applyBorder="1" applyAlignment="1">
      <alignment horizontal="center" vertical="center"/>
    </xf>
    <xf numFmtId="0" fontId="40" fillId="4" borderId="12" xfId="0" applyFont="1" applyFill="1" applyBorder="1" applyAlignment="1">
      <alignment horizontal="center" vertical="center" wrapText="1"/>
    </xf>
    <xf numFmtId="0" fontId="7" fillId="12" borderId="0" xfId="0" applyFont="1" applyFill="1" applyBorder="1"/>
    <xf numFmtId="2" fontId="7" fillId="12" borderId="0" xfId="0" applyNumberFormat="1" applyFont="1" applyFill="1" applyBorder="1" applyAlignment="1">
      <alignment horizontal="center"/>
    </xf>
    <xf numFmtId="0" fontId="0" fillId="5" borderId="12" xfId="0" applyFont="1" applyFill="1" applyBorder="1" applyAlignment="1">
      <alignment horizontal="center" vertical="center"/>
    </xf>
    <xf numFmtId="0" fontId="11" fillId="12" borderId="0" xfId="0" applyFont="1" applyFill="1" applyBorder="1" applyAlignment="1">
      <alignment horizontal="center" vertical="center"/>
    </xf>
    <xf numFmtId="0" fontId="11" fillId="12" borderId="0" xfId="0" applyFont="1" applyFill="1" applyBorder="1"/>
    <xf numFmtId="2" fontId="40" fillId="7" borderId="0" xfId="0" applyNumberFormat="1" applyFont="1" applyFill="1" applyBorder="1" applyAlignment="1">
      <alignment horizontal="center" wrapText="1"/>
    </xf>
    <xf numFmtId="2" fontId="41" fillId="7" borderId="0" xfId="0" applyNumberFormat="1" applyFont="1" applyFill="1" applyBorder="1" applyAlignment="1">
      <alignment horizontal="center" vertical="center"/>
    </xf>
    <xf numFmtId="14" fontId="45" fillId="7" borderId="0" xfId="0" applyNumberFormat="1" applyFont="1" applyFill="1" applyBorder="1" applyAlignment="1">
      <alignment horizontal="center" vertical="center"/>
    </xf>
    <xf numFmtId="0" fontId="0" fillId="0" borderId="0" xfId="0" applyFont="1" applyAlignment="1">
      <alignment horizontal="center" vertical="top" wrapText="1"/>
    </xf>
    <xf numFmtId="2" fontId="62" fillId="7" borderId="0" xfId="0" applyNumberFormat="1" applyFont="1" applyFill="1" applyBorder="1" applyAlignment="1">
      <alignment horizontal="center" vertical="center"/>
    </xf>
    <xf numFmtId="0" fontId="45" fillId="5" borderId="12" xfId="0" applyFont="1" applyFill="1" applyBorder="1" applyAlignment="1">
      <alignment vertical="center" wrapText="1"/>
    </xf>
    <xf numFmtId="0" fontId="13" fillId="5" borderId="12" xfId="0" applyFont="1" applyFill="1" applyBorder="1" applyAlignment="1">
      <alignment vertical="center"/>
    </xf>
    <xf numFmtId="0" fontId="0" fillId="0" borderId="0" xfId="0" applyFont="1" applyAlignment="1">
      <alignment vertical="top" wrapText="1"/>
    </xf>
    <xf numFmtId="49" fontId="13" fillId="6" borderId="0" xfId="0" applyNumberFormat="1" applyFont="1" applyFill="1" applyBorder="1" applyAlignment="1">
      <alignment horizontal="center" vertical="center" wrapText="1"/>
    </xf>
    <xf numFmtId="16" fontId="40" fillId="4" borderId="12" xfId="0" applyNumberFormat="1" applyFont="1" applyFill="1" applyBorder="1" applyAlignment="1">
      <alignment horizontal="center" vertical="center"/>
    </xf>
    <xf numFmtId="0" fontId="13" fillId="0" borderId="12" xfId="0" applyFont="1" applyBorder="1" applyAlignment="1">
      <alignment horizontal="left" vertical="center" wrapText="1"/>
    </xf>
    <xf numFmtId="0" fontId="0" fillId="11" borderId="0" xfId="0" applyFont="1" applyFill="1" applyBorder="1" applyAlignment="1">
      <alignment horizontal="center"/>
    </xf>
    <xf numFmtId="0" fontId="53" fillId="0" borderId="12" xfId="0" applyFont="1" applyBorder="1" applyAlignment="1">
      <alignment horizontal="left" vertical="center" wrapText="1"/>
    </xf>
    <xf numFmtId="0" fontId="87" fillId="0" borderId="12" xfId="0" applyFont="1" applyBorder="1" applyAlignment="1">
      <alignment horizontal="left" vertical="center" wrapText="1"/>
    </xf>
    <xf numFmtId="0" fontId="88" fillId="5" borderId="12" xfId="0" applyFont="1" applyFill="1" applyBorder="1" applyAlignment="1">
      <alignment horizontal="center" vertical="center" wrapText="1"/>
    </xf>
    <xf numFmtId="2" fontId="0" fillId="5" borderId="14" xfId="0" applyNumberFormat="1" applyFont="1" applyFill="1" applyBorder="1" applyAlignment="1">
      <alignment horizontal="center" vertical="center"/>
    </xf>
    <xf numFmtId="0" fontId="13" fillId="5" borderId="14" xfId="0" applyFont="1" applyFill="1" applyBorder="1" applyAlignment="1">
      <alignment horizontal="center" vertical="center" wrapText="1"/>
    </xf>
    <xf numFmtId="0" fontId="13" fillId="5" borderId="14" xfId="0" applyFont="1" applyFill="1" applyBorder="1" applyAlignment="1">
      <alignment horizontal="left" vertical="center" wrapText="1"/>
    </xf>
    <xf numFmtId="0" fontId="17" fillId="5" borderId="12" xfId="0" applyFont="1" applyFill="1" applyBorder="1" applyAlignment="1">
      <alignment horizontal="left" vertical="top" wrapText="1"/>
    </xf>
    <xf numFmtId="0" fontId="45" fillId="7" borderId="0" xfId="0" applyFont="1" applyFill="1" applyBorder="1" applyAlignment="1">
      <alignment horizontal="center" vertical="center"/>
    </xf>
    <xf numFmtId="0" fontId="13" fillId="5" borderId="12" xfId="0" applyFont="1" applyFill="1" applyBorder="1" applyAlignment="1">
      <alignment horizontal="center" vertical="top" wrapText="1"/>
    </xf>
    <xf numFmtId="0" fontId="89" fillId="0" borderId="12" xfId="0" applyFont="1" applyBorder="1" applyAlignment="1">
      <alignment horizontal="left" vertical="center" wrapText="1"/>
    </xf>
    <xf numFmtId="14" fontId="45" fillId="5" borderId="12" xfId="0" applyNumberFormat="1" applyFont="1" applyFill="1" applyBorder="1" applyAlignment="1">
      <alignment horizontal="center"/>
    </xf>
    <xf numFmtId="2" fontId="45" fillId="8" borderId="0" xfId="0" applyNumberFormat="1" applyFont="1" applyFill="1" applyBorder="1" applyAlignment="1">
      <alignment horizontal="center" wrapText="1"/>
    </xf>
    <xf numFmtId="1" fontId="13" fillId="6" borderId="0" xfId="0" applyNumberFormat="1" applyFont="1" applyFill="1" applyBorder="1" applyAlignment="1">
      <alignment horizontal="center" vertical="center" wrapText="1"/>
    </xf>
    <xf numFmtId="0" fontId="13" fillId="4" borderId="12" xfId="0" applyFont="1" applyFill="1" applyBorder="1" applyAlignment="1">
      <alignment horizontal="left" vertical="top" wrapText="1"/>
    </xf>
    <xf numFmtId="1" fontId="13" fillId="0" borderId="0" xfId="0" applyNumberFormat="1" applyFont="1" applyAlignment="1">
      <alignment horizontal="center" vertical="center" wrapText="1"/>
    </xf>
    <xf numFmtId="10" fontId="13" fillId="5" borderId="12" xfId="0" applyNumberFormat="1" applyFont="1" applyFill="1" applyBorder="1" applyAlignment="1">
      <alignment horizontal="center" vertical="center" wrapText="1"/>
    </xf>
    <xf numFmtId="0" fontId="40" fillId="4" borderId="0" xfId="0" applyFont="1" applyFill="1" applyBorder="1" applyAlignment="1">
      <alignment horizontal="left" vertical="center" wrapText="1"/>
    </xf>
    <xf numFmtId="0" fontId="0" fillId="2" borderId="12" xfId="0" applyFont="1" applyFill="1" applyBorder="1" applyAlignment="1">
      <alignment horizontal="center" vertical="center" wrapText="1"/>
    </xf>
    <xf numFmtId="10" fontId="11" fillId="0" borderId="12" xfId="0" applyNumberFormat="1" applyFont="1" applyBorder="1" applyAlignment="1">
      <alignment horizontal="center" vertical="center" wrapText="1"/>
    </xf>
    <xf numFmtId="10" fontId="11" fillId="5" borderId="12" xfId="0" applyNumberFormat="1" applyFont="1" applyFill="1" applyBorder="1" applyAlignment="1">
      <alignment horizontal="center" vertical="center" wrapText="1"/>
    </xf>
    <xf numFmtId="2" fontId="40" fillId="4" borderId="0" xfId="0" applyNumberFormat="1" applyFont="1" applyFill="1" applyBorder="1" applyAlignment="1">
      <alignment horizontal="center" vertical="center"/>
    </xf>
    <xf numFmtId="49" fontId="13" fillId="5" borderId="12" xfId="0" applyNumberFormat="1" applyFont="1" applyFill="1" applyBorder="1" applyAlignment="1">
      <alignment horizontal="left" vertical="center" wrapText="1"/>
    </xf>
    <xf numFmtId="49" fontId="13" fillId="0" borderId="12" xfId="0" applyNumberFormat="1" applyFont="1" applyBorder="1" applyAlignment="1">
      <alignment horizontal="left" vertical="center" wrapText="1"/>
    </xf>
    <xf numFmtId="4" fontId="13" fillId="5" borderId="12" xfId="0" applyNumberFormat="1" applyFont="1" applyFill="1" applyBorder="1" applyAlignment="1">
      <alignment horizontal="center" vertical="center" wrapText="1"/>
    </xf>
    <xf numFmtId="4" fontId="13" fillId="0" borderId="12" xfId="0" applyNumberFormat="1" applyFont="1" applyBorder="1" applyAlignment="1">
      <alignment horizontal="center" vertical="center" wrapText="1"/>
    </xf>
    <xf numFmtId="10" fontId="0" fillId="5" borderId="12" xfId="0" applyNumberFormat="1" applyFont="1" applyFill="1" applyBorder="1" applyAlignment="1">
      <alignment horizontal="center" vertical="center" wrapText="1"/>
    </xf>
    <xf numFmtId="0" fontId="41" fillId="4" borderId="0" xfId="0" applyFont="1" applyFill="1" applyBorder="1" applyAlignment="1">
      <alignment vertical="center"/>
    </xf>
    <xf numFmtId="9" fontId="0" fillId="5" borderId="12" xfId="0" applyNumberFormat="1" applyFont="1" applyFill="1" applyBorder="1" applyAlignment="1">
      <alignment horizontal="center" vertical="center" wrapText="1"/>
    </xf>
    <xf numFmtId="0" fontId="85" fillId="7" borderId="0" xfId="0" applyFont="1" applyFill="1" applyBorder="1" applyAlignment="1">
      <alignment horizontal="right" vertical="center" wrapText="1"/>
    </xf>
    <xf numFmtId="2" fontId="40" fillId="7" borderId="0" xfId="0" applyNumberFormat="1" applyFont="1" applyFill="1" applyBorder="1" applyAlignment="1">
      <alignment horizontal="center" vertical="center"/>
    </xf>
    <xf numFmtId="4" fontId="45" fillId="2" borderId="12" xfId="0" applyNumberFormat="1" applyFont="1" applyFill="1" applyBorder="1" applyAlignment="1">
      <alignment vertical="center"/>
    </xf>
    <xf numFmtId="0" fontId="7" fillId="4" borderId="12" xfId="0" applyFont="1" applyFill="1" applyBorder="1" applyAlignment="1">
      <alignment vertical="center"/>
    </xf>
    <xf numFmtId="0" fontId="40" fillId="5" borderId="12" xfId="0" applyFont="1" applyFill="1" applyBorder="1" applyAlignment="1">
      <alignment horizontal="center" vertical="center"/>
    </xf>
    <xf numFmtId="2" fontId="85" fillId="4" borderId="0" xfId="0" applyNumberFormat="1" applyFont="1" applyFill="1" applyBorder="1" applyAlignment="1">
      <alignment horizontal="center" vertical="center"/>
    </xf>
    <xf numFmtId="2" fontId="45" fillId="7" borderId="0" xfId="0" applyNumberFormat="1" applyFont="1" applyFill="1" applyBorder="1" applyAlignment="1">
      <alignment horizontal="center" vertical="center" wrapText="1"/>
    </xf>
    <xf numFmtId="0" fontId="22" fillId="5" borderId="12" xfId="0" applyFont="1" applyFill="1" applyBorder="1" applyAlignment="1">
      <alignment horizontal="center" vertical="center"/>
    </xf>
    <xf numFmtId="0" fontId="90" fillId="5" borderId="12" xfId="0" applyFont="1" applyFill="1" applyBorder="1" applyAlignment="1">
      <alignment horizontal="center" vertical="center"/>
    </xf>
    <xf numFmtId="0" fontId="0" fillId="5" borderId="12" xfId="0" applyFont="1" applyFill="1" applyBorder="1" applyAlignment="1">
      <alignment vertical="center"/>
    </xf>
    <xf numFmtId="2" fontId="60" fillId="7" borderId="0" xfId="0" applyNumberFormat="1" applyFont="1" applyFill="1" applyBorder="1" applyAlignment="1">
      <alignment horizontal="center"/>
    </xf>
    <xf numFmtId="2" fontId="85" fillId="7" borderId="0" xfId="0" applyNumberFormat="1" applyFont="1" applyFill="1" applyBorder="1" applyAlignment="1">
      <alignment horizontal="center" vertical="center"/>
    </xf>
    <xf numFmtId="2" fontId="13" fillId="7" borderId="0" xfId="0" applyNumberFormat="1" applyFont="1" applyFill="1" applyBorder="1" applyAlignment="1">
      <alignment horizontal="center" wrapText="1"/>
    </xf>
    <xf numFmtId="10" fontId="45" fillId="0" borderId="12" xfId="0" applyNumberFormat="1" applyFont="1" applyBorder="1" applyAlignment="1">
      <alignment horizontal="center" vertical="center"/>
    </xf>
    <xf numFmtId="0" fontId="44" fillId="2" borderId="0" xfId="0" applyFont="1" applyFill="1" applyBorder="1" applyAlignment="1">
      <alignment horizontal="center" wrapText="1"/>
    </xf>
    <xf numFmtId="10" fontId="0" fillId="5" borderId="12" xfId="0" applyNumberFormat="1" applyFont="1" applyFill="1" applyBorder="1" applyAlignment="1">
      <alignment horizontal="center" vertical="center"/>
    </xf>
    <xf numFmtId="0" fontId="10" fillId="2" borderId="0" xfId="0" applyFont="1" applyFill="1" applyBorder="1" applyAlignment="1">
      <alignment wrapText="1"/>
    </xf>
    <xf numFmtId="0" fontId="0" fillId="3" borderId="0" xfId="0" applyFont="1" applyFill="1" applyBorder="1" applyAlignment="1">
      <alignment vertical="center"/>
    </xf>
    <xf numFmtId="0" fontId="44" fillId="2" borderId="0" xfId="0" applyFont="1" applyFill="1" applyBorder="1"/>
    <xf numFmtId="0" fontId="40" fillId="0" borderId="0" xfId="0" applyFont="1" applyAlignment="1">
      <alignment horizontal="center" vertical="center"/>
    </xf>
    <xf numFmtId="0" fontId="10" fillId="2" borderId="0" xfId="0" applyFont="1" applyFill="1" applyBorder="1" applyAlignment="1">
      <alignment horizontal="center" vertical="center"/>
    </xf>
    <xf numFmtId="0" fontId="40" fillId="7" borderId="0" xfId="0" applyFont="1" applyFill="1" applyBorder="1" applyAlignment="1">
      <alignment horizontal="center" wrapText="1"/>
    </xf>
    <xf numFmtId="0" fontId="0" fillId="6" borderId="0" xfId="0" applyFont="1" applyFill="1" applyBorder="1" applyAlignment="1">
      <alignment horizontal="left" vertical="center" wrapText="1"/>
    </xf>
    <xf numFmtId="10" fontId="13" fillId="0" borderId="12" xfId="0" applyNumberFormat="1" applyFont="1" applyBorder="1" applyAlignment="1">
      <alignment horizontal="left" vertical="center" wrapText="1"/>
    </xf>
    <xf numFmtId="10" fontId="13" fillId="5" borderId="12" xfId="0" applyNumberFormat="1" applyFont="1" applyFill="1" applyBorder="1" applyAlignment="1">
      <alignment horizontal="left" vertical="center" wrapText="1"/>
    </xf>
    <xf numFmtId="2" fontId="7" fillId="6" borderId="0" xfId="0" applyNumberFormat="1" applyFont="1" applyFill="1" applyBorder="1" applyAlignment="1">
      <alignment horizontal="center" vertical="center" wrapText="1"/>
    </xf>
    <xf numFmtId="0" fontId="7" fillId="11" borderId="0" xfId="0" applyFont="1" applyFill="1" applyBorder="1" applyAlignment="1">
      <alignment wrapText="1"/>
    </xf>
    <xf numFmtId="0" fontId="0" fillId="6" borderId="12" xfId="0" applyFont="1" applyFill="1" applyBorder="1" applyAlignment="1">
      <alignment horizontal="left" vertical="top" wrapText="1"/>
    </xf>
    <xf numFmtId="0" fontId="0" fillId="6" borderId="0" xfId="0" applyFont="1" applyFill="1" applyBorder="1" applyAlignment="1">
      <alignment vertical="center"/>
    </xf>
    <xf numFmtId="0" fontId="23" fillId="6" borderId="0" xfId="0" applyFont="1" applyFill="1" applyBorder="1" applyAlignment="1">
      <alignment horizontal="left" vertical="center" wrapText="1"/>
    </xf>
    <xf numFmtId="0" fontId="62" fillId="0" borderId="0" xfId="0" applyFont="1" applyAlignment="1">
      <alignment vertical="center"/>
    </xf>
    <xf numFmtId="10" fontId="14" fillId="5" borderId="12" xfId="0" applyNumberFormat="1" applyFont="1" applyFill="1" applyBorder="1" applyAlignment="1">
      <alignment horizontal="center" vertical="center" wrapText="1"/>
    </xf>
    <xf numFmtId="0" fontId="86" fillId="6" borderId="0" xfId="0" applyFont="1" applyFill="1" applyBorder="1" applyAlignment="1">
      <alignment wrapText="1"/>
    </xf>
    <xf numFmtId="0" fontId="47" fillId="6" borderId="15" xfId="0" applyFont="1" applyFill="1" applyBorder="1" applyAlignment="1">
      <alignment horizontal="left" vertical="top" wrapText="1"/>
    </xf>
    <xf numFmtId="0" fontId="47" fillId="6" borderId="0" xfId="0" applyFont="1" applyFill="1" applyBorder="1" applyAlignment="1">
      <alignment horizontal="left" vertical="top" wrapText="1"/>
    </xf>
    <xf numFmtId="2" fontId="47" fillId="7" borderId="0" xfId="0" applyNumberFormat="1" applyFont="1" applyFill="1" applyBorder="1" applyAlignment="1">
      <alignment horizontal="center"/>
    </xf>
    <xf numFmtId="0" fontId="24" fillId="6" borderId="12" xfId="0" applyFont="1" applyFill="1" applyBorder="1" applyAlignment="1">
      <alignment horizontal="left" vertical="top" wrapText="1"/>
    </xf>
    <xf numFmtId="0" fontId="24" fillId="6" borderId="15" xfId="0" applyFont="1" applyFill="1" applyBorder="1" applyAlignment="1">
      <alignment horizontal="left" vertical="top" wrapText="1"/>
    </xf>
    <xf numFmtId="0" fontId="25" fillId="6" borderId="0" xfId="0" applyFont="1" applyFill="1" applyBorder="1" applyAlignment="1">
      <alignment horizontal="center" vertical="center" wrapText="1"/>
    </xf>
    <xf numFmtId="2" fontId="47" fillId="6" borderId="0" xfId="0" applyNumberFormat="1" applyFont="1" applyFill="1" applyBorder="1" applyAlignment="1">
      <alignment horizontal="center" vertical="center"/>
    </xf>
    <xf numFmtId="2" fontId="63" fillId="7" borderId="0" xfId="0" applyNumberFormat="1" applyFont="1" applyFill="1" applyBorder="1" applyAlignment="1">
      <alignment horizontal="center" vertical="center" wrapText="1"/>
    </xf>
    <xf numFmtId="0" fontId="40" fillId="4" borderId="0" xfId="0" applyFont="1" applyFill="1" applyBorder="1" applyAlignment="1">
      <alignment horizontal="center" vertical="center" wrapText="1"/>
    </xf>
    <xf numFmtId="0" fontId="47" fillId="6" borderId="12" xfId="0" applyFont="1" applyFill="1" applyBorder="1" applyAlignment="1">
      <alignment horizontal="left" vertical="top" wrapText="1"/>
    </xf>
    <xf numFmtId="0" fontId="47" fillId="6" borderId="0" xfId="0" applyFont="1" applyFill="1" applyBorder="1" applyAlignment="1">
      <alignment horizontal="left" vertical="center" wrapText="1"/>
    </xf>
    <xf numFmtId="16" fontId="44" fillId="2" borderId="0" xfId="0" applyNumberFormat="1" applyFont="1" applyFill="1" applyBorder="1" applyAlignment="1">
      <alignment horizontal="center" wrapText="1"/>
    </xf>
    <xf numFmtId="0" fontId="91" fillId="6" borderId="12" xfId="0" applyFont="1" applyFill="1" applyBorder="1" applyAlignment="1">
      <alignment horizontal="left" vertical="top" wrapText="1"/>
    </xf>
    <xf numFmtId="0" fontId="24" fillId="6" borderId="0" xfId="0" applyFont="1" applyFill="1" applyBorder="1" applyAlignment="1">
      <alignment horizontal="left" vertical="top" wrapText="1"/>
    </xf>
    <xf numFmtId="0" fontId="26" fillId="2" borderId="0" xfId="0" applyFont="1" applyFill="1" applyBorder="1" applyAlignment="1">
      <alignment horizontal="center" vertical="center" wrapText="1"/>
    </xf>
    <xf numFmtId="0" fontId="91" fillId="0" borderId="0" xfId="0" applyFont="1" applyAlignment="1">
      <alignment horizontal="left" vertical="top" wrapText="1"/>
    </xf>
    <xf numFmtId="0" fontId="24" fillId="0" borderId="0" xfId="0" applyFont="1" applyAlignment="1">
      <alignment horizontal="left" vertical="top" wrapText="1"/>
    </xf>
    <xf numFmtId="16" fontId="40" fillId="4" borderId="0" xfId="0" applyNumberFormat="1" applyFont="1" applyFill="1" applyBorder="1" applyAlignment="1">
      <alignment horizontal="center" vertical="center"/>
    </xf>
    <xf numFmtId="2" fontId="40" fillId="6" borderId="0" xfId="0" applyNumberFormat="1" applyFont="1" applyFill="1" applyBorder="1" applyAlignment="1">
      <alignment horizontal="center" vertical="center"/>
    </xf>
    <xf numFmtId="0" fontId="92" fillId="6" borderId="0" xfId="0" applyFont="1" applyFill="1" applyBorder="1" applyAlignment="1">
      <alignment horizontal="left" vertical="center" wrapText="1"/>
    </xf>
    <xf numFmtId="0" fontId="47" fillId="0" borderId="0" xfId="0" applyFont="1" applyAlignment="1">
      <alignment horizontal="left" vertical="center" wrapText="1"/>
    </xf>
    <xf numFmtId="0" fontId="67" fillId="6" borderId="12" xfId="0" applyFont="1" applyFill="1" applyBorder="1" applyAlignment="1">
      <alignment horizontal="left" vertical="top" wrapText="1"/>
    </xf>
    <xf numFmtId="2" fontId="49" fillId="7" borderId="0" xfId="0" applyNumberFormat="1" applyFont="1" applyFill="1" applyBorder="1" applyAlignment="1">
      <alignment horizontal="center"/>
    </xf>
    <xf numFmtId="0" fontId="89" fillId="6" borderId="0" xfId="0" applyFont="1" applyFill="1" applyBorder="1" applyAlignment="1">
      <alignment horizontal="left" vertical="center" wrapText="1"/>
    </xf>
    <xf numFmtId="2" fontId="49" fillId="8" borderId="0" xfId="0" applyNumberFormat="1" applyFont="1" applyFill="1" applyBorder="1" applyAlignment="1">
      <alignment horizontal="center"/>
    </xf>
    <xf numFmtId="0" fontId="13" fillId="8" borderId="0" xfId="0" applyFont="1" applyFill="1" applyBorder="1" applyAlignment="1">
      <alignment horizontal="center" vertical="center" wrapText="1"/>
    </xf>
    <xf numFmtId="0" fontId="19" fillId="0" borderId="0" xfId="0" applyFont="1" applyAlignment="1">
      <alignment wrapText="1"/>
    </xf>
    <xf numFmtId="2" fontId="85" fillId="0" borderId="0" xfId="0" applyNumberFormat="1" applyFont="1" applyAlignment="1">
      <alignment horizontal="center" vertical="center"/>
    </xf>
    <xf numFmtId="2" fontId="48" fillId="10" borderId="0" xfId="0" applyNumberFormat="1" applyFont="1" applyFill="1" applyBorder="1" applyAlignment="1">
      <alignment horizontal="center" vertical="center" wrapText="1"/>
    </xf>
    <xf numFmtId="0" fontId="0" fillId="3" borderId="0" xfId="0" applyFont="1" applyFill="1" applyBorder="1" applyAlignment="1">
      <alignment horizontal="center" vertical="center"/>
    </xf>
    <xf numFmtId="10" fontId="7" fillId="6" borderId="0" xfId="0" applyNumberFormat="1" applyFont="1" applyFill="1" applyBorder="1" applyAlignment="1">
      <alignment horizontal="center" vertical="center" wrapText="1"/>
    </xf>
    <xf numFmtId="10" fontId="7" fillId="6" borderId="12" xfId="0" applyNumberFormat="1" applyFont="1" applyFill="1" applyBorder="1" applyAlignment="1">
      <alignment horizontal="center" vertical="center" wrapText="1"/>
    </xf>
    <xf numFmtId="0" fontId="7" fillId="4" borderId="12" xfId="0" applyFont="1" applyFill="1" applyBorder="1" applyAlignment="1">
      <alignment horizontal="center"/>
    </xf>
    <xf numFmtId="0" fontId="0" fillId="6" borderId="0" xfId="0" applyFont="1" applyFill="1" applyBorder="1" applyAlignment="1">
      <alignment wrapText="1"/>
    </xf>
    <xf numFmtId="0" fontId="0" fillId="6" borderId="0" xfId="0" applyFont="1" applyFill="1" applyBorder="1" applyAlignment="1">
      <alignment horizontal="center" vertical="center"/>
    </xf>
    <xf numFmtId="0" fontId="0" fillId="13" borderId="12" xfId="0" applyFont="1" applyFill="1" applyBorder="1" applyAlignment="1">
      <alignment horizontal="center" wrapText="1"/>
    </xf>
    <xf numFmtId="2" fontId="0" fillId="13" borderId="12" xfId="0" applyNumberFormat="1" applyFont="1" applyFill="1" applyBorder="1" applyAlignment="1">
      <alignment horizontal="center" wrapText="1"/>
    </xf>
    <xf numFmtId="2" fontId="0" fillId="13" borderId="12" xfId="0" applyNumberFormat="1" applyFont="1" applyFill="1" applyBorder="1" applyAlignment="1">
      <alignment horizontal="center"/>
    </xf>
    <xf numFmtId="0" fontId="13" fillId="13" borderId="12" xfId="0" applyFont="1" applyFill="1" applyBorder="1" applyAlignment="1">
      <alignment horizontal="center" vertical="center" wrapText="1"/>
    </xf>
    <xf numFmtId="2" fontId="0" fillId="2" borderId="0" xfId="0" applyNumberFormat="1" applyFont="1" applyFill="1" applyBorder="1"/>
    <xf numFmtId="0" fontId="45" fillId="13" borderId="12" xfId="0" applyFont="1" applyFill="1" applyBorder="1"/>
    <xf numFmtId="2" fontId="13" fillId="7" borderId="0" xfId="0" applyNumberFormat="1" applyFont="1" applyFill="1" applyBorder="1" applyAlignment="1">
      <alignment horizontal="center" vertical="center"/>
    </xf>
    <xf numFmtId="2" fontId="11" fillId="7" borderId="0" xfId="0" applyNumberFormat="1" applyFont="1" applyFill="1" applyBorder="1" applyAlignment="1">
      <alignment horizontal="center" vertical="center"/>
    </xf>
    <xf numFmtId="0" fontId="0" fillId="13" borderId="12" xfId="0" applyFont="1" applyFill="1" applyBorder="1"/>
    <xf numFmtId="4" fontId="45" fillId="0" borderId="0" xfId="0" applyNumberFormat="1" applyFont="1" applyAlignment="1">
      <alignment vertical="center"/>
    </xf>
    <xf numFmtId="0" fontId="7" fillId="3" borderId="0" xfId="0" applyFont="1" applyFill="1" applyBorder="1" applyAlignment="1">
      <alignment wrapText="1"/>
    </xf>
    <xf numFmtId="2" fontId="0" fillId="3" borderId="0" xfId="0" applyNumberFormat="1" applyFont="1" applyFill="1" applyBorder="1" applyAlignment="1">
      <alignment horizontal="center" vertical="center"/>
    </xf>
    <xf numFmtId="0" fontId="7" fillId="4" borderId="0" xfId="0" applyFont="1" applyFill="1" applyBorder="1" applyAlignment="1">
      <alignment vertical="center"/>
    </xf>
    <xf numFmtId="10" fontId="0" fillId="6" borderId="12" xfId="0" applyNumberFormat="1" applyFont="1" applyFill="1" applyBorder="1" applyAlignment="1">
      <alignment horizontal="center" vertical="center" wrapText="1"/>
    </xf>
    <xf numFmtId="10" fontId="47" fillId="6" borderId="12" xfId="0" applyNumberFormat="1" applyFont="1" applyFill="1" applyBorder="1" applyAlignment="1">
      <alignment horizontal="center" vertical="center" wrapText="1"/>
    </xf>
    <xf numFmtId="0" fontId="7" fillId="7" borderId="0" xfId="0" applyFont="1" applyFill="1" applyBorder="1"/>
    <xf numFmtId="10" fontId="0" fillId="6" borderId="0" xfId="0" applyNumberFormat="1" applyFont="1" applyFill="1" applyBorder="1" applyAlignment="1">
      <alignment horizontal="center" vertical="center"/>
    </xf>
    <xf numFmtId="2" fontId="62" fillId="8" borderId="0" xfId="0" applyNumberFormat="1" applyFont="1" applyFill="1" applyBorder="1" applyAlignment="1">
      <alignment horizontal="center" vertical="center" wrapText="1"/>
    </xf>
    <xf numFmtId="2" fontId="62" fillId="0" borderId="0" xfId="0" applyNumberFormat="1" applyFont="1" applyAlignment="1">
      <alignment horizontal="center" vertical="center" wrapText="1"/>
    </xf>
    <xf numFmtId="0" fontId="7" fillId="7" borderId="0" xfId="0" applyFont="1" applyFill="1" applyBorder="1" applyAlignment="1">
      <alignment horizontal="left"/>
    </xf>
    <xf numFmtId="0" fontId="51" fillId="7" borderId="0" xfId="0" applyFont="1" applyFill="1" applyBorder="1" applyAlignment="1">
      <alignment horizontal="center" vertical="center" wrapText="1"/>
    </xf>
    <xf numFmtId="0" fontId="0" fillId="7" borderId="0" xfId="0" applyFont="1" applyFill="1" applyBorder="1" applyAlignment="1">
      <alignment horizontal="center" wrapText="1"/>
    </xf>
    <xf numFmtId="2" fontId="0" fillId="8" borderId="0" xfId="0" applyNumberFormat="1" applyFont="1" applyFill="1" applyBorder="1" applyAlignment="1">
      <alignment horizontal="center" wrapText="1"/>
    </xf>
    <xf numFmtId="2" fontId="47" fillId="0" borderId="0" xfId="0" applyNumberFormat="1" applyFont="1" applyAlignment="1">
      <alignment horizontal="center" vertical="center"/>
    </xf>
    <xf numFmtId="0" fontId="56" fillId="0" borderId="0" xfId="0" applyFont="1" applyAlignment="1">
      <alignment horizontal="left" wrapText="1"/>
    </xf>
    <xf numFmtId="2" fontId="0" fillId="0" borderId="0" xfId="0" applyNumberFormat="1" applyFont="1" applyAlignment="1">
      <alignment horizontal="center" vertical="top" wrapText="1"/>
    </xf>
    <xf numFmtId="0" fontId="13" fillId="7" borderId="0" xfId="0" applyFont="1" applyFill="1" applyBorder="1" applyAlignment="1">
      <alignment vertical="center"/>
    </xf>
    <xf numFmtId="0" fontId="93" fillId="7" borderId="0" xfId="0" applyFont="1" applyFill="1" applyBorder="1" applyAlignment="1">
      <alignment vertical="center" wrapText="1"/>
    </xf>
    <xf numFmtId="2" fontId="62" fillId="7" borderId="0" xfId="0" applyNumberFormat="1" applyFont="1" applyFill="1" applyBorder="1" applyAlignment="1">
      <alignment horizontal="center" vertical="center" wrapText="1"/>
    </xf>
    <xf numFmtId="0" fontId="47" fillId="0" borderId="0" xfId="0" applyFont="1"/>
    <xf numFmtId="0" fontId="0" fillId="7" borderId="0" xfId="0" applyFont="1" applyFill="1" applyBorder="1" applyAlignment="1">
      <alignment horizontal="left" vertical="top" wrapText="1"/>
    </xf>
    <xf numFmtId="0" fontId="91" fillId="6" borderId="0" xfId="0" applyFont="1" applyFill="1" applyBorder="1"/>
    <xf numFmtId="0" fontId="27" fillId="7" borderId="0" xfId="0" applyFont="1" applyFill="1" applyBorder="1" applyAlignment="1">
      <alignment horizontal="center" vertical="center" wrapText="1"/>
    </xf>
    <xf numFmtId="0" fontId="45" fillId="7" borderId="0" xfId="0" applyFont="1" applyFill="1" applyBorder="1" applyAlignment="1">
      <alignment vertical="center" wrapText="1"/>
    </xf>
    <xf numFmtId="0" fontId="81" fillId="6" borderId="0" xfId="0" applyFont="1" applyFill="1" applyBorder="1" applyAlignment="1">
      <alignment vertical="top" wrapText="1"/>
    </xf>
    <xf numFmtId="0" fontId="13" fillId="6" borderId="0" xfId="0" applyFont="1" applyFill="1" applyBorder="1" applyAlignment="1">
      <alignment vertical="center"/>
    </xf>
    <xf numFmtId="0" fontId="0" fillId="11" borderId="0" xfId="0" applyFont="1" applyFill="1" applyBorder="1" applyAlignment="1">
      <alignment horizontal="center" wrapText="1"/>
    </xf>
    <xf numFmtId="0" fontId="40" fillId="11" borderId="0" xfId="0" applyFont="1" applyFill="1" applyBorder="1" applyAlignment="1">
      <alignment horizontal="left" wrapText="1"/>
    </xf>
    <xf numFmtId="0" fontId="40" fillId="2" borderId="13" xfId="0" applyFont="1" applyFill="1" applyBorder="1"/>
    <xf numFmtId="0" fontId="43" fillId="7" borderId="0" xfId="0" applyFont="1" applyFill="1" applyBorder="1" applyAlignment="1">
      <alignment horizontal="center" wrapText="1"/>
    </xf>
    <xf numFmtId="0" fontId="0" fillId="13" borderId="0" xfId="0" applyFont="1" applyFill="1" applyBorder="1" applyAlignment="1">
      <alignment horizontal="center" wrapText="1"/>
    </xf>
    <xf numFmtId="2" fontId="0" fillId="13" borderId="0" xfId="0" applyNumberFormat="1" applyFont="1" applyFill="1" applyBorder="1" applyAlignment="1">
      <alignment horizontal="center" wrapText="1"/>
    </xf>
    <xf numFmtId="2" fontId="0" fillId="13" borderId="0" xfId="0" applyNumberFormat="1" applyFont="1" applyFill="1" applyBorder="1" applyAlignment="1">
      <alignment horizontal="center"/>
    </xf>
    <xf numFmtId="0" fontId="0" fillId="13" borderId="0" xfId="0" applyFont="1" applyFill="1" applyBorder="1"/>
    <xf numFmtId="0" fontId="13" fillId="13" borderId="0" xfId="0" applyFont="1" applyFill="1" applyBorder="1" applyAlignment="1">
      <alignment horizontal="center" vertical="center" wrapText="1"/>
    </xf>
    <xf numFmtId="0" fontId="45" fillId="13" borderId="0" xfId="0" applyFont="1" applyFill="1" applyBorder="1"/>
    <xf numFmtId="0" fontId="13" fillId="7" borderId="0" xfId="0" applyFont="1" applyFill="1" applyBorder="1"/>
    <xf numFmtId="165" fontId="13" fillId="7" borderId="16" xfId="0" applyNumberFormat="1" applyFont="1" applyFill="1" applyBorder="1" applyAlignment="1">
      <alignment horizontal="center" vertical="center"/>
    </xf>
    <xf numFmtId="165" fontId="13" fillId="0" borderId="0" xfId="0" applyNumberFormat="1" applyFont="1" applyAlignment="1">
      <alignment horizontal="center" vertical="center"/>
    </xf>
    <xf numFmtId="165" fontId="13" fillId="7" borderId="0" xfId="0" applyNumberFormat="1" applyFont="1" applyFill="1" applyBorder="1" applyAlignment="1">
      <alignment horizontal="center" vertical="center" wrapText="1"/>
    </xf>
    <xf numFmtId="165" fontId="11" fillId="7" borderId="0" xfId="0" applyNumberFormat="1" applyFont="1" applyFill="1" applyBorder="1" applyAlignment="1">
      <alignment horizontal="center" vertical="center" wrapText="1"/>
    </xf>
    <xf numFmtId="165" fontId="67" fillId="7" borderId="0" xfId="0" applyNumberFormat="1" applyFont="1" applyFill="1" applyBorder="1" applyAlignment="1">
      <alignment horizontal="center" wrapText="1"/>
    </xf>
    <xf numFmtId="165" fontId="67" fillId="0" borderId="0" xfId="0" applyNumberFormat="1" applyFont="1" applyAlignment="1">
      <alignment horizontal="center" wrapText="1"/>
    </xf>
    <xf numFmtId="16" fontId="40" fillId="7" borderId="0" xfId="0" applyNumberFormat="1" applyFont="1" applyFill="1" applyBorder="1" applyAlignment="1">
      <alignment horizontal="center"/>
    </xf>
    <xf numFmtId="0" fontId="47" fillId="7" borderId="0" xfId="0" applyFont="1" applyFill="1" applyBorder="1" applyAlignment="1">
      <alignment horizontal="center" vertical="center" wrapText="1"/>
    </xf>
    <xf numFmtId="0" fontId="0" fillId="7" borderId="0" xfId="0" applyFont="1" applyFill="1" applyBorder="1" applyAlignment="1">
      <alignment horizontal="center" vertical="center" wrapText="1"/>
    </xf>
    <xf numFmtId="2" fontId="43" fillId="7" borderId="0" xfId="0" applyNumberFormat="1" applyFont="1" applyFill="1" applyBorder="1" applyAlignment="1">
      <alignment horizontal="center"/>
    </xf>
    <xf numFmtId="0" fontId="11" fillId="7" borderId="0" xfId="0" applyFont="1" applyFill="1" applyBorder="1" applyAlignment="1">
      <alignment vertical="center"/>
    </xf>
    <xf numFmtId="16" fontId="0" fillId="7" borderId="0" xfId="0" applyNumberFormat="1" applyFont="1" applyFill="1" applyBorder="1" applyAlignment="1">
      <alignment horizontal="center"/>
    </xf>
    <xf numFmtId="0" fontId="84" fillId="7" borderId="0" xfId="0" applyFont="1" applyFill="1" applyBorder="1" applyAlignment="1">
      <alignment wrapText="1"/>
    </xf>
    <xf numFmtId="0" fontId="14" fillId="7" borderId="0" xfId="0" applyFont="1" applyFill="1" applyBorder="1" applyAlignment="1">
      <alignment horizontal="center" vertical="center" wrapText="1"/>
    </xf>
    <xf numFmtId="0" fontId="13" fillId="7" borderId="0" xfId="0" applyFont="1" applyFill="1" applyBorder="1" applyAlignment="1">
      <alignment horizontal="left" vertical="top" wrapText="1"/>
    </xf>
    <xf numFmtId="2" fontId="0" fillId="7" borderId="0" xfId="0" applyNumberFormat="1" applyFont="1" applyFill="1" applyBorder="1" applyAlignment="1">
      <alignment horizontal="left" vertical="top" wrapText="1"/>
    </xf>
    <xf numFmtId="2" fontId="14" fillId="0" borderId="0" xfId="0" applyNumberFormat="1" applyFont="1" applyAlignment="1">
      <alignment horizontal="center" vertical="center" wrapText="1"/>
    </xf>
    <xf numFmtId="2" fontId="47" fillId="0" borderId="0" xfId="0" applyNumberFormat="1" applyFont="1" applyAlignment="1">
      <alignment horizontal="left" vertical="top" wrapText="1"/>
    </xf>
    <xf numFmtId="2" fontId="13" fillId="0" borderId="0" xfId="0" applyNumberFormat="1" applyFont="1" applyAlignment="1">
      <alignment horizontal="center" vertical="center"/>
    </xf>
    <xf numFmtId="0" fontId="20" fillId="7" borderId="0" xfId="0" applyFont="1" applyFill="1" applyBorder="1" applyAlignment="1">
      <alignment horizontal="center" vertical="center" wrapText="1"/>
    </xf>
    <xf numFmtId="9" fontId="13" fillId="7" borderId="0" xfId="0" applyNumberFormat="1" applyFont="1" applyFill="1" applyBorder="1" applyAlignment="1">
      <alignment horizontal="center" vertical="center" wrapText="1"/>
    </xf>
    <xf numFmtId="0" fontId="83" fillId="7" borderId="0" xfId="0" applyFont="1" applyFill="1" applyBorder="1"/>
    <xf numFmtId="0" fontId="64" fillId="7" borderId="0" xfId="0" applyFont="1" applyFill="1" applyBorder="1"/>
    <xf numFmtId="2" fontId="0" fillId="7" borderId="0" xfId="0" applyNumberFormat="1" applyFont="1" applyFill="1" applyBorder="1"/>
    <xf numFmtId="0" fontId="63" fillId="10" borderId="0" xfId="0" applyFont="1" applyFill="1" applyBorder="1" applyAlignment="1">
      <alignment horizontal="center" vertical="center" wrapText="1"/>
    </xf>
    <xf numFmtId="0" fontId="63" fillId="7" borderId="0" xfId="0" applyFont="1" applyFill="1" applyBorder="1" applyAlignment="1">
      <alignment horizontal="center" vertical="center" wrapText="1"/>
    </xf>
    <xf numFmtId="0" fontId="0" fillId="7" borderId="0" xfId="0" applyFont="1" applyFill="1" applyBorder="1" applyAlignment="1">
      <alignment horizontal="center" vertical="top" wrapText="1"/>
    </xf>
    <xf numFmtId="2" fontId="0" fillId="7" borderId="0" xfId="0" applyNumberFormat="1" applyFont="1" applyFill="1" applyBorder="1" applyAlignment="1">
      <alignment horizontal="center" vertical="top" wrapText="1"/>
    </xf>
    <xf numFmtId="0" fontId="0" fillId="7" borderId="0" xfId="0" applyFont="1" applyFill="1" applyBorder="1" applyAlignment="1">
      <alignment vertical="top" wrapText="1"/>
    </xf>
    <xf numFmtId="49" fontId="13" fillId="7" borderId="0" xfId="0" applyNumberFormat="1" applyFont="1" applyFill="1" applyBorder="1" applyAlignment="1">
      <alignment horizontal="center" vertical="center" wrapText="1"/>
    </xf>
    <xf numFmtId="49" fontId="13" fillId="0" borderId="0" xfId="0" applyNumberFormat="1" applyFont="1" applyAlignment="1">
      <alignment horizontal="center" vertical="center" wrapText="1"/>
    </xf>
    <xf numFmtId="1" fontId="13" fillId="7" borderId="0" xfId="0" applyNumberFormat="1" applyFont="1" applyFill="1" applyBorder="1" applyAlignment="1">
      <alignment horizontal="center" vertical="center" wrapText="1"/>
    </xf>
    <xf numFmtId="0" fontId="0" fillId="2" borderId="0" xfId="0" applyFont="1" applyFill="1" applyBorder="1" applyAlignment="1">
      <alignment vertical="center"/>
    </xf>
    <xf numFmtId="0" fontId="0" fillId="3" borderId="0" xfId="0" applyFont="1" applyFill="1" applyBorder="1" applyAlignment="1">
      <alignment horizontal="center" vertical="center" wrapText="1"/>
    </xf>
    <xf numFmtId="0" fontId="0" fillId="0" borderId="0" xfId="0" applyFont="1" applyAlignment="1">
      <alignment horizontal="left" vertical="center" wrapText="1"/>
    </xf>
    <xf numFmtId="0" fontId="0" fillId="3" borderId="0" xfId="0" applyFont="1" applyFill="1" applyBorder="1" applyAlignment="1">
      <alignment horizontal="left" vertical="center" wrapText="1"/>
    </xf>
    <xf numFmtId="2" fontId="7" fillId="0" borderId="0" xfId="0" applyNumberFormat="1" applyFont="1" applyAlignment="1">
      <alignment horizontal="center" vertical="center" wrapText="1"/>
    </xf>
    <xf numFmtId="2" fontId="7" fillId="3" borderId="0" xfId="0" applyNumberFormat="1" applyFont="1" applyFill="1" applyBorder="1" applyAlignment="1">
      <alignment horizontal="center" vertical="center" wrapText="1"/>
    </xf>
    <xf numFmtId="0" fontId="0" fillId="3" borderId="12" xfId="0" applyFont="1" applyFill="1" applyBorder="1" applyAlignment="1">
      <alignment horizontal="left" vertical="top" wrapText="1"/>
    </xf>
    <xf numFmtId="0" fontId="86" fillId="0" borderId="0" xfId="0" applyFont="1" applyAlignment="1">
      <alignment wrapText="1"/>
    </xf>
    <xf numFmtId="0" fontId="23" fillId="0" borderId="0" xfId="0" applyFont="1" applyAlignment="1">
      <alignment horizontal="left" vertical="center" wrapText="1"/>
    </xf>
    <xf numFmtId="0" fontId="86" fillId="3" borderId="0" xfId="0" applyFont="1" applyFill="1" applyBorder="1" applyAlignment="1">
      <alignment wrapText="1"/>
    </xf>
    <xf numFmtId="0" fontId="47" fillId="3" borderId="15" xfId="0" applyFont="1" applyFill="1" applyBorder="1" applyAlignment="1">
      <alignment horizontal="left" vertical="top" wrapText="1"/>
    </xf>
    <xf numFmtId="0" fontId="47" fillId="0" borderId="0" xfId="0" applyFont="1" applyAlignment="1">
      <alignment horizontal="center" vertical="center" wrapText="1"/>
    </xf>
    <xf numFmtId="0" fontId="47" fillId="3" borderId="0"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24" fillId="3" borderId="12" xfId="0" applyFont="1" applyFill="1" applyBorder="1" applyAlignment="1">
      <alignment horizontal="left" vertical="top" wrapText="1"/>
    </xf>
    <xf numFmtId="0" fontId="24" fillId="3" borderId="15" xfId="0" applyFont="1" applyFill="1" applyBorder="1" applyAlignment="1">
      <alignment horizontal="left" vertical="top" wrapText="1"/>
    </xf>
    <xf numFmtId="0" fontId="25" fillId="3" borderId="0" xfId="0" applyFont="1" applyFill="1" applyBorder="1" applyAlignment="1">
      <alignment horizontal="center" vertical="center" wrapText="1"/>
    </xf>
    <xf numFmtId="2" fontId="0" fillId="3" borderId="0" xfId="0" applyNumberFormat="1" applyFont="1" applyFill="1" applyBorder="1" applyAlignment="1">
      <alignment horizontal="left" vertical="top" wrapText="1"/>
    </xf>
    <xf numFmtId="2" fontId="47" fillId="3" borderId="0" xfId="0" applyNumberFormat="1" applyFont="1" applyFill="1" applyBorder="1" applyAlignment="1">
      <alignment horizontal="center" vertical="center"/>
    </xf>
    <xf numFmtId="0" fontId="7" fillId="14" borderId="0" xfId="0" applyFont="1" applyFill="1" applyBorder="1" applyAlignment="1">
      <alignment wrapText="1"/>
    </xf>
    <xf numFmtId="0" fontId="47" fillId="3" borderId="12" xfId="0" applyFont="1" applyFill="1" applyBorder="1" applyAlignment="1">
      <alignment horizontal="left" vertical="top" wrapText="1"/>
    </xf>
    <xf numFmtId="0" fontId="91" fillId="3" borderId="12" xfId="0" applyFont="1" applyFill="1" applyBorder="1" applyAlignment="1">
      <alignment horizontal="left" vertical="top" wrapText="1"/>
    </xf>
    <xf numFmtId="0" fontId="24" fillId="3" borderId="0" xfId="0" applyFont="1" applyFill="1" applyBorder="1" applyAlignment="1">
      <alignment horizontal="left" vertical="top" wrapText="1"/>
    </xf>
    <xf numFmtId="2" fontId="0" fillId="15" borderId="0" xfId="0" applyNumberFormat="1" applyFont="1" applyFill="1" applyBorder="1" applyAlignment="1">
      <alignment horizontal="center" vertical="center"/>
    </xf>
    <xf numFmtId="0" fontId="92" fillId="0" borderId="0" xfId="0" applyFont="1" applyAlignment="1">
      <alignment horizontal="left" vertical="center" wrapText="1"/>
    </xf>
    <xf numFmtId="0" fontId="40" fillId="3" borderId="0" xfId="0" applyFont="1" applyFill="1" applyBorder="1" applyAlignment="1">
      <alignment wrapText="1"/>
    </xf>
    <xf numFmtId="2" fontId="40" fillId="3" borderId="0" xfId="0" applyNumberFormat="1" applyFont="1" applyFill="1" applyBorder="1" applyAlignment="1">
      <alignment horizontal="center" vertical="center"/>
    </xf>
    <xf numFmtId="2" fontId="0" fillId="16" borderId="0" xfId="0" applyNumberFormat="1" applyFont="1" applyFill="1" applyBorder="1" applyAlignment="1">
      <alignment horizontal="center" vertical="center"/>
    </xf>
    <xf numFmtId="0" fontId="47" fillId="3" borderId="0" xfId="0" applyFont="1" applyFill="1" applyBorder="1" applyAlignment="1">
      <alignment horizontal="left" vertical="center" wrapText="1"/>
    </xf>
    <xf numFmtId="0" fontId="67" fillId="3" borderId="12" xfId="0" applyFont="1" applyFill="1" applyBorder="1" applyAlignment="1">
      <alignment horizontal="left" vertical="top" wrapText="1"/>
    </xf>
    <xf numFmtId="0" fontId="89" fillId="0" borderId="0" xfId="0" applyFont="1" applyAlignment="1">
      <alignment horizontal="left" vertical="center" wrapText="1"/>
    </xf>
    <xf numFmtId="0" fontId="89" fillId="3" borderId="0" xfId="0" applyFont="1" applyFill="1" applyBorder="1" applyAlignment="1">
      <alignment horizontal="left" vertical="center" wrapText="1"/>
    </xf>
    <xf numFmtId="0" fontId="0" fillId="2" borderId="0" xfId="0" applyFont="1" applyFill="1" applyBorder="1" applyAlignment="1">
      <alignment horizontal="center" vertical="center"/>
    </xf>
    <xf numFmtId="10" fontId="7" fillId="17" borderId="0" xfId="0" applyNumberFormat="1" applyFont="1" applyFill="1" applyBorder="1" applyAlignment="1">
      <alignment horizontal="center" vertical="center" wrapText="1"/>
    </xf>
    <xf numFmtId="10" fontId="7" fillId="17" borderId="12" xfId="0" applyNumberFormat="1" applyFont="1" applyFill="1" applyBorder="1" applyAlignment="1">
      <alignment horizontal="center" vertical="center" wrapText="1"/>
    </xf>
    <xf numFmtId="2" fontId="0" fillId="18" borderId="0" xfId="0" applyNumberFormat="1" applyFont="1" applyFill="1" applyBorder="1" applyAlignment="1">
      <alignment horizontal="center" vertical="center"/>
    </xf>
    <xf numFmtId="10" fontId="7" fillId="0" borderId="0" xfId="0" applyNumberFormat="1" applyFont="1" applyAlignment="1">
      <alignment horizontal="center" vertical="center" wrapText="1"/>
    </xf>
    <xf numFmtId="10" fontId="7" fillId="0" borderId="12" xfId="0" applyNumberFormat="1" applyFont="1" applyBorder="1" applyAlignment="1">
      <alignment horizontal="center" vertical="center" wrapText="1"/>
    </xf>
    <xf numFmtId="0" fontId="0" fillId="19" borderId="0" xfId="0" applyFont="1" applyFill="1" applyBorder="1" applyAlignment="1">
      <alignment wrapText="1"/>
    </xf>
    <xf numFmtId="2" fontId="0" fillId="17" borderId="0" xfId="0" applyNumberFormat="1" applyFont="1" applyFill="1" applyBorder="1" applyAlignment="1">
      <alignment horizontal="center" vertical="center"/>
    </xf>
    <xf numFmtId="10" fontId="0" fillId="0" borderId="12" xfId="0" applyNumberFormat="1" applyFont="1" applyBorder="1" applyAlignment="1">
      <alignment horizontal="center" vertical="center" wrapText="1"/>
    </xf>
    <xf numFmtId="10" fontId="0" fillId="3" borderId="12" xfId="0" applyNumberFormat="1" applyFont="1" applyFill="1" applyBorder="1" applyAlignment="1">
      <alignment horizontal="center" vertical="center" wrapText="1"/>
    </xf>
    <xf numFmtId="10" fontId="47" fillId="3" borderId="12" xfId="0" applyNumberFormat="1" applyFont="1" applyFill="1" applyBorder="1" applyAlignment="1">
      <alignment horizontal="center" vertical="center" wrapText="1"/>
    </xf>
    <xf numFmtId="10" fontId="0" fillId="0" borderId="0" xfId="0" applyNumberFormat="1" applyFont="1" applyAlignment="1">
      <alignment horizontal="center" vertical="center"/>
    </xf>
    <xf numFmtId="10" fontId="0" fillId="3" borderId="0" xfId="0" applyNumberFormat="1" applyFont="1" applyFill="1" applyBorder="1" applyAlignment="1">
      <alignment horizontal="center" vertical="center"/>
    </xf>
    <xf numFmtId="0" fontId="91" fillId="0" borderId="0" xfId="0" applyFont="1"/>
    <xf numFmtId="0" fontId="13" fillId="0" borderId="0" xfId="0" applyFont="1" applyAlignment="1">
      <alignment vertical="center"/>
    </xf>
    <xf numFmtId="16" fontId="40" fillId="0" borderId="0" xfId="0" applyNumberFormat="1" applyFont="1" applyAlignment="1">
      <alignment horizontal="center"/>
    </xf>
    <xf numFmtId="0" fontId="11" fillId="0" borderId="0" xfId="0" applyFont="1" applyAlignment="1">
      <alignment horizontal="center" vertical="center" wrapText="1"/>
    </xf>
    <xf numFmtId="0" fontId="9" fillId="0" borderId="12" xfId="0" applyFont="1" applyBorder="1" applyAlignment="1">
      <alignment horizontal="left" wrapText="1"/>
    </xf>
    <xf numFmtId="0" fontId="9" fillId="0" borderId="12" xfId="0" applyFont="1" applyBorder="1" applyAlignment="1">
      <alignment vertical="top" wrapText="1"/>
    </xf>
    <xf numFmtId="0" fontId="42" fillId="4" borderId="0" xfId="0" applyFont="1" applyFill="1" applyBorder="1" applyAlignment="1">
      <alignment horizontal="center" vertical="center" wrapText="1"/>
    </xf>
    <xf numFmtId="0" fontId="9" fillId="0" borderId="12" xfId="0" applyFont="1" applyBorder="1" applyAlignment="1">
      <alignment horizontal="center" vertical="center" wrapText="1"/>
    </xf>
    <xf numFmtId="0" fontId="9" fillId="5" borderId="12" xfId="0" applyFont="1" applyFill="1" applyBorder="1" applyAlignment="1">
      <alignment horizontal="center" vertical="center" wrapText="1"/>
    </xf>
    <xf numFmtId="2" fontId="9" fillId="0" borderId="12" xfId="0" applyNumberFormat="1" applyFont="1" applyBorder="1" applyAlignment="1">
      <alignment horizontal="center" wrapText="1"/>
    </xf>
    <xf numFmtId="2" fontId="9" fillId="5" borderId="12" xfId="0" applyNumberFormat="1" applyFont="1" applyFill="1" applyBorder="1" applyAlignment="1">
      <alignment horizontal="center" wrapText="1"/>
    </xf>
    <xf numFmtId="2" fontId="9" fillId="0" borderId="12" xfId="0" applyNumberFormat="1" applyFont="1" applyBorder="1" applyAlignment="1">
      <alignment horizontal="center"/>
    </xf>
    <xf numFmtId="2" fontId="9" fillId="5" borderId="12" xfId="0" applyNumberFormat="1" applyFont="1" applyFill="1" applyBorder="1" applyAlignment="1">
      <alignment horizontal="center"/>
    </xf>
    <xf numFmtId="2" fontId="9" fillId="0" borderId="12" xfId="0" applyNumberFormat="1" applyFont="1" applyBorder="1" applyAlignment="1">
      <alignment horizontal="center" vertical="center"/>
    </xf>
    <xf numFmtId="2" fontId="9" fillId="5" borderId="12" xfId="0" applyNumberFormat="1" applyFont="1" applyFill="1" applyBorder="1" applyAlignment="1">
      <alignment horizontal="center" vertical="center"/>
    </xf>
    <xf numFmtId="2" fontId="9" fillId="0" borderId="12" xfId="0" applyNumberFormat="1" applyFont="1" applyBorder="1" applyAlignment="1">
      <alignment horizontal="center" vertical="center" wrapText="1"/>
    </xf>
    <xf numFmtId="0" fontId="9" fillId="0" borderId="12" xfId="0" applyFont="1" applyBorder="1" applyAlignment="1">
      <alignment horizontal="center" vertical="center"/>
    </xf>
    <xf numFmtId="0" fontId="9" fillId="5" borderId="12" xfId="0" applyFont="1" applyFill="1" applyBorder="1" applyAlignment="1">
      <alignment horizontal="center" vertical="center"/>
    </xf>
    <xf numFmtId="2" fontId="9" fillId="5" borderId="12" xfId="0" applyNumberFormat="1" applyFont="1" applyFill="1" applyBorder="1" applyAlignment="1">
      <alignment horizontal="center" vertical="center" wrapText="1"/>
    </xf>
    <xf numFmtId="0" fontId="9" fillId="0" borderId="12" xfId="0" applyFont="1" applyBorder="1" applyAlignment="1">
      <alignment vertical="center" wrapText="1"/>
    </xf>
    <xf numFmtId="2" fontId="9" fillId="5" borderId="0" xfId="0" applyNumberFormat="1" applyFont="1" applyFill="1" applyBorder="1" applyAlignment="1">
      <alignment horizontal="center"/>
    </xf>
    <xf numFmtId="2" fontId="9" fillId="0" borderId="0" xfId="0" applyNumberFormat="1" applyFont="1" applyAlignment="1">
      <alignment horizontal="center"/>
    </xf>
    <xf numFmtId="0" fontId="9" fillId="0" borderId="0" xfId="0" applyFont="1" applyAlignment="1">
      <alignment vertical="top" wrapText="1"/>
    </xf>
    <xf numFmtId="2" fontId="9" fillId="0" borderId="0" xfId="0" applyNumberFormat="1" applyFont="1" applyAlignment="1">
      <alignment horizontal="center" wrapText="1"/>
    </xf>
    <xf numFmtId="0" fontId="9" fillId="0" borderId="0" xfId="0" applyFont="1" applyAlignment="1">
      <alignment horizontal="center" vertical="center" wrapText="1"/>
    </xf>
    <xf numFmtId="0" fontId="9" fillId="4" borderId="0" xfId="0" applyFont="1" applyFill="1" applyBorder="1" applyAlignment="1">
      <alignment horizontal="center" vertical="center" wrapText="1"/>
    </xf>
    <xf numFmtId="2" fontId="9" fillId="0" borderId="12" xfId="0" applyNumberFormat="1" applyFont="1" applyBorder="1" applyAlignment="1">
      <alignment horizontal="center" vertical="top"/>
    </xf>
    <xf numFmtId="0" fontId="9" fillId="0" borderId="12" xfId="0" applyFont="1" applyBorder="1" applyAlignment="1">
      <alignment horizontal="center" wrapText="1"/>
    </xf>
    <xf numFmtId="0" fontId="9" fillId="5" borderId="12" xfId="0" applyFont="1" applyFill="1" applyBorder="1" applyAlignment="1">
      <alignment horizontal="center" wrapText="1"/>
    </xf>
    <xf numFmtId="0" fontId="9" fillId="4" borderId="12" xfId="0" applyFont="1" applyFill="1" applyBorder="1" applyAlignment="1">
      <alignment wrapText="1"/>
    </xf>
    <xf numFmtId="0" fontId="9" fillId="0" borderId="12" xfId="0" applyFont="1" applyBorder="1"/>
    <xf numFmtId="0" fontId="9" fillId="0" borderId="12" xfId="0" applyFont="1" applyBorder="1" applyAlignment="1">
      <alignment vertical="center"/>
    </xf>
    <xf numFmtId="0" fontId="9" fillId="2" borderId="12" xfId="0" applyFont="1" applyFill="1" applyBorder="1" applyAlignment="1">
      <alignment wrapText="1"/>
    </xf>
    <xf numFmtId="0" fontId="9" fillId="5" borderId="12" xfId="0" applyFont="1" applyFill="1" applyBorder="1" applyAlignment="1">
      <alignment vertical="center"/>
    </xf>
    <xf numFmtId="0" fontId="9" fillId="0" borderId="12" xfId="0" applyFont="1" applyBorder="1" applyAlignment="1">
      <alignment wrapText="1"/>
    </xf>
    <xf numFmtId="2" fontId="9" fillId="0" borderId="12" xfId="0" applyNumberFormat="1" applyFont="1" applyBorder="1" applyAlignment="1">
      <alignment horizontal="left" vertical="center" wrapText="1"/>
    </xf>
    <xf numFmtId="0" fontId="9" fillId="2" borderId="12" xfId="0" applyFont="1" applyFill="1" applyBorder="1" applyAlignment="1">
      <alignment horizontal="left" wrapText="1"/>
    </xf>
    <xf numFmtId="165" fontId="9" fillId="0" borderId="12" xfId="0" applyNumberFormat="1" applyFont="1" applyBorder="1" applyAlignment="1">
      <alignment horizontal="center" wrapText="1"/>
    </xf>
    <xf numFmtId="0" fontId="9" fillId="0" borderId="12" xfId="0" applyFont="1" applyBorder="1" applyAlignment="1">
      <alignment horizontal="center"/>
    </xf>
    <xf numFmtId="49" fontId="9" fillId="0" borderId="12" xfId="0" applyNumberFormat="1" applyFont="1" applyBorder="1" applyAlignment="1">
      <alignment horizontal="left" vertical="top" wrapText="1"/>
    </xf>
    <xf numFmtId="49" fontId="9" fillId="0" borderId="12" xfId="0" applyNumberFormat="1" applyFont="1" applyBorder="1" applyAlignment="1">
      <alignment vertical="top" wrapText="1"/>
    </xf>
    <xf numFmtId="0" fontId="9" fillId="2" borderId="0" xfId="0" applyFont="1" applyFill="1" applyBorder="1" applyAlignment="1">
      <alignment wrapText="1"/>
    </xf>
    <xf numFmtId="0" fontId="9" fillId="0" borderId="0" xfId="0" applyFont="1"/>
    <xf numFmtId="0" fontId="9" fillId="0" borderId="0" xfId="0" applyFont="1" applyAlignment="1">
      <alignment horizontal="left" wrapText="1"/>
    </xf>
    <xf numFmtId="0" fontId="9" fillId="0" borderId="0" xfId="0" applyFont="1" applyAlignment="1">
      <alignment wrapText="1"/>
    </xf>
    <xf numFmtId="0" fontId="9" fillId="0" borderId="12" xfId="0" applyFont="1" applyBorder="1" applyAlignment="1">
      <alignment horizontal="left" vertical="center" wrapText="1"/>
    </xf>
    <xf numFmtId="10" fontId="9" fillId="5" borderId="12" xfId="0" applyNumberFormat="1" applyFont="1" applyFill="1" applyBorder="1" applyAlignment="1">
      <alignment horizontal="center" vertical="center" wrapText="1"/>
    </xf>
    <xf numFmtId="49" fontId="9" fillId="5" borderId="12" xfId="0" applyNumberFormat="1" applyFont="1" applyFill="1" applyBorder="1" applyAlignment="1">
      <alignment horizontal="center" vertical="center" wrapText="1"/>
    </xf>
    <xf numFmtId="49" fontId="9" fillId="5" borderId="12" xfId="0" applyNumberFormat="1" applyFont="1" applyFill="1" applyBorder="1" applyAlignment="1">
      <alignment horizontal="left" vertical="top" wrapText="1"/>
    </xf>
    <xf numFmtId="10" fontId="9" fillId="5" borderId="12" xfId="0" applyNumberFormat="1" applyFont="1" applyFill="1" applyBorder="1" applyAlignment="1">
      <alignment horizontal="center"/>
    </xf>
    <xf numFmtId="4" fontId="9" fillId="5" borderId="12" xfId="0" applyNumberFormat="1" applyFont="1" applyFill="1" applyBorder="1" applyAlignment="1">
      <alignment horizontal="center" vertical="center" wrapText="1"/>
    </xf>
    <xf numFmtId="10" fontId="9" fillId="5" borderId="12" xfId="0" applyNumberFormat="1" applyFont="1" applyFill="1" applyBorder="1" applyAlignment="1">
      <alignment horizontal="center" vertical="center"/>
    </xf>
    <xf numFmtId="16" fontId="9" fillId="5" borderId="12" xfId="0" applyNumberFormat="1" applyFont="1" applyFill="1" applyBorder="1" applyAlignment="1">
      <alignment horizontal="center" vertical="center"/>
    </xf>
    <xf numFmtId="9" fontId="9" fillId="5" borderId="12" xfId="0" applyNumberFormat="1" applyFont="1" applyFill="1" applyBorder="1" applyAlignment="1">
      <alignment horizontal="center" vertical="center" wrapText="1"/>
    </xf>
    <xf numFmtId="0" fontId="9" fillId="5" borderId="12" xfId="0" applyFont="1" applyFill="1" applyBorder="1" applyAlignment="1">
      <alignment wrapText="1"/>
    </xf>
    <xf numFmtId="2" fontId="9" fillId="4" borderId="0" xfId="0" applyNumberFormat="1" applyFont="1" applyFill="1" applyBorder="1" applyAlignment="1">
      <alignment horizontal="center"/>
    </xf>
    <xf numFmtId="0" fontId="9" fillId="13" borderId="12" xfId="0" applyFont="1" applyFill="1" applyBorder="1" applyAlignment="1">
      <alignment wrapText="1"/>
    </xf>
    <xf numFmtId="2" fontId="9" fillId="6" borderId="0" xfId="0" applyNumberFormat="1" applyFont="1" applyFill="1" applyBorder="1" applyAlignment="1">
      <alignment horizontal="center"/>
    </xf>
    <xf numFmtId="0" fontId="9" fillId="6" borderId="0" xfId="0" applyFont="1" applyFill="1" applyBorder="1" applyAlignment="1">
      <alignment horizontal="center" vertical="center"/>
    </xf>
    <xf numFmtId="0" fontId="9" fillId="4" borderId="0" xfId="0" applyFont="1" applyFill="1" applyBorder="1" applyAlignment="1">
      <alignment wrapText="1"/>
    </xf>
    <xf numFmtId="0" fontId="9" fillId="6" borderId="0" xfId="0" applyFont="1" applyFill="1" applyBorder="1" applyAlignment="1">
      <alignment horizontal="left" wrapText="1"/>
    </xf>
    <xf numFmtId="0" fontId="9" fillId="6" borderId="0" xfId="0" applyFont="1" applyFill="1" applyBorder="1"/>
    <xf numFmtId="2" fontId="9" fillId="6" borderId="0" xfId="0" applyNumberFormat="1" applyFont="1" applyFill="1" applyBorder="1" applyAlignment="1">
      <alignment horizontal="center" vertical="center" wrapText="1"/>
    </xf>
    <xf numFmtId="0" fontId="9" fillId="6" borderId="0" xfId="0" applyFont="1" applyFill="1" applyBorder="1" applyAlignment="1">
      <alignment vertical="center"/>
    </xf>
    <xf numFmtId="2" fontId="9" fillId="6" borderId="0" xfId="0" applyNumberFormat="1" applyFont="1" applyFill="1" applyBorder="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0" fontId="9" fillId="6" borderId="0" xfId="0" applyFont="1" applyFill="1" applyBorder="1" applyAlignment="1">
      <alignment vertical="center" wrapText="1"/>
    </xf>
    <xf numFmtId="0" fontId="9" fillId="3" borderId="0" xfId="0" applyFont="1" applyFill="1" applyBorder="1"/>
    <xf numFmtId="0" fontId="9" fillId="6" borderId="0" xfId="0" applyFont="1" applyFill="1" applyBorder="1" applyAlignment="1">
      <alignment horizontal="center" vertical="center" wrapText="1"/>
    </xf>
    <xf numFmtId="0" fontId="9" fillId="6" borderId="0" xfId="0" applyFont="1" applyFill="1" applyBorder="1" applyAlignment="1">
      <alignment wrapText="1"/>
    </xf>
    <xf numFmtId="2" fontId="9" fillId="6" borderId="0" xfId="0" applyNumberFormat="1" applyFont="1" applyFill="1" applyBorder="1" applyAlignment="1">
      <alignment horizontal="left" vertical="center"/>
    </xf>
    <xf numFmtId="165" fontId="9" fillId="6" borderId="0" xfId="0" applyNumberFormat="1" applyFont="1" applyFill="1" applyBorder="1" applyAlignment="1">
      <alignment horizontal="center" wrapText="1"/>
    </xf>
    <xf numFmtId="0" fontId="9" fillId="3" borderId="0" xfId="0" applyFont="1" applyFill="1" applyBorder="1" applyAlignment="1">
      <alignment horizontal="left"/>
    </xf>
    <xf numFmtId="0" fontId="9" fillId="0" borderId="0" xfId="0" applyFont="1" applyAlignment="1">
      <alignment horizontal="center"/>
    </xf>
    <xf numFmtId="2" fontId="9" fillId="6" borderId="0" xfId="0" applyNumberFormat="1" applyFont="1" applyFill="1" applyBorder="1" applyAlignment="1">
      <alignment horizontal="center" wrapText="1"/>
    </xf>
    <xf numFmtId="49" fontId="9" fillId="6" borderId="17" xfId="0" applyNumberFormat="1" applyFont="1" applyFill="1" applyBorder="1" applyAlignment="1">
      <alignment horizontal="left" vertical="top" wrapText="1"/>
    </xf>
    <xf numFmtId="49" fontId="9" fillId="6" borderId="0" xfId="0" applyNumberFormat="1" applyFont="1" applyFill="1" applyBorder="1" applyAlignment="1">
      <alignment horizontal="left" vertical="top" wrapText="1"/>
    </xf>
    <xf numFmtId="49" fontId="9" fillId="6" borderId="0" xfId="0" applyNumberFormat="1" applyFont="1" applyFill="1" applyBorder="1" applyAlignment="1">
      <alignment vertical="top" wrapText="1"/>
    </xf>
    <xf numFmtId="0" fontId="9" fillId="6" borderId="0" xfId="0" applyFont="1" applyFill="1" applyBorder="1" applyAlignment="1">
      <alignment vertical="top" wrapText="1"/>
    </xf>
    <xf numFmtId="0" fontId="9" fillId="6" borderId="12" xfId="0" applyFont="1" applyFill="1" applyBorder="1" applyAlignment="1">
      <alignment horizontal="left" vertical="top" wrapText="1"/>
    </xf>
    <xf numFmtId="0" fontId="9" fillId="6" borderId="0" xfId="0" applyFont="1" applyFill="1" applyBorder="1" applyAlignment="1">
      <alignment horizontal="left" vertical="center" wrapText="1"/>
    </xf>
    <xf numFmtId="0" fontId="9" fillId="6" borderId="15" xfId="0" applyFont="1" applyFill="1" applyBorder="1" applyAlignment="1">
      <alignment horizontal="left" vertical="top" wrapText="1"/>
    </xf>
    <xf numFmtId="0" fontId="9" fillId="6" borderId="0" xfId="0" applyFont="1" applyFill="1" applyBorder="1" applyAlignment="1">
      <alignment horizontal="left" vertical="top" wrapText="1"/>
    </xf>
    <xf numFmtId="2" fontId="9" fillId="0" borderId="0" xfId="0" applyNumberFormat="1"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9" fillId="4" borderId="0" xfId="0" applyFont="1" applyFill="1" applyBorder="1" applyAlignment="1">
      <alignment horizontal="left" vertical="center" wrapText="1"/>
    </xf>
    <xf numFmtId="0" fontId="9" fillId="4" borderId="0" xfId="0" applyFont="1" applyFill="1" applyBorder="1" applyAlignment="1">
      <alignment horizontal="left" vertical="top" wrapText="1"/>
    </xf>
    <xf numFmtId="10" fontId="9" fillId="6" borderId="0" xfId="0" applyNumberFormat="1" applyFont="1" applyFill="1" applyBorder="1" applyAlignment="1">
      <alignment horizontal="center" vertical="center" wrapText="1"/>
    </xf>
    <xf numFmtId="0" fontId="9" fillId="6" borderId="12" xfId="0" applyFont="1" applyFill="1" applyBorder="1" applyAlignment="1">
      <alignment horizontal="center" vertical="center" wrapText="1"/>
    </xf>
    <xf numFmtId="49" fontId="9" fillId="6" borderId="0" xfId="0" applyNumberFormat="1" applyFont="1" applyFill="1" applyBorder="1" applyAlignment="1">
      <alignment horizontal="center" vertical="center" wrapText="1"/>
    </xf>
    <xf numFmtId="49" fontId="9" fillId="6" borderId="0" xfId="0" applyNumberFormat="1" applyFont="1" applyFill="1" applyBorder="1" applyAlignment="1">
      <alignment horizontal="left" vertical="center" wrapText="1"/>
    </xf>
    <xf numFmtId="49" fontId="9" fillId="6" borderId="12" xfId="0" applyNumberFormat="1" applyFont="1" applyFill="1" applyBorder="1" applyAlignment="1">
      <alignment horizontal="left" vertical="top" wrapText="1"/>
    </xf>
    <xf numFmtId="4" fontId="9" fillId="6" borderId="0" xfId="0" applyNumberFormat="1" applyFont="1" applyFill="1" applyBorder="1" applyAlignment="1">
      <alignment horizontal="center" vertical="center" wrapText="1"/>
    </xf>
    <xf numFmtId="4" fontId="9" fillId="6" borderId="12" xfId="0" applyNumberFormat="1" applyFont="1" applyFill="1" applyBorder="1" applyAlignment="1">
      <alignment horizontal="center" vertical="center" wrapText="1"/>
    </xf>
    <xf numFmtId="10" fontId="9" fillId="6" borderId="12" xfId="0" applyNumberFormat="1" applyFont="1" applyFill="1" applyBorder="1" applyAlignment="1">
      <alignment horizontal="center" vertical="center" wrapText="1"/>
    </xf>
    <xf numFmtId="10" fontId="9" fillId="6" borderId="0" xfId="0" applyNumberFormat="1" applyFont="1" applyFill="1" applyBorder="1" applyAlignment="1">
      <alignment horizontal="center" vertical="center"/>
    </xf>
    <xf numFmtId="9" fontId="9" fillId="6" borderId="0" xfId="0" applyNumberFormat="1" applyFont="1" applyFill="1" applyBorder="1" applyAlignment="1">
      <alignment horizontal="center" vertical="center" wrapText="1"/>
    </xf>
    <xf numFmtId="10" fontId="9" fillId="6" borderId="0" xfId="0" applyNumberFormat="1" applyFont="1" applyFill="1" applyBorder="1" applyAlignment="1">
      <alignment horizontal="left" vertical="center" wrapText="1"/>
    </xf>
    <xf numFmtId="10" fontId="9" fillId="6" borderId="12" xfId="0" applyNumberFormat="1" applyFont="1" applyFill="1" applyBorder="1" applyAlignment="1">
      <alignment horizontal="left" vertical="top" wrapText="1"/>
    </xf>
    <xf numFmtId="10" fontId="9" fillId="6" borderId="14" xfId="0" applyNumberFormat="1" applyFont="1" applyFill="1" applyBorder="1" applyAlignment="1">
      <alignment horizontal="left" vertical="top" wrapText="1"/>
    </xf>
    <xf numFmtId="17" fontId="9" fillId="6" borderId="0" xfId="0" applyNumberFormat="1" applyFont="1" applyFill="1" applyBorder="1" applyAlignment="1">
      <alignment horizontal="center" vertical="center"/>
    </xf>
    <xf numFmtId="0" fontId="9" fillId="13" borderId="0" xfId="0" applyFont="1" applyFill="1" applyBorder="1" applyAlignment="1">
      <alignment wrapText="1"/>
    </xf>
    <xf numFmtId="2" fontId="9" fillId="7" borderId="0" xfId="0" applyNumberFormat="1" applyFont="1" applyFill="1" applyBorder="1" applyAlignment="1">
      <alignment horizontal="center"/>
    </xf>
    <xf numFmtId="0" fontId="9" fillId="7" borderId="0" xfId="0" applyFont="1" applyFill="1" applyBorder="1" applyAlignment="1">
      <alignment wrapText="1"/>
    </xf>
    <xf numFmtId="0" fontId="9" fillId="7" borderId="0" xfId="0" applyFont="1" applyFill="1" applyBorder="1" applyAlignment="1">
      <alignment horizontal="left" wrapText="1"/>
    </xf>
    <xf numFmtId="2" fontId="9" fillId="8" borderId="0" xfId="0" applyNumberFormat="1" applyFont="1" applyFill="1" applyBorder="1" applyAlignment="1">
      <alignment horizontal="center"/>
    </xf>
    <xf numFmtId="0" fontId="9" fillId="2" borderId="0" xfId="0" applyFont="1" applyFill="1" applyBorder="1"/>
    <xf numFmtId="2" fontId="9" fillId="0" borderId="0" xfId="0" applyNumberFormat="1" applyFont="1" applyAlignment="1">
      <alignment horizontal="center" vertical="center"/>
    </xf>
    <xf numFmtId="2" fontId="9" fillId="8" borderId="0" xfId="0" applyNumberFormat="1" applyFont="1" applyFill="1" applyBorder="1" applyAlignment="1">
      <alignment horizontal="center" vertical="center"/>
    </xf>
    <xf numFmtId="2" fontId="9" fillId="7" borderId="0" xfId="0" applyNumberFormat="1" applyFont="1" applyFill="1" applyBorder="1" applyAlignment="1">
      <alignment horizontal="center" wrapText="1"/>
    </xf>
    <xf numFmtId="0" fontId="9" fillId="2" borderId="0" xfId="0" applyFont="1" applyFill="1" applyBorder="1" applyAlignment="1">
      <alignment horizontal="left"/>
    </xf>
    <xf numFmtId="165" fontId="9" fillId="0" borderId="0" xfId="0" applyNumberFormat="1" applyFont="1" applyAlignment="1">
      <alignment horizontal="center" wrapText="1"/>
    </xf>
    <xf numFmtId="0" fontId="9" fillId="7" borderId="0" xfId="0" applyFont="1" applyFill="1" applyBorder="1" applyAlignment="1">
      <alignment horizontal="center"/>
    </xf>
    <xf numFmtId="0" fontId="9" fillId="7" borderId="0" xfId="0" applyFont="1" applyFill="1" applyBorder="1"/>
    <xf numFmtId="49" fontId="9" fillId="7" borderId="17" xfId="0" applyNumberFormat="1" applyFont="1" applyFill="1" applyBorder="1" applyAlignment="1">
      <alignment horizontal="left" vertical="top" wrapText="1"/>
    </xf>
    <xf numFmtId="49" fontId="9" fillId="0" borderId="0" xfId="0" applyNumberFormat="1" applyFont="1" applyAlignment="1">
      <alignment horizontal="left" vertical="top" wrapText="1"/>
    </xf>
    <xf numFmtId="165" fontId="9" fillId="7" borderId="0" xfId="0" applyNumberFormat="1" applyFont="1" applyFill="1" applyBorder="1" applyAlignment="1">
      <alignment horizontal="center" wrapText="1"/>
    </xf>
    <xf numFmtId="49" fontId="9" fillId="0" borderId="17" xfId="0" applyNumberFormat="1" applyFont="1" applyBorder="1" applyAlignment="1">
      <alignment horizontal="left" vertical="top" wrapText="1"/>
    </xf>
    <xf numFmtId="49" fontId="9" fillId="0" borderId="0" xfId="0" applyNumberFormat="1" applyFont="1" applyAlignment="1">
      <alignment vertical="top" wrapText="1"/>
    </xf>
    <xf numFmtId="0" fontId="9" fillId="7" borderId="0" xfId="0" applyFont="1" applyFill="1" applyBorder="1" applyAlignment="1">
      <alignment horizontal="center" vertical="center" wrapText="1"/>
    </xf>
    <xf numFmtId="0" fontId="9" fillId="7" borderId="0" xfId="0" applyFont="1" applyFill="1" applyBorder="1" applyAlignment="1">
      <alignment horizontal="center" vertical="center"/>
    </xf>
    <xf numFmtId="2" fontId="9" fillId="7" borderId="0" xfId="0" applyNumberFormat="1" applyFont="1" applyFill="1" applyBorder="1" applyAlignment="1">
      <alignment horizontal="center" vertical="center" wrapText="1"/>
    </xf>
    <xf numFmtId="0" fontId="50" fillId="7" borderId="0" xfId="0" applyFont="1" applyFill="1" applyBorder="1" applyAlignment="1">
      <alignment horizontal="center" vertical="center" wrapText="1"/>
    </xf>
    <xf numFmtId="2" fontId="9" fillId="10"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xf>
    <xf numFmtId="2" fontId="9" fillId="20" borderId="0"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0" fontId="9" fillId="3" borderId="12" xfId="0" applyFont="1" applyFill="1" applyBorder="1" applyAlignment="1">
      <alignment horizontal="left" vertical="top" wrapText="1"/>
    </xf>
    <xf numFmtId="2" fontId="9" fillId="16" borderId="0" xfId="0" applyNumberFormat="1" applyFont="1" applyFill="1" applyBorder="1" applyAlignment="1">
      <alignment horizontal="center" vertical="center" wrapText="1"/>
    </xf>
    <xf numFmtId="2" fontId="9" fillId="16" borderId="0" xfId="0" applyNumberFormat="1" applyFont="1" applyFill="1" applyBorder="1" applyAlignment="1">
      <alignment horizontal="center" vertical="center"/>
    </xf>
    <xf numFmtId="2" fontId="9" fillId="15" borderId="0" xfId="0" applyNumberFormat="1" applyFont="1" applyFill="1" applyBorder="1" applyAlignment="1">
      <alignment horizontal="center" vertical="center" wrapText="1"/>
    </xf>
    <xf numFmtId="2" fontId="9" fillId="15" borderId="0" xfId="0" applyNumberFormat="1" applyFont="1" applyFill="1" applyBorder="1" applyAlignment="1">
      <alignment horizontal="center" vertical="center"/>
    </xf>
    <xf numFmtId="2" fontId="9" fillId="21" borderId="0" xfId="0" applyNumberFormat="1" applyFont="1" applyFill="1" applyBorder="1" applyAlignment="1">
      <alignment horizontal="center" vertical="center" wrapText="1"/>
    </xf>
    <xf numFmtId="0" fontId="9" fillId="3" borderId="15" xfId="0" applyFont="1" applyFill="1" applyBorder="1" applyAlignment="1">
      <alignment horizontal="left" vertical="top" wrapText="1"/>
    </xf>
    <xf numFmtId="0" fontId="9" fillId="3" borderId="0" xfId="0" applyFont="1" applyFill="1" applyBorder="1" applyAlignment="1">
      <alignment horizontal="left" wrapText="1"/>
    </xf>
    <xf numFmtId="0" fontId="9" fillId="3" borderId="0" xfId="0" applyFont="1" applyFill="1" applyBorder="1" applyAlignment="1">
      <alignment horizontal="left" vertical="center" wrapText="1"/>
    </xf>
    <xf numFmtId="0" fontId="9" fillId="3" borderId="0" xfId="0" applyFont="1" applyFill="1" applyBorder="1" applyAlignment="1">
      <alignment wrapText="1"/>
    </xf>
    <xf numFmtId="10" fontId="9" fillId="0" borderId="0" xfId="0" applyNumberFormat="1" applyFont="1" applyAlignment="1">
      <alignment horizontal="center" vertical="center" wrapText="1"/>
    </xf>
    <xf numFmtId="9" fontId="9" fillId="0" borderId="0" xfId="0" applyNumberFormat="1" applyFont="1" applyAlignment="1">
      <alignment horizontal="center" vertical="center" wrapText="1"/>
    </xf>
    <xf numFmtId="10" fontId="9" fillId="3" borderId="0" xfId="0" applyNumberFormat="1"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17" borderId="0" xfId="0" applyFont="1" applyFill="1" applyBorder="1" applyAlignment="1">
      <alignment horizontal="center" vertical="center" wrapText="1"/>
    </xf>
    <xf numFmtId="49" fontId="9" fillId="0" borderId="0" xfId="0" applyNumberFormat="1" applyFont="1" applyAlignment="1">
      <alignment horizontal="center" vertical="center" wrapText="1"/>
    </xf>
    <xf numFmtId="49" fontId="9" fillId="0" borderId="0" xfId="0" applyNumberFormat="1" applyFont="1" applyAlignment="1">
      <alignment horizontal="left" vertical="center" wrapText="1"/>
    </xf>
    <xf numFmtId="49" fontId="9" fillId="17" borderId="0" xfId="0" applyNumberFormat="1" applyFont="1" applyFill="1" applyBorder="1" applyAlignment="1">
      <alignment horizontal="center" vertical="center" wrapText="1"/>
    </xf>
    <xf numFmtId="49" fontId="9" fillId="17" borderId="12" xfId="0" applyNumberFormat="1" applyFont="1" applyFill="1" applyBorder="1" applyAlignment="1">
      <alignment horizontal="left" vertical="top" wrapText="1"/>
    </xf>
    <xf numFmtId="49" fontId="9" fillId="17" borderId="0" xfId="0" applyNumberFormat="1" applyFont="1" applyFill="1" applyBorder="1" applyAlignment="1">
      <alignment horizontal="left" vertical="top" wrapText="1"/>
    </xf>
    <xf numFmtId="4" fontId="9" fillId="0" borderId="0" xfId="0" applyNumberFormat="1" applyFont="1" applyAlignment="1">
      <alignment horizontal="center" vertical="center" wrapText="1"/>
    </xf>
    <xf numFmtId="4" fontId="9" fillId="17" borderId="0" xfId="0" applyNumberFormat="1" applyFont="1" applyFill="1" applyBorder="1" applyAlignment="1">
      <alignment horizontal="center" vertical="center" wrapText="1"/>
    </xf>
    <xf numFmtId="4" fontId="9" fillId="3" borderId="0" xfId="0" applyNumberFormat="1" applyFont="1" applyFill="1" applyBorder="1" applyAlignment="1">
      <alignment horizontal="center" vertical="center" wrapText="1"/>
    </xf>
    <xf numFmtId="4" fontId="9" fillId="17" borderId="12" xfId="0" applyNumberFormat="1" applyFont="1" applyFill="1" applyBorder="1" applyAlignment="1">
      <alignment horizontal="center" vertical="center" wrapText="1"/>
    </xf>
    <xf numFmtId="10" fontId="9" fillId="0" borderId="12" xfId="0" applyNumberFormat="1" applyFont="1" applyBorder="1" applyAlignment="1">
      <alignment horizontal="center" vertical="center" wrapText="1"/>
    </xf>
    <xf numFmtId="10" fontId="9" fillId="3" borderId="12" xfId="0" applyNumberFormat="1" applyFont="1" applyFill="1" applyBorder="1" applyAlignment="1">
      <alignment horizontal="center" vertical="center" wrapText="1"/>
    </xf>
    <xf numFmtId="10" fontId="9" fillId="3" borderId="0" xfId="0" applyNumberFormat="1" applyFont="1" applyFill="1" applyBorder="1" applyAlignment="1">
      <alignment horizontal="center" vertical="center"/>
    </xf>
    <xf numFmtId="10" fontId="9" fillId="17" borderId="0" xfId="0" applyNumberFormat="1" applyFont="1" applyFill="1" applyBorder="1" applyAlignment="1">
      <alignment horizontal="center" vertical="center" wrapText="1"/>
    </xf>
    <xf numFmtId="0" fontId="9" fillId="3" borderId="0" xfId="0" applyFont="1" applyFill="1" applyBorder="1" applyAlignment="1">
      <alignment horizontal="center" vertical="center"/>
    </xf>
    <xf numFmtId="10" fontId="9" fillId="0" borderId="0" xfId="0" applyNumberFormat="1" applyFont="1" applyAlignment="1">
      <alignment horizontal="left" vertical="center" wrapText="1"/>
    </xf>
    <xf numFmtId="9" fontId="9" fillId="3" borderId="0" xfId="0" applyNumberFormat="1" applyFont="1" applyFill="1" applyBorder="1" applyAlignment="1">
      <alignment horizontal="center" vertical="center" wrapText="1"/>
    </xf>
    <xf numFmtId="10" fontId="9" fillId="3" borderId="12" xfId="0" applyNumberFormat="1" applyFont="1" applyFill="1" applyBorder="1" applyAlignment="1">
      <alignment horizontal="left" vertical="top" wrapText="1"/>
    </xf>
    <xf numFmtId="10" fontId="9" fillId="3" borderId="0" xfId="0" applyNumberFormat="1" applyFont="1" applyFill="1" applyBorder="1" applyAlignment="1">
      <alignment horizontal="left" vertical="center" wrapText="1"/>
    </xf>
    <xf numFmtId="10" fontId="9" fillId="3" borderId="14" xfId="0" applyNumberFormat="1" applyFont="1" applyFill="1" applyBorder="1" applyAlignment="1">
      <alignment horizontal="left" vertical="top" wrapText="1"/>
    </xf>
    <xf numFmtId="17" fontId="9" fillId="3" borderId="0" xfId="0" applyNumberFormat="1" applyFont="1" applyFill="1" applyBorder="1" applyAlignment="1">
      <alignment horizontal="center" vertical="center"/>
    </xf>
    <xf numFmtId="0" fontId="40" fillId="0" borderId="12" xfId="0" applyFont="1" applyBorder="1" applyAlignment="1" applyProtection="1">
      <alignment horizontal="left" vertical="top"/>
      <protection locked="0"/>
    </xf>
    <xf numFmtId="0" fontId="29" fillId="0" borderId="12" xfId="0" applyFont="1" applyBorder="1" applyAlignment="1" applyProtection="1">
      <alignment vertical="top" wrapText="1"/>
      <protection locked="0"/>
    </xf>
    <xf numFmtId="0" fontId="30" fillId="0" borderId="1" xfId="0" applyFont="1" applyBorder="1" applyAlignment="1" applyProtection="1">
      <alignment horizontal="center" vertical="center" wrapText="1"/>
      <protection locked="0"/>
    </xf>
    <xf numFmtId="0" fontId="0" fillId="0" borderId="0" xfId="0" applyFont="1" applyAlignment="1" applyProtection="1">
      <protection locked="0"/>
    </xf>
    <xf numFmtId="0" fontId="40" fillId="4" borderId="12" xfId="0" applyFont="1" applyFill="1" applyBorder="1" applyAlignment="1" applyProtection="1">
      <alignment horizontal="left" vertical="top"/>
      <protection locked="0"/>
    </xf>
    <xf numFmtId="0" fontId="44" fillId="4" borderId="18" xfId="0" applyFont="1" applyFill="1" applyBorder="1" applyAlignment="1" applyProtection="1">
      <alignment horizontal="left" vertical="top" wrapText="1"/>
      <protection locked="0"/>
    </xf>
    <xf numFmtId="0" fontId="42" fillId="4" borderId="12" xfId="0" applyFont="1" applyFill="1" applyBorder="1" applyAlignment="1" applyProtection="1">
      <alignment vertical="top" wrapText="1"/>
      <protection locked="0"/>
    </xf>
    <xf numFmtId="0" fontId="30" fillId="4" borderId="1" xfId="0" applyFont="1" applyFill="1" applyBorder="1" applyAlignment="1" applyProtection="1">
      <alignment horizontal="center" vertical="center"/>
      <protection locked="0"/>
    </xf>
    <xf numFmtId="0" fontId="40" fillId="22" borderId="12" xfId="0" applyFont="1" applyFill="1" applyBorder="1" applyAlignment="1" applyProtection="1">
      <alignment horizontal="left" vertical="top"/>
      <protection locked="0"/>
    </xf>
    <xf numFmtId="0" fontId="30" fillId="2" borderId="1" xfId="0" applyFont="1" applyFill="1" applyBorder="1" applyAlignment="1" applyProtection="1">
      <alignment horizontal="center" vertical="center"/>
      <protection locked="0"/>
    </xf>
    <xf numFmtId="0" fontId="40" fillId="2" borderId="12" xfId="0" applyFont="1" applyFill="1" applyBorder="1" applyAlignment="1" applyProtection="1">
      <alignment horizontal="left" vertical="top"/>
      <protection locked="0"/>
    </xf>
    <xf numFmtId="0" fontId="29" fillId="2" borderId="12" xfId="0" applyFont="1" applyFill="1" applyBorder="1" applyAlignment="1" applyProtection="1">
      <alignment vertical="top" wrapText="1"/>
      <protection locked="0"/>
    </xf>
    <xf numFmtId="0" fontId="30" fillId="2" borderId="1" xfId="0"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wrapText="1"/>
      <protection locked="0"/>
    </xf>
    <xf numFmtId="0" fontId="40" fillId="23" borderId="12" xfId="0" applyFont="1" applyFill="1" applyBorder="1" applyAlignment="1" applyProtection="1">
      <alignment horizontal="left" vertical="top"/>
      <protection locked="0"/>
    </xf>
    <xf numFmtId="0" fontId="29" fillId="23" borderId="12" xfId="0" applyFont="1" applyFill="1" applyBorder="1" applyAlignment="1" applyProtection="1">
      <alignment vertical="top" wrapText="1"/>
      <protection locked="0"/>
    </xf>
    <xf numFmtId="0" fontId="31" fillId="23" borderId="1" xfId="0" applyFont="1" applyFill="1" applyBorder="1" applyAlignment="1" applyProtection="1">
      <alignment horizontal="center" vertical="center" wrapText="1"/>
      <protection locked="0"/>
    </xf>
    <xf numFmtId="0" fontId="31" fillId="0" borderId="1" xfId="0" applyFont="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62" fillId="0" borderId="1" xfId="0" applyFont="1" applyFill="1" applyBorder="1" applyAlignment="1" applyProtection="1">
      <alignment horizontal="center" vertical="center" wrapText="1"/>
      <protection locked="0"/>
    </xf>
    <xf numFmtId="0" fontId="31" fillId="24" borderId="1" xfId="0" applyFont="1" applyFill="1" applyBorder="1" applyAlignment="1" applyProtection="1">
      <alignment horizontal="center" vertical="center" wrapText="1"/>
      <protection locked="0"/>
    </xf>
    <xf numFmtId="0" fontId="31" fillId="5" borderId="1" xfId="0" applyFont="1" applyFill="1" applyBorder="1" applyAlignment="1" applyProtection="1">
      <alignment horizontal="center" vertical="center" wrapText="1"/>
      <protection locked="0"/>
    </xf>
    <xf numFmtId="0" fontId="31" fillId="0" borderId="1" xfId="0" applyNumberFormat="1" applyFont="1" applyBorder="1" applyAlignment="1" applyProtection="1">
      <alignment horizontal="center" vertical="center" wrapText="1"/>
      <protection locked="0"/>
    </xf>
    <xf numFmtId="0" fontId="62" fillId="0" borderId="1" xfId="0" applyFont="1" applyBorder="1" applyAlignment="1">
      <alignment horizontal="center" vertical="center" wrapText="1"/>
    </xf>
    <xf numFmtId="2" fontId="62" fillId="23" borderId="1" xfId="0" applyNumberFormat="1" applyFont="1" applyFill="1" applyBorder="1" applyAlignment="1" applyProtection="1">
      <alignment horizontal="center" vertical="center"/>
      <protection locked="0"/>
    </xf>
    <xf numFmtId="2" fontId="31" fillId="0" borderId="1" xfId="0" applyNumberFormat="1" applyFont="1" applyBorder="1" applyAlignment="1" applyProtection="1">
      <alignment horizontal="center" vertical="center" wrapText="1"/>
      <protection locked="0"/>
    </xf>
    <xf numFmtId="0" fontId="31" fillId="5" borderId="1" xfId="0" applyFont="1" applyFill="1" applyBorder="1" applyAlignment="1">
      <alignment horizontal="center" vertical="center" wrapText="1"/>
    </xf>
    <xf numFmtId="0" fontId="62" fillId="0" borderId="1" xfId="0" applyFont="1" applyFill="1" applyBorder="1" applyAlignment="1" applyProtection="1">
      <alignment horizontal="center" vertical="center"/>
      <protection locked="0"/>
    </xf>
    <xf numFmtId="0" fontId="31" fillId="24" borderId="1" xfId="0" applyFont="1" applyFill="1" applyBorder="1" applyAlignment="1">
      <alignment horizontal="center" vertical="center" wrapText="1"/>
    </xf>
    <xf numFmtId="0" fontId="62" fillId="0" borderId="0" xfId="0" applyFont="1" applyFill="1" applyBorder="1" applyAlignment="1" applyProtection="1">
      <alignment horizontal="center" vertical="center"/>
      <protection locked="0"/>
    </xf>
    <xf numFmtId="0" fontId="0" fillId="0" borderId="0" xfId="0" applyFont="1" applyFill="1" applyBorder="1" applyAlignment="1" applyProtection="1">
      <protection locked="0"/>
    </xf>
    <xf numFmtId="2" fontId="31" fillId="24"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2" fontId="31" fillId="25" borderId="1" xfId="0" applyNumberFormat="1" applyFont="1" applyFill="1" applyBorder="1" applyAlignment="1" applyProtection="1">
      <alignment horizontal="center" vertical="center"/>
      <protection locked="0"/>
    </xf>
    <xf numFmtId="0" fontId="40" fillId="24" borderId="12" xfId="0" applyFont="1" applyFill="1" applyBorder="1" applyAlignment="1" applyProtection="1">
      <alignment horizontal="left" vertical="top"/>
      <protection locked="0"/>
    </xf>
    <xf numFmtId="9" fontId="29" fillId="26" borderId="12" xfId="7" applyFont="1" applyFill="1" applyBorder="1" applyAlignment="1" applyProtection="1">
      <alignment vertical="top" wrapText="1"/>
      <protection locked="0"/>
    </xf>
    <xf numFmtId="0" fontId="0" fillId="24" borderId="0" xfId="0" applyFont="1" applyFill="1" applyAlignment="1" applyProtection="1">
      <protection locked="0"/>
    </xf>
    <xf numFmtId="0" fontId="40" fillId="2" borderId="12" xfId="0" applyFont="1" applyFill="1" applyBorder="1" applyAlignment="1" applyProtection="1">
      <alignment horizontal="left" vertical="top" wrapText="1"/>
      <protection locked="0"/>
    </xf>
    <xf numFmtId="0" fontId="40" fillId="25" borderId="12" xfId="0" applyFont="1" applyFill="1" applyBorder="1" applyAlignment="1" applyProtection="1">
      <alignment horizontal="left" vertical="top"/>
      <protection locked="0"/>
    </xf>
    <xf numFmtId="0" fontId="29" fillId="25" borderId="12" xfId="0" applyFont="1" applyFill="1" applyBorder="1" applyAlignment="1" applyProtection="1">
      <alignment vertical="top" wrapText="1"/>
      <protection locked="0"/>
    </xf>
    <xf numFmtId="0" fontId="0" fillId="2" borderId="18" xfId="0" applyFont="1" applyFill="1" applyBorder="1" applyAlignment="1" applyProtection="1"/>
    <xf numFmtId="0" fontId="31" fillId="25" borderId="1" xfId="0" applyFont="1" applyFill="1" applyBorder="1" applyAlignment="1" applyProtection="1">
      <alignment horizontal="center" vertical="center" wrapText="1"/>
      <protection locked="0"/>
    </xf>
    <xf numFmtId="0" fontId="31" fillId="25" borderId="1" xfId="0" applyFont="1" applyFill="1" applyBorder="1" applyAlignment="1" applyProtection="1">
      <alignment horizontal="center" vertical="center"/>
      <protection locked="0"/>
    </xf>
    <xf numFmtId="0" fontId="0" fillId="27" borderId="0" xfId="0" applyFont="1" applyFill="1" applyAlignment="1" applyProtection="1">
      <protection locked="0"/>
    </xf>
    <xf numFmtId="0" fontId="74" fillId="28" borderId="12" xfId="0" applyFont="1" applyFill="1" applyBorder="1" applyAlignment="1" applyProtection="1">
      <alignment horizontal="left" vertical="top" wrapText="1"/>
      <protection locked="0"/>
    </xf>
    <xf numFmtId="0" fontId="29" fillId="28" borderId="12" xfId="0" applyFont="1" applyFill="1" applyBorder="1" applyAlignment="1" applyProtection="1">
      <alignment vertical="top" wrapText="1"/>
      <protection locked="0"/>
    </xf>
    <xf numFmtId="0" fontId="31" fillId="29" borderId="1" xfId="0" applyFont="1" applyFill="1" applyBorder="1" applyAlignment="1" applyProtection="1">
      <alignment horizontal="center" vertical="center" wrapText="1"/>
      <protection locked="0"/>
    </xf>
    <xf numFmtId="0" fontId="0" fillId="28" borderId="0" xfId="0" applyFont="1" applyFill="1" applyAlignment="1" applyProtection="1">
      <protection locked="0"/>
    </xf>
    <xf numFmtId="0" fontId="94" fillId="24" borderId="12" xfId="0" applyFont="1" applyFill="1" applyBorder="1" applyAlignment="1" applyProtection="1">
      <alignment horizontal="left" vertical="top"/>
      <protection locked="0"/>
    </xf>
    <xf numFmtId="0" fontId="29" fillId="24" borderId="12" xfId="0" applyFont="1" applyFill="1" applyBorder="1" applyAlignment="1" applyProtection="1">
      <alignment vertical="top" wrapText="1"/>
      <protection locked="0"/>
    </xf>
    <xf numFmtId="0" fontId="31" fillId="30" borderId="1" xfId="0" applyFont="1" applyFill="1" applyBorder="1" applyAlignment="1" applyProtection="1">
      <alignment horizontal="center" vertical="center" wrapText="1"/>
      <protection locked="0"/>
    </xf>
    <xf numFmtId="2" fontId="31" fillId="0" borderId="1" xfId="5" applyNumberFormat="1" applyFont="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1" fillId="30" borderId="1" xfId="4" applyFont="1" applyFill="1" applyBorder="1" applyAlignment="1" applyProtection="1">
      <alignment horizontal="center" vertical="center" wrapText="1"/>
      <protection locked="0"/>
    </xf>
    <xf numFmtId="0" fontId="31" fillId="30" borderId="1"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32" fillId="0" borderId="0" xfId="0" applyFont="1" applyFill="1" applyBorder="1" applyAlignment="1" applyProtection="1">
      <protection locked="0"/>
    </xf>
    <xf numFmtId="0" fontId="32" fillId="31" borderId="0" xfId="0" applyFont="1" applyFill="1" applyAlignment="1" applyProtection="1">
      <protection locked="0"/>
    </xf>
    <xf numFmtId="0" fontId="29" fillId="32" borderId="12" xfId="0" applyFont="1" applyFill="1" applyBorder="1" applyAlignment="1" applyProtection="1">
      <alignment vertical="top" wrapText="1"/>
      <protection locked="0"/>
    </xf>
    <xf numFmtId="0" fontId="29" fillId="24" borderId="12" xfId="0" applyFont="1" applyFill="1" applyBorder="1" applyAlignment="1" applyProtection="1">
      <alignment horizontal="left" vertical="top"/>
      <protection locked="0"/>
    </xf>
    <xf numFmtId="0" fontId="32" fillId="24" borderId="0" xfId="0" applyFont="1" applyFill="1" applyAlignment="1" applyProtection="1">
      <protection locked="0"/>
    </xf>
    <xf numFmtId="0" fontId="31" fillId="0" borderId="1" xfId="0" applyFont="1" applyFill="1" applyBorder="1" applyAlignment="1" applyProtection="1">
      <alignment horizontal="center" vertical="center"/>
      <protection locked="0"/>
    </xf>
    <xf numFmtId="14" fontId="40" fillId="25" borderId="12" xfId="0" quotePrefix="1" applyNumberFormat="1" applyFont="1" applyFill="1" applyBorder="1" applyAlignment="1" applyProtection="1">
      <alignment horizontal="left" vertical="top"/>
      <protection locked="0"/>
    </xf>
    <xf numFmtId="0" fontId="31" fillId="33" borderId="1" xfId="0" applyFont="1" applyFill="1" applyBorder="1" applyAlignment="1" applyProtection="1">
      <alignment horizontal="center" vertical="center" wrapText="1"/>
      <protection locked="0"/>
    </xf>
    <xf numFmtId="0" fontId="31" fillId="33" borderId="1" xfId="4" applyFont="1" applyFill="1" applyBorder="1" applyAlignment="1" applyProtection="1">
      <alignment horizontal="center" vertical="center" wrapText="1"/>
      <protection locked="0"/>
    </xf>
    <xf numFmtId="2" fontId="62" fillId="5" borderId="1" xfId="0" applyNumberFormat="1" applyFont="1" applyFill="1" applyBorder="1" applyAlignment="1" applyProtection="1">
      <alignment horizontal="center" vertical="center"/>
      <protection locked="0"/>
    </xf>
    <xf numFmtId="0" fontId="62" fillId="5" borderId="1" xfId="0" applyFont="1" applyFill="1" applyBorder="1" applyAlignment="1">
      <alignment horizontal="center" vertical="center"/>
    </xf>
    <xf numFmtId="0" fontId="31" fillId="5" borderId="1" xfId="4" applyFont="1" applyFill="1" applyBorder="1" applyAlignment="1" applyProtection="1">
      <alignment horizontal="center" vertical="center" wrapText="1"/>
      <protection locked="0"/>
    </xf>
    <xf numFmtId="2" fontId="62" fillId="5" borderId="1" xfId="0" applyNumberFormat="1" applyFont="1" applyFill="1" applyBorder="1" applyAlignment="1" applyProtection="1">
      <alignment horizontal="center" vertical="center" wrapText="1"/>
      <protection locked="0"/>
    </xf>
    <xf numFmtId="0" fontId="31" fillId="5" borderId="1" xfId="4" applyFont="1" applyFill="1" applyBorder="1" applyAlignment="1">
      <alignment horizontal="center" vertical="center" wrapText="1"/>
    </xf>
    <xf numFmtId="0" fontId="31" fillId="5" borderId="1" xfId="0" applyFont="1" applyFill="1" applyBorder="1" applyAlignment="1" applyProtection="1">
      <alignment horizontal="center" vertical="center"/>
      <protection locked="0"/>
    </xf>
    <xf numFmtId="2" fontId="62" fillId="5" borderId="1" xfId="4" applyNumberFormat="1" applyFont="1" applyFill="1" applyBorder="1" applyAlignment="1">
      <alignment horizontal="center" vertical="center" wrapText="1"/>
    </xf>
    <xf numFmtId="2" fontId="31" fillId="5"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protection locked="0"/>
    </xf>
    <xf numFmtId="0" fontId="30" fillId="23" borderId="1" xfId="0" applyFont="1" applyFill="1" applyBorder="1" applyAlignment="1" applyProtection="1">
      <alignment horizontal="center" vertical="center" wrapText="1"/>
      <protection locked="0"/>
    </xf>
    <xf numFmtId="0" fontId="29" fillId="5" borderId="12" xfId="0" applyFont="1" applyFill="1" applyBorder="1" applyAlignment="1" applyProtection="1">
      <alignment vertical="top" wrapText="1"/>
      <protection locked="0"/>
    </xf>
    <xf numFmtId="0" fontId="29" fillId="30" borderId="12" xfId="0" applyFont="1" applyFill="1" applyBorder="1" applyAlignment="1" applyProtection="1">
      <alignment vertical="top" wrapText="1"/>
      <protection locked="0"/>
    </xf>
    <xf numFmtId="0" fontId="40" fillId="23" borderId="12" xfId="0" applyFont="1" applyFill="1" applyBorder="1" applyAlignment="1" applyProtection="1">
      <alignment horizontal="left" vertical="top" wrapText="1"/>
      <protection locked="0"/>
    </xf>
    <xf numFmtId="0" fontId="31" fillId="4" borderId="1" xfId="0" applyFont="1" applyFill="1" applyBorder="1" applyAlignment="1" applyProtection="1">
      <alignment horizontal="center" vertical="center" wrapText="1"/>
      <protection locked="0"/>
    </xf>
    <xf numFmtId="0" fontId="30" fillId="4" borderId="1" xfId="0" applyFont="1" applyFill="1" applyBorder="1" applyAlignment="1" applyProtection="1">
      <alignment horizontal="center" vertical="center" wrapText="1"/>
      <protection locked="0"/>
    </xf>
    <xf numFmtId="0" fontId="40" fillId="24" borderId="12" xfId="0" applyFont="1" applyFill="1" applyBorder="1" applyAlignment="1" applyProtection="1">
      <alignment horizontal="left" vertical="top" wrapText="1"/>
      <protection locked="0"/>
    </xf>
    <xf numFmtId="0" fontId="62" fillId="24" borderId="1" xfId="0" applyFont="1" applyFill="1" applyBorder="1" applyAlignment="1" applyProtection="1">
      <alignment horizontal="center" vertical="center" wrapText="1"/>
      <protection locked="0"/>
    </xf>
    <xf numFmtId="2" fontId="31" fillId="30" borderId="1" xfId="0" applyNumberFormat="1" applyFont="1" applyFill="1" applyBorder="1" applyAlignment="1" applyProtection="1">
      <alignment horizontal="center" vertical="center" wrapText="1"/>
      <protection locked="0"/>
    </xf>
    <xf numFmtId="0" fontId="29" fillId="34" borderId="12" xfId="0" applyFont="1" applyFill="1" applyBorder="1" applyAlignment="1" applyProtection="1">
      <alignment horizontal="left" vertical="top"/>
      <protection locked="0"/>
    </xf>
    <xf numFmtId="0" fontId="40" fillId="23" borderId="12" xfId="0" applyFont="1" applyFill="1" applyBorder="1" applyAlignment="1" applyProtection="1">
      <alignment vertical="top" wrapText="1"/>
      <protection locked="0"/>
    </xf>
    <xf numFmtId="2" fontId="31" fillId="4" borderId="1" xfId="0" applyNumberFormat="1" applyFont="1" applyFill="1" applyBorder="1" applyAlignment="1" applyProtection="1">
      <alignment horizontal="center" vertical="center"/>
      <protection locked="0"/>
    </xf>
    <xf numFmtId="2" fontId="30" fillId="4" borderId="1" xfId="0" applyNumberFormat="1" applyFont="1" applyFill="1" applyBorder="1" applyAlignment="1" applyProtection="1">
      <alignment horizontal="center" vertical="center"/>
      <protection locked="0"/>
    </xf>
    <xf numFmtId="2" fontId="30" fillId="4" borderId="1" xfId="0" applyNumberFormat="1" applyFont="1" applyFill="1" applyBorder="1" applyAlignment="1" applyProtection="1">
      <alignment horizontal="center" vertical="center" wrapText="1"/>
      <protection locked="0"/>
    </xf>
    <xf numFmtId="0" fontId="40" fillId="35" borderId="12" xfId="0" applyFont="1" applyFill="1" applyBorder="1" applyAlignment="1" applyProtection="1">
      <alignment horizontal="left" vertical="top"/>
      <protection locked="0"/>
    </xf>
    <xf numFmtId="0" fontId="29" fillId="35" borderId="12" xfId="0" applyFont="1" applyFill="1" applyBorder="1" applyAlignment="1" applyProtection="1">
      <alignment vertical="top" wrapText="1"/>
      <protection locked="0"/>
    </xf>
    <xf numFmtId="0" fontId="31" fillId="35" borderId="1" xfId="0" applyFont="1" applyFill="1" applyBorder="1" applyAlignment="1" applyProtection="1">
      <alignment horizontal="center" vertical="center" wrapText="1"/>
      <protection locked="0"/>
    </xf>
    <xf numFmtId="0" fontId="62" fillId="35" borderId="1" xfId="0" applyFont="1" applyFill="1" applyBorder="1" applyAlignment="1" applyProtection="1">
      <alignment horizontal="center" vertical="center" wrapText="1"/>
      <protection locked="0"/>
    </xf>
    <xf numFmtId="2" fontId="31" fillId="35" borderId="1" xfId="0" applyNumberFormat="1" applyFont="1" applyFill="1" applyBorder="1" applyAlignment="1" applyProtection="1">
      <alignment horizontal="center" vertical="center" wrapText="1"/>
      <protection locked="0"/>
    </xf>
    <xf numFmtId="0" fontId="32" fillId="0" borderId="12" xfId="0" applyFont="1" applyBorder="1" applyAlignment="1" applyProtection="1">
      <alignment vertical="top" wrapText="1"/>
      <protection locked="0"/>
    </xf>
    <xf numFmtId="0" fontId="29" fillId="2" borderId="12" xfId="0" applyFont="1" applyFill="1" applyBorder="1" applyAlignment="1" applyProtection="1">
      <alignment horizontal="left" vertical="top"/>
      <protection locked="0"/>
    </xf>
    <xf numFmtId="0" fontId="95" fillId="2" borderId="1" xfId="0" applyFont="1" applyFill="1" applyBorder="1" applyAlignment="1" applyProtection="1">
      <alignment horizontal="center" vertical="center" wrapText="1"/>
      <protection locked="0"/>
    </xf>
    <xf numFmtId="0" fontId="95" fillId="4" borderId="1" xfId="0" applyFont="1" applyFill="1" applyBorder="1" applyAlignment="1" applyProtection="1">
      <alignment horizontal="center" vertical="center" wrapText="1"/>
      <protection locked="0"/>
    </xf>
    <xf numFmtId="2" fontId="31" fillId="0" borderId="1" xfId="0" applyNumberFormat="1" applyFont="1" applyBorder="1" applyAlignment="1">
      <alignment horizontal="center" vertical="center" wrapText="1"/>
    </xf>
    <xf numFmtId="0" fontId="40" fillId="0" borderId="12" xfId="0" applyFont="1" applyBorder="1" applyAlignment="1" applyProtection="1">
      <alignment horizontal="left" vertical="top" wrapText="1"/>
      <protection locked="0"/>
    </xf>
    <xf numFmtId="0" fontId="40" fillId="0" borderId="12" xfId="0" applyFont="1" applyBorder="1" applyAlignment="1" applyProtection="1">
      <alignment vertical="top" wrapText="1"/>
      <protection locked="0"/>
    </xf>
    <xf numFmtId="0" fontId="96" fillId="0" borderId="1" xfId="0" applyFont="1" applyBorder="1" applyAlignment="1" applyProtection="1">
      <alignment horizontal="center" vertical="center" wrapText="1"/>
      <protection locked="0"/>
    </xf>
    <xf numFmtId="2" fontId="96" fillId="0" borderId="1" xfId="0" applyNumberFormat="1" applyFont="1" applyBorder="1" applyAlignment="1" applyProtection="1">
      <alignment horizontal="center" vertical="center" wrapText="1"/>
      <protection locked="0"/>
    </xf>
    <xf numFmtId="2" fontId="62" fillId="0" borderId="1" xfId="0" applyNumberFormat="1" applyFont="1" applyBorder="1" applyAlignment="1" applyProtection="1">
      <alignment horizontal="center" vertical="center" wrapText="1"/>
      <protection locked="0"/>
    </xf>
    <xf numFmtId="0" fontId="0" fillId="0" borderId="12" xfId="0" applyFont="1" applyBorder="1" applyAlignment="1" applyProtection="1">
      <alignment vertical="top" wrapText="1"/>
      <protection locked="0"/>
    </xf>
    <xf numFmtId="2" fontId="62" fillId="24" borderId="1" xfId="0" applyNumberFormat="1" applyFont="1" applyFill="1" applyBorder="1" applyAlignment="1" applyProtection="1">
      <alignment horizontal="center" vertical="center" wrapText="1"/>
      <protection locked="0"/>
    </xf>
    <xf numFmtId="2" fontId="62" fillId="4" borderId="1" xfId="0" applyNumberFormat="1" applyFont="1" applyFill="1" applyBorder="1" applyAlignment="1" applyProtection="1">
      <alignment horizontal="center" vertical="center"/>
      <protection locked="0"/>
    </xf>
    <xf numFmtId="2" fontId="62" fillId="4" borderId="1" xfId="0" applyNumberFormat="1" applyFont="1" applyFill="1" applyBorder="1" applyAlignment="1" applyProtection="1">
      <alignment horizontal="center" vertical="center" wrapText="1"/>
      <protection locked="0"/>
    </xf>
    <xf numFmtId="0" fontId="40" fillId="24" borderId="12" xfId="0" applyFont="1" applyFill="1" applyBorder="1" applyAlignment="1" applyProtection="1">
      <alignment vertical="top" wrapText="1"/>
      <protection locked="0"/>
    </xf>
    <xf numFmtId="2" fontId="62" fillId="0" borderId="1" xfId="0" applyNumberFormat="1"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2" fontId="62" fillId="0" borderId="1" xfId="0" applyNumberFormat="1" applyFont="1" applyBorder="1" applyAlignment="1">
      <alignment horizontal="center" vertical="center" wrapText="1"/>
    </xf>
    <xf numFmtId="0" fontId="97" fillId="0" borderId="1" xfId="0" applyFont="1" applyBorder="1" applyAlignment="1">
      <alignment horizontal="center" vertical="center" wrapText="1"/>
    </xf>
    <xf numFmtId="2" fontId="98" fillId="0" borderId="1" xfId="0" applyNumberFormat="1" applyFont="1" applyBorder="1" applyAlignment="1" applyProtection="1">
      <alignment horizontal="center" vertical="center" wrapText="1"/>
      <protection locked="0"/>
    </xf>
    <xf numFmtId="0" fontId="94" fillId="24" borderId="12" xfId="0" applyFont="1" applyFill="1" applyBorder="1" applyAlignment="1" applyProtection="1">
      <alignment horizontal="left" vertical="top" wrapText="1"/>
      <protection locked="0"/>
    </xf>
    <xf numFmtId="0" fontId="31" fillId="24" borderId="1" xfId="0" applyFont="1" applyFill="1" applyBorder="1" applyAlignment="1" applyProtection="1">
      <alignment horizontal="center" vertical="center"/>
      <protection locked="0"/>
    </xf>
    <xf numFmtId="2" fontId="77" fillId="0" borderId="1" xfId="0" applyNumberFormat="1" applyFont="1" applyBorder="1" applyAlignment="1" applyProtection="1">
      <alignment horizontal="center" vertical="center" wrapText="1"/>
      <protection locked="0"/>
    </xf>
    <xf numFmtId="0" fontId="40" fillId="2" borderId="12" xfId="0" applyFont="1" applyFill="1" applyBorder="1" applyAlignment="1" applyProtection="1">
      <alignment vertical="top" wrapText="1"/>
      <protection locked="0"/>
    </xf>
    <xf numFmtId="0" fontId="40" fillId="28" borderId="12" xfId="0" applyFont="1" applyFill="1" applyBorder="1" applyAlignment="1" applyProtection="1">
      <alignment horizontal="left" vertical="top"/>
      <protection locked="0"/>
    </xf>
    <xf numFmtId="1" fontId="62" fillId="29" borderId="1" xfId="0" applyNumberFormat="1" applyFont="1" applyFill="1" applyBorder="1" applyAlignment="1" applyProtection="1">
      <alignment horizontal="center" vertical="center"/>
      <protection locked="0"/>
    </xf>
    <xf numFmtId="2" fontId="62" fillId="29" borderId="1" xfId="0" applyNumberFormat="1" applyFont="1" applyFill="1" applyBorder="1" applyAlignment="1" applyProtection="1">
      <alignment horizontal="center" vertical="center"/>
      <protection locked="0"/>
    </xf>
    <xf numFmtId="0" fontId="29" fillId="23" borderId="18" xfId="0" applyFont="1" applyFill="1" applyBorder="1" applyAlignment="1" applyProtection="1">
      <alignment vertical="top" wrapText="1"/>
      <protection locked="0"/>
    </xf>
    <xf numFmtId="0" fontId="40" fillId="36" borderId="12" xfId="0" applyFont="1" applyFill="1" applyBorder="1" applyAlignment="1" applyProtection="1">
      <alignment horizontal="left" vertical="top"/>
      <protection locked="0"/>
    </xf>
    <xf numFmtId="0" fontId="29" fillId="37" borderId="12" xfId="0" applyFont="1" applyFill="1" applyBorder="1" applyAlignment="1" applyProtection="1">
      <alignment vertical="top" wrapText="1"/>
      <protection locked="0"/>
    </xf>
    <xf numFmtId="0" fontId="31" fillId="36" borderId="1" xfId="0" applyFont="1" applyFill="1" applyBorder="1" applyAlignment="1" applyProtection="1">
      <alignment horizontal="center" vertical="center" wrapText="1"/>
      <protection locked="0"/>
    </xf>
    <xf numFmtId="0" fontId="31" fillId="36" borderId="1" xfId="0" applyFont="1" applyFill="1" applyBorder="1" applyAlignment="1" applyProtection="1">
      <alignment horizontal="center" vertical="center"/>
      <protection locked="0"/>
    </xf>
    <xf numFmtId="0" fontId="40" fillId="38" borderId="12" xfId="0" applyFont="1" applyFill="1" applyBorder="1" applyAlignment="1" applyProtection="1">
      <alignment horizontal="left" vertical="top"/>
      <protection locked="0"/>
    </xf>
    <xf numFmtId="0" fontId="29" fillId="39" borderId="12" xfId="0" applyFont="1" applyFill="1" applyBorder="1" applyAlignment="1" applyProtection="1">
      <alignment vertical="top" wrapText="1"/>
      <protection locked="0"/>
    </xf>
    <xf numFmtId="0" fontId="31" fillId="38" borderId="1" xfId="0" applyFont="1" applyFill="1" applyBorder="1" applyAlignment="1" applyProtection="1">
      <alignment horizontal="center" vertical="center" wrapText="1"/>
      <protection locked="0"/>
    </xf>
    <xf numFmtId="0" fontId="31" fillId="29" borderId="1" xfId="0" applyFont="1" applyFill="1" applyBorder="1" applyAlignment="1" applyProtection="1">
      <alignment horizontal="center" vertical="center"/>
      <protection locked="0"/>
    </xf>
    <xf numFmtId="0" fontId="30" fillId="40" borderId="1" xfId="0" applyFont="1" applyFill="1" applyBorder="1" applyAlignment="1" applyProtection="1">
      <alignment horizontal="center" vertical="center" wrapText="1"/>
      <protection locked="0"/>
    </xf>
    <xf numFmtId="2" fontId="62" fillId="23" borderId="1" xfId="0" applyNumberFormat="1" applyFont="1" applyFill="1" applyBorder="1" applyAlignment="1" applyProtection="1">
      <alignment horizontal="center" vertical="center" wrapText="1"/>
      <protection locked="0"/>
    </xf>
    <xf numFmtId="0" fontId="32" fillId="24" borderId="12" xfId="0" applyFont="1" applyFill="1" applyBorder="1" applyAlignment="1" applyProtection="1">
      <alignment vertical="top" wrapText="1"/>
      <protection locked="0"/>
    </xf>
    <xf numFmtId="0" fontId="0" fillId="41" borderId="0" xfId="0" applyFont="1" applyFill="1" applyAlignment="1" applyProtection="1">
      <protection locked="0"/>
    </xf>
    <xf numFmtId="0" fontId="62" fillId="25" borderId="1" xfId="0" applyFont="1" applyFill="1" applyBorder="1" applyAlignment="1">
      <alignment horizontal="center" vertical="center" wrapText="1"/>
    </xf>
    <xf numFmtId="0" fontId="30" fillId="23" borderId="1" xfId="0" applyFont="1" applyFill="1" applyBorder="1" applyAlignment="1" applyProtection="1">
      <alignment horizontal="center" vertical="center"/>
      <protection locked="0"/>
    </xf>
    <xf numFmtId="0" fontId="30" fillId="5" borderId="1" xfId="0" applyFont="1" applyFill="1" applyBorder="1" applyAlignment="1" applyProtection="1">
      <alignment horizontal="center" vertical="center"/>
      <protection locked="0"/>
    </xf>
    <xf numFmtId="2" fontId="31" fillId="5" borderId="1" xfId="0" applyNumberFormat="1" applyFont="1" applyFill="1" applyBorder="1" applyAlignment="1" applyProtection="1">
      <alignment horizontal="center" vertical="center"/>
      <protection locked="0"/>
    </xf>
    <xf numFmtId="0" fontId="62" fillId="5"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5" borderId="1" xfId="0" applyFont="1" applyFill="1" applyBorder="1" applyAlignment="1" applyProtection="1">
      <alignment horizontal="center" vertical="center" shrinkToFit="1"/>
      <protection locked="0"/>
    </xf>
    <xf numFmtId="0" fontId="62" fillId="5" borderId="1" xfId="0" applyNumberFormat="1" applyFont="1" applyFill="1" applyBorder="1" applyAlignment="1" applyProtection="1">
      <alignment horizontal="center" vertical="center" wrapText="1" shrinkToFit="1"/>
      <protection locked="0"/>
    </xf>
    <xf numFmtId="0" fontId="31" fillId="5" borderId="1" xfId="0" applyNumberFormat="1" applyFont="1" applyFill="1" applyBorder="1" applyAlignment="1" applyProtection="1">
      <alignment horizontal="center" vertical="center" wrapText="1"/>
      <protection locked="0"/>
    </xf>
    <xf numFmtId="1" fontId="62" fillId="5" borderId="1" xfId="0" applyNumberFormat="1" applyFont="1" applyFill="1" applyBorder="1" applyAlignment="1" applyProtection="1">
      <alignment horizontal="center" vertical="center" wrapText="1"/>
      <protection locked="0"/>
    </xf>
    <xf numFmtId="0" fontId="0" fillId="2" borderId="18" xfId="0" applyFont="1" applyFill="1" applyBorder="1" applyAlignment="1" applyProtection="1">
      <alignment wrapText="1"/>
    </xf>
    <xf numFmtId="10" fontId="31" fillId="29" borderId="1" xfId="0" applyNumberFormat="1" applyFont="1" applyFill="1" applyBorder="1" applyAlignment="1" applyProtection="1">
      <alignment horizontal="center" vertical="center" wrapText="1"/>
      <protection locked="0"/>
    </xf>
    <xf numFmtId="0" fontId="31" fillId="23" borderId="1" xfId="0" applyFont="1" applyFill="1" applyBorder="1" applyAlignment="1" applyProtection="1">
      <alignment horizontal="center" vertical="center"/>
      <protection locked="0"/>
    </xf>
    <xf numFmtId="2" fontId="31" fillId="30" borderId="1" xfId="0" applyNumberFormat="1" applyFont="1" applyFill="1" applyBorder="1" applyAlignment="1">
      <alignment horizontal="center" vertical="center" wrapText="1"/>
    </xf>
    <xf numFmtId="0" fontId="31" fillId="30" borderId="1" xfId="0" applyFont="1" applyFill="1" applyBorder="1" applyAlignment="1">
      <alignment horizontal="center" vertical="center" wrapText="1"/>
    </xf>
    <xf numFmtId="0" fontId="31" fillId="42" borderId="1" xfId="0" applyFont="1" applyFill="1" applyBorder="1" applyAlignment="1" applyProtection="1">
      <alignment horizontal="center" vertical="center" wrapText="1"/>
      <protection locked="0"/>
    </xf>
    <xf numFmtId="0" fontId="41" fillId="0" borderId="12" xfId="0" applyFont="1" applyBorder="1" applyAlignment="1" applyProtection="1">
      <alignment horizontal="left"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 fontId="62" fillId="0" borderId="1" xfId="0" applyNumberFormat="1" applyFont="1" applyBorder="1" applyAlignment="1" applyProtection="1">
      <alignment horizontal="center" vertical="center" wrapText="1"/>
      <protection locked="0"/>
    </xf>
    <xf numFmtId="0" fontId="40" fillId="43" borderId="1" xfId="0" applyFont="1" applyFill="1" applyBorder="1" applyAlignment="1" applyProtection="1">
      <alignment horizontal="left" vertical="top"/>
      <protection locked="0"/>
    </xf>
    <xf numFmtId="0" fontId="44" fillId="43" borderId="3" xfId="0" applyFont="1" applyFill="1" applyBorder="1" applyAlignment="1" applyProtection="1">
      <alignment vertical="top" wrapText="1"/>
      <protection locked="0"/>
    </xf>
    <xf numFmtId="0" fontId="30" fillId="43" borderId="1" xfId="0" applyFont="1" applyFill="1" applyBorder="1" applyAlignment="1" applyProtection="1">
      <alignment horizontal="center" vertical="center"/>
      <protection locked="0"/>
    </xf>
    <xf numFmtId="0" fontId="31" fillId="44" borderId="1" xfId="0" applyFont="1" applyFill="1" applyBorder="1" applyAlignment="1" applyProtection="1">
      <alignment horizontal="center" vertical="center"/>
      <protection locked="0"/>
    </xf>
    <xf numFmtId="0" fontId="0" fillId="44" borderId="0" xfId="0" applyFont="1" applyFill="1" applyAlignment="1" applyProtection="1">
      <protection locked="0"/>
    </xf>
    <xf numFmtId="0" fontId="40" fillId="43" borderId="22" xfId="0" applyFont="1" applyFill="1" applyBorder="1" applyAlignment="1" applyProtection="1">
      <alignment horizontal="left" vertical="top"/>
      <protection locked="0"/>
    </xf>
    <xf numFmtId="0" fontId="40" fillId="45" borderId="23" xfId="0" applyFont="1" applyFill="1" applyBorder="1" applyAlignment="1" applyProtection="1">
      <alignment horizontal="left" vertical="top"/>
      <protection locked="0"/>
    </xf>
    <xf numFmtId="0" fontId="29" fillId="24" borderId="1" xfId="0" applyFont="1" applyFill="1" applyBorder="1" applyAlignment="1" applyProtection="1">
      <alignment vertical="top" wrapText="1"/>
      <protection locked="0"/>
    </xf>
    <xf numFmtId="0" fontId="30" fillId="0" borderId="1" xfId="0" applyFont="1" applyFill="1" applyBorder="1" applyAlignment="1" applyProtection="1">
      <alignment horizontal="center" vertical="center"/>
      <protection locked="0"/>
    </xf>
    <xf numFmtId="0" fontId="29" fillId="23" borderId="14" xfId="0" applyFont="1" applyFill="1" applyBorder="1" applyAlignment="1" applyProtection="1">
      <alignment vertical="top" wrapText="1"/>
      <protection locked="0"/>
    </xf>
    <xf numFmtId="0" fontId="40" fillId="28" borderId="15" xfId="0" applyFont="1" applyFill="1" applyBorder="1" applyAlignment="1" applyProtection="1">
      <alignment horizontal="left" vertical="center"/>
      <protection locked="0"/>
    </xf>
    <xf numFmtId="0" fontId="40" fillId="28" borderId="24" xfId="0" applyFont="1" applyFill="1" applyBorder="1" applyAlignment="1" applyProtection="1">
      <alignment vertical="center" wrapText="1"/>
      <protection locked="0"/>
    </xf>
    <xf numFmtId="49" fontId="40" fillId="28" borderId="23" xfId="0" applyNumberFormat="1" applyFont="1" applyFill="1" applyBorder="1" applyAlignment="1" applyProtection="1">
      <alignment horizontal="left" vertical="center" wrapText="1"/>
      <protection locked="0"/>
    </xf>
    <xf numFmtId="49" fontId="40" fillId="28" borderId="1" xfId="0" applyNumberFormat="1" applyFont="1" applyFill="1" applyBorder="1" applyAlignment="1" applyProtection="1">
      <alignment vertical="top" wrapText="1"/>
      <protection locked="0"/>
    </xf>
    <xf numFmtId="49" fontId="62" fillId="0" borderId="0" xfId="0" applyNumberFormat="1" applyFont="1" applyFill="1" applyBorder="1" applyAlignment="1" applyProtection="1">
      <alignment horizontal="center" vertical="center" wrapText="1"/>
      <protection locked="0"/>
    </xf>
    <xf numFmtId="49" fontId="0" fillId="0" borderId="0" xfId="0" applyNumberFormat="1" applyFont="1" applyFill="1" applyBorder="1" applyAlignment="1" applyProtection="1">
      <alignment wrapText="1"/>
      <protection locked="0"/>
    </xf>
    <xf numFmtId="49" fontId="0" fillId="28" borderId="4" xfId="0" applyNumberFormat="1" applyFont="1" applyFill="1" applyBorder="1" applyAlignment="1" applyProtection="1">
      <alignment wrapText="1"/>
      <protection locked="0"/>
    </xf>
    <xf numFmtId="49" fontId="0" fillId="28" borderId="1" xfId="0" applyNumberFormat="1" applyFont="1" applyFill="1" applyBorder="1" applyAlignment="1" applyProtection="1">
      <alignment wrapText="1"/>
      <protection locked="0"/>
    </xf>
    <xf numFmtId="0" fontId="40" fillId="28" borderId="23" xfId="0" applyFont="1" applyFill="1" applyBorder="1" applyAlignment="1" applyProtection="1">
      <alignment horizontal="left" vertical="center"/>
      <protection locked="0"/>
    </xf>
    <xf numFmtId="0" fontId="40" fillId="28" borderId="1" xfId="0" applyFont="1" applyFill="1" applyBorder="1" applyAlignment="1" applyProtection="1">
      <alignment vertical="center" wrapText="1"/>
      <protection locked="0"/>
    </xf>
    <xf numFmtId="0" fontId="0" fillId="28" borderId="4" xfId="0" applyFont="1" applyFill="1" applyBorder="1" applyAlignment="1" applyProtection="1">
      <protection locked="0"/>
    </xf>
    <xf numFmtId="0" fontId="0" fillId="28" borderId="1" xfId="0" applyFont="1" applyFill="1" applyBorder="1" applyAlignment="1" applyProtection="1">
      <protection locked="0"/>
    </xf>
    <xf numFmtId="0" fontId="99" fillId="23" borderId="12" xfId="0" applyFont="1" applyFill="1" applyBorder="1" applyAlignment="1" applyProtection="1">
      <alignment vertical="top" wrapText="1"/>
      <protection locked="0"/>
    </xf>
    <xf numFmtId="0" fontId="40" fillId="24" borderId="23" xfId="0" applyFont="1" applyFill="1" applyBorder="1" applyAlignment="1" applyProtection="1">
      <alignment horizontal="left" vertical="center"/>
      <protection locked="0"/>
    </xf>
    <xf numFmtId="49" fontId="40" fillId="0" borderId="1" xfId="0" applyNumberFormat="1" applyFont="1" applyFill="1" applyBorder="1" applyAlignment="1" applyProtection="1">
      <alignment vertical="center" wrapText="1"/>
      <protection locked="0"/>
    </xf>
    <xf numFmtId="0" fontId="0" fillId="0" borderId="4" xfId="0" applyFont="1" applyFill="1" applyBorder="1" applyAlignment="1" applyProtection="1">
      <protection locked="0"/>
    </xf>
    <xf numFmtId="0" fontId="0" fillId="0" borderId="1" xfId="0" applyFont="1" applyFill="1" applyBorder="1" applyAlignment="1" applyProtection="1">
      <protection locked="0"/>
    </xf>
    <xf numFmtId="0" fontId="31" fillId="28" borderId="1" xfId="0" applyFont="1" applyFill="1" applyBorder="1" applyAlignment="1" applyProtection="1">
      <alignment horizontal="center" vertical="center" wrapText="1"/>
      <protection locked="0"/>
    </xf>
    <xf numFmtId="0" fontId="31" fillId="43" borderId="1" xfId="0" applyFont="1" applyFill="1" applyBorder="1" applyAlignment="1" applyProtection="1">
      <alignment horizontal="center" vertical="center"/>
      <protection locked="0"/>
    </xf>
    <xf numFmtId="49" fontId="40" fillId="28" borderId="1" xfId="0" applyNumberFormat="1" applyFont="1" applyFill="1" applyBorder="1" applyAlignment="1" applyProtection="1">
      <alignment horizontal="left" vertical="center" wrapText="1"/>
      <protection locked="0"/>
    </xf>
    <xf numFmtId="49" fontId="40" fillId="28" borderId="1" xfId="0" applyNumberFormat="1" applyFont="1" applyFill="1" applyBorder="1" applyAlignment="1" applyProtection="1">
      <alignment wrapText="1"/>
      <protection locked="0"/>
    </xf>
    <xf numFmtId="49" fontId="40" fillId="28" borderId="1" xfId="0" applyNumberFormat="1" applyFont="1" applyFill="1" applyBorder="1" applyAlignment="1" applyProtection="1">
      <alignment vertical="center" wrapText="1"/>
      <protection locked="0"/>
    </xf>
    <xf numFmtId="49" fontId="0" fillId="28" borderId="5" xfId="0" applyNumberFormat="1" applyFont="1" applyFill="1" applyBorder="1" applyAlignment="1" applyProtection="1">
      <alignment wrapText="1"/>
      <protection locked="0"/>
    </xf>
    <xf numFmtId="49" fontId="0" fillId="28" borderId="6" xfId="0" applyNumberFormat="1" applyFont="1" applyFill="1" applyBorder="1" applyAlignment="1" applyProtection="1">
      <alignment wrapText="1"/>
      <protection locked="0"/>
    </xf>
    <xf numFmtId="49" fontId="40" fillId="46" borderId="23" xfId="0" applyNumberFormat="1" applyFont="1" applyFill="1" applyBorder="1" applyAlignment="1" applyProtection="1">
      <alignment horizontal="left" vertical="center" wrapText="1"/>
      <protection locked="0"/>
    </xf>
    <xf numFmtId="0" fontId="0" fillId="28" borderId="5" xfId="0" applyFont="1" applyFill="1" applyBorder="1" applyAlignment="1" applyProtection="1">
      <protection locked="0"/>
    </xf>
    <xf numFmtId="0" fontId="0" fillId="28" borderId="6" xfId="0" applyFont="1" applyFill="1" applyBorder="1" applyAlignment="1" applyProtection="1">
      <protection locked="0"/>
    </xf>
    <xf numFmtId="0" fontId="0" fillId="28" borderId="0" xfId="0" applyFont="1" applyFill="1" applyBorder="1" applyAlignment="1" applyProtection="1">
      <protection locked="0"/>
    </xf>
    <xf numFmtId="0" fontId="30" fillId="28" borderId="1" xfId="0" applyFont="1" applyFill="1" applyBorder="1" applyAlignment="1" applyProtection="1">
      <alignment horizontal="center" vertical="center"/>
      <protection locked="0"/>
    </xf>
    <xf numFmtId="0" fontId="29" fillId="28" borderId="1" xfId="0" applyFont="1" applyFill="1" applyBorder="1" applyAlignment="1" applyProtection="1">
      <alignment horizontal="left" vertical="center" wrapText="1"/>
      <protection locked="0"/>
    </xf>
    <xf numFmtId="0" fontId="100" fillId="28" borderId="1"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29" fillId="0" borderId="1" xfId="0" applyFont="1" applyBorder="1" applyAlignment="1" applyProtection="1">
      <alignment vertical="top" wrapText="1"/>
      <protection locked="0"/>
    </xf>
    <xf numFmtId="0" fontId="29" fillId="0" borderId="1" xfId="0" applyFont="1" applyFill="1" applyBorder="1" applyAlignment="1" applyProtection="1">
      <alignment vertical="top" wrapText="1"/>
      <protection locked="0"/>
    </xf>
    <xf numFmtId="0" fontId="29" fillId="0" borderId="1" xfId="0" applyFont="1" applyBorder="1" applyAlignment="1" applyProtection="1">
      <alignment vertical="center" wrapText="1"/>
      <protection locked="0"/>
    </xf>
    <xf numFmtId="0" fontId="40" fillId="24" borderId="25" xfId="0" applyFont="1" applyFill="1" applyBorder="1" applyAlignment="1" applyProtection="1">
      <alignment horizontal="left" vertical="center"/>
      <protection locked="0"/>
    </xf>
    <xf numFmtId="0" fontId="29" fillId="0" borderId="26" xfId="0" applyFont="1" applyBorder="1" applyAlignment="1" applyProtection="1">
      <alignment vertical="center" wrapText="1"/>
      <protection locked="0"/>
    </xf>
    <xf numFmtId="0" fontId="29" fillId="0" borderId="26" xfId="0" applyFont="1" applyFill="1" applyBorder="1" applyAlignment="1" applyProtection="1">
      <alignment vertical="top" wrapText="1"/>
      <protection locked="0"/>
    </xf>
    <xf numFmtId="49" fontId="0" fillId="0" borderId="4" xfId="0" applyNumberFormat="1" applyFont="1" applyFill="1" applyBorder="1" applyAlignment="1" applyProtection="1">
      <alignment wrapText="1"/>
      <protection locked="0"/>
    </xf>
    <xf numFmtId="49" fontId="0" fillId="0" borderId="1" xfId="0" applyNumberFormat="1" applyFont="1" applyFill="1" applyBorder="1" applyAlignment="1" applyProtection="1">
      <alignment wrapText="1"/>
      <protection locked="0"/>
    </xf>
    <xf numFmtId="0" fontId="40" fillId="22" borderId="27" xfId="0" applyFont="1" applyFill="1" applyBorder="1" applyAlignment="1" applyProtection="1">
      <alignment horizontal="left" vertical="top"/>
      <protection locked="0"/>
    </xf>
    <xf numFmtId="0" fontId="29" fillId="2" borderId="27" xfId="0" applyFont="1" applyFill="1" applyBorder="1" applyAlignment="1" applyProtection="1">
      <alignment vertical="top" wrapText="1"/>
      <protection locked="0"/>
    </xf>
    <xf numFmtId="2" fontId="31" fillId="0" borderId="1" xfId="0" applyNumberFormat="1" applyFont="1" applyBorder="1" applyAlignment="1" applyProtection="1">
      <alignment horizontal="center" vertical="center"/>
      <protection locked="0"/>
    </xf>
    <xf numFmtId="0" fontId="44" fillId="43" borderId="18" xfId="0" applyFont="1" applyFill="1" applyBorder="1" applyAlignment="1" applyProtection="1">
      <alignment horizontal="left" vertical="top"/>
      <protection locked="0"/>
    </xf>
    <xf numFmtId="0" fontId="44" fillId="43" borderId="1" xfId="0" applyFont="1" applyFill="1" applyBorder="1" applyAlignment="1" applyProtection="1">
      <alignment vertical="top" wrapText="1"/>
      <protection locked="0"/>
    </xf>
    <xf numFmtId="0" fontId="40" fillId="2" borderId="13" xfId="0" applyFont="1" applyFill="1" applyBorder="1" applyAlignment="1" applyProtection="1">
      <alignment vertical="center"/>
    </xf>
    <xf numFmtId="0" fontId="0" fillId="47" borderId="0" xfId="0" applyFont="1" applyFill="1" applyAlignment="1" applyProtection="1">
      <protection locked="0"/>
    </xf>
    <xf numFmtId="0" fontId="62" fillId="29" borderId="1" xfId="0" applyFont="1" applyFill="1" applyBorder="1" applyAlignment="1" applyProtection="1">
      <alignment horizontal="center" vertical="center" wrapText="1"/>
      <protection locked="0"/>
    </xf>
    <xf numFmtId="0" fontId="32" fillId="28" borderId="12" xfId="0" applyFont="1" applyFill="1" applyBorder="1" applyAlignment="1" applyProtection="1">
      <alignment vertical="top" wrapText="1"/>
      <protection locked="0"/>
    </xf>
    <xf numFmtId="0" fontId="62" fillId="0" borderId="1" xfId="0" applyFont="1" applyBorder="1" applyAlignment="1">
      <alignment horizontal="center" vertical="center"/>
    </xf>
    <xf numFmtId="1" fontId="62" fillId="5" borderId="1" xfId="0" applyNumberFormat="1" applyFont="1" applyFill="1" applyBorder="1" applyAlignment="1">
      <alignment horizontal="center" vertical="center" wrapText="1"/>
    </xf>
    <xf numFmtId="165" fontId="62" fillId="5" borderId="1" xfId="0" applyNumberFormat="1" applyFont="1" applyFill="1" applyBorder="1" applyAlignment="1">
      <alignment horizontal="center" vertical="center" wrapText="1"/>
    </xf>
    <xf numFmtId="0" fontId="29" fillId="28" borderId="12" xfId="0" applyFont="1" applyFill="1" applyBorder="1" applyAlignment="1" applyProtection="1">
      <alignment horizontal="left" vertical="top"/>
      <protection locked="0"/>
    </xf>
    <xf numFmtId="49" fontId="32" fillId="28" borderId="12" xfId="0" applyNumberFormat="1" applyFont="1" applyFill="1" applyBorder="1" applyAlignment="1" applyProtection="1">
      <alignment vertical="top" wrapText="1"/>
      <protection locked="0"/>
    </xf>
    <xf numFmtId="165" fontId="31" fillId="0" borderId="1" xfId="0" applyNumberFormat="1" applyFont="1" applyFill="1" applyBorder="1" applyAlignment="1">
      <alignment horizontal="center" vertical="center"/>
    </xf>
    <xf numFmtId="2" fontId="101" fillId="0" borderId="1" xfId="0" applyNumberFormat="1" applyFont="1" applyFill="1" applyBorder="1" applyAlignment="1" applyProtection="1">
      <alignment horizontal="center" vertical="center"/>
    </xf>
    <xf numFmtId="2" fontId="62" fillId="0" borderId="1" xfId="0" applyNumberFormat="1" applyFont="1" applyBorder="1" applyAlignment="1">
      <alignment horizontal="center" vertical="center"/>
    </xf>
    <xf numFmtId="165" fontId="31" fillId="0" borderId="1" xfId="1" applyNumberFormat="1" applyFont="1" applyFill="1" applyBorder="1" applyAlignment="1">
      <alignment horizontal="center" vertical="center"/>
    </xf>
    <xf numFmtId="0" fontId="102" fillId="48" borderId="1" xfId="0" applyFont="1" applyFill="1" applyBorder="1" applyAlignment="1">
      <alignment horizontal="center" vertical="center" wrapText="1"/>
    </xf>
    <xf numFmtId="2" fontId="31" fillId="0" borderId="12" xfId="0" applyNumberFormat="1" applyFont="1" applyBorder="1" applyAlignment="1">
      <alignment horizontal="center" vertical="center" wrapText="1"/>
    </xf>
    <xf numFmtId="0" fontId="31" fillId="4" borderId="1" xfId="0" applyFont="1" applyFill="1" applyBorder="1" applyAlignment="1" applyProtection="1">
      <alignment horizontal="center" vertical="center"/>
      <protection locked="0"/>
    </xf>
    <xf numFmtId="0" fontId="31" fillId="49" borderId="1" xfId="0" applyFont="1" applyFill="1" applyBorder="1" applyAlignment="1" applyProtection="1">
      <alignment horizontal="center" vertical="center" wrapText="1"/>
      <protection locked="0"/>
    </xf>
    <xf numFmtId="0" fontId="62" fillId="24" borderId="1" xfId="0" applyFont="1" applyFill="1" applyBorder="1" applyAlignment="1" applyProtection="1">
      <alignment horizontal="center" vertical="center"/>
      <protection locked="0"/>
    </xf>
    <xf numFmtId="9" fontId="31" fillId="5" borderId="1" xfId="0" applyNumberFormat="1" applyFont="1" applyFill="1" applyBorder="1" applyAlignment="1" applyProtection="1">
      <alignment horizontal="center" vertical="center" wrapText="1"/>
      <protection locked="0"/>
    </xf>
    <xf numFmtId="9" fontId="31" fillId="30" borderId="1" xfId="0" applyNumberFormat="1" applyFont="1" applyFill="1" applyBorder="1" applyAlignment="1" applyProtection="1">
      <alignment horizontal="center" vertical="center" wrapText="1"/>
      <protection locked="0"/>
    </xf>
    <xf numFmtId="10" fontId="31" fillId="30" borderId="1" xfId="0" applyNumberFormat="1" applyFont="1" applyFill="1" applyBorder="1" applyAlignment="1" applyProtection="1">
      <alignment horizontal="center" vertical="center" wrapText="1"/>
      <protection locked="0"/>
    </xf>
    <xf numFmtId="0" fontId="40" fillId="28" borderId="12" xfId="0" applyFont="1" applyFill="1" applyBorder="1" applyAlignment="1" applyProtection="1">
      <alignment vertical="top" wrapText="1"/>
      <protection locked="0"/>
    </xf>
    <xf numFmtId="0" fontId="62" fillId="28" borderId="0" xfId="0" applyFont="1" applyFill="1" applyBorder="1" applyAlignment="1" applyProtection="1">
      <alignment horizontal="center" vertical="center"/>
      <protection locked="0"/>
    </xf>
    <xf numFmtId="0" fontId="62" fillId="2" borderId="18" xfId="0" applyFont="1" applyFill="1" applyBorder="1" applyAlignment="1" applyProtection="1"/>
    <xf numFmtId="0" fontId="101" fillId="24" borderId="1" xfId="0" applyFont="1" applyFill="1" applyBorder="1" applyAlignment="1">
      <alignment horizontal="center" vertical="center" wrapText="1"/>
    </xf>
    <xf numFmtId="0" fontId="61" fillId="5" borderId="1" xfId="0" applyFont="1" applyFill="1" applyBorder="1" applyAlignment="1" applyProtection="1">
      <alignment horizontal="center" vertical="center"/>
      <protection locked="0"/>
    </xf>
    <xf numFmtId="0" fontId="30" fillId="30" borderId="1"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103" fillId="35" borderId="1" xfId="0" applyFont="1" applyFill="1" applyBorder="1" applyAlignment="1" applyProtection="1">
      <alignment horizontal="center" vertical="center" wrapText="1"/>
      <protection locked="0"/>
    </xf>
    <xf numFmtId="0" fontId="62" fillId="0" borderId="0" xfId="0" applyFont="1" applyAlignment="1" applyProtection="1">
      <alignment horizontal="center" vertical="center"/>
      <protection locked="0"/>
    </xf>
    <xf numFmtId="0" fontId="62" fillId="2" borderId="1" xfId="0" applyFont="1" applyFill="1" applyBorder="1" applyAlignment="1" applyProtection="1">
      <alignment horizontal="center" vertical="center"/>
    </xf>
    <xf numFmtId="0" fontId="62" fillId="40" borderId="1" xfId="0" applyFont="1" applyFill="1" applyBorder="1" applyAlignment="1" applyProtection="1">
      <alignment horizontal="center" vertical="center"/>
    </xf>
    <xf numFmtId="0" fontId="40" fillId="28" borderId="1" xfId="0" applyFont="1" applyFill="1" applyBorder="1" applyAlignment="1" applyProtection="1">
      <alignment horizontal="left" vertical="top"/>
      <protection locked="0"/>
    </xf>
    <xf numFmtId="0" fontId="40" fillId="28" borderId="1" xfId="0" applyFont="1" applyFill="1" applyBorder="1" applyAlignment="1" applyProtection="1">
      <alignment vertical="top" wrapText="1"/>
      <protection locked="0"/>
    </xf>
    <xf numFmtId="2" fontId="101" fillId="28" borderId="1" xfId="0" applyNumberFormat="1" applyFont="1" applyFill="1" applyBorder="1" applyAlignment="1" applyProtection="1">
      <alignment horizontal="center" vertical="center"/>
    </xf>
    <xf numFmtId="2" fontId="62" fillId="28" borderId="1" xfId="0" applyNumberFormat="1" applyFont="1" applyFill="1" applyBorder="1" applyAlignment="1">
      <alignment horizontal="center" vertical="center"/>
    </xf>
    <xf numFmtId="0" fontId="62" fillId="24" borderId="4" xfId="0" applyFont="1" applyFill="1" applyBorder="1" applyAlignment="1" applyProtection="1">
      <alignment horizontal="center" vertical="center"/>
      <protection locked="0"/>
    </xf>
    <xf numFmtId="0" fontId="0" fillId="24" borderId="1" xfId="0" applyFont="1" applyFill="1" applyBorder="1" applyAlignment="1" applyProtection="1">
      <protection locked="0"/>
    </xf>
    <xf numFmtId="0" fontId="40" fillId="0" borderId="27" xfId="0" applyFont="1" applyBorder="1" applyAlignment="1" applyProtection="1">
      <alignment horizontal="left" vertical="top"/>
      <protection locked="0"/>
    </xf>
    <xf numFmtId="0" fontId="40" fillId="0" borderId="27" xfId="0" applyFont="1" applyBorder="1" applyAlignment="1" applyProtection="1">
      <alignment vertical="top" wrapText="1"/>
      <protection locked="0"/>
    </xf>
    <xf numFmtId="0" fontId="62" fillId="28" borderId="4" xfId="0" applyFont="1" applyFill="1" applyBorder="1" applyAlignment="1" applyProtection="1">
      <alignment horizontal="center" vertical="center"/>
      <protection locked="0"/>
    </xf>
    <xf numFmtId="0" fontId="62" fillId="0" borderId="4" xfId="0" applyFont="1" applyFill="1" applyBorder="1" applyAlignment="1" applyProtection="1">
      <alignment horizontal="center" vertical="center"/>
      <protection locked="0"/>
    </xf>
    <xf numFmtId="0" fontId="62" fillId="4" borderId="1" xfId="0" applyFont="1" applyFill="1" applyBorder="1" applyAlignment="1" applyProtection="1">
      <alignment horizontal="center" vertical="center"/>
      <protection locked="0"/>
    </xf>
    <xf numFmtId="16" fontId="40" fillId="0" borderId="12" xfId="0" applyNumberFormat="1" applyFont="1" applyFill="1" applyBorder="1" applyAlignment="1" applyProtection="1">
      <alignment horizontal="left" vertical="top"/>
      <protection locked="0"/>
    </xf>
    <xf numFmtId="0" fontId="62" fillId="0" borderId="4" xfId="0" applyFont="1" applyFill="1" applyBorder="1" applyAlignment="1" applyProtection="1">
      <alignment horizontal="center" vertical="center" wrapText="1"/>
      <protection locked="0"/>
    </xf>
    <xf numFmtId="0" fontId="0" fillId="0" borderId="0" xfId="0" applyFont="1" applyFill="1" applyAlignment="1" applyProtection="1">
      <protection locked="0"/>
    </xf>
    <xf numFmtId="0" fontId="98" fillId="0" borderId="1" xfId="0" applyFont="1" applyBorder="1" applyAlignment="1" applyProtection="1">
      <alignment horizontal="center" vertical="center" wrapText="1"/>
      <protection locked="0"/>
    </xf>
    <xf numFmtId="9" fontId="31" fillId="0" borderId="1" xfId="0" applyNumberFormat="1" applyFont="1" applyBorder="1" applyAlignment="1" applyProtection="1">
      <alignment horizontal="center" vertical="center" wrapText="1"/>
      <protection locked="0"/>
    </xf>
    <xf numFmtId="0" fontId="61" fillId="23" borderId="1" xfId="0" applyFont="1" applyFill="1" applyBorder="1" applyAlignment="1" applyProtection="1">
      <alignment horizontal="center" vertical="center"/>
    </xf>
    <xf numFmtId="0" fontId="31" fillId="0" borderId="1" xfId="0" applyFont="1" applyFill="1" applyBorder="1" applyAlignment="1">
      <alignment horizontal="center" vertical="center" wrapText="1"/>
    </xf>
    <xf numFmtId="0" fontId="104" fillId="24" borderId="1" xfId="0" applyFont="1" applyFill="1" applyBorder="1" applyAlignment="1" applyProtection="1">
      <alignment horizontal="center" vertical="center"/>
      <protection locked="0"/>
    </xf>
    <xf numFmtId="0" fontId="62" fillId="28" borderId="1" xfId="0" applyFont="1" applyFill="1" applyBorder="1" applyAlignment="1" applyProtection="1">
      <alignment horizontal="center" vertical="center"/>
      <protection locked="0"/>
    </xf>
    <xf numFmtId="0" fontId="62" fillId="40" borderId="1"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105" fillId="52" borderId="28" xfId="0" applyFont="1" applyFill="1" applyBorder="1" applyAlignment="1" applyProtection="1">
      <alignment horizontal="left" vertical="top"/>
      <protection locked="0"/>
    </xf>
    <xf numFmtId="0" fontId="29" fillId="23" borderId="3" xfId="0" applyFont="1" applyFill="1" applyBorder="1" applyAlignment="1" applyProtection="1">
      <alignment vertical="top" wrapText="1"/>
      <protection locked="0"/>
    </xf>
    <xf numFmtId="0" fontId="40" fillId="0" borderId="1" xfId="0" applyFont="1" applyBorder="1" applyAlignment="1" applyProtection="1">
      <alignment horizontal="left" vertical="top"/>
      <protection locked="0"/>
    </xf>
    <xf numFmtId="0" fontId="0" fillId="0" borderId="4" xfId="0" applyFont="1" applyBorder="1" applyAlignment="1" applyProtection="1">
      <protection locked="0"/>
    </xf>
    <xf numFmtId="0" fontId="0" fillId="0" borderId="1" xfId="0" applyFont="1" applyBorder="1" applyAlignment="1" applyProtection="1">
      <protection locked="0"/>
    </xf>
    <xf numFmtId="0" fontId="32" fillId="0" borderId="1" xfId="0" applyFont="1" applyBorder="1" applyAlignment="1" applyProtection="1">
      <alignment vertical="top" wrapText="1"/>
      <protection locked="0"/>
    </xf>
    <xf numFmtId="0" fontId="32" fillId="24" borderId="1" xfId="0" applyFont="1" applyFill="1" applyBorder="1" applyAlignment="1" applyProtection="1">
      <alignment vertical="top" wrapText="1"/>
      <protection locked="0"/>
    </xf>
    <xf numFmtId="0" fontId="40" fillId="0" borderId="3" xfId="0" applyFont="1" applyBorder="1" applyAlignment="1" applyProtection="1">
      <alignment horizontal="left" vertical="top"/>
      <protection locked="0"/>
    </xf>
    <xf numFmtId="0" fontId="0" fillId="0" borderId="8" xfId="0" applyFont="1" applyBorder="1" applyAlignment="1" applyProtection="1">
      <protection locked="0"/>
    </xf>
    <xf numFmtId="0" fontId="0" fillId="0" borderId="3" xfId="0" applyFont="1" applyBorder="1" applyAlignment="1" applyProtection="1">
      <protection locked="0"/>
    </xf>
    <xf numFmtId="0" fontId="40" fillId="24" borderId="1" xfId="0" applyFont="1" applyFill="1" applyBorder="1" applyAlignment="1" applyProtection="1">
      <alignment horizontal="left" vertical="top"/>
      <protection locked="0"/>
    </xf>
    <xf numFmtId="0" fontId="40" fillId="24" borderId="6" xfId="0" applyFont="1" applyFill="1" applyBorder="1" applyAlignment="1" applyProtection="1">
      <alignment horizontal="left" vertical="top"/>
      <protection locked="0"/>
    </xf>
    <xf numFmtId="0" fontId="29" fillId="24" borderId="6" xfId="0" applyFont="1" applyFill="1" applyBorder="1" applyAlignment="1" applyProtection="1">
      <alignment vertical="top" wrapText="1"/>
      <protection locked="0"/>
    </xf>
    <xf numFmtId="0" fontId="29" fillId="23" borderId="10" xfId="0" applyFont="1" applyFill="1" applyBorder="1" applyAlignment="1" applyProtection="1">
      <alignment vertical="top" wrapText="1"/>
      <protection locked="0"/>
    </xf>
    <xf numFmtId="0" fontId="40" fillId="28" borderId="0" xfId="0" applyFont="1" applyFill="1" applyBorder="1" applyAlignment="1">
      <alignment wrapText="1"/>
    </xf>
    <xf numFmtId="2" fontId="106" fillId="0" borderId="0" xfId="0" applyNumberFormat="1" applyFont="1" applyFill="1" applyBorder="1" applyAlignment="1">
      <alignment vertical="center" wrapText="1"/>
    </xf>
    <xf numFmtId="2" fontId="106" fillId="0" borderId="1" xfId="0" applyNumberFormat="1" applyFont="1" applyFill="1" applyBorder="1" applyAlignment="1">
      <alignment vertical="center" wrapText="1"/>
    </xf>
    <xf numFmtId="0" fontId="30" fillId="28" borderId="1" xfId="0" applyFont="1" applyFill="1" applyBorder="1" applyAlignment="1" applyProtection="1">
      <alignment horizontal="center" vertical="center" wrapText="1"/>
      <protection locked="0"/>
    </xf>
    <xf numFmtId="2" fontId="30" fillId="28" borderId="1" xfId="0" applyNumberFormat="1" applyFont="1" applyFill="1" applyBorder="1" applyAlignment="1" applyProtection="1">
      <alignment horizontal="center" vertical="center"/>
      <protection locked="0"/>
    </xf>
    <xf numFmtId="0" fontId="40" fillId="24" borderId="0" xfId="0" applyFont="1" applyFill="1" applyAlignment="1" applyProtection="1">
      <alignment horizontal="left" vertical="top"/>
      <protection locked="0"/>
    </xf>
    <xf numFmtId="2" fontId="31" fillId="0" borderId="1" xfId="0" applyNumberFormat="1" applyFont="1" applyFill="1" applyBorder="1" applyAlignment="1" applyProtection="1">
      <alignment horizontal="center" vertical="center"/>
      <protection locked="0"/>
    </xf>
    <xf numFmtId="2" fontId="31" fillId="0" borderId="1" xfId="0" applyNumberFormat="1" applyFont="1" applyFill="1" applyBorder="1" applyAlignment="1" applyProtection="1">
      <alignment horizontal="center" vertical="center" wrapText="1"/>
      <protection locked="0"/>
    </xf>
    <xf numFmtId="0" fontId="107" fillId="0" borderId="0" xfId="0" applyFont="1" applyAlignment="1">
      <alignment horizontal="center" vertical="center" wrapText="1"/>
    </xf>
    <xf numFmtId="0" fontId="29" fillId="23" borderId="26" xfId="0" applyFont="1" applyFill="1" applyBorder="1" applyAlignment="1" applyProtection="1">
      <alignment vertical="top" wrapText="1"/>
      <protection locked="0"/>
    </xf>
    <xf numFmtId="10" fontId="40" fillId="24" borderId="27" xfId="0" applyNumberFormat="1" applyFont="1" applyFill="1" applyBorder="1" applyAlignment="1" applyProtection="1">
      <alignment horizontal="left" vertical="top" wrapText="1"/>
      <protection locked="0"/>
    </xf>
    <xf numFmtId="1" fontId="31" fillId="5" borderId="1" xfId="0" applyNumberFormat="1" applyFont="1" applyFill="1" applyBorder="1" applyAlignment="1" applyProtection="1">
      <alignment horizontal="center" vertical="center"/>
      <protection locked="0"/>
    </xf>
    <xf numFmtId="1" fontId="31" fillId="0" borderId="1" xfId="0" applyNumberFormat="1" applyFont="1" applyBorder="1" applyAlignment="1">
      <alignment horizontal="center" vertical="center" wrapText="1"/>
    </xf>
    <xf numFmtId="1" fontId="31" fillId="0" borderId="1" xfId="0" applyNumberFormat="1" applyFont="1" applyBorder="1" applyAlignment="1" applyProtection="1">
      <alignment horizontal="center" vertical="center" wrapText="1"/>
      <protection locked="0"/>
    </xf>
    <xf numFmtId="1" fontId="31" fillId="0" borderId="1" xfId="0" applyNumberFormat="1" applyFont="1" applyBorder="1" applyAlignment="1" applyProtection="1">
      <alignment horizontal="center" vertical="center"/>
      <protection locked="0"/>
    </xf>
    <xf numFmtId="165" fontId="31" fillId="5" borderId="1" xfId="0" applyNumberFormat="1" applyFont="1" applyFill="1" applyBorder="1" applyAlignment="1" applyProtection="1">
      <alignment horizontal="center" vertical="center"/>
      <protection locked="0"/>
    </xf>
    <xf numFmtId="1" fontId="31" fillId="5" borderId="1" xfId="0" applyNumberFormat="1" applyFont="1" applyFill="1" applyBorder="1" applyAlignment="1" applyProtection="1">
      <alignment horizontal="center" vertical="center" wrapText="1"/>
      <protection locked="0"/>
    </xf>
    <xf numFmtId="0" fontId="32" fillId="0" borderId="26" xfId="0" applyFont="1" applyFill="1" applyBorder="1" applyAlignment="1" applyProtection="1">
      <alignment vertical="top" wrapText="1"/>
      <protection locked="0"/>
    </xf>
    <xf numFmtId="0" fontId="108" fillId="53" borderId="11" xfId="0" applyFont="1" applyFill="1" applyBorder="1" applyAlignment="1" applyProtection="1">
      <alignment wrapText="1"/>
      <protection locked="0"/>
    </xf>
    <xf numFmtId="0" fontId="109" fillId="0" borderId="1" xfId="0" applyFont="1" applyFill="1" applyBorder="1" applyAlignment="1" applyProtection="1">
      <alignment horizontal="left" vertical="top" wrapText="1"/>
      <protection locked="0"/>
    </xf>
    <xf numFmtId="0" fontId="31" fillId="53" borderId="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left" vertical="top" wrapText="1"/>
      <protection locked="0"/>
    </xf>
    <xf numFmtId="10" fontId="40" fillId="28" borderId="27" xfId="0" applyNumberFormat="1" applyFont="1" applyFill="1" applyBorder="1" applyAlignment="1" applyProtection="1">
      <alignment horizontal="left" vertical="top"/>
      <protection locked="0"/>
    </xf>
    <xf numFmtId="0" fontId="29" fillId="28" borderId="26" xfId="0" applyFont="1" applyFill="1" applyBorder="1" applyAlignment="1" applyProtection="1">
      <alignment vertical="top" wrapText="1"/>
      <protection locked="0"/>
    </xf>
    <xf numFmtId="10" fontId="29" fillId="24" borderId="27" xfId="0" applyNumberFormat="1" applyFont="1" applyFill="1" applyBorder="1" applyAlignment="1" applyProtection="1">
      <alignment horizontal="left" vertical="top"/>
      <protection locked="0"/>
    </xf>
    <xf numFmtId="0" fontId="40" fillId="24" borderId="27" xfId="0" applyFont="1" applyFill="1" applyBorder="1" applyAlignment="1" applyProtection="1">
      <alignment horizontal="left" vertical="top"/>
      <protection locked="0"/>
    </xf>
    <xf numFmtId="0" fontId="100" fillId="54" borderId="1" xfId="0" applyFont="1" applyFill="1" applyBorder="1" applyAlignment="1" applyProtection="1">
      <alignment horizontal="center" vertical="center"/>
      <protection locked="0"/>
    </xf>
    <xf numFmtId="0" fontId="98" fillId="5" borderId="1" xfId="0" applyFont="1" applyFill="1" applyBorder="1" applyAlignment="1" applyProtection="1">
      <alignment horizontal="center" vertical="center" wrapText="1"/>
      <protection locked="0"/>
    </xf>
    <xf numFmtId="49" fontId="31" fillId="5" borderId="1" xfId="0" applyNumberFormat="1" applyFont="1" applyFill="1" applyBorder="1" applyAlignment="1" applyProtection="1">
      <alignment horizontal="center" vertical="center" wrapText="1"/>
      <protection locked="0"/>
    </xf>
    <xf numFmtId="0" fontId="40" fillId="0" borderId="0" xfId="0" applyFont="1" applyAlignment="1" applyProtection="1">
      <alignment horizontal="left" vertical="top"/>
      <protection locked="0"/>
    </xf>
    <xf numFmtId="0" fontId="0" fillId="0" borderId="0" xfId="0" applyFont="1" applyAlignment="1" applyProtection="1">
      <alignment vertical="top" wrapText="1"/>
      <protection locked="0"/>
    </xf>
    <xf numFmtId="0" fontId="32" fillId="43" borderId="1" xfId="0" applyFont="1" applyFill="1" applyBorder="1" applyAlignment="1">
      <alignment wrapText="1"/>
    </xf>
    <xf numFmtId="0" fontId="30" fillId="0" borderId="1" xfId="0" applyFont="1" applyBorder="1" applyAlignment="1">
      <alignment horizontal="center" vertical="center" wrapText="1"/>
    </xf>
    <xf numFmtId="0" fontId="61" fillId="0" borderId="1" xfId="0" applyFont="1" applyFill="1" applyBorder="1"/>
    <xf numFmtId="0" fontId="0" fillId="0" borderId="1" xfId="0" applyFont="1" applyFill="1" applyBorder="1"/>
    <xf numFmtId="0" fontId="0" fillId="0" borderId="1" xfId="0" applyFont="1" applyFill="1" applyBorder="1" applyAlignment="1"/>
    <xf numFmtId="0" fontId="0" fillId="0" borderId="1" xfId="0" applyFont="1" applyBorder="1" applyAlignment="1"/>
    <xf numFmtId="0" fontId="0" fillId="55" borderId="1" xfId="0" applyFont="1" applyFill="1" applyBorder="1" applyAlignment="1" applyProtection="1">
      <alignment vertical="top"/>
      <protection locked="0"/>
    </xf>
    <xf numFmtId="0" fontId="0" fillId="55" borderId="1" xfId="0" applyFont="1" applyFill="1" applyBorder="1" applyAlignment="1" applyProtection="1">
      <alignment vertical="top" wrapText="1"/>
      <protection locked="0"/>
    </xf>
    <xf numFmtId="0" fontId="0" fillId="56" borderId="1" xfId="0" applyFont="1" applyFill="1" applyBorder="1" applyAlignment="1">
      <alignment vertical="top" wrapText="1"/>
    </xf>
    <xf numFmtId="2" fontId="62" fillId="57" borderId="1" xfId="0" applyNumberFormat="1" applyFont="1" applyFill="1" applyBorder="1" applyAlignment="1">
      <alignment horizontal="center" vertical="center"/>
    </xf>
    <xf numFmtId="0" fontId="62" fillId="0" borderId="1" xfId="0" applyFont="1" applyFill="1" applyBorder="1" applyAlignment="1">
      <alignment vertical="top"/>
    </xf>
    <xf numFmtId="0" fontId="0" fillId="0" borderId="1" xfId="0" applyFont="1" applyFill="1" applyBorder="1" applyAlignment="1">
      <alignment vertical="top"/>
    </xf>
    <xf numFmtId="0" fontId="0" fillId="5" borderId="1" xfId="0" applyFont="1" applyFill="1" applyBorder="1" applyAlignment="1" applyProtection="1">
      <alignment vertical="top"/>
      <protection locked="0"/>
    </xf>
    <xf numFmtId="0" fontId="0" fillId="29" borderId="1" xfId="0" applyFont="1" applyFill="1" applyBorder="1" applyAlignment="1" applyProtection="1">
      <alignment vertical="top" wrapText="1"/>
      <protection locked="0"/>
    </xf>
    <xf numFmtId="0" fontId="0" fillId="43" borderId="1" xfId="0" applyFont="1" applyFill="1" applyBorder="1" applyAlignment="1">
      <alignment vertical="top" wrapText="1"/>
    </xf>
    <xf numFmtId="0" fontId="62" fillId="5" borderId="1" xfId="0" applyFont="1" applyFill="1" applyBorder="1" applyAlignment="1">
      <alignment horizontal="center" vertical="center" wrapText="1"/>
    </xf>
    <xf numFmtId="0" fontId="0" fillId="5" borderId="1" xfId="0" applyFont="1" applyFill="1" applyBorder="1" applyAlignment="1" applyProtection="1">
      <alignment vertical="top" wrapText="1"/>
      <protection locked="0"/>
    </xf>
    <xf numFmtId="2" fontId="62" fillId="5" borderId="1" xfId="0" applyNumberFormat="1" applyFont="1" applyFill="1" applyBorder="1" applyAlignment="1">
      <alignment horizontal="center" vertical="center"/>
    </xf>
    <xf numFmtId="0" fontId="0" fillId="29" borderId="1" xfId="0" applyFont="1" applyFill="1" applyBorder="1" applyAlignment="1" applyProtection="1">
      <alignment horizontal="center" vertical="top"/>
      <protection locked="0"/>
    </xf>
    <xf numFmtId="0" fontId="62" fillId="0" borderId="1" xfId="0" applyFont="1" applyFill="1" applyBorder="1"/>
    <xf numFmtId="0" fontId="0" fillId="29" borderId="1" xfId="0" applyFont="1" applyFill="1" applyBorder="1" applyAlignment="1" applyProtection="1">
      <alignment vertical="top" wrapText="1"/>
      <protection locked="0"/>
    </xf>
    <xf numFmtId="0" fontId="29" fillId="0" borderId="12" xfId="0" applyFont="1" applyBorder="1" applyAlignment="1" applyProtection="1">
      <alignment horizontal="left" vertical="top"/>
      <protection locked="0"/>
    </xf>
    <xf numFmtId="49" fontId="110" fillId="28" borderId="12" xfId="0" applyNumberFormat="1" applyFont="1" applyFill="1" applyBorder="1" applyAlignment="1" applyProtection="1">
      <alignment vertical="top" wrapText="1"/>
      <protection locked="0"/>
    </xf>
    <xf numFmtId="0" fontId="40" fillId="0" borderId="12" xfId="0" applyFont="1" applyBorder="1" applyAlignment="1" applyProtection="1">
      <alignment vertical="top" wrapText="1"/>
      <protection locked="0"/>
    </xf>
    <xf numFmtId="0" fontId="40" fillId="35" borderId="12" xfId="0" applyFont="1" applyFill="1" applyBorder="1" applyAlignment="1" applyProtection="1">
      <alignment vertical="top" wrapText="1"/>
      <protection locked="0"/>
    </xf>
    <xf numFmtId="0" fontId="0" fillId="0" borderId="12" xfId="0" applyFont="1" applyBorder="1" applyAlignment="1" applyProtection="1">
      <alignment vertical="top" wrapText="1"/>
      <protection locked="0"/>
    </xf>
    <xf numFmtId="0" fontId="31" fillId="58" borderId="1" xfId="0" applyFont="1" applyFill="1" applyBorder="1" applyAlignment="1" applyProtection="1">
      <alignment horizontal="center" vertical="center" wrapText="1"/>
      <protection locked="0"/>
    </xf>
    <xf numFmtId="2" fontId="0" fillId="0" borderId="1" xfId="0" applyNumberFormat="1" applyBorder="1"/>
    <xf numFmtId="2" fontId="0" fillId="24" borderId="1" xfId="0" applyNumberFormat="1" applyFill="1" applyBorder="1"/>
    <xf numFmtId="0" fontId="40" fillId="28" borderId="12" xfId="0" applyFont="1" applyFill="1" applyBorder="1" applyAlignment="1" applyProtection="1">
      <alignment horizontal="left" vertical="top" wrapText="1"/>
      <protection locked="0"/>
    </xf>
    <xf numFmtId="0" fontId="62" fillId="24" borderId="1" xfId="0" applyFont="1" applyFill="1" applyBorder="1" applyAlignment="1">
      <alignment horizontal="center" vertical="center" wrapText="1"/>
    </xf>
    <xf numFmtId="1" fontId="30" fillId="5" borderId="1"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5" borderId="1" xfId="0" applyFont="1" applyFill="1" applyBorder="1" applyAlignment="1" applyProtection="1">
      <alignment horizontal="center" vertical="center" wrapText="1"/>
      <protection locked="0"/>
    </xf>
    <xf numFmtId="0" fontId="20"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20" fillId="24" borderId="1" xfId="0" applyFont="1" applyFill="1" applyBorder="1" applyAlignment="1">
      <alignment horizontal="center" vertical="center" wrapText="1"/>
    </xf>
    <xf numFmtId="2" fontId="20" fillId="0" borderId="1" xfId="0" applyNumberFormat="1" applyFont="1" applyBorder="1" applyAlignment="1" applyProtection="1">
      <alignment horizontal="center" vertical="center" wrapText="1"/>
      <protection locked="0"/>
    </xf>
    <xf numFmtId="0" fontId="62" fillId="47" borderId="1" xfId="0" applyFont="1" applyFill="1" applyBorder="1" applyAlignment="1" applyProtection="1">
      <alignment horizontal="center" vertical="center" wrapText="1"/>
      <protection locked="0"/>
    </xf>
    <xf numFmtId="2" fontId="20" fillId="30" borderId="1" xfId="0" quotePrefix="1" applyNumberFormat="1" applyFont="1" applyFill="1" applyBorder="1" applyAlignment="1" applyProtection="1">
      <alignment horizontal="center" vertical="center" wrapText="1"/>
      <protection locked="0"/>
    </xf>
    <xf numFmtId="0" fontId="20" fillId="24" borderId="1" xfId="0" applyFont="1" applyFill="1" applyBorder="1" applyAlignment="1" applyProtection="1">
      <alignment horizontal="center" vertical="center" wrapText="1"/>
      <protection locked="0"/>
    </xf>
    <xf numFmtId="1" fontId="31" fillId="29" borderId="1" xfId="0" applyNumberFormat="1" applyFont="1" applyFill="1" applyBorder="1" applyAlignment="1" applyProtection="1">
      <alignment horizontal="center" vertical="center" wrapText="1"/>
      <protection locked="0"/>
    </xf>
    <xf numFmtId="2" fontId="31" fillId="29" borderId="1" xfId="0" applyNumberFormat="1" applyFont="1" applyFill="1" applyBorder="1" applyAlignment="1" applyProtection="1">
      <alignment horizontal="center" vertical="center" wrapText="1"/>
      <protection locked="0"/>
    </xf>
    <xf numFmtId="0" fontId="7" fillId="0" borderId="12" xfId="0" applyFont="1" applyBorder="1" applyAlignment="1" applyProtection="1">
      <alignment vertical="top" wrapText="1"/>
      <protection locked="0"/>
    </xf>
    <xf numFmtId="1" fontId="31" fillId="36" borderId="1" xfId="0" applyNumberFormat="1" applyFont="1" applyFill="1" applyBorder="1" applyAlignment="1" applyProtection="1">
      <alignment horizontal="center" vertical="center" wrapText="1"/>
      <protection locked="0"/>
    </xf>
    <xf numFmtId="1" fontId="31" fillId="36" borderId="1" xfId="0" applyNumberFormat="1" applyFont="1" applyFill="1" applyBorder="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2" fontId="20" fillId="5" borderId="1" xfId="0" applyNumberFormat="1"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protection locked="0"/>
    </xf>
    <xf numFmtId="2" fontId="20" fillId="0" borderId="1" xfId="5" applyNumberFormat="1" applyFont="1" applyBorder="1" applyAlignment="1" applyProtection="1">
      <alignment horizontal="center" vertical="center" wrapText="1"/>
      <protection locked="0"/>
    </xf>
    <xf numFmtId="0" fontId="20" fillId="30"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0" fontId="20" fillId="30" borderId="1" xfId="4" applyFont="1" applyFill="1" applyBorder="1" applyAlignment="1" applyProtection="1">
      <alignment horizontal="center" vertical="center" wrapText="1"/>
      <protection locked="0"/>
    </xf>
    <xf numFmtId="2" fontId="0" fillId="29" borderId="1" xfId="0" applyNumberFormat="1" applyFont="1" applyFill="1" applyBorder="1" applyAlignment="1">
      <alignment horizontal="center" vertical="center"/>
    </xf>
    <xf numFmtId="0" fontId="0" fillId="29" borderId="1" xfId="0" applyFont="1" applyFill="1" applyBorder="1" applyAlignment="1">
      <alignment horizontal="center" vertical="center"/>
    </xf>
    <xf numFmtId="2" fontId="0" fillId="5" borderId="1" xfId="0" applyNumberFormat="1" applyFont="1" applyFill="1" applyBorder="1" applyAlignment="1">
      <alignment horizontal="center" vertical="center"/>
    </xf>
    <xf numFmtId="2" fontId="0" fillId="55" borderId="1" xfId="0" applyNumberFormat="1" applyFont="1" applyFill="1" applyBorder="1" applyAlignment="1">
      <alignment horizontal="center" vertical="center"/>
    </xf>
    <xf numFmtId="2" fontId="0" fillId="0" borderId="1" xfId="0" applyNumberFormat="1" applyFont="1" applyBorder="1" applyAlignment="1">
      <alignment horizontal="center"/>
    </xf>
    <xf numFmtId="0" fontId="0" fillId="0" borderId="0" xfId="0" applyFont="1" applyAlignment="1" applyProtection="1"/>
    <xf numFmtId="2" fontId="0" fillId="0" borderId="12" xfId="0" applyNumberFormat="1" applyFont="1" applyBorder="1" applyAlignment="1" applyProtection="1">
      <alignment horizontal="center" vertical="top"/>
    </xf>
    <xf numFmtId="2" fontId="0" fillId="5" borderId="27" xfId="0" applyNumberFormat="1" applyFont="1" applyFill="1" applyBorder="1" applyAlignment="1" applyProtection="1">
      <alignment horizontal="center" wrapText="1"/>
    </xf>
    <xf numFmtId="2" fontId="0" fillId="29" borderId="1" xfId="0" applyNumberFormat="1" applyFont="1" applyFill="1" applyBorder="1" applyAlignment="1" applyProtection="1">
      <alignment horizontal="center" wrapText="1"/>
    </xf>
    <xf numFmtId="165" fontId="0" fillId="5" borderId="12" xfId="0" applyNumberFormat="1" applyFont="1" applyFill="1" applyBorder="1" applyAlignment="1" applyProtection="1">
      <alignment horizontal="center" wrapText="1"/>
    </xf>
    <xf numFmtId="2" fontId="0" fillId="28" borderId="12" xfId="0" applyNumberFormat="1" applyFont="1" applyFill="1" applyBorder="1" applyAlignment="1" applyProtection="1">
      <alignment horizontal="center"/>
    </xf>
    <xf numFmtId="2" fontId="40" fillId="43" borderId="1" xfId="0" applyNumberFormat="1" applyFont="1" applyFill="1" applyBorder="1" applyAlignment="1" applyProtection="1">
      <alignment horizontal="center" vertical="center" wrapText="1"/>
    </xf>
    <xf numFmtId="2" fontId="0" fillId="5" borderId="27" xfId="0" applyNumberFormat="1" applyFont="1" applyFill="1" applyBorder="1" applyAlignment="1" applyProtection="1">
      <alignment horizontal="center"/>
    </xf>
    <xf numFmtId="2" fontId="0" fillId="23" borderId="1" xfId="0" applyNumberFormat="1" applyFont="1" applyFill="1" applyBorder="1" applyAlignment="1" applyProtection="1">
      <alignment horizontal="center"/>
    </xf>
    <xf numFmtId="0" fontId="40" fillId="28" borderId="1" xfId="0" applyFont="1" applyFill="1" applyBorder="1" applyAlignment="1" applyProtection="1">
      <alignment horizontal="center" vertical="center" wrapText="1"/>
    </xf>
    <xf numFmtId="0" fontId="0" fillId="28" borderId="1" xfId="0" applyFont="1" applyFill="1" applyBorder="1" applyAlignment="1" applyProtection="1">
      <alignment horizontal="center" vertical="center" wrapText="1"/>
    </xf>
    <xf numFmtId="2" fontId="0" fillId="28" borderId="1" xfId="0" applyNumberFormat="1" applyFont="1" applyFill="1" applyBorder="1" applyAlignment="1" applyProtection="1">
      <alignment horizontal="center" vertical="center" wrapText="1"/>
    </xf>
    <xf numFmtId="2" fontId="0" fillId="25" borderId="26" xfId="0"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4" xfId="0" applyFont="1" applyFill="1" applyBorder="1" applyAlignment="1" applyProtection="1">
      <alignment horizontal="center" vertical="center" wrapText="1"/>
    </xf>
    <xf numFmtId="2" fontId="0" fillId="0" borderId="1" xfId="0" applyNumberFormat="1" applyFont="1" applyFill="1" applyBorder="1" applyAlignment="1" applyProtection="1">
      <alignment horizontal="center" vertical="center" wrapText="1"/>
    </xf>
    <xf numFmtId="2" fontId="40" fillId="43" borderId="3" xfId="0" applyNumberFormat="1" applyFont="1" applyFill="1" applyBorder="1" applyAlignment="1" applyProtection="1">
      <alignment horizontal="center" vertical="center" wrapText="1"/>
    </xf>
    <xf numFmtId="2" fontId="0" fillId="5" borderId="12" xfId="0" applyNumberFormat="1" applyFont="1" applyFill="1" applyBorder="1" applyAlignment="1" applyProtection="1">
      <alignment horizontal="center" wrapText="1"/>
    </xf>
    <xf numFmtId="2" fontId="0" fillId="35" borderId="12" xfId="0" applyNumberFormat="1" applyFont="1" applyFill="1" applyBorder="1" applyAlignment="1" applyProtection="1">
      <alignment horizontal="center"/>
    </xf>
    <xf numFmtId="2" fontId="0" fillId="38" borderId="12" xfId="0" applyNumberFormat="1" applyFont="1" applyFill="1" applyBorder="1" applyAlignment="1" applyProtection="1">
      <alignment horizontal="center"/>
    </xf>
    <xf numFmtId="2" fontId="0" fillId="0" borderId="12" xfId="0" applyNumberFormat="1" applyFont="1" applyBorder="1" applyAlignment="1" applyProtection="1">
      <alignment horizontal="center" vertical="center" wrapText="1"/>
    </xf>
    <xf numFmtId="2" fontId="0" fillId="24" borderId="12" xfId="0" applyNumberFormat="1" applyFont="1" applyFill="1" applyBorder="1" applyAlignment="1" applyProtection="1">
      <alignment horizontal="center" vertical="center"/>
    </xf>
    <xf numFmtId="165" fontId="0" fillId="5" borderId="18" xfId="0" applyNumberFormat="1" applyFont="1" applyFill="1" applyBorder="1" applyAlignment="1" applyProtection="1">
      <alignment horizontal="center" vertical="center"/>
    </xf>
    <xf numFmtId="165" fontId="0" fillId="5" borderId="12" xfId="0" applyNumberFormat="1" applyFont="1" applyFill="1" applyBorder="1" applyAlignment="1" applyProtection="1">
      <alignment horizontal="center" vertical="center"/>
    </xf>
    <xf numFmtId="2" fontId="0" fillId="24" borderId="18" xfId="0" applyNumberFormat="1" applyFont="1" applyFill="1" applyBorder="1" applyAlignment="1" applyProtection="1">
      <alignment horizontal="center"/>
    </xf>
    <xf numFmtId="2" fontId="0" fillId="0" borderId="18" xfId="0" applyNumberFormat="1" applyFont="1" applyBorder="1" applyAlignment="1" applyProtection="1">
      <alignment horizontal="center" vertical="center"/>
    </xf>
    <xf numFmtId="2" fontId="0" fillId="0" borderId="12" xfId="0" applyNumberFormat="1" applyFont="1" applyBorder="1" applyAlignment="1" applyProtection="1">
      <alignment horizontal="center" vertical="center"/>
    </xf>
    <xf numFmtId="2" fontId="0" fillId="5" borderId="18" xfId="0" applyNumberFormat="1" applyFont="1" applyFill="1" applyBorder="1" applyAlignment="1" applyProtection="1">
      <alignment horizontal="center"/>
    </xf>
    <xf numFmtId="2" fontId="0" fillId="5" borderId="12" xfId="0" applyNumberFormat="1" applyFont="1" applyFill="1" applyBorder="1" applyAlignment="1" applyProtection="1">
      <alignment horizontal="center"/>
    </xf>
    <xf numFmtId="2" fontId="0" fillId="0" borderId="12" xfId="0" applyNumberFormat="1" applyFont="1" applyBorder="1" applyAlignment="1" applyProtection="1">
      <alignment horizontal="center"/>
    </xf>
    <xf numFmtId="2" fontId="0" fillId="0" borderId="12" xfId="0" applyNumberFormat="1" applyFont="1" applyBorder="1" applyAlignment="1" applyProtection="1">
      <alignment horizontal="center" wrapText="1"/>
    </xf>
    <xf numFmtId="2" fontId="0" fillId="24" borderId="18" xfId="0" applyNumberFormat="1" applyFont="1" applyFill="1" applyBorder="1" applyAlignment="1" applyProtection="1">
      <alignment horizontal="center" wrapText="1"/>
    </xf>
    <xf numFmtId="2" fontId="0" fillId="24" borderId="12" xfId="0" applyNumberFormat="1" applyFont="1" applyFill="1" applyBorder="1" applyAlignment="1" applyProtection="1">
      <alignment horizontal="center" wrapText="1"/>
    </xf>
    <xf numFmtId="2" fontId="0" fillId="23" borderId="18" xfId="0" applyNumberFormat="1" applyFont="1" applyFill="1" applyBorder="1" applyAlignment="1" applyProtection="1">
      <alignment horizontal="center" wrapText="1"/>
    </xf>
    <xf numFmtId="2" fontId="0" fillId="23" borderId="12" xfId="0" applyNumberFormat="1" applyFont="1" applyFill="1" applyBorder="1" applyAlignment="1" applyProtection="1">
      <alignment horizontal="center" wrapText="1"/>
    </xf>
    <xf numFmtId="2" fontId="0" fillId="24" borderId="12" xfId="0" applyNumberFormat="1" applyFont="1" applyFill="1" applyBorder="1" applyAlignment="1" applyProtection="1">
      <alignment horizontal="center"/>
    </xf>
    <xf numFmtId="2" fontId="0" fillId="29" borderId="12" xfId="0" applyNumberFormat="1" applyFont="1" applyFill="1" applyBorder="1" applyAlignment="1" applyProtection="1">
      <alignment horizontal="center"/>
    </xf>
    <xf numFmtId="2" fontId="0" fillId="25" borderId="12" xfId="0" applyNumberFormat="1" applyFont="1" applyFill="1" applyBorder="1" applyAlignment="1" applyProtection="1">
      <alignment horizontal="center"/>
    </xf>
    <xf numFmtId="2" fontId="0" fillId="30" borderId="12" xfId="0" applyNumberFormat="1" applyFont="1" applyFill="1" applyBorder="1" applyAlignment="1" applyProtection="1">
      <alignment horizontal="center"/>
    </xf>
    <xf numFmtId="2" fontId="0" fillId="23" borderId="18" xfId="0" applyNumberFormat="1" applyFont="1" applyFill="1" applyBorder="1" applyAlignment="1" applyProtection="1">
      <alignment horizontal="center"/>
    </xf>
    <xf numFmtId="2" fontId="0" fillId="23" borderId="12" xfId="0" applyNumberFormat="1" applyFont="1" applyFill="1" applyBorder="1" applyAlignment="1" applyProtection="1">
      <alignment horizontal="center"/>
    </xf>
    <xf numFmtId="2" fontId="40" fillId="22" borderId="12" xfId="0" applyNumberFormat="1" applyFont="1" applyFill="1" applyBorder="1" applyAlignment="1" applyProtection="1">
      <alignment horizontal="center" vertical="center"/>
    </xf>
    <xf numFmtId="2" fontId="0" fillId="25" borderId="26" xfId="0" applyNumberFormat="1" applyFont="1" applyFill="1" applyBorder="1" applyAlignment="1" applyProtection="1">
      <alignment horizontal="center" vertical="center" wrapText="1"/>
    </xf>
    <xf numFmtId="0" fontId="0" fillId="2" borderId="18" xfId="0" applyFont="1" applyFill="1" applyBorder="1" applyAlignment="1" applyProtection="1">
      <alignment vertical="center" wrapText="1"/>
    </xf>
    <xf numFmtId="0" fontId="0" fillId="2" borderId="0" xfId="0" applyFont="1" applyFill="1" applyBorder="1" applyAlignment="1" applyProtection="1">
      <alignment vertical="center" wrapText="1"/>
    </xf>
    <xf numFmtId="0" fontId="62" fillId="0" borderId="1" xfId="0" applyFont="1" applyFill="1" applyBorder="1" applyAlignment="1" applyProtection="1">
      <alignment horizontal="center" vertical="center" wrapText="1"/>
      <protection locked="0"/>
    </xf>
    <xf numFmtId="0" fontId="31" fillId="38" borderId="1" xfId="0" applyFont="1" applyFill="1" applyBorder="1" applyAlignment="1" applyProtection="1">
      <alignment horizontal="center" vertical="center" wrapText="1"/>
      <protection locked="0"/>
    </xf>
    <xf numFmtId="2" fontId="40" fillId="4" borderId="12" xfId="0" applyNumberFormat="1" applyFont="1" applyFill="1" applyBorder="1" applyAlignment="1" applyProtection="1">
      <alignment horizontal="center" vertical="center"/>
    </xf>
    <xf numFmtId="0" fontId="0" fillId="25" borderId="2" xfId="0" applyFont="1" applyFill="1" applyBorder="1" applyAlignment="1" applyProtection="1">
      <alignment vertical="center" wrapText="1"/>
    </xf>
    <xf numFmtId="2" fontId="31" fillId="29" borderId="1" xfId="0" applyNumberFormat="1" applyFont="1" applyFill="1" applyBorder="1" applyAlignment="1" applyProtection="1">
      <alignment horizontal="center" vertical="center" wrapText="1"/>
      <protection locked="0"/>
    </xf>
    <xf numFmtId="0" fontId="31" fillId="38"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2" fontId="40" fillId="0" borderId="12" xfId="0" applyNumberFormat="1" applyFont="1" applyBorder="1" applyAlignment="1" applyProtection="1">
      <alignment horizontal="left" vertical="center"/>
    </xf>
    <xf numFmtId="165" fontId="9" fillId="0" borderId="12" xfId="0" applyNumberFormat="1" applyFont="1" applyBorder="1" applyAlignment="1" applyProtection="1">
      <alignment horizontal="center"/>
    </xf>
    <xf numFmtId="165" fontId="9" fillId="0" borderId="18" xfId="0" applyNumberFormat="1" applyFont="1" applyBorder="1" applyAlignment="1" applyProtection="1">
      <alignment horizontal="center"/>
    </xf>
    <xf numFmtId="0" fontId="62" fillId="0" borderId="1" xfId="0" applyFont="1" applyFill="1" applyBorder="1" applyAlignment="1" applyProtection="1">
      <alignment horizontal="center" vertical="center" wrapText="1"/>
      <protection locked="0"/>
    </xf>
    <xf numFmtId="0" fontId="31" fillId="5" borderId="1" xfId="0" applyFont="1" applyFill="1" applyBorder="1" applyAlignment="1" applyProtection="1">
      <alignment horizontal="center" vertical="center" wrapText="1"/>
      <protection locked="0"/>
    </xf>
    <xf numFmtId="2" fontId="40" fillId="23" borderId="12" xfId="0" applyNumberFormat="1" applyFont="1" applyFill="1" applyBorder="1" applyAlignment="1" applyProtection="1">
      <alignment horizontal="center"/>
    </xf>
    <xf numFmtId="2" fontId="40" fillId="2" borderId="12" xfId="0" applyNumberFormat="1" applyFont="1" applyFill="1" applyBorder="1" applyAlignment="1" applyProtection="1">
      <alignment horizontal="center"/>
    </xf>
    <xf numFmtId="2" fontId="9" fillId="30" borderId="12" xfId="0" applyNumberFormat="1" applyFont="1" applyFill="1" applyBorder="1" applyAlignment="1" applyProtection="1">
      <alignment horizontal="center"/>
    </xf>
    <xf numFmtId="2" fontId="40" fillId="54" borderId="12" xfId="0" applyNumberFormat="1" applyFont="1" applyFill="1" applyBorder="1" applyAlignment="1" applyProtection="1">
      <alignment horizontal="center"/>
    </xf>
    <xf numFmtId="0" fontId="31" fillId="5" borderId="1" xfId="0" applyFont="1" applyFill="1" applyBorder="1" applyAlignment="1" applyProtection="1">
      <alignment horizontal="center" vertical="center"/>
      <protection locked="0"/>
    </xf>
    <xf numFmtId="2" fontId="9" fillId="24" borderId="12" xfId="0" applyNumberFormat="1" applyFont="1" applyFill="1" applyBorder="1" applyAlignment="1" applyProtection="1">
      <alignment horizontal="center"/>
    </xf>
    <xf numFmtId="2" fontId="9" fillId="24" borderId="18" xfId="0" applyNumberFormat="1" applyFont="1" applyFill="1" applyBorder="1" applyAlignment="1" applyProtection="1">
      <alignment horizontal="center"/>
    </xf>
    <xf numFmtId="2" fontId="9" fillId="30" borderId="12" xfId="0" applyNumberFormat="1" applyFont="1" applyFill="1" applyBorder="1" applyAlignment="1" applyProtection="1">
      <alignment horizontal="center" wrapText="1"/>
    </xf>
    <xf numFmtId="2" fontId="9" fillId="0" borderId="12" xfId="0" applyNumberFormat="1" applyFont="1" applyBorder="1" applyAlignment="1" applyProtection="1">
      <alignment horizontal="center" wrapText="1"/>
    </xf>
    <xf numFmtId="2" fontId="9" fillId="5" borderId="12" xfId="0" applyNumberFormat="1" applyFont="1" applyFill="1" applyBorder="1" applyAlignment="1" applyProtection="1">
      <alignment horizontal="center" wrapText="1"/>
    </xf>
    <xf numFmtId="2" fontId="9" fillId="0" borderId="12" xfId="0" applyNumberFormat="1" applyFont="1" applyBorder="1" applyAlignment="1" applyProtection="1">
      <alignment horizontal="center"/>
    </xf>
    <xf numFmtId="2" fontId="9" fillId="0" borderId="12" xfId="0" applyNumberFormat="1" applyFont="1" applyBorder="1" applyAlignment="1" applyProtection="1">
      <alignment horizontal="center" vertical="center"/>
    </xf>
    <xf numFmtId="2" fontId="9" fillId="0" borderId="12" xfId="0" applyNumberFormat="1" applyFont="1" applyBorder="1" applyAlignment="1" applyProtection="1">
      <alignment horizontal="center" vertical="center" wrapText="1"/>
    </xf>
    <xf numFmtId="0" fontId="9" fillId="0" borderId="12" xfId="0" applyFont="1" applyBorder="1" applyAlignment="1" applyProtection="1">
      <alignment horizontal="center" vertical="center" wrapText="1"/>
    </xf>
    <xf numFmtId="2" fontId="40" fillId="2" borderId="12" xfId="0" applyNumberFormat="1" applyFont="1" applyFill="1" applyBorder="1" applyAlignment="1" applyProtection="1">
      <alignment horizontal="center" wrapText="1"/>
    </xf>
    <xf numFmtId="165" fontId="46" fillId="28" borderId="12" xfId="0" applyNumberFormat="1" applyFont="1" applyFill="1" applyBorder="1" applyAlignment="1" applyProtection="1">
      <alignment horizontal="center" vertical="center"/>
    </xf>
    <xf numFmtId="2" fontId="40" fillId="23" borderId="1" xfId="0" applyNumberFormat="1" applyFont="1" applyFill="1" applyBorder="1" applyAlignment="1" applyProtection="1">
      <alignment horizontal="center"/>
    </xf>
    <xf numFmtId="2" fontId="40" fillId="23" borderId="12" xfId="0" applyNumberFormat="1" applyFont="1" applyFill="1" applyBorder="1" applyAlignment="1" applyProtection="1">
      <alignment horizontal="center" vertical="center"/>
    </xf>
    <xf numFmtId="2" fontId="9" fillId="30" borderId="12" xfId="0" applyNumberFormat="1" applyFont="1" applyFill="1" applyBorder="1" applyAlignment="1" applyProtection="1">
      <alignment horizontal="center" vertical="center"/>
    </xf>
    <xf numFmtId="2" fontId="9" fillId="24" borderId="12" xfId="0" applyNumberFormat="1" applyFont="1" applyFill="1" applyBorder="1" applyAlignment="1" applyProtection="1">
      <alignment horizontal="center" vertical="center"/>
    </xf>
    <xf numFmtId="2" fontId="9" fillId="5" borderId="12" xfId="0" applyNumberFormat="1" applyFont="1" applyFill="1" applyBorder="1" applyAlignment="1" applyProtection="1">
      <alignment horizontal="center"/>
    </xf>
    <xf numFmtId="2" fontId="0" fillId="23" borderId="12" xfId="0" applyNumberFormat="1" applyFont="1" applyFill="1" applyBorder="1" applyAlignment="1" applyProtection="1">
      <alignment horizontal="center" vertical="center"/>
    </xf>
    <xf numFmtId="2" fontId="40" fillId="25" borderId="26" xfId="0" applyNumberFormat="1" applyFont="1" applyFill="1" applyBorder="1" applyAlignment="1" applyProtection="1">
      <alignment horizontal="center" vertical="center" wrapText="1"/>
    </xf>
    <xf numFmtId="0" fontId="31" fillId="28" borderId="1" xfId="0" applyFont="1" applyFill="1" applyBorder="1" applyAlignment="1" applyProtection="1">
      <alignment horizontal="center" vertical="center"/>
      <protection locked="0"/>
    </xf>
    <xf numFmtId="0" fontId="31" fillId="28" borderId="1" xfId="0" applyFont="1" applyFill="1" applyBorder="1" applyAlignment="1" applyProtection="1">
      <alignment horizontal="center" vertical="center" wrapText="1"/>
      <protection locked="0"/>
    </xf>
    <xf numFmtId="2" fontId="40" fillId="22" borderId="27" xfId="0" applyNumberFormat="1" applyFont="1" applyFill="1" applyBorder="1" applyAlignment="1" applyProtection="1">
      <alignment horizontal="center" vertical="center" wrapText="1"/>
    </xf>
    <xf numFmtId="2" fontId="9" fillId="5" borderId="27" xfId="0" applyNumberFormat="1" applyFont="1" applyFill="1" applyBorder="1" applyAlignment="1" applyProtection="1">
      <alignment horizontal="center"/>
    </xf>
    <xf numFmtId="2" fontId="9" fillId="23" borderId="1" xfId="0" applyNumberFormat="1" applyFont="1" applyFill="1" applyBorder="1" applyAlignment="1" applyProtection="1">
      <alignment horizontal="center"/>
    </xf>
    <xf numFmtId="2" fontId="40" fillId="28" borderId="12" xfId="0" applyNumberFormat="1" applyFont="1" applyFill="1" applyBorder="1" applyAlignment="1" applyProtection="1">
      <alignment horizontal="center"/>
    </xf>
    <xf numFmtId="2" fontId="7" fillId="28" borderId="12" xfId="0" applyNumberFormat="1" applyFont="1" applyFill="1" applyBorder="1" applyAlignment="1" applyProtection="1">
      <alignment horizontal="center" wrapText="1"/>
    </xf>
    <xf numFmtId="2" fontId="7" fillId="2" borderId="12" xfId="0" applyNumberFormat="1" applyFont="1" applyFill="1" applyBorder="1" applyAlignment="1" applyProtection="1">
      <alignment horizontal="center" wrapText="1"/>
    </xf>
    <xf numFmtId="2" fontId="7" fillId="2" borderId="12" xfId="0" applyNumberFormat="1" applyFont="1" applyFill="1" applyBorder="1" applyAlignment="1" applyProtection="1">
      <alignment horizontal="center"/>
    </xf>
    <xf numFmtId="1" fontId="9" fillId="5" borderId="12" xfId="0" applyNumberFormat="1" applyFont="1" applyFill="1" applyBorder="1" applyAlignment="1" applyProtection="1">
      <alignment horizontal="center" wrapText="1"/>
    </xf>
    <xf numFmtId="165" fontId="9" fillId="5" borderId="12" xfId="0" applyNumberFormat="1" applyFont="1" applyFill="1" applyBorder="1" applyAlignment="1" applyProtection="1">
      <alignment horizontal="center" wrapText="1"/>
    </xf>
    <xf numFmtId="1" fontId="9" fillId="29" borderId="12" xfId="0" applyNumberFormat="1" applyFont="1" applyFill="1" applyBorder="1" applyAlignment="1" applyProtection="1">
      <alignment horizontal="center" wrapText="1"/>
    </xf>
    <xf numFmtId="2" fontId="40" fillId="54" borderId="12" xfId="0" applyNumberFormat="1" applyFont="1" applyFill="1" applyBorder="1" applyAlignment="1" applyProtection="1">
      <alignment horizontal="center" wrapText="1"/>
    </xf>
    <xf numFmtId="2" fontId="40" fillId="54" borderId="15" xfId="0" applyNumberFormat="1" applyFont="1" applyFill="1" applyBorder="1" applyAlignment="1" applyProtection="1">
      <alignment horizontal="center" wrapText="1"/>
    </xf>
    <xf numFmtId="2" fontId="40" fillId="0" borderId="12" xfId="0" applyNumberFormat="1" applyFont="1" applyFill="1" applyBorder="1" applyAlignment="1" applyProtection="1">
      <alignment horizontal="center"/>
    </xf>
    <xf numFmtId="2" fontId="40" fillId="23" borderId="18" xfId="0" applyNumberFormat="1" applyFont="1" applyFill="1" applyBorder="1" applyAlignment="1" applyProtection="1">
      <alignment horizontal="center"/>
    </xf>
    <xf numFmtId="2" fontId="9" fillId="29" borderId="12" xfId="0" applyNumberFormat="1" applyFont="1" applyFill="1" applyBorder="1" applyAlignment="1" applyProtection="1">
      <alignment horizontal="center"/>
    </xf>
    <xf numFmtId="2" fontId="9" fillId="29" borderId="18" xfId="0" applyNumberFormat="1" applyFont="1" applyFill="1" applyBorder="1" applyAlignment="1" applyProtection="1">
      <alignment horizontal="center"/>
    </xf>
    <xf numFmtId="2" fontId="40" fillId="23" borderId="3" xfId="0" applyNumberFormat="1" applyFont="1" applyFill="1" applyBorder="1" applyAlignment="1" applyProtection="1">
      <alignment horizontal="center"/>
    </xf>
    <xf numFmtId="2" fontId="40" fillId="23" borderId="10" xfId="0" applyNumberFormat="1" applyFont="1" applyFill="1" applyBorder="1" applyAlignment="1" applyProtection="1">
      <alignment horizontal="center"/>
    </xf>
    <xf numFmtId="2" fontId="7" fillId="28" borderId="1" xfId="0" applyNumberFormat="1" applyFont="1" applyFill="1" applyBorder="1" applyAlignment="1" applyProtection="1">
      <alignment horizontal="center"/>
    </xf>
    <xf numFmtId="2" fontId="9" fillId="0" borderId="6" xfId="0" applyNumberFormat="1" applyFont="1" applyFill="1" applyBorder="1" applyAlignment="1" applyProtection="1">
      <alignment horizontal="center"/>
    </xf>
    <xf numFmtId="2" fontId="9" fillId="0" borderId="1" xfId="0" applyNumberFormat="1" applyFont="1" applyFill="1" applyBorder="1" applyAlignment="1" applyProtection="1">
      <alignment horizontal="center"/>
    </xf>
    <xf numFmtId="2" fontId="7" fillId="2" borderId="27" xfId="0" applyNumberFormat="1" applyFont="1" applyFill="1" applyBorder="1" applyAlignment="1" applyProtection="1">
      <alignment horizontal="center"/>
    </xf>
    <xf numFmtId="2" fontId="9" fillId="23" borderId="26" xfId="0" applyNumberFormat="1" applyFont="1" applyFill="1" applyBorder="1" applyAlignment="1" applyProtection="1"/>
    <xf numFmtId="2" fontId="9" fillId="5" borderId="26" xfId="0" applyNumberFormat="1" applyFont="1" applyFill="1" applyBorder="1" applyAlignment="1" applyProtection="1"/>
    <xf numFmtId="2" fontId="9" fillId="28" borderId="26" xfId="0" applyNumberFormat="1" applyFont="1" applyFill="1" applyBorder="1" applyAlignment="1" applyProtection="1"/>
    <xf numFmtId="2" fontId="9" fillId="0" borderId="12" xfId="0" applyNumberFormat="1" applyFont="1" applyBorder="1" applyAlignment="1" applyProtection="1">
      <alignment horizontal="center" vertical="top"/>
    </xf>
    <xf numFmtId="0" fontId="9" fillId="0" borderId="12" xfId="0" applyFont="1" applyBorder="1" applyAlignment="1" applyProtection="1">
      <alignment horizontal="center" vertical="center"/>
    </xf>
    <xf numFmtId="0" fontId="20" fillId="29" borderId="1" xfId="0" applyFont="1" applyFill="1" applyBorder="1" applyAlignment="1" applyProtection="1">
      <alignment horizontal="center" vertical="center"/>
      <protection locked="0"/>
    </xf>
    <xf numFmtId="0" fontId="40" fillId="4" borderId="18" xfId="0" applyFont="1" applyFill="1" applyBorder="1" applyAlignment="1" applyProtection="1">
      <alignment horizontal="left" vertical="top" wrapText="1"/>
    </xf>
    <xf numFmtId="0" fontId="31" fillId="29" borderId="1" xfId="6" applyFont="1" applyFill="1" applyBorder="1" applyAlignment="1" applyProtection="1">
      <alignment horizontal="center" vertical="center" wrapText="1"/>
      <protection locked="0"/>
    </xf>
    <xf numFmtId="2" fontId="0" fillId="0" borderId="1" xfId="0" applyNumberFormat="1" applyFont="1" applyFill="1" applyBorder="1" applyAlignment="1" applyProtection="1">
      <alignment horizontal="center" vertical="center" wrapText="1"/>
    </xf>
    <xf numFmtId="165" fontId="0" fillId="28" borderId="1" xfId="0" applyNumberFormat="1" applyFont="1" applyFill="1" applyBorder="1" applyAlignment="1" applyProtection="1">
      <alignment horizontal="center" vertical="center" wrapText="1"/>
    </xf>
    <xf numFmtId="2" fontId="30" fillId="47" borderId="1" xfId="6" applyNumberFormat="1" applyFont="1" applyFill="1" applyBorder="1" applyAlignment="1" applyProtection="1">
      <alignment horizontal="center" vertical="center" wrapText="1"/>
      <protection locked="0"/>
    </xf>
    <xf numFmtId="2" fontId="31" fillId="28" borderId="1" xfId="6" applyNumberFormat="1" applyFont="1" applyFill="1" applyBorder="1" applyAlignment="1" applyProtection="1">
      <alignment horizontal="center" vertical="center" wrapText="1"/>
      <protection locked="0"/>
    </xf>
    <xf numFmtId="2" fontId="30" fillId="28" borderId="1" xfId="6" applyNumberFormat="1" applyFont="1" applyFill="1" applyBorder="1" applyAlignment="1" applyProtection="1">
      <alignment horizontal="center" vertical="center" wrapText="1"/>
      <protection locked="0"/>
    </xf>
    <xf numFmtId="165" fontId="0" fillId="28" borderId="1" xfId="0" applyNumberFormat="1" applyFont="1" applyFill="1" applyBorder="1" applyAlignment="1" applyProtection="1">
      <alignment horizontal="center" vertical="center" wrapText="1"/>
    </xf>
    <xf numFmtId="2" fontId="31" fillId="28" borderId="1" xfId="6" applyNumberFormat="1" applyFont="1" applyFill="1" applyBorder="1" applyAlignment="1" applyProtection="1">
      <alignment horizontal="center" vertical="center" wrapText="1"/>
      <protection locked="0"/>
    </xf>
    <xf numFmtId="2" fontId="31" fillId="28" borderId="1" xfId="6" applyNumberFormat="1" applyFont="1" applyFill="1" applyBorder="1" applyAlignment="1" applyProtection="1">
      <alignment horizontal="center" vertical="center"/>
      <protection locked="0"/>
    </xf>
    <xf numFmtId="0" fontId="38" fillId="0" borderId="1" xfId="6" applyFont="1" applyFill="1" applyBorder="1" applyAlignment="1" applyProtection="1">
      <alignment horizontal="center" vertical="center" wrapText="1"/>
    </xf>
    <xf numFmtId="2" fontId="31" fillId="28" borderId="1" xfId="6" applyNumberFormat="1" applyFont="1" applyFill="1" applyBorder="1" applyAlignment="1" applyProtection="1">
      <alignment horizontal="center" vertical="center" wrapText="1"/>
      <protection locked="0"/>
    </xf>
    <xf numFmtId="2" fontId="31" fillId="28" borderId="1" xfId="6" applyNumberFormat="1" applyFont="1" applyFill="1" applyBorder="1" applyAlignment="1" applyProtection="1">
      <alignment horizontal="center" vertical="center"/>
      <protection locked="0"/>
    </xf>
    <xf numFmtId="0" fontId="62" fillId="0" borderId="1" xfId="6" applyFont="1" applyBorder="1" applyAlignment="1">
      <alignment horizontal="center" vertical="center" wrapText="1"/>
    </xf>
    <xf numFmtId="0" fontId="31" fillId="0" borderId="1" xfId="6" applyFont="1" applyFill="1" applyBorder="1" applyAlignment="1" applyProtection="1">
      <alignment horizontal="center" vertical="center" wrapText="1"/>
      <protection locked="0"/>
    </xf>
    <xf numFmtId="0" fontId="31" fillId="0" borderId="1" xfId="6" applyFont="1" applyFill="1" applyBorder="1" applyAlignment="1" applyProtection="1">
      <alignment horizontal="center" vertical="center"/>
      <protection locked="0"/>
    </xf>
    <xf numFmtId="0" fontId="30" fillId="0" borderId="1" xfId="6" applyFont="1" applyFill="1" applyBorder="1" applyAlignment="1" applyProtection="1">
      <alignment horizontal="center" vertical="center"/>
      <protection locked="0"/>
    </xf>
    <xf numFmtId="2" fontId="31" fillId="0" borderId="1" xfId="6" applyNumberFormat="1" applyFont="1" applyFill="1" applyBorder="1" applyAlignment="1" applyProtection="1">
      <alignment horizontal="center" vertical="center"/>
      <protection locked="0"/>
    </xf>
    <xf numFmtId="2" fontId="31" fillId="0" borderId="1" xfId="6" applyNumberFormat="1" applyFont="1" applyFill="1" applyBorder="1" applyAlignment="1" applyProtection="1">
      <alignment horizontal="center" vertical="center" wrapText="1"/>
      <protection locked="0"/>
    </xf>
    <xf numFmtId="2" fontId="30" fillId="0" borderId="1" xfId="6" applyNumberFormat="1" applyFont="1" applyFill="1" applyBorder="1" applyAlignment="1" applyProtection="1">
      <alignment horizontal="center" vertical="center"/>
      <protection locked="0"/>
    </xf>
    <xf numFmtId="2" fontId="98" fillId="0" borderId="1" xfId="6" applyNumberFormat="1" applyFont="1" applyFill="1" applyBorder="1" applyAlignment="1" applyProtection="1">
      <alignment horizontal="center" vertical="center"/>
      <protection locked="0"/>
    </xf>
    <xf numFmtId="2" fontId="20" fillId="0" borderId="1" xfId="6" applyNumberFormat="1" applyFont="1" applyFill="1" applyBorder="1" applyAlignment="1" applyProtection="1">
      <alignment horizontal="center" vertical="center" wrapText="1"/>
      <protection locked="0"/>
    </xf>
    <xf numFmtId="2" fontId="20" fillId="0" borderId="1" xfId="6" applyNumberFormat="1" applyFont="1" applyFill="1" applyBorder="1" applyAlignment="1" applyProtection="1">
      <alignment horizontal="center" vertical="center"/>
      <protection locked="0"/>
    </xf>
    <xf numFmtId="2" fontId="98" fillId="0" borderId="1" xfId="6" applyNumberFormat="1" applyFont="1" applyFill="1" applyBorder="1" applyAlignment="1" applyProtection="1">
      <alignment horizontal="center" vertical="center"/>
      <protection locked="0"/>
    </xf>
    <xf numFmtId="2" fontId="98" fillId="0" borderId="1" xfId="6" applyNumberFormat="1" applyFont="1" applyFill="1" applyBorder="1" applyAlignment="1" applyProtection="1">
      <alignment horizontal="center" vertical="justify"/>
      <protection locked="0"/>
    </xf>
    <xf numFmtId="2" fontId="31" fillId="0" borderId="1" xfId="6" applyNumberFormat="1" applyFont="1" applyBorder="1" applyAlignment="1" applyProtection="1">
      <alignment horizontal="center" vertical="center" wrapText="1"/>
      <protection locked="0"/>
    </xf>
    <xf numFmtId="0" fontId="31" fillId="0" borderId="1" xfId="6" applyFont="1" applyBorder="1" applyAlignment="1" applyProtection="1">
      <alignment horizontal="center" vertical="center"/>
      <protection locked="0"/>
    </xf>
    <xf numFmtId="2" fontId="31" fillId="0" borderId="1" xfId="6" applyNumberFormat="1" applyFont="1" applyBorder="1" applyAlignment="1" applyProtection="1">
      <alignment horizontal="center" vertical="center"/>
      <protection locked="0"/>
    </xf>
    <xf numFmtId="2" fontId="98" fillId="0" borderId="1" xfId="6" applyNumberFormat="1" applyFont="1" applyBorder="1" applyAlignment="1" applyProtection="1">
      <alignment vertical="center"/>
      <protection locked="0"/>
    </xf>
    <xf numFmtId="0" fontId="20" fillId="0" borderId="1" xfId="6" applyFont="1" applyBorder="1" applyAlignment="1" applyProtection="1">
      <alignment horizontal="center" vertical="center"/>
      <protection locked="0"/>
    </xf>
    <xf numFmtId="165" fontId="31" fillId="30" borderId="1" xfId="0" applyNumberFormat="1" applyFont="1" applyFill="1" applyBorder="1" applyAlignment="1" applyProtection="1">
      <alignment horizontal="center" vertical="center"/>
      <protection locked="0"/>
    </xf>
    <xf numFmtId="2" fontId="9" fillId="5" borderId="26" xfId="6" applyNumberFormat="1" applyFont="1" applyFill="1" applyBorder="1" applyAlignment="1" applyProtection="1"/>
    <xf numFmtId="0" fontId="31" fillId="0" borderId="1" xfId="6" applyFont="1" applyBorder="1" applyAlignment="1" applyProtection="1">
      <alignment horizontal="center" vertical="center" wrapText="1"/>
      <protection locked="0"/>
    </xf>
    <xf numFmtId="0" fontId="20" fillId="0" borderId="1" xfId="6" applyFont="1" applyBorder="1" applyAlignment="1" applyProtection="1">
      <alignment horizontal="center" vertical="center" wrapText="1"/>
      <protection locked="0"/>
    </xf>
    <xf numFmtId="0" fontId="98" fillId="24" borderId="1" xfId="0" applyFont="1" applyFill="1" applyBorder="1" applyAlignment="1" applyProtection="1">
      <alignment horizontal="center" vertical="center" wrapText="1"/>
      <protection locked="0"/>
    </xf>
    <xf numFmtId="0" fontId="0" fillId="0" borderId="12" xfId="0" applyFont="1" applyBorder="1" applyAlignment="1">
      <alignment horizontal="center"/>
    </xf>
    <xf numFmtId="0" fontId="31" fillId="59" borderId="1" xfId="0" applyFont="1" applyFill="1" applyBorder="1" applyAlignment="1" applyProtection="1">
      <alignment horizontal="center" vertical="center" wrapText="1"/>
      <protection locked="0"/>
    </xf>
    <xf numFmtId="0" fontId="31" fillId="42" borderId="1" xfId="0" applyFont="1" applyFill="1" applyBorder="1" applyAlignment="1" applyProtection="1">
      <alignment horizontal="center" vertical="center"/>
      <protection locked="0"/>
    </xf>
    <xf numFmtId="0" fontId="20" fillId="60" borderId="1" xfId="0" applyFont="1" applyFill="1" applyBorder="1" applyAlignment="1" applyProtection="1">
      <alignment horizontal="center" vertical="center"/>
      <protection locked="0"/>
    </xf>
    <xf numFmtId="0" fontId="20" fillId="28" borderId="1" xfId="0" applyFont="1" applyFill="1" applyBorder="1" applyAlignment="1" applyProtection="1">
      <alignment horizontal="center" vertical="center"/>
      <protection locked="0"/>
    </xf>
    <xf numFmtId="0" fontId="20" fillId="28" borderId="1" xfId="0" applyFont="1" applyFill="1" applyBorder="1" applyAlignment="1" applyProtection="1">
      <alignment horizontal="center" vertical="center" wrapText="1"/>
      <protection locked="0"/>
    </xf>
    <xf numFmtId="0" fontId="0" fillId="2" borderId="18" xfId="0" applyFont="1" applyFill="1" applyBorder="1" applyAlignment="1" applyProtection="1">
      <alignment vertical="top" wrapText="1"/>
    </xf>
    <xf numFmtId="2" fontId="0" fillId="28" borderId="26" xfId="0" applyNumberFormat="1" applyFont="1" applyFill="1" applyBorder="1" applyAlignment="1" applyProtection="1">
      <alignment horizontal="center" vertical="center" wrapText="1"/>
    </xf>
    <xf numFmtId="0" fontId="29" fillId="0" borderId="12" xfId="0" applyFont="1" applyFill="1" applyBorder="1" applyAlignment="1" applyProtection="1">
      <alignment vertical="top" wrapText="1"/>
      <protection locked="0"/>
    </xf>
    <xf numFmtId="0" fontId="40" fillId="0" borderId="18" xfId="0" applyFont="1" applyFill="1" applyBorder="1" applyAlignment="1" applyProtection="1">
      <alignment wrapText="1"/>
    </xf>
    <xf numFmtId="2" fontId="0" fillId="28" borderId="12" xfId="0" applyNumberFormat="1" applyFont="1" applyFill="1" applyBorder="1" applyAlignment="1" applyProtection="1">
      <alignment horizontal="center"/>
    </xf>
    <xf numFmtId="0" fontId="20" fillId="0" borderId="1" xfId="0" applyNumberFormat="1" applyFont="1" applyBorder="1" applyAlignment="1" applyProtection="1">
      <alignment horizontal="center" vertical="center" wrapText="1"/>
      <protection locked="0"/>
    </xf>
    <xf numFmtId="0" fontId="20" fillId="5" borderId="1" xfId="0" applyFont="1" applyFill="1" applyBorder="1" applyAlignment="1">
      <alignment horizontal="center" vertical="center" wrapText="1"/>
    </xf>
    <xf numFmtId="0" fontId="40" fillId="0" borderId="12" xfId="0" applyFont="1" applyBorder="1" applyAlignment="1" applyProtection="1">
      <alignment horizontal="left" vertical="top"/>
      <protection locked="0"/>
    </xf>
    <xf numFmtId="2" fontId="20" fillId="24" borderId="1" xfId="0" applyNumberFormat="1" applyFont="1" applyFill="1" applyBorder="1" applyAlignment="1" applyProtection="1">
      <alignment horizontal="center" vertical="center" wrapText="1"/>
      <protection locked="0"/>
    </xf>
    <xf numFmtId="2" fontId="62" fillId="5" borderId="1" xfId="0" applyNumberFormat="1" applyFont="1" applyFill="1" applyBorder="1" applyAlignment="1" applyProtection="1">
      <alignment horizontal="center" vertical="center" wrapText="1"/>
      <protection locked="0"/>
    </xf>
    <xf numFmtId="0" fontId="62" fillId="24" borderId="1" xfId="0" applyFont="1" applyFill="1" applyBorder="1" applyAlignment="1" applyProtection="1">
      <alignment horizontal="center" vertical="center" wrapText="1"/>
      <protection locked="0"/>
    </xf>
    <xf numFmtId="0" fontId="0" fillId="51" borderId="2" xfId="0" applyFont="1" applyFill="1" applyBorder="1" applyAlignment="1" applyProtection="1">
      <alignment wrapText="1"/>
    </xf>
    <xf numFmtId="0" fontId="62" fillId="61" borderId="1" xfId="0" applyFont="1" applyFill="1" applyBorder="1" applyAlignment="1" applyProtection="1">
      <alignment horizontal="center" vertical="center" wrapText="1" shrinkToFit="1"/>
      <protection locked="0"/>
    </xf>
    <xf numFmtId="0" fontId="20" fillId="35" borderId="1" xfId="0" applyFont="1" applyFill="1" applyBorder="1" applyAlignment="1" applyProtection="1">
      <alignment horizontal="center" vertical="center" wrapText="1"/>
      <protection locked="0"/>
    </xf>
    <xf numFmtId="2" fontId="20" fillId="35" borderId="1" xfId="0" applyNumberFormat="1" applyFont="1" applyFill="1" applyBorder="1" applyAlignment="1" applyProtection="1">
      <alignment horizontal="center" vertical="center" wrapText="1"/>
      <protection locked="0"/>
    </xf>
    <xf numFmtId="0" fontId="40" fillId="2" borderId="12" xfId="0" applyFont="1" applyFill="1" applyBorder="1" applyAlignment="1" applyProtection="1">
      <alignment vertical="top" wrapText="1"/>
      <protection locked="0"/>
    </xf>
    <xf numFmtId="0" fontId="20" fillId="5" borderId="1" xfId="0" applyFont="1" applyFill="1" applyBorder="1" applyAlignment="1" applyProtection="1">
      <alignment horizontal="center" vertical="center"/>
      <protection locked="0"/>
    </xf>
    <xf numFmtId="0" fontId="20" fillId="47" borderId="1" xfId="0" applyFont="1" applyFill="1" applyBorder="1" applyAlignment="1" applyProtection="1">
      <alignment horizontal="center" vertical="center" wrapText="1"/>
      <protection locked="0"/>
    </xf>
    <xf numFmtId="0" fontId="20" fillId="38" borderId="1" xfId="0" applyFont="1" applyFill="1" applyBorder="1" applyAlignment="1" applyProtection="1">
      <alignment horizontal="center" vertical="center" wrapText="1"/>
      <protection locked="0"/>
    </xf>
    <xf numFmtId="49" fontId="7" fillId="28" borderId="1" xfId="0" applyNumberFormat="1" applyFont="1" applyFill="1" applyBorder="1" applyAlignment="1" applyProtection="1">
      <alignment horizontal="left" vertical="center" wrapText="1"/>
      <protection locked="0"/>
    </xf>
    <xf numFmtId="0" fontId="31" fillId="28" borderId="1" xfId="6" applyNumberFormat="1" applyFont="1" applyFill="1" applyBorder="1" applyAlignment="1" applyProtection="1">
      <alignment horizontal="center" vertical="center" wrapText="1"/>
      <protection locked="0"/>
    </xf>
    <xf numFmtId="49" fontId="40" fillId="28" borderId="1" xfId="0" applyNumberFormat="1" applyFont="1" applyFill="1" applyBorder="1" applyAlignment="1" applyProtection="1">
      <alignment horizontal="left" vertical="center" wrapText="1"/>
      <protection locked="0"/>
    </xf>
    <xf numFmtId="0" fontId="62" fillId="0" borderId="1" xfId="6" applyFont="1" applyBorder="1" applyAlignment="1">
      <alignment horizontal="center" vertical="center" wrapText="1"/>
    </xf>
    <xf numFmtId="0" fontId="62" fillId="0" borderId="0" xfId="0" applyFont="1" applyFill="1" applyBorder="1" applyAlignment="1" applyProtection="1">
      <alignment horizontal="center" vertical="center"/>
      <protection locked="0"/>
    </xf>
    <xf numFmtId="0" fontId="0" fillId="0" borderId="0" xfId="0" applyFont="1" applyFill="1" applyBorder="1" applyAlignment="1" applyProtection="1">
      <protection locked="0"/>
    </xf>
    <xf numFmtId="0" fontId="7" fillId="28" borderId="12" xfId="0" applyFont="1" applyFill="1" applyBorder="1" applyAlignment="1" applyProtection="1">
      <alignment vertical="top" wrapText="1"/>
      <protection locked="0"/>
    </xf>
    <xf numFmtId="0" fontId="62" fillId="0" borderId="1" xfId="0" applyFont="1" applyBorder="1" applyAlignment="1" applyProtection="1">
      <alignment horizontal="center" vertical="center" wrapText="1"/>
      <protection locked="0"/>
    </xf>
    <xf numFmtId="0" fontId="7" fillId="32" borderId="12" xfId="0" applyFont="1" applyFill="1" applyBorder="1" applyAlignment="1" applyProtection="1">
      <alignment vertical="top" wrapText="1"/>
      <protection locked="0"/>
    </xf>
    <xf numFmtId="0" fontId="20" fillId="5" borderId="1" xfId="4" applyFont="1" applyFill="1" applyBorder="1" applyAlignment="1" applyProtection="1">
      <alignment horizontal="center" vertical="center" wrapText="1"/>
      <protection locked="0"/>
    </xf>
    <xf numFmtId="0" fontId="7" fillId="5" borderId="1" xfId="0" applyFont="1" applyFill="1" applyBorder="1" applyAlignment="1" applyProtection="1">
      <alignment vertical="top" wrapText="1"/>
      <protection locked="0"/>
    </xf>
    <xf numFmtId="0" fontId="7" fillId="23" borderId="12" xfId="0" applyFont="1" applyFill="1" applyBorder="1" applyAlignment="1" applyProtection="1">
      <alignment vertical="top" wrapText="1"/>
      <protection locked="0"/>
    </xf>
    <xf numFmtId="0" fontId="40" fillId="43" borderId="22" xfId="0" applyFont="1" applyFill="1" applyBorder="1" applyAlignment="1" applyProtection="1">
      <alignment horizontal="left" vertical="top"/>
      <protection locked="0"/>
    </xf>
    <xf numFmtId="0" fontId="40" fillId="23" borderId="12" xfId="0" applyFont="1" applyFill="1" applyBorder="1" applyAlignment="1" applyProtection="1">
      <alignment horizontal="left" vertical="top"/>
      <protection locked="0"/>
    </xf>
    <xf numFmtId="0" fontId="7" fillId="23" borderId="18" xfId="0" applyFont="1" applyFill="1" applyBorder="1" applyAlignment="1" applyProtection="1">
      <alignment vertical="top" wrapText="1"/>
      <protection locked="0"/>
    </xf>
    <xf numFmtId="0" fontId="40" fillId="2" borderId="12" xfId="0" applyFont="1" applyFill="1" applyBorder="1" applyAlignment="1" applyProtection="1">
      <alignment horizontal="left" vertical="top"/>
      <protection locked="0"/>
    </xf>
    <xf numFmtId="0" fontId="7" fillId="2" borderId="12" xfId="0" applyFont="1" applyFill="1" applyBorder="1" applyAlignment="1" applyProtection="1">
      <alignment horizontal="left" vertical="top"/>
      <protection locked="0"/>
    </xf>
    <xf numFmtId="0" fontId="40" fillId="23" borderId="12" xfId="0" applyFont="1" applyFill="1" applyBorder="1" applyAlignment="1" applyProtection="1">
      <alignment vertical="top" wrapText="1"/>
      <protection locked="0"/>
    </xf>
    <xf numFmtId="0" fontId="40" fillId="23" borderId="12" xfId="0" applyFont="1" applyFill="1" applyBorder="1" applyAlignment="1" applyProtection="1">
      <alignment horizontal="left" vertical="top" wrapText="1"/>
      <protection locked="0"/>
    </xf>
    <xf numFmtId="0" fontId="40" fillId="23" borderId="15" xfId="0" applyFont="1" applyFill="1" applyBorder="1" applyAlignment="1" applyProtection="1">
      <alignment horizontal="left" vertical="top" wrapText="1"/>
      <protection locked="0"/>
    </xf>
    <xf numFmtId="0" fontId="7" fillId="23" borderId="15" xfId="0" applyFont="1" applyFill="1" applyBorder="1" applyAlignment="1" applyProtection="1">
      <alignment vertical="top" wrapText="1"/>
      <protection locked="0"/>
    </xf>
    <xf numFmtId="16" fontId="40" fillId="23" borderId="12" xfId="0" applyNumberFormat="1" applyFont="1" applyFill="1" applyBorder="1" applyAlignment="1" applyProtection="1">
      <alignment horizontal="left" vertical="top"/>
      <protection locked="0"/>
    </xf>
    <xf numFmtId="0" fontId="7" fillId="52" borderId="3" xfId="0" applyFont="1" applyFill="1" applyBorder="1" applyAlignment="1" applyProtection="1">
      <alignment horizontal="left" vertical="top"/>
      <protection locked="0"/>
    </xf>
    <xf numFmtId="10" fontId="40" fillId="23" borderId="27" xfId="0" applyNumberFormat="1" applyFont="1" applyFill="1" applyBorder="1" applyAlignment="1" applyProtection="1">
      <alignment horizontal="left" vertical="top"/>
      <protection locked="0"/>
    </xf>
    <xf numFmtId="10" fontId="7" fillId="23" borderId="27" xfId="0" applyNumberFormat="1" applyFont="1" applyFill="1" applyBorder="1" applyAlignment="1" applyProtection="1">
      <alignment horizontal="left" vertical="top" wrapText="1"/>
      <protection locked="0"/>
    </xf>
    <xf numFmtId="0" fontId="7" fillId="2" borderId="12" xfId="0" applyFont="1" applyFill="1" applyBorder="1" applyAlignment="1" applyProtection="1">
      <alignment vertical="top" wrapText="1"/>
      <protection locked="0"/>
    </xf>
    <xf numFmtId="0" fontId="7" fillId="62" borderId="14" xfId="0" applyFont="1" applyFill="1" applyBorder="1" applyAlignment="1" applyProtection="1">
      <alignment vertical="top" wrapText="1"/>
      <protection locked="0"/>
    </xf>
    <xf numFmtId="2" fontId="20" fillId="42" borderId="1" xfId="0" applyNumberFormat="1" applyFont="1" applyFill="1" applyBorder="1" applyAlignment="1" applyProtection="1">
      <alignment horizontal="center" vertical="center" wrapText="1"/>
      <protection locked="0"/>
    </xf>
    <xf numFmtId="2" fontId="20" fillId="29" borderId="1" xfId="0" applyNumberFormat="1" applyFont="1" applyFill="1" applyBorder="1" applyAlignment="1" applyProtection="1">
      <alignment horizontal="center" vertical="center" wrapText="1"/>
      <protection locked="0"/>
    </xf>
    <xf numFmtId="2" fontId="20" fillId="47" borderId="1" xfId="6" applyNumberFormat="1" applyFont="1" applyFill="1" applyBorder="1" applyAlignment="1" applyProtection="1">
      <alignment horizontal="center" vertical="center" wrapText="1"/>
      <protection locked="0"/>
    </xf>
    <xf numFmtId="49" fontId="40" fillId="28" borderId="4" xfId="0" applyNumberFormat="1" applyFont="1" applyFill="1" applyBorder="1" applyAlignment="1" applyProtection="1">
      <alignment vertical="center" wrapText="1"/>
      <protection locked="0"/>
    </xf>
    <xf numFmtId="0" fontId="40" fillId="28" borderId="12" xfId="0" applyFont="1" applyFill="1" applyBorder="1" applyAlignment="1" applyProtection="1">
      <alignment vertical="top" wrapText="1"/>
      <protection locked="0"/>
    </xf>
    <xf numFmtId="0" fontId="7" fillId="0" borderId="1" xfId="0" applyFont="1" applyBorder="1" applyAlignment="1" applyProtection="1">
      <alignment vertical="top" wrapText="1"/>
      <protection locked="0"/>
    </xf>
    <xf numFmtId="0" fontId="7" fillId="0" borderId="26" xfId="0" applyFont="1" applyBorder="1" applyAlignment="1" applyProtection="1">
      <alignment vertical="top" wrapText="1"/>
      <protection locked="0"/>
    </xf>
    <xf numFmtId="0" fontId="7" fillId="0" borderId="1" xfId="0" applyFont="1" applyFill="1" applyBorder="1" applyAlignment="1" applyProtection="1">
      <alignment vertical="top" wrapText="1"/>
      <protection locked="0"/>
    </xf>
    <xf numFmtId="0" fontId="7" fillId="0" borderId="26" xfId="0" applyFont="1" applyFill="1" applyBorder="1" applyAlignment="1" applyProtection="1">
      <alignment vertical="top" wrapText="1"/>
      <protection locked="0"/>
    </xf>
    <xf numFmtId="0" fontId="9" fillId="0" borderId="12" xfId="0" applyFont="1" applyBorder="1" applyAlignment="1" applyProtection="1">
      <alignment vertical="top" wrapText="1"/>
      <protection locked="0"/>
    </xf>
    <xf numFmtId="49" fontId="40" fillId="28" borderId="1" xfId="0" applyNumberFormat="1" applyFont="1" applyFill="1" applyBorder="1" applyAlignment="1" applyProtection="1">
      <alignment vertical="center" wrapText="1"/>
      <protection locked="0"/>
    </xf>
    <xf numFmtId="2" fontId="20" fillId="63" borderId="1" xfId="6" applyNumberFormat="1" applyFont="1" applyFill="1" applyBorder="1" applyAlignment="1" applyProtection="1">
      <alignment horizontal="center" vertical="center" wrapText="1"/>
      <protection locked="0"/>
    </xf>
    <xf numFmtId="2" fontId="20" fillId="64" borderId="1" xfId="6" applyNumberFormat="1" applyFont="1" applyFill="1" applyBorder="1" applyAlignment="1" applyProtection="1">
      <alignment horizontal="center" vertical="center" wrapText="1"/>
      <protection locked="0"/>
    </xf>
    <xf numFmtId="0" fontId="20" fillId="65" borderId="1" xfId="6" applyNumberFormat="1" applyFont="1" applyFill="1" applyBorder="1" applyAlignment="1" applyProtection="1">
      <alignment horizontal="center" vertical="center" wrapText="1"/>
      <protection locked="0"/>
    </xf>
    <xf numFmtId="2" fontId="20" fillId="63" borderId="1" xfId="0" applyNumberFormat="1" applyFont="1" applyFill="1" applyBorder="1" applyAlignment="1" applyProtection="1">
      <alignment horizontal="center" vertical="center" wrapText="1"/>
      <protection locked="0"/>
    </xf>
    <xf numFmtId="2" fontId="20" fillId="64" borderId="1" xfId="0" applyNumberFormat="1" applyFont="1" applyFill="1" applyBorder="1" applyAlignment="1" applyProtection="1">
      <alignment horizontal="center" vertical="center" wrapText="1"/>
      <protection locked="0"/>
    </xf>
    <xf numFmtId="2" fontId="20" fillId="47" borderId="1" xfId="0" applyNumberFormat="1" applyFont="1" applyFill="1" applyBorder="1" applyAlignment="1" applyProtection="1">
      <alignment horizontal="center" vertical="center" wrapText="1"/>
      <protection locked="0"/>
    </xf>
    <xf numFmtId="0" fontId="20" fillId="64" borderId="1" xfId="6" applyNumberFormat="1" applyFont="1" applyFill="1" applyBorder="1" applyAlignment="1" applyProtection="1">
      <alignment horizontal="center" vertical="center" wrapText="1"/>
      <protection locked="0"/>
    </xf>
    <xf numFmtId="2" fontId="20" fillId="28" borderId="1" xfId="6" applyNumberFormat="1" applyFont="1" applyFill="1" applyBorder="1" applyAlignment="1" applyProtection="1">
      <alignment horizontal="center" vertical="center"/>
      <protection locked="0"/>
    </xf>
    <xf numFmtId="49" fontId="40" fillId="44" borderId="23" xfId="0" applyNumberFormat="1" applyFont="1" applyFill="1" applyBorder="1" applyAlignment="1" applyProtection="1">
      <alignment horizontal="left" vertical="center" wrapText="1"/>
      <protection locked="0"/>
    </xf>
    <xf numFmtId="0" fontId="7" fillId="44" borderId="26" xfId="0" applyFont="1" applyFill="1" applyBorder="1" applyAlignment="1" applyProtection="1">
      <alignment vertical="center" wrapText="1"/>
      <protection locked="0"/>
    </xf>
    <xf numFmtId="2" fontId="0" fillId="44" borderId="1" xfId="0" applyNumberFormat="1" applyFont="1" applyFill="1" applyBorder="1" applyAlignment="1" applyProtection="1">
      <alignment horizontal="center" vertical="center" wrapText="1"/>
    </xf>
    <xf numFmtId="2" fontId="31" fillId="44" borderId="1" xfId="6" applyNumberFormat="1" applyFont="1" applyFill="1" applyBorder="1" applyAlignment="1" applyProtection="1">
      <alignment horizontal="center" vertical="center"/>
      <protection locked="0"/>
    </xf>
    <xf numFmtId="0" fontId="31" fillId="44" borderId="1" xfId="6" applyFont="1" applyFill="1" applyBorder="1" applyAlignment="1" applyProtection="1">
      <alignment horizontal="center" vertical="center"/>
      <protection locked="0"/>
    </xf>
    <xf numFmtId="2" fontId="31" fillId="44" borderId="1" xfId="6" applyNumberFormat="1" applyFont="1" applyFill="1" applyBorder="1" applyAlignment="1" applyProtection="1">
      <alignment horizontal="center" vertical="center" wrapText="1"/>
      <protection locked="0"/>
    </xf>
    <xf numFmtId="2" fontId="98" fillId="44" borderId="1" xfId="6" applyNumberFormat="1" applyFont="1" applyFill="1" applyBorder="1" applyAlignment="1" applyProtection="1">
      <alignment vertical="center"/>
      <protection locked="0"/>
    </xf>
    <xf numFmtId="0" fontId="20" fillId="44" borderId="1" xfId="6" applyFont="1" applyFill="1" applyBorder="1" applyAlignment="1" applyProtection="1">
      <alignment horizontal="center" vertical="center"/>
      <protection locked="0"/>
    </xf>
    <xf numFmtId="49" fontId="62" fillId="44" borderId="0" xfId="0" applyNumberFormat="1" applyFont="1" applyFill="1" applyBorder="1" applyAlignment="1" applyProtection="1">
      <alignment horizontal="center" vertical="center" wrapText="1"/>
      <protection locked="0"/>
    </xf>
    <xf numFmtId="49" fontId="0" fillId="44" borderId="0" xfId="0" applyNumberFormat="1" applyFont="1" applyFill="1" applyBorder="1" applyAlignment="1" applyProtection="1">
      <alignment wrapText="1"/>
      <protection locked="0"/>
    </xf>
    <xf numFmtId="49" fontId="0" fillId="44" borderId="4" xfId="0" applyNumberFormat="1" applyFont="1" applyFill="1" applyBorder="1" applyAlignment="1" applyProtection="1">
      <alignment wrapText="1"/>
      <protection locked="0"/>
    </xf>
    <xf numFmtId="49" fontId="0" fillId="44" borderId="1" xfId="0" applyNumberFormat="1" applyFont="1" applyFill="1" applyBorder="1" applyAlignment="1" applyProtection="1">
      <alignment wrapText="1"/>
      <protection locked="0"/>
    </xf>
    <xf numFmtId="9" fontId="38" fillId="0" borderId="0" xfId="7" applyFont="1" applyAlignment="1">
      <alignment horizontal="center"/>
    </xf>
    <xf numFmtId="9" fontId="20" fillId="0" borderId="1" xfId="6" applyNumberFormat="1" applyFont="1" applyBorder="1" applyAlignment="1" applyProtection="1">
      <alignment horizontal="center" vertical="center"/>
      <protection locked="0"/>
    </xf>
    <xf numFmtId="2" fontId="31" fillId="24" borderId="1" xfId="6" applyNumberFormat="1" applyFont="1" applyFill="1" applyBorder="1" applyAlignment="1" applyProtection="1">
      <alignment horizontal="center" vertical="center"/>
      <protection locked="0"/>
    </xf>
    <xf numFmtId="0" fontId="31" fillId="24" borderId="1" xfId="6" applyFont="1" applyFill="1" applyBorder="1" applyAlignment="1" applyProtection="1">
      <alignment horizontal="center" vertical="center"/>
      <protection locked="0"/>
    </xf>
    <xf numFmtId="2" fontId="31" fillId="24" borderId="1" xfId="6" applyNumberFormat="1" applyFont="1" applyFill="1" applyBorder="1" applyAlignment="1" applyProtection="1">
      <alignment horizontal="center" vertical="center" wrapText="1"/>
      <protection locked="0"/>
    </xf>
    <xf numFmtId="2" fontId="98" fillId="24" borderId="1" xfId="6" applyNumberFormat="1" applyFont="1" applyFill="1" applyBorder="1" applyAlignment="1" applyProtection="1">
      <alignment vertical="center"/>
      <protection locked="0"/>
    </xf>
    <xf numFmtId="2" fontId="20" fillId="24" borderId="1" xfId="6" applyNumberFormat="1" applyFont="1" applyFill="1" applyBorder="1" applyAlignment="1" applyProtection="1">
      <alignment horizontal="center" vertical="center"/>
      <protection locked="0"/>
    </xf>
    <xf numFmtId="49" fontId="62" fillId="24" borderId="0" xfId="0" applyNumberFormat="1" applyFont="1" applyFill="1" applyBorder="1" applyAlignment="1" applyProtection="1">
      <alignment horizontal="center" vertical="center" wrapText="1"/>
      <protection locked="0"/>
    </xf>
    <xf numFmtId="49" fontId="0" fillId="24" borderId="0" xfId="0" applyNumberFormat="1" applyFont="1" applyFill="1" applyBorder="1" applyAlignment="1" applyProtection="1">
      <alignment wrapText="1"/>
      <protection locked="0"/>
    </xf>
    <xf numFmtId="49" fontId="40" fillId="44" borderId="30" xfId="0" applyNumberFormat="1" applyFont="1" applyFill="1" applyBorder="1" applyAlignment="1" applyProtection="1">
      <alignment horizontal="left" vertical="center" wrapText="1"/>
      <protection locked="0"/>
    </xf>
    <xf numFmtId="0" fontId="29" fillId="44" borderId="31" xfId="0" applyFont="1" applyFill="1" applyBorder="1" applyAlignment="1" applyProtection="1">
      <alignment vertical="center" wrapText="1"/>
      <protection locked="0"/>
    </xf>
    <xf numFmtId="2" fontId="31" fillId="44" borderId="3" xfId="6" applyNumberFormat="1" applyFont="1" applyFill="1" applyBorder="1" applyAlignment="1" applyProtection="1">
      <alignment horizontal="center" vertical="center"/>
      <protection locked="0"/>
    </xf>
    <xf numFmtId="0" fontId="31" fillId="44" borderId="3" xfId="6" applyFont="1" applyFill="1" applyBorder="1" applyAlignment="1" applyProtection="1">
      <alignment horizontal="center" vertical="center"/>
      <protection locked="0"/>
    </xf>
    <xf numFmtId="2" fontId="31" fillId="44" borderId="3" xfId="6" applyNumberFormat="1" applyFont="1" applyFill="1" applyBorder="1" applyAlignment="1" applyProtection="1">
      <alignment horizontal="center" vertical="center" wrapText="1"/>
      <protection locked="0"/>
    </xf>
    <xf numFmtId="2" fontId="98" fillId="44" borderId="3" xfId="6" applyNumberFormat="1" applyFont="1" applyFill="1" applyBorder="1" applyAlignment="1" applyProtection="1">
      <alignment vertical="center"/>
      <protection locked="0"/>
    </xf>
    <xf numFmtId="2" fontId="20" fillId="44" borderId="3" xfId="6" applyNumberFormat="1" applyFont="1" applyFill="1" applyBorder="1" applyAlignment="1" applyProtection="1">
      <alignment horizontal="center" vertical="center"/>
      <protection locked="0"/>
    </xf>
    <xf numFmtId="49" fontId="0" fillId="44" borderId="8" xfId="0" applyNumberFormat="1" applyFont="1" applyFill="1" applyBorder="1" applyAlignment="1" applyProtection="1">
      <alignment wrapText="1"/>
      <protection locked="0"/>
    </xf>
    <xf numFmtId="49" fontId="0" fillId="44" borderId="3" xfId="0" applyNumberFormat="1" applyFont="1" applyFill="1" applyBorder="1" applyAlignment="1" applyProtection="1">
      <alignment wrapText="1"/>
      <protection locked="0"/>
    </xf>
    <xf numFmtId="0" fontId="30" fillId="3" borderId="6" xfId="0" applyFont="1" applyFill="1" applyBorder="1" applyAlignment="1" applyProtection="1">
      <alignment horizontal="center" vertical="center"/>
      <protection locked="0"/>
    </xf>
    <xf numFmtId="49" fontId="40" fillId="24" borderId="30" xfId="0" applyNumberFormat="1" applyFont="1" applyFill="1" applyBorder="1" applyAlignment="1" applyProtection="1">
      <alignment horizontal="left" vertical="center" wrapText="1"/>
      <protection locked="0"/>
    </xf>
    <xf numFmtId="2" fontId="0" fillId="24" borderId="3" xfId="0" applyNumberFormat="1" applyFont="1" applyFill="1" applyBorder="1" applyAlignment="1" applyProtection="1">
      <alignment horizontal="center" vertical="center" wrapText="1"/>
    </xf>
    <xf numFmtId="49" fontId="0" fillId="24" borderId="8" xfId="0" applyNumberFormat="1" applyFont="1" applyFill="1" applyBorder="1" applyAlignment="1" applyProtection="1">
      <alignment wrapText="1"/>
      <protection locked="0"/>
    </xf>
    <xf numFmtId="49" fontId="0" fillId="24" borderId="3" xfId="0" applyNumberFormat="1" applyFont="1" applyFill="1" applyBorder="1" applyAlignment="1" applyProtection="1">
      <alignment wrapText="1"/>
      <protection locked="0"/>
    </xf>
    <xf numFmtId="0" fontId="40" fillId="0" borderId="27" xfId="0" applyFont="1" applyBorder="1" applyAlignment="1" applyProtection="1">
      <alignment vertical="top" wrapText="1"/>
      <protection locked="0"/>
    </xf>
    <xf numFmtId="0" fontId="20" fillId="42" borderId="1" xfId="0" applyFont="1" applyFill="1" applyBorder="1" applyAlignment="1" applyProtection="1">
      <alignment horizontal="center" vertical="center" wrapText="1"/>
      <protection locked="0"/>
    </xf>
    <xf numFmtId="0" fontId="40" fillId="35" borderId="12" xfId="0" applyFont="1" applyFill="1" applyBorder="1" applyAlignment="1" applyProtection="1">
      <alignment horizontal="left" vertical="top"/>
      <protection locked="0"/>
    </xf>
    <xf numFmtId="0" fontId="0" fillId="0" borderId="0" xfId="0" applyFont="1" applyFill="1" applyBorder="1" applyAlignment="1" applyProtection="1">
      <protection locked="0"/>
    </xf>
    <xf numFmtId="0" fontId="0" fillId="24" borderId="0" xfId="0" applyFont="1" applyFill="1" applyAlignment="1" applyProtection="1">
      <protection locked="0"/>
    </xf>
    <xf numFmtId="0" fontId="20" fillId="35" borderId="1" xfId="0" applyFont="1" applyFill="1" applyBorder="1" applyAlignment="1" applyProtection="1">
      <alignment horizontal="center" vertical="center" shrinkToFit="1"/>
      <protection locked="0"/>
    </xf>
    <xf numFmtId="2" fontId="62" fillId="0" borderId="1" xfId="0" applyNumberFormat="1" applyFont="1" applyBorder="1" applyAlignment="1" applyProtection="1">
      <alignment horizontal="center" vertical="center" wrapText="1"/>
      <protection locked="0"/>
    </xf>
    <xf numFmtId="0" fontId="44" fillId="22" borderId="12" xfId="0" applyFont="1" applyFill="1" applyBorder="1" applyAlignment="1" applyProtection="1">
      <alignment vertical="top" wrapText="1"/>
      <protection locked="0"/>
    </xf>
    <xf numFmtId="0" fontId="7" fillId="24" borderId="1" xfId="0" applyFont="1" applyFill="1" applyBorder="1" applyAlignment="1" applyProtection="1">
      <alignment vertical="top" wrapText="1"/>
      <protection locked="0"/>
    </xf>
    <xf numFmtId="0" fontId="10" fillId="2" borderId="12" xfId="0" applyFont="1" applyFill="1" applyBorder="1" applyAlignment="1" applyProtection="1">
      <alignment vertical="top" wrapText="1"/>
      <protection locked="0"/>
    </xf>
    <xf numFmtId="2" fontId="75" fillId="34" borderId="12" xfId="0" applyNumberFormat="1" applyFont="1" applyFill="1" applyBorder="1" applyAlignment="1" applyProtection="1">
      <alignment horizontal="center"/>
    </xf>
    <xf numFmtId="0" fontId="40" fillId="28" borderId="1" xfId="0" applyFont="1" applyFill="1" applyBorder="1" applyAlignment="1" applyProtection="1">
      <alignment vertical="top" wrapText="1"/>
      <protection locked="0"/>
    </xf>
    <xf numFmtId="0" fontId="9" fillId="0" borderId="3" xfId="0" applyFont="1" applyBorder="1" applyAlignment="1" applyProtection="1">
      <alignment vertical="top" wrapText="1"/>
      <protection locked="0"/>
    </xf>
    <xf numFmtId="0" fontId="9" fillId="24" borderId="1" xfId="0" applyFont="1" applyFill="1" applyBorder="1" applyAlignment="1" applyProtection="1">
      <alignment vertical="top" wrapText="1"/>
      <protection locked="0"/>
    </xf>
    <xf numFmtId="1" fontId="62" fillId="0" borderId="1" xfId="0" applyNumberFormat="1" applyFont="1" applyBorder="1" applyAlignment="1" applyProtection="1">
      <alignment horizontal="center" vertical="center" wrapText="1"/>
      <protection locked="0"/>
    </xf>
    <xf numFmtId="2" fontId="62" fillId="5" borderId="1" xfId="4" applyNumberFormat="1" applyFont="1" applyFill="1" applyBorder="1" applyAlignment="1" applyProtection="1">
      <alignment horizontal="center" vertical="center" wrapText="1"/>
      <protection locked="0"/>
    </xf>
    <xf numFmtId="0" fontId="61" fillId="0" borderId="1" xfId="0" applyFont="1" applyBorder="1" applyAlignment="1">
      <alignment horizontal="center" vertical="center" wrapText="1"/>
    </xf>
    <xf numFmtId="0" fontId="40" fillId="0" borderId="0" xfId="0" applyFont="1" applyBorder="1" applyAlignment="1" applyProtection="1">
      <alignment horizontal="left" vertical="top" wrapText="1"/>
      <protection locked="0"/>
    </xf>
    <xf numFmtId="0" fontId="29" fillId="24" borderId="0" xfId="0" applyFont="1" applyFill="1" applyBorder="1" applyAlignment="1" applyProtection="1">
      <alignment vertical="top" wrapText="1"/>
      <protection locked="0"/>
    </xf>
    <xf numFmtId="2" fontId="0" fillId="0" borderId="0" xfId="0" applyNumberFormat="1" applyFont="1" applyBorder="1" applyAlignment="1" applyProtection="1">
      <alignment horizontal="center" vertical="top"/>
    </xf>
    <xf numFmtId="2" fontId="40" fillId="66" borderId="12" xfId="0" applyNumberFormat="1" applyFont="1" applyFill="1" applyBorder="1" applyAlignment="1" applyProtection="1">
      <alignment horizontal="center" vertical="center"/>
    </xf>
    <xf numFmtId="2" fontId="0" fillId="34" borderId="12" xfId="0" applyNumberFormat="1" applyFont="1" applyFill="1" applyBorder="1" applyAlignment="1" applyProtection="1">
      <alignment horizontal="center"/>
    </xf>
    <xf numFmtId="165" fontId="9" fillId="24" borderId="12" xfId="0" applyNumberFormat="1" applyFont="1" applyFill="1" applyBorder="1" applyAlignment="1" applyProtection="1">
      <alignment horizontal="center"/>
    </xf>
    <xf numFmtId="165" fontId="9" fillId="24" borderId="18" xfId="0" applyNumberFormat="1" applyFont="1" applyFill="1" applyBorder="1" applyAlignment="1" applyProtection="1">
      <alignment horizontal="center"/>
    </xf>
    <xf numFmtId="2" fontId="0" fillId="34" borderId="18" xfId="0" applyNumberFormat="1" applyFont="1" applyFill="1" applyBorder="1" applyAlignment="1" applyProtection="1">
      <alignment horizontal="center"/>
    </xf>
    <xf numFmtId="0" fontId="40" fillId="24" borderId="18" xfId="0" applyFont="1" applyFill="1" applyBorder="1" applyAlignment="1" applyProtection="1">
      <alignment horizontal="left" vertical="top"/>
      <protection locked="0"/>
    </xf>
    <xf numFmtId="165" fontId="0" fillId="30" borderId="12" xfId="0" applyNumberFormat="1" applyFont="1" applyFill="1" applyBorder="1" applyAlignment="1" applyProtection="1">
      <alignment horizontal="center"/>
    </xf>
    <xf numFmtId="165" fontId="0" fillId="30" borderId="12" xfId="0" applyNumberFormat="1" applyFont="1" applyFill="1" applyBorder="1" applyAlignment="1" applyProtection="1">
      <alignment horizontal="center"/>
    </xf>
    <xf numFmtId="165" fontId="0" fillId="24" borderId="12" xfId="0" applyNumberFormat="1" applyFont="1" applyFill="1" applyBorder="1" applyAlignment="1" applyProtection="1">
      <alignment horizontal="center"/>
    </xf>
    <xf numFmtId="0" fontId="7" fillId="24" borderId="12" xfId="0" applyFont="1" applyFill="1" applyBorder="1" applyAlignment="1" applyProtection="1">
      <alignment vertical="top" wrapText="1"/>
      <protection locked="0"/>
    </xf>
    <xf numFmtId="165" fontId="0" fillId="24" borderId="18" xfId="0" applyNumberFormat="1" applyFont="1" applyFill="1" applyBorder="1" applyAlignment="1" applyProtection="1">
      <alignment horizontal="center"/>
    </xf>
    <xf numFmtId="2" fontId="9" fillId="24" borderId="12" xfId="0" applyNumberFormat="1" applyFont="1" applyFill="1" applyBorder="1" applyAlignment="1" applyProtection="1">
      <alignment horizontal="center" wrapText="1"/>
    </xf>
    <xf numFmtId="2" fontId="9" fillId="24" borderId="18" xfId="0" applyNumberFormat="1" applyFont="1" applyFill="1" applyBorder="1" applyAlignment="1" applyProtection="1">
      <alignment horizontal="center" wrapText="1"/>
    </xf>
    <xf numFmtId="2" fontId="9" fillId="30" borderId="18" xfId="0" applyNumberFormat="1" applyFont="1" applyFill="1" applyBorder="1" applyAlignment="1" applyProtection="1">
      <alignment horizontal="center" wrapText="1"/>
    </xf>
    <xf numFmtId="2" fontId="0" fillId="30" borderId="18" xfId="0" applyNumberFormat="1" applyFont="1" applyFill="1" applyBorder="1" applyAlignment="1" applyProtection="1">
      <alignment horizontal="center"/>
    </xf>
    <xf numFmtId="2" fontId="0" fillId="24" borderId="18" xfId="0" applyNumberFormat="1" applyFont="1" applyFill="1" applyBorder="1" applyAlignment="1" applyProtection="1">
      <alignment horizontal="center" vertical="center"/>
    </xf>
    <xf numFmtId="2" fontId="0" fillId="24" borderId="12" xfId="0" applyNumberFormat="1" applyFont="1" applyFill="1" applyBorder="1" applyAlignment="1">
      <alignment horizontal="center"/>
    </xf>
    <xf numFmtId="2" fontId="9" fillId="24" borderId="12" xfId="0" applyNumberFormat="1" applyFont="1" applyFill="1" applyBorder="1" applyAlignment="1">
      <alignment horizontal="center"/>
    </xf>
    <xf numFmtId="2" fontId="49" fillId="24" borderId="12" xfId="0" applyNumberFormat="1" applyFont="1" applyFill="1" applyBorder="1" applyAlignment="1">
      <alignment horizontal="center"/>
    </xf>
    <xf numFmtId="165" fontId="0" fillId="30" borderId="12" xfId="0" applyNumberFormat="1" applyFont="1" applyFill="1" applyBorder="1" applyAlignment="1" applyProtection="1">
      <alignment horizontal="center" vertical="center"/>
    </xf>
    <xf numFmtId="165" fontId="0" fillId="30" borderId="18" xfId="0" applyNumberFormat="1" applyFont="1" applyFill="1" applyBorder="1" applyAlignment="1" applyProtection="1">
      <alignment horizontal="center" vertical="center"/>
    </xf>
    <xf numFmtId="0" fontId="7" fillId="35" borderId="12" xfId="0" applyFont="1" applyFill="1" applyBorder="1" applyAlignment="1" applyProtection="1">
      <alignment vertical="top" wrapText="1"/>
      <protection locked="0"/>
    </xf>
    <xf numFmtId="165" fontId="0" fillId="30" borderId="12" xfId="0" applyNumberFormat="1" applyFont="1" applyFill="1" applyBorder="1" applyAlignment="1" applyProtection="1">
      <alignment horizontal="center" vertical="center"/>
    </xf>
    <xf numFmtId="0" fontId="111" fillId="24" borderId="12" xfId="0" applyFont="1" applyFill="1" applyBorder="1" applyAlignment="1" applyProtection="1">
      <alignment horizontal="left" vertical="top" wrapText="1"/>
      <protection locked="0"/>
    </xf>
    <xf numFmtId="2" fontId="0" fillId="30" borderId="12" xfId="0" applyNumberFormat="1" applyFont="1" applyFill="1" applyBorder="1" applyAlignment="1" applyProtection="1">
      <alignment horizontal="center" vertical="center"/>
    </xf>
    <xf numFmtId="0" fontId="40" fillId="24" borderId="12" xfId="0" applyFont="1" applyFill="1" applyBorder="1" applyAlignment="1" applyProtection="1">
      <alignment vertical="top" wrapText="1"/>
      <protection locked="0"/>
    </xf>
    <xf numFmtId="0" fontId="0" fillId="24" borderId="12" xfId="0" applyFont="1" applyFill="1" applyBorder="1" applyAlignment="1" applyProtection="1">
      <alignment vertical="top" wrapText="1"/>
      <protection locked="0"/>
    </xf>
    <xf numFmtId="2" fontId="9" fillId="24" borderId="12" xfId="0" applyNumberFormat="1" applyFont="1" applyFill="1" applyBorder="1" applyAlignment="1" applyProtection="1">
      <alignment horizontal="center" vertical="center" wrapText="1"/>
    </xf>
    <xf numFmtId="0" fontId="9" fillId="24" borderId="12" xfId="0" applyFont="1" applyFill="1" applyBorder="1" applyAlignment="1" applyProtection="1">
      <alignment horizontal="center" vertical="center" wrapText="1"/>
    </xf>
    <xf numFmtId="2" fontId="40" fillId="66" borderId="12" xfId="0" applyNumberFormat="1" applyFont="1" applyFill="1" applyBorder="1" applyAlignment="1" applyProtection="1">
      <alignment horizontal="center" wrapText="1"/>
    </xf>
    <xf numFmtId="2" fontId="0" fillId="30" borderId="12" xfId="0" applyNumberFormat="1" applyFont="1" applyFill="1" applyBorder="1" applyAlignment="1">
      <alignment horizontal="center"/>
    </xf>
    <xf numFmtId="2" fontId="0" fillId="67" borderId="12" xfId="0" applyNumberFormat="1" applyFont="1" applyFill="1" applyBorder="1" applyAlignment="1" applyProtection="1">
      <alignment horizontal="center"/>
    </xf>
    <xf numFmtId="2" fontId="9" fillId="30" borderId="12" xfId="0" applyNumberFormat="1" applyFont="1" applyFill="1" applyBorder="1" applyAlignment="1" applyProtection="1">
      <alignment horizontal="center" vertical="center" wrapText="1"/>
    </xf>
    <xf numFmtId="2" fontId="0" fillId="24" borderId="12" xfId="0" applyNumberFormat="1" applyFont="1" applyFill="1" applyBorder="1" applyAlignment="1" applyProtection="1">
      <alignment horizontal="center" vertical="center" wrapText="1"/>
    </xf>
    <xf numFmtId="165" fontId="9" fillId="30" borderId="12" xfId="0" applyNumberFormat="1" applyFont="1" applyFill="1" applyBorder="1" applyAlignment="1" applyProtection="1">
      <alignment horizontal="center" wrapText="1"/>
    </xf>
    <xf numFmtId="165" fontId="0" fillId="30" borderId="12" xfId="0" applyNumberFormat="1" applyFont="1" applyFill="1" applyBorder="1" applyAlignment="1" applyProtection="1">
      <alignment horizontal="center" wrapText="1"/>
    </xf>
    <xf numFmtId="2" fontId="0" fillId="30" borderId="12" xfId="0" applyNumberFormat="1" applyFont="1" applyFill="1" applyBorder="1" applyAlignment="1" applyProtection="1">
      <alignment horizontal="center" wrapText="1"/>
    </xf>
    <xf numFmtId="1" fontId="0" fillId="30" borderId="12" xfId="0" applyNumberFormat="1" applyFont="1" applyFill="1" applyBorder="1" applyAlignment="1" applyProtection="1">
      <alignment horizontal="center" wrapText="1"/>
    </xf>
    <xf numFmtId="1" fontId="9" fillId="30" borderId="12" xfId="0" applyNumberFormat="1" applyFont="1" applyFill="1" applyBorder="1" applyAlignment="1" applyProtection="1">
      <alignment horizontal="center" wrapText="1"/>
    </xf>
    <xf numFmtId="2" fontId="0" fillId="30" borderId="27" xfId="0" applyNumberFormat="1" applyFont="1" applyFill="1" applyBorder="1" applyAlignment="1" applyProtection="1">
      <alignment horizontal="center" wrapText="1"/>
    </xf>
    <xf numFmtId="2" fontId="9" fillId="30" borderId="0" xfId="0" applyNumberFormat="1" applyFont="1" applyFill="1" applyBorder="1" applyAlignment="1" applyProtection="1">
      <alignment horizontal="center"/>
    </xf>
    <xf numFmtId="0" fontId="40" fillId="28" borderId="12" xfId="0" applyFont="1" applyFill="1" applyBorder="1" applyAlignment="1" applyProtection="1">
      <alignment horizontal="left" vertical="top"/>
      <protection locked="0"/>
    </xf>
    <xf numFmtId="2" fontId="9" fillId="24" borderId="1" xfId="0" applyNumberFormat="1" applyFont="1" applyFill="1" applyBorder="1" applyAlignment="1" applyProtection="1">
      <alignment horizontal="center"/>
    </xf>
    <xf numFmtId="2" fontId="9" fillId="24" borderId="1" xfId="0" applyNumberFormat="1" applyFont="1" applyFill="1" applyBorder="1" applyAlignment="1" applyProtection="1">
      <alignment horizontal="center" wrapText="1"/>
    </xf>
    <xf numFmtId="2" fontId="0" fillId="24" borderId="1" xfId="0" applyNumberFormat="1" applyFont="1" applyFill="1" applyBorder="1" applyAlignment="1" applyProtection="1">
      <alignment horizontal="center"/>
    </xf>
    <xf numFmtId="2" fontId="9" fillId="24" borderId="3" xfId="0" applyNumberFormat="1" applyFont="1" applyFill="1" applyBorder="1" applyAlignment="1" applyProtection="1">
      <alignment horizontal="center"/>
    </xf>
    <xf numFmtId="2" fontId="0" fillId="24" borderId="3" xfId="0" applyNumberFormat="1" applyFont="1" applyFill="1" applyBorder="1" applyAlignment="1" applyProtection="1">
      <alignment horizontal="center"/>
    </xf>
    <xf numFmtId="2" fontId="9" fillId="24" borderId="6" xfId="0" applyNumberFormat="1" applyFont="1" applyFill="1" applyBorder="1" applyAlignment="1" applyProtection="1">
      <alignment horizontal="center"/>
    </xf>
    <xf numFmtId="0" fontId="40" fillId="24" borderId="1" xfId="0" applyFont="1" applyFill="1" applyBorder="1" applyAlignment="1" applyProtection="1">
      <alignment horizontal="left" vertical="top"/>
      <protection locked="0"/>
    </xf>
    <xf numFmtId="0" fontId="40" fillId="60" borderId="22" xfId="0" applyFont="1" applyFill="1" applyBorder="1" applyAlignment="1" applyProtection="1">
      <alignment horizontal="left" vertical="top"/>
      <protection locked="0"/>
    </xf>
    <xf numFmtId="49" fontId="7" fillId="28" borderId="1" xfId="0" applyNumberFormat="1" applyFont="1" applyFill="1" applyBorder="1" applyAlignment="1" applyProtection="1">
      <alignment wrapText="1"/>
      <protection locked="0"/>
    </xf>
    <xf numFmtId="49" fontId="7" fillId="28" borderId="1" xfId="0" applyNumberFormat="1" applyFont="1" applyFill="1" applyBorder="1" applyAlignment="1" applyProtection="1">
      <alignment horizontal="left" vertical="top" wrapText="1"/>
      <protection locked="0"/>
    </xf>
    <xf numFmtId="2" fontId="0" fillId="24" borderId="1" xfId="0" applyNumberFormat="1" applyFont="1" applyFill="1" applyBorder="1" applyAlignment="1" applyProtection="1">
      <alignment horizontal="center" vertical="center" wrapText="1"/>
    </xf>
    <xf numFmtId="49" fontId="40" fillId="24" borderId="23" xfId="0" applyNumberFormat="1" applyFont="1" applyFill="1" applyBorder="1" applyAlignment="1" applyProtection="1">
      <alignment horizontal="left" vertical="center" wrapText="1"/>
      <protection locked="0"/>
    </xf>
    <xf numFmtId="0" fontId="7" fillId="24" borderId="26" xfId="0" applyFont="1" applyFill="1" applyBorder="1" applyAlignment="1" applyProtection="1">
      <alignment vertical="center" wrapText="1"/>
      <protection locked="0"/>
    </xf>
    <xf numFmtId="0" fontId="7" fillId="24" borderId="31" xfId="0" applyFont="1" applyFill="1" applyBorder="1" applyAlignment="1" applyProtection="1">
      <alignment vertical="center" wrapText="1"/>
      <protection locked="0"/>
    </xf>
    <xf numFmtId="0" fontId="75" fillId="0" borderId="0" xfId="0" applyFont="1" applyFill="1" applyBorder="1" applyAlignment="1" applyProtection="1">
      <protection locked="0"/>
    </xf>
    <xf numFmtId="0" fontId="41" fillId="2" borderId="18" xfId="0" applyFont="1" applyFill="1" applyBorder="1" applyAlignment="1" applyProtection="1">
      <alignment vertical="center" wrapText="1"/>
    </xf>
    <xf numFmtId="0" fontId="40" fillId="2" borderId="18" xfId="0" applyFont="1" applyFill="1" applyBorder="1" applyAlignment="1" applyProtection="1">
      <alignment vertical="center" wrapText="1"/>
    </xf>
    <xf numFmtId="0" fontId="0" fillId="2" borderId="19" xfId="0" applyFont="1" applyFill="1" applyBorder="1" applyAlignment="1" applyProtection="1">
      <alignment wrapText="1"/>
    </xf>
    <xf numFmtId="0" fontId="0" fillId="2" borderId="2" xfId="0" applyFont="1" applyFill="1" applyBorder="1" applyAlignment="1" applyProtection="1">
      <alignment wrapText="1"/>
    </xf>
    <xf numFmtId="0" fontId="0" fillId="2" borderId="20" xfId="0" applyFont="1" applyFill="1" applyBorder="1" applyAlignment="1" applyProtection="1">
      <alignment wrapText="1"/>
    </xf>
    <xf numFmtId="0" fontId="0" fillId="25" borderId="18" xfId="0" applyFont="1" applyFill="1" applyBorder="1" applyAlignment="1" applyProtection="1">
      <alignment wrapText="1"/>
    </xf>
    <xf numFmtId="0" fontId="40" fillId="2" borderId="18" xfId="0" applyFont="1" applyFill="1" applyBorder="1" applyAlignment="1" applyProtection="1">
      <alignment wrapText="1"/>
    </xf>
    <xf numFmtId="0" fontId="9" fillId="2" borderId="18" xfId="0" applyFont="1" applyFill="1" applyBorder="1" applyAlignment="1" applyProtection="1">
      <alignment wrapText="1"/>
    </xf>
    <xf numFmtId="0" fontId="0" fillId="2" borderId="19" xfId="0" applyFont="1" applyFill="1" applyBorder="1" applyAlignment="1" applyProtection="1">
      <alignment horizontal="left" vertical="center" wrapText="1"/>
    </xf>
    <xf numFmtId="2" fontId="0" fillId="2" borderId="2" xfId="0" applyNumberFormat="1" applyFont="1" applyFill="1" applyBorder="1" applyAlignment="1" applyProtection="1">
      <alignment wrapText="1"/>
    </xf>
    <xf numFmtId="2" fontId="47" fillId="2" borderId="18" xfId="0" applyNumberFormat="1" applyFont="1" applyFill="1" applyBorder="1" applyAlignment="1" applyProtection="1">
      <alignment horizontal="left" vertical="center" wrapText="1"/>
    </xf>
    <xf numFmtId="0" fontId="32" fillId="2" borderId="18" xfId="0" applyFont="1" applyFill="1" applyBorder="1" applyAlignment="1" applyProtection="1">
      <alignment wrapText="1"/>
    </xf>
    <xf numFmtId="0" fontId="0" fillId="2" borderId="18" xfId="0" applyFont="1" applyFill="1" applyBorder="1" applyAlignment="1" applyProtection="1">
      <alignment horizontal="left" wrapText="1"/>
    </xf>
    <xf numFmtId="0" fontId="0" fillId="2" borderId="13" xfId="0" applyFont="1" applyFill="1" applyBorder="1" applyAlignment="1" applyProtection="1">
      <alignment wrapText="1"/>
    </xf>
    <xf numFmtId="0" fontId="0" fillId="2" borderId="18" xfId="0" applyFont="1" applyFill="1" applyBorder="1" applyAlignment="1" applyProtection="1">
      <alignment horizontal="left" vertical="center" wrapText="1"/>
    </xf>
    <xf numFmtId="0" fontId="32" fillId="2" borderId="18" xfId="0" applyFont="1" applyFill="1" applyBorder="1" applyAlignment="1" applyProtection="1">
      <alignment vertical="center" wrapText="1"/>
    </xf>
    <xf numFmtId="0" fontId="40" fillId="2" borderId="13" xfId="0" applyFont="1" applyFill="1" applyBorder="1" applyAlignment="1" applyProtection="1">
      <alignment vertical="center" wrapText="1"/>
    </xf>
    <xf numFmtId="0" fontId="40" fillId="2" borderId="18" xfId="0" applyFont="1" applyFill="1" applyBorder="1" applyAlignment="1" applyProtection="1">
      <alignment horizontal="left" wrapText="1"/>
    </xf>
    <xf numFmtId="0" fontId="0" fillId="25" borderId="0" xfId="0" applyFont="1" applyFill="1" applyAlignment="1" applyProtection="1">
      <alignment wrapText="1"/>
    </xf>
    <xf numFmtId="0" fontId="29" fillId="2" borderId="18" xfId="0" applyFont="1" applyFill="1" applyBorder="1" applyAlignment="1" applyProtection="1">
      <alignment wrapText="1"/>
    </xf>
    <xf numFmtId="17" fontId="0" fillId="2" borderId="18" xfId="0" applyNumberFormat="1" applyFont="1" applyFill="1" applyBorder="1" applyAlignment="1" applyProtection="1">
      <alignment wrapText="1"/>
    </xf>
    <xf numFmtId="17" fontId="0" fillId="50" borderId="18" xfId="0" applyNumberFormat="1" applyFont="1" applyFill="1" applyBorder="1" applyAlignment="1" applyProtection="1">
      <alignment wrapText="1"/>
    </xf>
    <xf numFmtId="49" fontId="0" fillId="2" borderId="18" xfId="0" applyNumberFormat="1" applyFont="1" applyFill="1" applyBorder="1" applyAlignment="1" applyProtection="1">
      <alignment wrapText="1"/>
    </xf>
    <xf numFmtId="0" fontId="32" fillId="51" borderId="18" xfId="0" applyFont="1" applyFill="1" applyBorder="1" applyAlignment="1" applyProtection="1">
      <alignment wrapText="1"/>
    </xf>
    <xf numFmtId="0" fontId="0" fillId="50" borderId="2" xfId="0" applyFont="1" applyFill="1" applyBorder="1" applyAlignment="1" applyProtection="1">
      <alignment wrapText="1"/>
    </xf>
    <xf numFmtId="0" fontId="0" fillId="2" borderId="0" xfId="0" applyFont="1" applyFill="1" applyBorder="1" applyAlignment="1" applyProtection="1">
      <alignment wrapText="1"/>
    </xf>
    <xf numFmtId="0" fontId="0" fillId="2" borderId="7" xfId="0" applyFont="1" applyFill="1" applyBorder="1" applyAlignment="1" applyProtection="1">
      <alignment wrapText="1"/>
    </xf>
    <xf numFmtId="0" fontId="0" fillId="2" borderId="9" xfId="0" applyFont="1" applyFill="1" applyBorder="1" applyAlignment="1" applyProtection="1">
      <alignment wrapText="1"/>
    </xf>
    <xf numFmtId="0" fontId="29" fillId="2" borderId="20" xfId="0" applyFont="1" applyFill="1" applyBorder="1" applyAlignment="1" applyProtection="1">
      <alignment wrapText="1"/>
    </xf>
    <xf numFmtId="0" fontId="32" fillId="2" borderId="29" xfId="0" applyFont="1" applyFill="1" applyBorder="1" applyAlignment="1" applyProtection="1">
      <alignment wrapText="1"/>
    </xf>
    <xf numFmtId="0" fontId="0" fillId="2" borderId="29" xfId="0" applyFont="1" applyFill="1" applyBorder="1" applyAlignment="1" applyProtection="1">
      <alignment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5" borderId="2" xfId="0" applyFont="1" applyFill="1" applyBorder="1" applyAlignment="1" applyProtection="1">
      <alignment vertical="center" wrapText="1"/>
    </xf>
    <xf numFmtId="0" fontId="0" fillId="66" borderId="18" xfId="0" applyFont="1" applyFill="1" applyBorder="1" applyAlignment="1" applyProtection="1">
      <alignment wrapText="1"/>
    </xf>
    <xf numFmtId="0" fontId="0" fillId="66" borderId="19" xfId="0" applyFont="1" applyFill="1" applyBorder="1" applyAlignment="1" applyProtection="1">
      <alignment wrapText="1"/>
    </xf>
    <xf numFmtId="0" fontId="40" fillId="2" borderId="20" xfId="0" applyFont="1" applyFill="1" applyBorder="1" applyAlignment="1" applyProtection="1">
      <alignment vertical="center" wrapText="1"/>
    </xf>
    <xf numFmtId="0" fontId="32" fillId="2" borderId="18" xfId="0" applyFont="1" applyFill="1" applyBorder="1" applyAlignment="1" applyProtection="1">
      <alignment horizontal="left" wrapText="1"/>
    </xf>
    <xf numFmtId="0" fontId="32" fillId="2" borderId="13" xfId="0" applyFont="1" applyFill="1" applyBorder="1" applyAlignment="1" applyProtection="1">
      <alignment wrapText="1"/>
    </xf>
    <xf numFmtId="0" fontId="32" fillId="25" borderId="18" xfId="0"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pplyProtection="1">
      <alignment horizontal="center" vertical="center" wrapText="1"/>
      <protection locked="0"/>
    </xf>
    <xf numFmtId="2" fontId="20" fillId="0" borderId="1" xfId="0" applyNumberFormat="1" applyFont="1" applyBorder="1" applyAlignment="1" applyProtection="1">
      <alignment horizontal="center" vertical="center" wrapText="1"/>
      <protection locked="0"/>
    </xf>
    <xf numFmtId="2" fontId="20" fillId="5" borderId="1" xfId="0" applyNumberFormat="1" applyFont="1" applyFill="1" applyBorder="1" applyAlignment="1" applyProtection="1">
      <alignment horizontal="center" vertical="center" wrapText="1"/>
      <protection locked="0"/>
    </xf>
    <xf numFmtId="0" fontId="9" fillId="25" borderId="32" xfId="0" applyFont="1" applyFill="1" applyBorder="1" applyAlignment="1" applyProtection="1">
      <alignment horizontal="center" vertical="top" wrapText="1"/>
      <protection locked="0"/>
    </xf>
    <xf numFmtId="0" fontId="9" fillId="0" borderId="32" xfId="0" applyFont="1" applyFill="1" applyBorder="1" applyAlignment="1" applyProtection="1">
      <alignment horizontal="center" vertical="top" wrapText="1"/>
      <protection locked="0"/>
    </xf>
    <xf numFmtId="0" fontId="9" fillId="0" borderId="32" xfId="0" applyFont="1" applyBorder="1" applyAlignment="1">
      <alignment vertical="top" wrapText="1"/>
    </xf>
    <xf numFmtId="0" fontId="9" fillId="44" borderId="32" xfId="0" applyFont="1" applyFill="1" applyBorder="1" applyAlignment="1" applyProtection="1">
      <alignment horizontal="center" vertical="top" wrapText="1"/>
      <protection locked="0"/>
    </xf>
    <xf numFmtId="0" fontId="9" fillId="24" borderId="32" xfId="0" applyFont="1" applyFill="1" applyBorder="1" applyAlignment="1" applyProtection="1">
      <alignment vertical="top" wrapText="1"/>
      <protection locked="0"/>
    </xf>
    <xf numFmtId="0" fontId="9" fillId="0" borderId="32" xfId="0" applyFont="1" applyFill="1" applyBorder="1" applyAlignment="1" applyProtection="1">
      <alignment horizontal="left" vertical="top" wrapText="1"/>
      <protection locked="0"/>
    </xf>
    <xf numFmtId="0" fontId="9" fillId="0" borderId="32" xfId="4" applyFont="1" applyFill="1" applyBorder="1" applyAlignment="1" applyProtection="1">
      <alignment horizontal="center" vertical="top" wrapText="1"/>
      <protection locked="0"/>
    </xf>
    <xf numFmtId="0" fontId="9" fillId="0" borderId="32" xfId="0" applyFont="1" applyFill="1" applyBorder="1" applyAlignment="1">
      <alignment vertical="top" wrapText="1"/>
    </xf>
    <xf numFmtId="10" fontId="9" fillId="0" borderId="32" xfId="0" applyNumberFormat="1" applyFont="1" applyFill="1" applyBorder="1" applyAlignment="1" applyProtection="1">
      <alignment horizontal="center" vertical="top" wrapText="1"/>
      <protection locked="0"/>
    </xf>
    <xf numFmtId="0" fontId="9" fillId="0" borderId="32" xfId="0" applyFont="1" applyFill="1" applyBorder="1" applyAlignment="1">
      <alignment horizontal="center" vertical="top" wrapText="1"/>
    </xf>
    <xf numFmtId="0" fontId="9" fillId="0" borderId="0" xfId="0" applyFont="1" applyFill="1" applyBorder="1" applyAlignment="1" applyProtection="1">
      <alignment vertical="top" wrapText="1"/>
      <protection locked="0"/>
    </xf>
    <xf numFmtId="0" fontId="9" fillId="0" borderId="32" xfId="0" applyFont="1" applyBorder="1" applyAlignment="1" applyProtection="1">
      <alignment vertical="top" wrapText="1"/>
      <protection locked="0"/>
    </xf>
    <xf numFmtId="0" fontId="9" fillId="0" borderId="32" xfId="0" applyFont="1" applyFill="1" applyBorder="1" applyAlignment="1" applyProtection="1">
      <alignment vertical="top" wrapText="1"/>
      <protection locked="0"/>
    </xf>
    <xf numFmtId="2" fontId="9" fillId="0" borderId="32" xfId="0" applyNumberFormat="1" applyFont="1" applyFill="1" applyBorder="1" applyAlignment="1" applyProtection="1">
      <alignment horizontal="center" vertical="top" wrapText="1"/>
    </xf>
    <xf numFmtId="0" fontId="7" fillId="0" borderId="32" xfId="0" applyFont="1" applyFill="1" applyBorder="1" applyAlignment="1" applyProtection="1">
      <alignment vertical="top" wrapText="1"/>
      <protection locked="0"/>
    </xf>
    <xf numFmtId="2" fontId="9" fillId="0" borderId="32" xfId="0" applyNumberFormat="1" applyFont="1" applyFill="1" applyBorder="1" applyAlignment="1" applyProtection="1">
      <alignment horizontal="center" vertical="center" wrapText="1"/>
    </xf>
    <xf numFmtId="0" fontId="9" fillId="0" borderId="0" xfId="0" applyFont="1" applyFill="1" applyBorder="1" applyAlignment="1" applyProtection="1">
      <protection locked="0"/>
    </xf>
    <xf numFmtId="2" fontId="9" fillId="0" borderId="0" xfId="0" applyNumberFormat="1" applyFont="1" applyBorder="1" applyAlignment="1" applyProtection="1">
      <alignment horizontal="center" vertical="center"/>
    </xf>
    <xf numFmtId="0" fontId="75" fillId="31" borderId="0" xfId="0" applyFont="1" applyFill="1" applyBorder="1" applyAlignment="1" applyProtection="1">
      <protection locked="0"/>
    </xf>
    <xf numFmtId="0" fontId="75" fillId="0" borderId="0" xfId="0" applyFont="1" applyBorder="1" applyAlignment="1" applyProtection="1">
      <protection locked="0"/>
    </xf>
    <xf numFmtId="2" fontId="9" fillId="0" borderId="0" xfId="0" applyNumberFormat="1" applyFont="1" applyFill="1" applyBorder="1" applyAlignment="1" applyProtection="1">
      <alignment horizontal="center" vertical="center"/>
    </xf>
    <xf numFmtId="0" fontId="9" fillId="24" borderId="0" xfId="0" applyFont="1" applyFill="1" applyBorder="1" applyAlignment="1" applyProtection="1">
      <protection locked="0"/>
    </xf>
    <xf numFmtId="0" fontId="75" fillId="28" borderId="0" xfId="0" applyFont="1" applyFill="1" applyBorder="1" applyAlignment="1" applyProtection="1">
      <protection locked="0"/>
    </xf>
    <xf numFmtId="0" fontId="75" fillId="24" borderId="0" xfId="0" applyFont="1" applyFill="1" applyBorder="1" applyAlignment="1" applyProtection="1">
      <protection locked="0"/>
    </xf>
    <xf numFmtId="2" fontId="9" fillId="0" borderId="0" xfId="0" applyNumberFormat="1" applyFont="1" applyFill="1" applyBorder="1" applyAlignment="1" applyProtection="1">
      <alignment horizontal="center" vertical="center" wrapText="1"/>
    </xf>
    <xf numFmtId="0" fontId="38" fillId="0" borderId="0" xfId="0" applyFont="1" applyFill="1" applyBorder="1" applyAlignment="1" applyProtection="1">
      <protection locked="0"/>
    </xf>
    <xf numFmtId="0" fontId="38" fillId="0" borderId="0" xfId="0" applyFont="1" applyFill="1" applyBorder="1" applyAlignment="1" applyProtection="1">
      <alignment vertical="top" wrapText="1"/>
      <protection locked="0"/>
    </xf>
    <xf numFmtId="0" fontId="7" fillId="0" borderId="32" xfId="0" applyFont="1" applyBorder="1" applyAlignment="1" applyProtection="1">
      <alignment vertical="top" wrapText="1"/>
      <protection locked="0"/>
    </xf>
    <xf numFmtId="2" fontId="7" fillId="0" borderId="32" xfId="0" applyNumberFormat="1" applyFont="1" applyBorder="1" applyAlignment="1" applyProtection="1">
      <alignment horizontal="center" vertical="center"/>
    </xf>
    <xf numFmtId="0" fontId="9" fillId="0" borderId="32" xfId="0" applyFont="1" applyFill="1" applyBorder="1" applyAlignment="1" applyProtection="1">
      <protection locked="0"/>
    </xf>
    <xf numFmtId="0" fontId="9" fillId="2" borderId="32" xfId="0" applyFont="1" applyFill="1" applyBorder="1" applyAlignment="1" applyProtection="1">
      <alignment vertical="top" wrapText="1"/>
    </xf>
    <xf numFmtId="0" fontId="7" fillId="2" borderId="32" xfId="0" applyFont="1" applyFill="1" applyBorder="1" applyAlignment="1" applyProtection="1">
      <alignment vertical="top" wrapText="1"/>
    </xf>
    <xf numFmtId="0" fontId="7" fillId="23" borderId="32" xfId="0" applyFont="1" applyFill="1" applyBorder="1" applyAlignment="1" applyProtection="1">
      <alignment vertical="top" wrapText="1"/>
      <protection locked="0"/>
    </xf>
    <xf numFmtId="0" fontId="9" fillId="0" borderId="32" xfId="0" applyFont="1" applyBorder="1" applyAlignment="1" applyProtection="1">
      <alignment horizontal="left" vertical="top" wrapText="1"/>
      <protection locked="0"/>
    </xf>
    <xf numFmtId="2" fontId="9" fillId="24" borderId="32" xfId="0" applyNumberFormat="1" applyFont="1" applyFill="1" applyBorder="1" applyAlignment="1" applyProtection="1">
      <alignment horizontal="center" vertical="center"/>
    </xf>
    <xf numFmtId="2" fontId="9" fillId="0" borderId="32" xfId="0" applyNumberFormat="1" applyFont="1" applyBorder="1" applyAlignment="1" applyProtection="1">
      <alignment horizontal="center" vertical="center" wrapText="1"/>
      <protection locked="0"/>
    </xf>
    <xf numFmtId="2" fontId="9" fillId="0" borderId="32" xfId="0" applyNumberFormat="1" applyFont="1" applyFill="1" applyBorder="1" applyAlignment="1" applyProtection="1">
      <alignment horizontal="center" vertical="center" wrapText="1"/>
      <protection locked="0"/>
    </xf>
    <xf numFmtId="2" fontId="9" fillId="24" borderId="32" xfId="0" applyNumberFormat="1" applyFont="1" applyFill="1" applyBorder="1" applyAlignment="1" applyProtection="1">
      <alignment horizontal="center" vertical="center" wrapText="1"/>
      <protection locked="0"/>
    </xf>
    <xf numFmtId="2" fontId="9" fillId="0" borderId="32" xfId="0" applyNumberFormat="1" applyFont="1" applyBorder="1" applyAlignment="1" applyProtection="1">
      <alignment horizontal="center" vertical="center"/>
    </xf>
    <xf numFmtId="2" fontId="9" fillId="5" borderId="32" xfId="0" applyNumberFormat="1" applyFont="1" applyFill="1" applyBorder="1" applyAlignment="1">
      <alignment horizontal="center" vertical="center" wrapText="1"/>
    </xf>
    <xf numFmtId="2" fontId="9" fillId="0" borderId="32" xfId="0" applyNumberFormat="1" applyFont="1" applyBorder="1" applyAlignment="1">
      <alignment horizontal="center" vertical="center" wrapText="1"/>
    </xf>
    <xf numFmtId="2" fontId="9" fillId="24" borderId="32" xfId="0" applyNumberFormat="1" applyFont="1" applyFill="1" applyBorder="1" applyAlignment="1">
      <alignment horizontal="center" vertical="center" wrapText="1"/>
    </xf>
    <xf numFmtId="0" fontId="9" fillId="0" borderId="32" xfId="0" applyFont="1" applyBorder="1" applyAlignment="1">
      <alignment vertical="center" wrapText="1"/>
    </xf>
    <xf numFmtId="2" fontId="9" fillId="23" borderId="32" xfId="0" applyNumberFormat="1" applyFont="1" applyFill="1" applyBorder="1" applyAlignment="1" applyProtection="1">
      <alignment horizontal="center" vertical="center"/>
    </xf>
    <xf numFmtId="2" fontId="9" fillId="0" borderId="32" xfId="0" applyNumberFormat="1" applyFont="1" applyFill="1" applyBorder="1" applyAlignment="1">
      <alignment horizontal="center" vertical="center" wrapText="1"/>
    </xf>
    <xf numFmtId="9" fontId="7" fillId="26" borderId="32" xfId="7" applyFont="1" applyFill="1" applyBorder="1" applyAlignment="1" applyProtection="1">
      <alignment vertical="top" wrapText="1"/>
      <protection locked="0"/>
    </xf>
    <xf numFmtId="2" fontId="9" fillId="30" borderId="32" xfId="0" applyNumberFormat="1" applyFont="1" applyFill="1" applyBorder="1" applyAlignment="1" applyProtection="1">
      <alignment horizontal="center" vertical="center"/>
    </xf>
    <xf numFmtId="0" fontId="7" fillId="5" borderId="32" xfId="0" applyFont="1" applyFill="1" applyBorder="1" applyAlignment="1" applyProtection="1">
      <alignment vertical="top" wrapText="1"/>
      <protection locked="0"/>
    </xf>
    <xf numFmtId="0" fontId="9" fillId="25" borderId="32" xfId="0" applyFont="1" applyFill="1" applyBorder="1" applyAlignment="1" applyProtection="1">
      <alignment vertical="top" wrapText="1"/>
    </xf>
    <xf numFmtId="0" fontId="7" fillId="25" borderId="32" xfId="0" applyFont="1" applyFill="1" applyBorder="1" applyAlignment="1" applyProtection="1">
      <alignment vertical="top" wrapText="1"/>
      <protection locked="0"/>
    </xf>
    <xf numFmtId="0" fontId="7" fillId="24" borderId="32" xfId="0" applyFont="1" applyFill="1" applyBorder="1" applyAlignment="1" applyProtection="1">
      <alignment vertical="top" wrapText="1"/>
      <protection locked="0"/>
    </xf>
    <xf numFmtId="2" fontId="9" fillId="30" borderId="32" xfId="0" applyNumberFormat="1" applyFont="1" applyFill="1" applyBorder="1" applyAlignment="1" applyProtection="1">
      <alignment horizontal="center" vertical="center" wrapText="1"/>
      <protection locked="0"/>
    </xf>
    <xf numFmtId="2" fontId="9" fillId="30" borderId="32" xfId="0" applyNumberFormat="1" applyFont="1" applyFill="1" applyBorder="1" applyAlignment="1" applyProtection="1">
      <alignment horizontal="center" vertical="center" wrapText="1"/>
    </xf>
    <xf numFmtId="2" fontId="9" fillId="0" borderId="32" xfId="0" applyNumberFormat="1" applyFont="1" applyFill="1" applyBorder="1" applyAlignment="1" applyProtection="1">
      <alignment horizontal="center" vertical="center"/>
      <protection locked="0"/>
    </xf>
    <xf numFmtId="2" fontId="9" fillId="5" borderId="32" xfId="0" applyNumberFormat="1" applyFont="1" applyFill="1" applyBorder="1" applyAlignment="1" applyProtection="1">
      <alignment horizontal="center" vertical="center"/>
      <protection locked="0"/>
    </xf>
    <xf numFmtId="2" fontId="9" fillId="5" borderId="32" xfId="0" applyNumberFormat="1" applyFont="1" applyFill="1" applyBorder="1" applyAlignment="1" applyProtection="1">
      <alignment horizontal="center" vertical="center" wrapText="1"/>
      <protection locked="0"/>
    </xf>
    <xf numFmtId="0" fontId="7" fillId="30" borderId="32" xfId="0" applyFont="1" applyFill="1" applyBorder="1" applyAlignment="1" applyProtection="1">
      <alignment vertical="top" wrapText="1"/>
      <protection locked="0"/>
    </xf>
    <xf numFmtId="2" fontId="9" fillId="0" borderId="32" xfId="0" applyNumberFormat="1" applyFont="1" applyFill="1" applyBorder="1" applyAlignment="1" applyProtection="1">
      <alignment horizontal="center" vertical="center"/>
    </xf>
    <xf numFmtId="0" fontId="7" fillId="35" borderId="32" xfId="0" applyFont="1" applyFill="1" applyBorder="1" applyAlignment="1" applyProtection="1">
      <alignment vertical="top" wrapText="1"/>
      <protection locked="0"/>
    </xf>
    <xf numFmtId="2" fontId="9" fillId="58" borderId="32" xfId="0" applyNumberFormat="1" applyFont="1" applyFill="1" applyBorder="1" applyAlignment="1" applyProtection="1">
      <alignment horizontal="center" vertical="center"/>
    </xf>
    <xf numFmtId="2" fontId="9" fillId="58" borderId="32" xfId="0" applyNumberFormat="1" applyFont="1" applyFill="1" applyBorder="1" applyAlignment="1" applyProtection="1">
      <alignment horizontal="center" vertical="center" wrapText="1"/>
      <protection locked="0"/>
    </xf>
    <xf numFmtId="2" fontId="9" fillId="58" borderId="32" xfId="0" applyNumberFormat="1" applyFont="1" applyFill="1" applyBorder="1" applyAlignment="1" applyProtection="1">
      <alignment horizontal="center" vertical="center"/>
      <protection locked="0"/>
    </xf>
    <xf numFmtId="0" fontId="9" fillId="58" borderId="32" xfId="0" applyFont="1" applyFill="1" applyBorder="1" applyAlignment="1" applyProtection="1">
      <alignment vertical="top" wrapText="1"/>
      <protection locked="0"/>
    </xf>
    <xf numFmtId="2" fontId="9" fillId="5" borderId="32" xfId="0" applyNumberFormat="1" applyFont="1" applyFill="1" applyBorder="1" applyAlignment="1" applyProtection="1">
      <alignment horizontal="center" vertical="center"/>
    </xf>
    <xf numFmtId="2" fontId="9" fillId="24" borderId="32" xfId="178" applyNumberFormat="1" applyFont="1" applyFill="1" applyBorder="1" applyAlignment="1" applyProtection="1">
      <alignment horizontal="center" vertical="center" wrapText="1"/>
      <protection locked="0"/>
    </xf>
    <xf numFmtId="2" fontId="9" fillId="24" borderId="32" xfId="0" applyNumberFormat="1" applyFont="1" applyFill="1" applyBorder="1" applyAlignment="1" applyProtection="1">
      <alignment horizontal="center" vertical="center"/>
      <protection locked="0"/>
    </xf>
    <xf numFmtId="2" fontId="9" fillId="24" borderId="32" xfId="0" applyNumberFormat="1" applyFont="1" applyFill="1" applyBorder="1" applyAlignment="1" applyProtection="1">
      <alignment horizontal="center" vertical="center" wrapText="1"/>
    </xf>
    <xf numFmtId="2" fontId="9" fillId="30" borderId="32" xfId="0" applyNumberFormat="1" applyFont="1" applyFill="1" applyBorder="1" applyAlignment="1" applyProtection="1">
      <alignment horizontal="center" vertical="center"/>
      <protection locked="0"/>
    </xf>
    <xf numFmtId="0" fontId="7" fillId="39" borderId="32" xfId="0" applyFont="1" applyFill="1" applyBorder="1" applyAlignment="1" applyProtection="1">
      <alignment vertical="top" wrapText="1"/>
      <protection locked="0"/>
    </xf>
    <xf numFmtId="2" fontId="9" fillId="38" borderId="32" xfId="0" applyNumberFormat="1" applyFont="1" applyFill="1" applyBorder="1" applyAlignment="1" applyProtection="1">
      <alignment horizontal="center" vertical="center"/>
    </xf>
    <xf numFmtId="2" fontId="9" fillId="38" borderId="32" xfId="0" applyNumberFormat="1" applyFont="1" applyFill="1" applyBorder="1" applyAlignment="1" applyProtection="1">
      <alignment horizontal="center" vertical="center" wrapText="1"/>
      <protection locked="0"/>
    </xf>
    <xf numFmtId="2" fontId="9" fillId="30" borderId="32" xfId="0" applyNumberFormat="1" applyFont="1" applyFill="1" applyBorder="1" applyAlignment="1">
      <alignment horizontal="center" vertical="center"/>
    </xf>
    <xf numFmtId="2" fontId="9" fillId="5" borderId="32" xfId="0" applyNumberFormat="1" applyFont="1" applyFill="1" applyBorder="1" applyAlignment="1" applyProtection="1">
      <alignment horizontal="center" vertical="center" wrapText="1" shrinkToFit="1"/>
      <protection locked="0"/>
    </xf>
    <xf numFmtId="2" fontId="9" fillId="35" borderId="32" xfId="0" applyNumberFormat="1" applyFont="1" applyFill="1" applyBorder="1" applyAlignment="1" applyProtection="1">
      <alignment horizontal="center" vertical="center"/>
    </xf>
    <xf numFmtId="0" fontId="7" fillId="58" borderId="32" xfId="0" applyFont="1" applyFill="1" applyBorder="1" applyAlignment="1" applyProtection="1">
      <alignment vertical="top" wrapText="1"/>
      <protection locked="0"/>
    </xf>
    <xf numFmtId="2" fontId="9" fillId="35" borderId="32" xfId="0" applyNumberFormat="1" applyFont="1" applyFill="1" applyBorder="1" applyAlignment="1" applyProtection="1">
      <alignment horizontal="center" vertical="center" wrapText="1"/>
      <protection locked="0"/>
    </xf>
    <xf numFmtId="2" fontId="9" fillId="30" borderId="32" xfId="0" applyNumberFormat="1" applyFont="1" applyFill="1" applyBorder="1" applyAlignment="1">
      <alignment horizontal="center" vertical="center" wrapText="1"/>
    </xf>
    <xf numFmtId="2" fontId="9" fillId="5" borderId="32" xfId="0" applyNumberFormat="1" applyFont="1" applyFill="1" applyBorder="1" applyAlignment="1" applyProtection="1">
      <alignment horizontal="center" vertical="center" wrapText="1"/>
    </xf>
    <xf numFmtId="0" fontId="9" fillId="5" borderId="32" xfId="0" applyFont="1" applyFill="1" applyBorder="1" applyAlignment="1" applyProtection="1">
      <alignment vertical="top" wrapText="1"/>
      <protection locked="0"/>
    </xf>
    <xf numFmtId="2" fontId="9" fillId="5" borderId="32" xfId="0" applyNumberFormat="1" applyFont="1" applyFill="1" applyBorder="1" applyAlignment="1">
      <alignment horizontal="center" vertical="center"/>
    </xf>
    <xf numFmtId="2" fontId="9" fillId="0" borderId="32" xfId="0" applyNumberFormat="1" applyFont="1" applyBorder="1" applyAlignment="1">
      <alignment horizontal="center" vertical="center"/>
    </xf>
    <xf numFmtId="0" fontId="7" fillId="24" borderId="32" xfId="0" applyFont="1" applyFill="1" applyBorder="1" applyAlignment="1" applyProtection="1">
      <alignment horizontal="left" vertical="top" wrapText="1"/>
      <protection locked="0"/>
    </xf>
    <xf numFmtId="2" fontId="9" fillId="0" borderId="32" xfId="0" applyNumberFormat="1" applyFont="1" applyBorder="1" applyAlignment="1" applyProtection="1">
      <alignment horizontal="center" vertical="center"/>
      <protection locked="0"/>
    </xf>
    <xf numFmtId="2" fontId="7" fillId="0" borderId="32" xfId="0" applyNumberFormat="1" applyFont="1" applyFill="1" applyBorder="1" applyAlignment="1" applyProtection="1">
      <alignment horizontal="center" vertical="center"/>
    </xf>
    <xf numFmtId="2" fontId="9" fillId="0" borderId="32" xfId="178" applyNumberFormat="1" applyFont="1" applyBorder="1" applyAlignment="1" applyProtection="1">
      <alignment horizontal="center" vertical="center" wrapText="1"/>
      <protection locked="0"/>
    </xf>
    <xf numFmtId="0" fontId="7" fillId="34" borderId="32" xfId="0" applyFont="1" applyFill="1" applyBorder="1" applyAlignment="1" applyProtection="1">
      <alignment vertical="top" wrapText="1"/>
      <protection locked="0"/>
    </xf>
    <xf numFmtId="2" fontId="9" fillId="5" borderId="32" xfId="6" applyNumberFormat="1" applyFont="1" applyFill="1" applyBorder="1" applyAlignment="1" applyProtection="1">
      <alignment horizontal="center" vertical="center"/>
    </xf>
    <xf numFmtId="2" fontId="7" fillId="25" borderId="32" xfId="0" applyNumberFormat="1" applyFont="1" applyFill="1" applyBorder="1" applyAlignment="1" applyProtection="1">
      <alignment horizontal="center" vertical="center" wrapText="1"/>
    </xf>
    <xf numFmtId="0" fontId="7" fillId="44" borderId="32" xfId="0" applyFont="1" applyFill="1" applyBorder="1" applyAlignment="1" applyProtection="1">
      <alignment horizontal="left" vertical="top" wrapText="1"/>
      <protection locked="0"/>
    </xf>
    <xf numFmtId="49" fontId="7" fillId="0" borderId="32" xfId="0" applyNumberFormat="1" applyFont="1" applyFill="1" applyBorder="1" applyAlignment="1" applyProtection="1">
      <alignment vertical="center" wrapText="1"/>
      <protection locked="0"/>
    </xf>
    <xf numFmtId="0" fontId="7" fillId="25" borderId="32" xfId="0" applyFont="1" applyFill="1" applyBorder="1" applyAlignment="1" applyProtection="1">
      <alignment vertical="top" wrapText="1"/>
    </xf>
    <xf numFmtId="2" fontId="9" fillId="0" borderId="32" xfId="6" applyNumberFormat="1" applyFont="1" applyFill="1" applyBorder="1" applyAlignment="1" applyProtection="1">
      <alignment horizontal="center" vertical="center"/>
      <protection locked="0"/>
    </xf>
    <xf numFmtId="0" fontId="7" fillId="0" borderId="32" xfId="0" applyFont="1" applyFill="1" applyBorder="1" applyAlignment="1" applyProtection="1">
      <alignment vertical="center" wrapText="1"/>
      <protection locked="0"/>
    </xf>
    <xf numFmtId="0" fontId="7" fillId="44" borderId="32" xfId="0" applyFont="1" applyFill="1" applyBorder="1" applyAlignment="1" applyProtection="1">
      <alignment vertical="center" wrapText="1"/>
      <protection locked="0"/>
    </xf>
    <xf numFmtId="2" fontId="9" fillId="44" borderId="32" xfId="0" applyNumberFormat="1" applyFont="1" applyFill="1" applyBorder="1" applyAlignment="1" applyProtection="1">
      <alignment horizontal="center" vertical="center" wrapText="1"/>
    </xf>
    <xf numFmtId="2" fontId="9" fillId="23" borderId="32" xfId="0" applyNumberFormat="1" applyFont="1" applyFill="1" applyBorder="1" applyAlignment="1" applyProtection="1">
      <alignment horizontal="center"/>
    </xf>
    <xf numFmtId="2" fontId="9" fillId="5" borderId="32" xfId="0" applyNumberFormat="1" applyFont="1" applyFill="1" applyBorder="1" applyAlignment="1" applyProtection="1">
      <alignment horizontal="center"/>
    </xf>
    <xf numFmtId="0" fontId="38" fillId="0" borderId="0" xfId="0" applyFont="1" applyBorder="1" applyAlignment="1" applyProtection="1">
      <protection locked="0"/>
    </xf>
    <xf numFmtId="0" fontId="38" fillId="24" borderId="0" xfId="0" applyFont="1" applyFill="1" applyBorder="1" applyAlignment="1" applyProtection="1">
      <protection locked="0"/>
    </xf>
    <xf numFmtId="0" fontId="38" fillId="27" borderId="0" xfId="0" applyFont="1" applyFill="1" applyBorder="1" applyAlignment="1" applyProtection="1">
      <protection locked="0"/>
    </xf>
    <xf numFmtId="0" fontId="38" fillId="28" borderId="0" xfId="0" applyFont="1" applyFill="1" applyBorder="1" applyAlignment="1" applyProtection="1">
      <protection locked="0"/>
    </xf>
    <xf numFmtId="0" fontId="9" fillId="31" borderId="0" xfId="0" applyFont="1" applyFill="1" applyBorder="1" applyAlignment="1" applyProtection="1">
      <protection locked="0"/>
    </xf>
    <xf numFmtId="0" fontId="38" fillId="41" borderId="0" xfId="0" applyFont="1" applyFill="1" applyBorder="1" applyAlignment="1" applyProtection="1">
      <protection locked="0"/>
    </xf>
    <xf numFmtId="0" fontId="38" fillId="47" borderId="0" xfId="0" applyFont="1" applyFill="1" applyBorder="1" applyAlignment="1" applyProtection="1">
      <protection locked="0"/>
    </xf>
    <xf numFmtId="0" fontId="7" fillId="44" borderId="32" xfId="0" applyFont="1" applyFill="1" applyBorder="1" applyAlignment="1" applyProtection="1">
      <alignment vertical="top" wrapText="1"/>
      <protection locked="0"/>
    </xf>
    <xf numFmtId="0" fontId="38" fillId="44" borderId="0" xfId="0" applyFont="1" applyFill="1" applyBorder="1" applyAlignment="1" applyProtection="1">
      <protection locked="0"/>
    </xf>
    <xf numFmtId="0" fontId="7" fillId="0" borderId="32" xfId="0" applyFont="1" applyFill="1" applyBorder="1" applyAlignment="1" applyProtection="1">
      <alignment horizontal="left" vertical="top" wrapText="1"/>
      <protection locked="0"/>
    </xf>
    <xf numFmtId="0" fontId="38" fillId="2" borderId="32" xfId="0" applyFont="1" applyFill="1" applyBorder="1" applyAlignment="1" applyProtection="1">
      <alignment vertical="top" wrapText="1"/>
    </xf>
    <xf numFmtId="0" fontId="38" fillId="0" borderId="0" xfId="0" applyFont="1" applyBorder="1" applyAlignment="1"/>
    <xf numFmtId="49" fontId="38" fillId="0" borderId="0" xfId="0" applyNumberFormat="1" applyFont="1" applyFill="1" applyBorder="1" applyAlignment="1" applyProtection="1">
      <alignment wrapText="1"/>
      <protection locked="0"/>
    </xf>
    <xf numFmtId="49" fontId="38" fillId="28" borderId="0" xfId="0" applyNumberFormat="1" applyFont="1" applyFill="1" applyBorder="1" applyAlignment="1" applyProtection="1">
      <alignment wrapText="1"/>
      <protection locked="0"/>
    </xf>
    <xf numFmtId="0" fontId="38" fillId="0" borderId="0" xfId="0" applyFont="1" applyFill="1" applyBorder="1" applyAlignment="1"/>
    <xf numFmtId="0" fontId="38" fillId="0" borderId="0" xfId="0" applyFont="1" applyBorder="1" applyAlignment="1" applyProtection="1">
      <alignment vertical="top" wrapText="1"/>
      <protection locked="0"/>
    </xf>
    <xf numFmtId="0" fontId="38" fillId="25" borderId="0" xfId="0" applyFont="1" applyFill="1" applyBorder="1" applyAlignment="1" applyProtection="1">
      <alignment vertical="top" wrapText="1"/>
    </xf>
    <xf numFmtId="0" fontId="7" fillId="0" borderId="32" xfId="0" applyFont="1" applyBorder="1" applyAlignment="1" applyProtection="1">
      <alignment horizontal="center" vertical="center" wrapText="1"/>
      <protection locked="0"/>
    </xf>
    <xf numFmtId="0" fontId="7" fillId="0" borderId="32" xfId="0" applyFont="1" applyBorder="1" applyAlignment="1" applyProtection="1">
      <alignment horizontal="center" vertical="top" wrapText="1"/>
      <protection locked="0"/>
    </xf>
    <xf numFmtId="0" fontId="9" fillId="23" borderId="32" xfId="0" applyFont="1" applyFill="1" applyBorder="1" applyAlignment="1" applyProtection="1">
      <alignment horizontal="center" vertical="top" wrapText="1"/>
      <protection locked="0"/>
    </xf>
    <xf numFmtId="0" fontId="9" fillId="74" borderId="32" xfId="0" applyFont="1" applyFill="1" applyBorder="1" applyAlignment="1">
      <alignment horizontal="center" vertical="top" wrapText="1"/>
    </xf>
    <xf numFmtId="0" fontId="9" fillId="74" borderId="32" xfId="0" applyFont="1" applyFill="1" applyBorder="1" applyAlignment="1" applyProtection="1">
      <alignment horizontal="center" vertical="top" wrapText="1"/>
      <protection locked="0"/>
    </xf>
    <xf numFmtId="0" fontId="9" fillId="75" borderId="32" xfId="0" applyFont="1" applyFill="1" applyBorder="1" applyAlignment="1" applyProtection="1">
      <alignment horizontal="center" vertical="top" wrapText="1"/>
      <protection locked="0"/>
    </xf>
    <xf numFmtId="0" fontId="9" fillId="44" borderId="32" xfId="0" applyFont="1" applyFill="1" applyBorder="1" applyAlignment="1" applyProtection="1">
      <alignment horizontal="center" vertical="center" wrapText="1"/>
      <protection locked="0"/>
    </xf>
    <xf numFmtId="0" fontId="9" fillId="0" borderId="32" xfId="0" applyFont="1" applyBorder="1" applyAlignment="1">
      <alignment horizontal="center" vertical="top" wrapText="1"/>
    </xf>
    <xf numFmtId="0" fontId="9" fillId="0" borderId="32" xfId="0" applyFont="1" applyBorder="1" applyAlignment="1" applyProtection="1">
      <alignment horizontal="center" vertical="top" wrapText="1"/>
      <protection locked="0"/>
    </xf>
    <xf numFmtId="0" fontId="9" fillId="24" borderId="32" xfId="0" applyFont="1" applyFill="1" applyBorder="1" applyAlignment="1" applyProtection="1">
      <alignment horizontal="center" vertical="top" wrapText="1"/>
      <protection locked="0"/>
    </xf>
    <xf numFmtId="0" fontId="9" fillId="5" borderId="32" xfId="0" applyFont="1" applyFill="1" applyBorder="1" applyAlignment="1" applyProtection="1">
      <alignment horizontal="center" vertical="top" wrapText="1"/>
      <protection locked="0"/>
    </xf>
    <xf numFmtId="165" fontId="9" fillId="71" borderId="32" xfId="0" applyNumberFormat="1" applyFont="1" applyFill="1" applyBorder="1" applyAlignment="1" applyProtection="1">
      <alignment horizontal="center" vertical="top" wrapText="1"/>
    </xf>
    <xf numFmtId="0" fontId="9" fillId="71" borderId="32" xfId="0" applyFont="1" applyFill="1" applyBorder="1" applyAlignment="1" applyProtection="1">
      <alignment horizontal="center" vertical="top" wrapText="1"/>
      <protection locked="0"/>
    </xf>
    <xf numFmtId="165" fontId="9" fillId="24" borderId="32" xfId="0" applyNumberFormat="1" applyFont="1" applyFill="1" applyBorder="1" applyAlignment="1" applyProtection="1">
      <alignment horizontal="center" vertical="top" wrapText="1"/>
    </xf>
    <xf numFmtId="0" fontId="9" fillId="0" borderId="32" xfId="0" applyNumberFormat="1" applyFont="1" applyBorder="1" applyAlignment="1" applyProtection="1">
      <alignment horizontal="center" vertical="top" wrapText="1"/>
      <protection locked="0"/>
    </xf>
    <xf numFmtId="0" fontId="9" fillId="74" borderId="32" xfId="0" applyNumberFormat="1" applyFont="1" applyFill="1" applyBorder="1" applyAlignment="1" applyProtection="1">
      <alignment horizontal="center" vertical="top" wrapText="1"/>
      <protection locked="0"/>
    </xf>
    <xf numFmtId="0" fontId="9" fillId="74" borderId="32" xfId="0" applyFont="1" applyFill="1" applyBorder="1" applyAlignment="1">
      <alignment horizontal="center" vertical="center" wrapText="1"/>
    </xf>
    <xf numFmtId="0" fontId="9" fillId="0" borderId="32" xfId="0" applyNumberFormat="1" applyFont="1" applyFill="1" applyBorder="1" applyAlignment="1" applyProtection="1">
      <alignment horizontal="center" vertical="top" wrapText="1"/>
      <protection locked="0"/>
    </xf>
    <xf numFmtId="2" fontId="9" fillId="0" borderId="32" xfId="0" applyNumberFormat="1" applyFont="1" applyBorder="1" applyAlignment="1" applyProtection="1">
      <alignment horizontal="center" vertical="top" wrapText="1"/>
      <protection locked="0"/>
    </xf>
    <xf numFmtId="165" fontId="9" fillId="0" borderId="32" xfId="0" applyNumberFormat="1" applyFont="1" applyBorder="1" applyAlignment="1" applyProtection="1">
      <alignment horizontal="center" vertical="top" wrapText="1"/>
    </xf>
    <xf numFmtId="0" fontId="9" fillId="5" borderId="32" xfId="0" applyFont="1" applyFill="1" applyBorder="1" applyAlignment="1">
      <alignment horizontal="center" vertical="top" wrapText="1"/>
    </xf>
    <xf numFmtId="0" fontId="9" fillId="24" borderId="32" xfId="0" applyFont="1" applyFill="1" applyBorder="1" applyAlignment="1">
      <alignment horizontal="center" vertical="top" wrapText="1"/>
    </xf>
    <xf numFmtId="2" fontId="9" fillId="24" borderId="32" xfId="0" applyNumberFormat="1" applyFont="1" applyFill="1" applyBorder="1" applyAlignment="1" applyProtection="1">
      <alignment horizontal="center" vertical="top" wrapText="1"/>
      <protection locked="0"/>
    </xf>
    <xf numFmtId="0" fontId="9" fillId="0" borderId="32" xfId="0" applyFont="1" applyBorder="1" applyAlignment="1">
      <alignment horizontal="center" vertical="center" wrapText="1"/>
    </xf>
    <xf numFmtId="2" fontId="9" fillId="30" borderId="32" xfId="0" quotePrefix="1" applyNumberFormat="1" applyFont="1" applyFill="1" applyBorder="1" applyAlignment="1" applyProtection="1">
      <alignment horizontal="center" vertical="top" wrapText="1"/>
      <protection locked="0"/>
    </xf>
    <xf numFmtId="0" fontId="9" fillId="0" borderId="32" xfId="0" applyFont="1" applyFill="1" applyBorder="1" applyAlignment="1" applyProtection="1">
      <alignment horizontal="center" vertical="top" wrapText="1"/>
    </xf>
    <xf numFmtId="0" fontId="9" fillId="71" borderId="32" xfId="0" applyNumberFormat="1" applyFont="1" applyFill="1" applyBorder="1" applyAlignment="1" applyProtection="1">
      <alignment horizontal="center" vertical="top" wrapText="1"/>
    </xf>
    <xf numFmtId="0" fontId="9" fillId="68" borderId="32" xfId="0" applyFont="1" applyFill="1" applyBorder="1" applyAlignment="1" applyProtection="1">
      <alignment horizontal="center" vertical="top" wrapText="1"/>
      <protection locked="0"/>
    </xf>
    <xf numFmtId="0" fontId="9" fillId="30" borderId="32" xfId="0" applyFont="1" applyFill="1" applyBorder="1" applyAlignment="1" applyProtection="1">
      <alignment horizontal="center" vertical="top" wrapText="1"/>
      <protection locked="0"/>
    </xf>
    <xf numFmtId="2" fontId="9" fillId="0" borderId="32" xfId="5" applyNumberFormat="1" applyFont="1" applyBorder="1" applyAlignment="1" applyProtection="1">
      <alignment horizontal="center" vertical="top" wrapText="1"/>
      <protection locked="0"/>
    </xf>
    <xf numFmtId="0" fontId="9" fillId="30" borderId="32" xfId="0" applyFont="1" applyFill="1" applyBorder="1" applyAlignment="1" applyProtection="1">
      <alignment horizontal="center" vertical="top"/>
      <protection locked="0"/>
    </xf>
    <xf numFmtId="0" fontId="9" fillId="30" borderId="32" xfId="4" applyFont="1" applyFill="1" applyBorder="1" applyAlignment="1" applyProtection="1">
      <alignment horizontal="center" vertical="top" wrapText="1"/>
      <protection locked="0"/>
    </xf>
    <xf numFmtId="0" fontId="9" fillId="0" borderId="32" xfId="0" applyFont="1" applyFill="1" applyBorder="1" applyAlignment="1" applyProtection="1">
      <alignment horizontal="center" vertical="center" wrapText="1"/>
      <protection locked="0"/>
    </xf>
    <xf numFmtId="0" fontId="9" fillId="30" borderId="32" xfId="0" applyFont="1" applyFill="1" applyBorder="1" applyAlignment="1" applyProtection="1">
      <alignment horizontal="center" vertical="center" wrapText="1"/>
      <protection locked="0"/>
    </xf>
    <xf numFmtId="2" fontId="9" fillId="5" borderId="32" xfId="0" applyNumberFormat="1" applyFont="1" applyFill="1" applyBorder="1" applyAlignment="1" applyProtection="1">
      <alignment horizontal="center" vertical="top" wrapText="1"/>
      <protection locked="0"/>
    </xf>
    <xf numFmtId="0" fontId="9" fillId="5" borderId="32" xfId="4" applyFont="1" applyFill="1" applyBorder="1" applyAlignment="1" applyProtection="1">
      <alignment horizontal="center" vertical="top" wrapText="1"/>
      <protection locked="0"/>
    </xf>
    <xf numFmtId="0" fontId="9" fillId="5" borderId="32" xfId="4" applyFont="1" applyFill="1" applyBorder="1" applyAlignment="1">
      <alignment horizontal="center" vertical="top" wrapText="1"/>
    </xf>
    <xf numFmtId="2" fontId="9" fillId="5" borderId="32" xfId="4" applyNumberFormat="1" applyFont="1" applyFill="1" applyBorder="1" applyAlignment="1">
      <alignment horizontal="center" vertical="top" wrapText="1"/>
    </xf>
    <xf numFmtId="2" fontId="9" fillId="5" borderId="32" xfId="4" applyNumberFormat="1" applyFont="1" applyFill="1" applyBorder="1" applyAlignment="1" applyProtection="1">
      <alignment horizontal="center" vertical="top" wrapText="1"/>
      <protection locked="0"/>
    </xf>
    <xf numFmtId="0" fontId="7" fillId="23" borderId="32" xfId="0" applyFont="1" applyFill="1" applyBorder="1" applyAlignment="1" applyProtection="1">
      <alignment horizontal="center" vertical="top" wrapText="1"/>
      <protection locked="0"/>
    </xf>
    <xf numFmtId="0" fontId="9" fillId="0" borderId="32" xfId="0" applyFont="1" applyBorder="1" applyAlignment="1" applyProtection="1">
      <alignment horizontal="center" vertical="center" wrapText="1"/>
      <protection locked="0"/>
    </xf>
    <xf numFmtId="2" fontId="9" fillId="30" borderId="32" xfId="0" applyNumberFormat="1" applyFont="1" applyFill="1" applyBorder="1" applyAlignment="1" applyProtection="1">
      <alignment horizontal="center" vertical="top" wrapText="1"/>
      <protection locked="0"/>
    </xf>
    <xf numFmtId="2" fontId="9" fillId="0" borderId="32" xfId="0" applyNumberFormat="1" applyFont="1" applyFill="1" applyBorder="1" applyAlignment="1" applyProtection="1">
      <alignment horizontal="center" vertical="top" wrapText="1"/>
      <protection locked="0"/>
    </xf>
    <xf numFmtId="2" fontId="9" fillId="35" borderId="32" xfId="0" applyNumberFormat="1" applyFont="1" applyFill="1" applyBorder="1" applyAlignment="1" applyProtection="1">
      <alignment horizontal="center" vertical="top" wrapText="1"/>
      <protection locked="0"/>
    </xf>
    <xf numFmtId="2" fontId="9" fillId="0" borderId="32" xfId="0" applyNumberFormat="1" applyFont="1" applyFill="1" applyBorder="1" applyAlignment="1" applyProtection="1">
      <alignment horizontal="center" vertical="top" wrapText="1" shrinkToFit="1"/>
      <protection locked="0"/>
    </xf>
    <xf numFmtId="0" fontId="9" fillId="35" borderId="32" xfId="0" applyFont="1" applyFill="1" applyBorder="1" applyAlignment="1" applyProtection="1">
      <alignment horizontal="center" vertical="top" wrapText="1"/>
      <protection locked="0"/>
    </xf>
    <xf numFmtId="0" fontId="9" fillId="0" borderId="32" xfId="4" applyFont="1" applyFill="1" applyBorder="1" applyAlignment="1" applyProtection="1">
      <alignment horizontal="center" vertical="top" wrapText="1" shrinkToFit="1"/>
      <protection locked="0"/>
    </xf>
    <xf numFmtId="9" fontId="9" fillId="0" borderId="32" xfId="0" applyNumberFormat="1" applyFont="1" applyFill="1" applyBorder="1" applyAlignment="1" applyProtection="1">
      <alignment horizontal="center" vertical="top" wrapText="1" shrinkToFit="1"/>
      <protection locked="0"/>
    </xf>
    <xf numFmtId="0" fontId="9" fillId="24" borderId="32" xfId="178" applyFont="1" applyFill="1" applyBorder="1" applyAlignment="1" applyProtection="1">
      <alignment horizontal="center" vertical="top" wrapText="1"/>
      <protection locked="0"/>
    </xf>
    <xf numFmtId="0" fontId="9" fillId="58" borderId="32" xfId="0" applyFont="1" applyFill="1" applyBorder="1" applyAlignment="1" applyProtection="1">
      <alignment horizontal="center" vertical="top" wrapText="1"/>
      <protection locked="0"/>
    </xf>
    <xf numFmtId="0" fontId="7" fillId="58" borderId="32" xfId="0" applyFont="1" applyFill="1" applyBorder="1" applyAlignment="1" applyProtection="1">
      <alignment horizontal="center" vertical="top"/>
      <protection locked="0"/>
    </xf>
    <xf numFmtId="0" fontId="9" fillId="76" borderId="32" xfId="0" applyFont="1" applyFill="1" applyBorder="1" applyAlignment="1" applyProtection="1">
      <alignment horizontal="center" vertical="top" wrapText="1"/>
      <protection locked="0"/>
    </xf>
    <xf numFmtId="0" fontId="7" fillId="76" borderId="32" xfId="0" applyFont="1" applyFill="1" applyBorder="1" applyAlignment="1" applyProtection="1">
      <alignment horizontal="center" vertical="top"/>
      <protection locked="0"/>
    </xf>
    <xf numFmtId="0" fontId="9" fillId="35" borderId="32" xfId="178" applyFont="1" applyFill="1" applyBorder="1" applyAlignment="1" applyProtection="1">
      <alignment horizontal="center" vertical="top" wrapText="1"/>
      <protection locked="0"/>
    </xf>
    <xf numFmtId="0" fontId="9" fillId="35" borderId="32" xfId="0" applyFont="1" applyFill="1" applyBorder="1" applyAlignment="1" applyProtection="1">
      <alignment horizontal="center" vertical="top" wrapText="1" shrinkToFit="1"/>
      <protection locked="0"/>
    </xf>
    <xf numFmtId="0" fontId="9" fillId="30" borderId="32" xfId="0" applyFont="1" applyFill="1" applyBorder="1" applyAlignment="1">
      <alignment horizontal="center" vertical="top" wrapText="1"/>
    </xf>
    <xf numFmtId="0" fontId="9" fillId="74" borderId="32" xfId="178" applyFont="1" applyFill="1" applyBorder="1" applyAlignment="1" applyProtection="1">
      <alignment horizontal="center" vertical="top" wrapText="1"/>
      <protection locked="0"/>
    </xf>
    <xf numFmtId="2" fontId="9" fillId="0" borderId="32" xfId="0" applyNumberFormat="1" applyFont="1" applyBorder="1" applyAlignment="1">
      <alignment horizontal="center" vertical="top" wrapText="1"/>
    </xf>
    <xf numFmtId="0" fontId="38" fillId="0" borderId="0" xfId="0" applyFont="1" applyFill="1" applyBorder="1" applyAlignment="1" applyProtection="1">
      <alignment horizontal="center" vertical="center"/>
      <protection locked="0"/>
    </xf>
    <xf numFmtId="2" fontId="9" fillId="74" borderId="32" xfId="0" applyNumberFormat="1" applyFont="1" applyFill="1" applyBorder="1" applyAlignment="1" applyProtection="1">
      <alignment horizontal="center" vertical="top" wrapText="1"/>
      <protection locked="0"/>
    </xf>
    <xf numFmtId="0" fontId="9" fillId="74" borderId="32" xfId="0" applyFont="1" applyFill="1" applyBorder="1" applyAlignment="1" applyProtection="1">
      <alignment horizontal="center" vertical="center" wrapText="1"/>
      <protection locked="0"/>
    </xf>
    <xf numFmtId="2" fontId="9" fillId="0" borderId="32" xfId="0" applyNumberFormat="1" applyFont="1" applyBorder="1" applyAlignment="1" applyProtection="1">
      <alignment horizontal="left" vertical="top" wrapText="1"/>
      <protection locked="0"/>
    </xf>
    <xf numFmtId="0" fontId="9" fillId="74" borderId="32" xfId="0" applyFont="1" applyFill="1" applyBorder="1" applyAlignment="1" applyProtection="1">
      <alignment horizontal="center" vertical="top"/>
      <protection locked="0"/>
    </xf>
    <xf numFmtId="0" fontId="9" fillId="44" borderId="32" xfId="0" applyFont="1" applyFill="1" applyBorder="1" applyAlignment="1" applyProtection="1">
      <alignment horizontal="center" vertical="center"/>
      <protection locked="0"/>
    </xf>
    <xf numFmtId="2" fontId="9" fillId="74" borderId="32" xfId="0" applyNumberFormat="1" applyFont="1" applyFill="1" applyBorder="1" applyAlignment="1" applyProtection="1">
      <alignment horizontal="center" vertical="center" wrapText="1"/>
      <protection locked="0"/>
    </xf>
    <xf numFmtId="2" fontId="9" fillId="30" borderId="32" xfId="0" applyNumberFormat="1" applyFont="1" applyFill="1" applyBorder="1" applyAlignment="1" applyProtection="1">
      <alignment horizontal="center" vertical="top"/>
      <protection locked="0"/>
    </xf>
    <xf numFmtId="2" fontId="9" fillId="30" borderId="32" xfId="4" applyNumberFormat="1" applyFont="1" applyFill="1" applyBorder="1" applyAlignment="1" applyProtection="1">
      <alignment horizontal="center" vertical="top" wrapText="1"/>
      <protection locked="0"/>
    </xf>
    <xf numFmtId="0" fontId="9" fillId="38" borderId="32" xfId="0" applyFont="1" applyFill="1" applyBorder="1" applyAlignment="1" applyProtection="1">
      <alignment horizontal="center" vertical="top" wrapText="1"/>
      <protection locked="0"/>
    </xf>
    <xf numFmtId="0" fontId="9" fillId="5" borderId="32" xfId="0" applyFont="1" applyFill="1" applyBorder="1" applyAlignment="1" applyProtection="1">
      <alignment horizontal="center" vertical="top"/>
      <protection locked="0"/>
    </xf>
    <xf numFmtId="0" fontId="9" fillId="75" borderId="32" xfId="0" applyFont="1" applyFill="1" applyBorder="1" applyAlignment="1" applyProtection="1">
      <alignment horizontal="center" vertical="top"/>
      <protection locked="0"/>
    </xf>
    <xf numFmtId="0" fontId="7" fillId="75" borderId="32" xfId="0" applyFont="1" applyFill="1" applyBorder="1" applyAlignment="1" applyProtection="1">
      <alignment horizontal="center" vertical="top" wrapText="1"/>
      <protection locked="0"/>
    </xf>
    <xf numFmtId="2" fontId="9" fillId="75" borderId="32" xfId="0" applyNumberFormat="1" applyFont="1" applyFill="1" applyBorder="1" applyAlignment="1" applyProtection="1">
      <alignment horizontal="center" vertical="top" wrapText="1"/>
      <protection locked="0"/>
    </xf>
    <xf numFmtId="0" fontId="9" fillId="5" borderId="32" xfId="0" applyFont="1" applyFill="1" applyBorder="1" applyAlignment="1" applyProtection="1">
      <alignment horizontal="center" vertical="top" wrapText="1" shrinkToFit="1"/>
      <protection locked="0"/>
    </xf>
    <xf numFmtId="0" fontId="9" fillId="5" borderId="32" xfId="0" applyNumberFormat="1" applyFont="1" applyFill="1" applyBorder="1" applyAlignment="1" applyProtection="1">
      <alignment horizontal="center" vertical="top" wrapText="1" shrinkToFit="1"/>
      <protection locked="0"/>
    </xf>
    <xf numFmtId="0" fontId="9" fillId="0" borderId="32" xfId="0" applyFont="1" applyFill="1" applyBorder="1" applyAlignment="1">
      <alignment horizontal="center" vertical="center" wrapText="1"/>
    </xf>
    <xf numFmtId="2" fontId="9" fillId="75" borderId="32" xfId="0" applyNumberFormat="1" applyFont="1" applyFill="1" applyBorder="1" applyAlignment="1" applyProtection="1">
      <alignment horizontal="center" vertical="top"/>
      <protection locked="0"/>
    </xf>
    <xf numFmtId="0" fontId="9" fillId="5" borderId="32" xfId="0" applyNumberFormat="1" applyFont="1" applyFill="1" applyBorder="1" applyAlignment="1" applyProtection="1">
      <alignment horizontal="center" vertical="top" wrapText="1"/>
      <protection locked="0"/>
    </xf>
    <xf numFmtId="1" fontId="9" fillId="5" borderId="32" xfId="0" applyNumberFormat="1" applyFont="1" applyFill="1" applyBorder="1" applyAlignment="1" applyProtection="1">
      <alignment horizontal="center" vertical="top" wrapText="1"/>
      <protection locked="0"/>
    </xf>
    <xf numFmtId="2" fontId="9" fillId="0" borderId="32" xfId="4" applyNumberFormat="1" applyFont="1" applyFill="1" applyBorder="1" applyAlignment="1" applyProtection="1">
      <alignment horizontal="center" vertical="center" wrapText="1"/>
      <protection locked="0"/>
    </xf>
    <xf numFmtId="0" fontId="9" fillId="58" borderId="32" xfId="0" applyFont="1" applyFill="1" applyBorder="1" applyAlignment="1" applyProtection="1">
      <alignment horizontal="center" vertical="center" wrapText="1"/>
      <protection locked="0"/>
    </xf>
    <xf numFmtId="2" fontId="9" fillId="30" borderId="32" xfId="0" applyNumberFormat="1" applyFont="1" applyFill="1" applyBorder="1" applyAlignment="1">
      <alignment horizontal="center" vertical="top" wrapText="1"/>
    </xf>
    <xf numFmtId="0" fontId="9" fillId="30" borderId="32" xfId="0" applyNumberFormat="1" applyFont="1" applyFill="1" applyBorder="1" applyAlignment="1" applyProtection="1">
      <alignment horizontal="center" vertical="top" wrapText="1"/>
      <protection locked="0"/>
    </xf>
    <xf numFmtId="0" fontId="9" fillId="77" borderId="32" xfId="0" applyFont="1" applyFill="1" applyBorder="1" applyAlignment="1" applyProtection="1">
      <alignment horizontal="center" vertical="top" wrapText="1"/>
      <protection locked="0"/>
    </xf>
    <xf numFmtId="0" fontId="9" fillId="69" borderId="32" xfId="0" applyFont="1" applyFill="1" applyBorder="1" applyAlignment="1" applyProtection="1">
      <alignment horizontal="center" vertical="top" wrapText="1"/>
      <protection locked="0"/>
    </xf>
    <xf numFmtId="0" fontId="9" fillId="5" borderId="32" xfId="0" applyFont="1" applyFill="1" applyBorder="1" applyAlignment="1" applyProtection="1">
      <alignment horizontal="left" vertical="top" wrapText="1"/>
      <protection locked="0"/>
    </xf>
    <xf numFmtId="1" fontId="9" fillId="0" borderId="32" xfId="0" applyNumberFormat="1" applyFont="1" applyBorder="1" applyAlignment="1" applyProtection="1">
      <alignment horizontal="center" vertical="top" wrapText="1"/>
      <protection locked="0"/>
    </xf>
    <xf numFmtId="1" fontId="9" fillId="0" borderId="32" xfId="0" applyNumberFormat="1" applyFont="1" applyFill="1" applyBorder="1" applyAlignment="1" applyProtection="1">
      <alignment horizontal="center" vertical="top" wrapText="1"/>
    </xf>
    <xf numFmtId="165" fontId="9" fillId="0" borderId="32" xfId="0" applyNumberFormat="1" applyFont="1" applyFill="1" applyBorder="1" applyAlignment="1" applyProtection="1">
      <alignment horizontal="center" vertical="top" wrapText="1"/>
    </xf>
    <xf numFmtId="165" fontId="9" fillId="0" borderId="32" xfId="0" applyNumberFormat="1" applyFont="1" applyFill="1" applyBorder="1" applyAlignment="1" applyProtection="1">
      <alignment horizontal="center" vertical="top" wrapText="1"/>
      <protection locked="0"/>
    </xf>
    <xf numFmtId="9" fontId="9" fillId="0" borderId="32" xfId="0" applyNumberFormat="1" applyFont="1" applyFill="1" applyBorder="1" applyAlignment="1" applyProtection="1">
      <alignment horizontal="center" vertical="top" wrapText="1"/>
      <protection locked="0"/>
    </xf>
    <xf numFmtId="0" fontId="9" fillId="30" borderId="32" xfId="177" applyFont="1" applyFill="1" applyBorder="1" applyAlignment="1" applyProtection="1">
      <alignment horizontal="center" vertical="top" wrapText="1"/>
      <protection locked="0"/>
    </xf>
    <xf numFmtId="14" fontId="9" fillId="30" borderId="32" xfId="0" applyNumberFormat="1" applyFont="1" applyFill="1" applyBorder="1" applyAlignment="1" applyProtection="1">
      <alignment horizontal="center" vertical="top" wrapText="1"/>
      <protection locked="0"/>
    </xf>
    <xf numFmtId="2" fontId="9" fillId="5" borderId="32" xfId="0" applyNumberFormat="1" applyFont="1" applyFill="1" applyBorder="1" applyAlignment="1" applyProtection="1">
      <alignment horizontal="center" vertical="top" wrapText="1"/>
    </xf>
    <xf numFmtId="2" fontId="9" fillId="74" borderId="32" xfId="0" applyNumberFormat="1" applyFont="1" applyFill="1" applyBorder="1" applyAlignment="1" applyProtection="1">
      <alignment horizontal="center" vertical="top" wrapText="1"/>
    </xf>
    <xf numFmtId="0" fontId="9" fillId="5" borderId="32" xfId="177" applyFont="1" applyFill="1" applyBorder="1" applyAlignment="1" applyProtection="1">
      <alignment horizontal="center" vertical="top" wrapText="1"/>
      <protection locked="0"/>
    </xf>
    <xf numFmtId="0" fontId="9" fillId="0" borderId="32" xfId="177" applyFont="1" applyBorder="1" applyAlignment="1" applyProtection="1">
      <alignment horizontal="center" vertical="top" wrapText="1"/>
      <protection locked="0"/>
    </xf>
    <xf numFmtId="15" fontId="9" fillId="0" borderId="32" xfId="0" applyNumberFormat="1" applyFont="1" applyBorder="1" applyAlignment="1" applyProtection="1">
      <alignment horizontal="center" vertical="top" wrapText="1"/>
      <protection locked="0"/>
    </xf>
    <xf numFmtId="0" fontId="7" fillId="74" borderId="32" xfId="0" applyFont="1" applyFill="1" applyBorder="1" applyAlignment="1" applyProtection="1">
      <alignment horizontal="center" vertical="top" wrapText="1"/>
      <protection locked="0"/>
    </xf>
    <xf numFmtId="0" fontId="7" fillId="0" borderId="32" xfId="0" applyFont="1" applyFill="1" applyBorder="1" applyAlignment="1" applyProtection="1">
      <alignment horizontal="center" vertical="top" wrapText="1"/>
      <protection locked="0"/>
    </xf>
    <xf numFmtId="0" fontId="9" fillId="74" borderId="32" xfId="179" applyFont="1" applyFill="1" applyBorder="1" applyAlignment="1" applyProtection="1">
      <alignment horizontal="center" vertical="top" wrapText="1"/>
      <protection locked="0"/>
    </xf>
    <xf numFmtId="0" fontId="9" fillId="0" borderId="32" xfId="178" applyFont="1" applyBorder="1" applyAlignment="1" applyProtection="1">
      <alignment horizontal="center" vertical="top" wrapText="1"/>
      <protection locked="0"/>
    </xf>
    <xf numFmtId="0" fontId="9" fillId="0" borderId="32" xfId="179" applyFont="1" applyBorder="1" applyAlignment="1" applyProtection="1">
      <alignment horizontal="center" vertical="top" wrapText="1"/>
      <protection locked="0"/>
    </xf>
    <xf numFmtId="2" fontId="9" fillId="0" borderId="32" xfId="0" applyNumberFormat="1" applyFont="1" applyFill="1" applyBorder="1" applyAlignment="1" applyProtection="1">
      <alignment horizontal="center" vertical="top"/>
      <protection locked="0"/>
    </xf>
    <xf numFmtId="1" fontId="9" fillId="0" borderId="32" xfId="0" applyNumberFormat="1" applyFont="1" applyFill="1" applyBorder="1" applyAlignment="1" applyProtection="1">
      <alignment horizontal="center" vertical="top" wrapText="1"/>
      <protection locked="0"/>
    </xf>
    <xf numFmtId="1" fontId="9" fillId="0" borderId="32" xfId="0" applyNumberFormat="1" applyFont="1" applyBorder="1" applyAlignment="1">
      <alignment horizontal="center" vertical="top" wrapText="1"/>
    </xf>
    <xf numFmtId="1" fontId="9" fillId="74" borderId="32" xfId="0" applyNumberFormat="1" applyFont="1" applyFill="1" applyBorder="1" applyAlignment="1" applyProtection="1">
      <alignment horizontal="center" vertical="top" wrapText="1"/>
      <protection locked="0"/>
    </xf>
    <xf numFmtId="1" fontId="9" fillId="75" borderId="32" xfId="0" applyNumberFormat="1" applyFont="1" applyFill="1" applyBorder="1" applyAlignment="1" applyProtection="1">
      <alignment horizontal="center" vertical="top" wrapText="1"/>
      <protection locked="0"/>
    </xf>
    <xf numFmtId="2" fontId="9" fillId="5" borderId="32" xfId="6" applyNumberFormat="1" applyFont="1" applyFill="1" applyBorder="1" applyAlignment="1" applyProtection="1">
      <alignment horizontal="center" vertical="top" wrapText="1"/>
    </xf>
    <xf numFmtId="2" fontId="9" fillId="5" borderId="32" xfId="6" applyNumberFormat="1" applyFont="1" applyFill="1" applyBorder="1" applyAlignment="1" applyProtection="1">
      <alignment vertical="top" wrapText="1"/>
    </xf>
    <xf numFmtId="165" fontId="9" fillId="74" borderId="32" xfId="0" applyNumberFormat="1" applyFont="1" applyFill="1" applyBorder="1" applyAlignment="1" applyProtection="1">
      <alignment horizontal="center" vertical="top" wrapText="1"/>
      <protection locked="0"/>
    </xf>
    <xf numFmtId="2" fontId="7" fillId="5" borderId="32" xfId="0" applyNumberFormat="1" applyFont="1" applyFill="1" applyBorder="1" applyAlignment="1" applyProtection="1">
      <alignment horizontal="center" vertical="top" wrapText="1"/>
      <protection locked="0"/>
    </xf>
    <xf numFmtId="0" fontId="9" fillId="0" borderId="32" xfId="6" applyFont="1" applyBorder="1" applyAlignment="1" applyProtection="1">
      <alignment horizontal="center" vertical="top" wrapText="1"/>
      <protection locked="0"/>
    </xf>
    <xf numFmtId="0" fontId="9" fillId="0" borderId="32" xfId="6" applyFont="1" applyFill="1" applyBorder="1" applyAlignment="1" applyProtection="1">
      <alignment horizontal="center" vertical="top" wrapText="1"/>
      <protection locked="0"/>
    </xf>
    <xf numFmtId="0" fontId="9" fillId="53" borderId="32" xfId="0" applyFont="1" applyFill="1" applyBorder="1" applyAlignment="1" applyProtection="1">
      <alignment horizontal="center" vertical="top" wrapText="1"/>
      <protection locked="0"/>
    </xf>
    <xf numFmtId="2" fontId="7" fillId="5" borderId="32" xfId="0" applyNumberFormat="1" applyFont="1" applyFill="1" applyBorder="1" applyAlignment="1" applyProtection="1">
      <alignment vertical="top" wrapText="1"/>
    </xf>
    <xf numFmtId="2" fontId="9" fillId="5" borderId="32" xfId="0" applyNumberFormat="1" applyFont="1" applyFill="1" applyBorder="1" applyAlignment="1" applyProtection="1">
      <alignment vertical="top" wrapText="1"/>
    </xf>
    <xf numFmtId="49" fontId="9" fillId="5" borderId="32" xfId="0" applyNumberFormat="1" applyFont="1" applyFill="1" applyBorder="1" applyAlignment="1" applyProtection="1">
      <alignment horizontal="center" vertical="top" wrapText="1"/>
      <protection locked="0"/>
    </xf>
    <xf numFmtId="0" fontId="7" fillId="43" borderId="32" xfId="0" applyFont="1" applyFill="1" applyBorder="1" applyAlignment="1" applyProtection="1">
      <alignment horizontal="center" vertical="top" wrapText="1"/>
      <protection locked="0"/>
    </xf>
    <xf numFmtId="0" fontId="9" fillId="44" borderId="32" xfId="0" applyFont="1" applyFill="1" applyBorder="1" applyAlignment="1" applyProtection="1">
      <alignment horizontal="center" vertical="top"/>
      <protection locked="0"/>
    </xf>
    <xf numFmtId="0" fontId="9" fillId="0" borderId="32" xfId="0" applyFont="1" applyFill="1" applyBorder="1" applyAlignment="1" applyProtection="1">
      <alignment horizontal="center" vertical="top"/>
      <protection locked="0"/>
    </xf>
    <xf numFmtId="0" fontId="9" fillId="24" borderId="32" xfId="0" applyFont="1" applyFill="1" applyBorder="1" applyAlignment="1" applyProtection="1">
      <alignment horizontal="center" vertical="top"/>
      <protection locked="0"/>
    </xf>
    <xf numFmtId="0" fontId="7" fillId="0" borderId="32" xfId="0" applyFont="1" applyFill="1" applyBorder="1" applyAlignment="1" applyProtection="1">
      <alignment horizontal="center" vertical="top"/>
      <protection locked="0"/>
    </xf>
    <xf numFmtId="0" fontId="9" fillId="0" borderId="32" xfId="4" applyFont="1" applyFill="1" applyBorder="1" applyAlignment="1" applyProtection="1">
      <alignment horizontal="center" vertical="center" wrapText="1"/>
      <protection locked="0"/>
    </xf>
    <xf numFmtId="0" fontId="9" fillId="43" borderId="32" xfId="0" applyFont="1" applyFill="1" applyBorder="1" applyAlignment="1" applyProtection="1">
      <alignment horizontal="center" vertical="top" wrapText="1"/>
      <protection locked="0"/>
    </xf>
    <xf numFmtId="0" fontId="9" fillId="44" borderId="32" xfId="4" applyFont="1" applyFill="1" applyBorder="1" applyAlignment="1" applyProtection="1">
      <alignment horizontal="center" vertical="top" wrapText="1"/>
      <protection locked="0"/>
    </xf>
    <xf numFmtId="0" fontId="9" fillId="44" borderId="32" xfId="4" applyFont="1" applyFill="1" applyBorder="1" applyAlignment="1" applyProtection="1">
      <alignment horizontal="center" vertical="top"/>
      <protection locked="0"/>
    </xf>
    <xf numFmtId="0" fontId="9" fillId="0" borderId="32" xfId="6" applyFont="1" applyFill="1" applyBorder="1" applyAlignment="1" applyProtection="1">
      <alignment horizontal="center" vertical="top"/>
      <protection locked="0"/>
    </xf>
    <xf numFmtId="0" fontId="9" fillId="0" borderId="32" xfId="6" applyFont="1" applyFill="1" applyBorder="1" applyAlignment="1" applyProtection="1">
      <alignment horizontal="center" vertical="center" wrapText="1"/>
      <protection locked="0"/>
    </xf>
    <xf numFmtId="2" fontId="9" fillId="0" borderId="32" xfId="6" applyNumberFormat="1" applyFont="1" applyFill="1" applyBorder="1" applyAlignment="1" applyProtection="1">
      <alignment horizontal="center" vertical="top" wrapText="1"/>
      <protection locked="0"/>
    </xf>
    <xf numFmtId="2" fontId="9" fillId="0" borderId="32" xfId="180" applyNumberFormat="1" applyFont="1" applyFill="1" applyBorder="1" applyAlignment="1" applyProtection="1">
      <alignment horizontal="center" vertical="top" wrapText="1"/>
      <protection locked="0"/>
    </xf>
    <xf numFmtId="2" fontId="7" fillId="0" borderId="32" xfId="6" applyNumberFormat="1" applyFont="1" applyFill="1" applyBorder="1" applyAlignment="1" applyProtection="1">
      <alignment horizontal="center" vertical="top"/>
      <protection locked="0"/>
    </xf>
    <xf numFmtId="2" fontId="9" fillId="0" borderId="32" xfId="6" applyNumberFormat="1" applyFont="1" applyFill="1" applyBorder="1" applyAlignment="1" applyProtection="1">
      <alignment horizontal="center" vertical="top"/>
      <protection locked="0"/>
    </xf>
    <xf numFmtId="0" fontId="9" fillId="0" borderId="32" xfId="6" applyNumberFormat="1" applyFont="1" applyFill="1" applyBorder="1" applyAlignment="1" applyProtection="1">
      <alignment horizontal="center" vertical="top" wrapText="1"/>
      <protection locked="0"/>
    </xf>
    <xf numFmtId="2" fontId="9" fillId="0" borderId="32" xfId="6" applyNumberFormat="1" applyFont="1" applyFill="1" applyBorder="1" applyAlignment="1" applyProtection="1">
      <alignment horizontal="center" vertical="justify"/>
      <protection locked="0"/>
    </xf>
    <xf numFmtId="2" fontId="9" fillId="0" borderId="32" xfId="180" applyNumberFormat="1" applyFont="1" applyFill="1" applyBorder="1" applyAlignment="1" applyProtection="1">
      <alignment vertical="top" wrapText="1"/>
      <protection locked="0"/>
    </xf>
    <xf numFmtId="2" fontId="9" fillId="0" borderId="32" xfId="180" applyNumberFormat="1" applyFont="1" applyFill="1" applyBorder="1" applyAlignment="1" applyProtection="1">
      <alignment horizontal="left" vertical="top" wrapText="1"/>
      <protection locked="0"/>
    </xf>
    <xf numFmtId="166" fontId="9" fillId="0" borderId="32" xfId="6" applyNumberFormat="1" applyFont="1" applyFill="1" applyBorder="1" applyAlignment="1" applyProtection="1">
      <alignment horizontal="center" vertical="top" wrapText="1"/>
      <protection locked="0"/>
    </xf>
    <xf numFmtId="2" fontId="9" fillId="0" borderId="32" xfId="180" applyNumberFormat="1" applyFont="1" applyFill="1" applyBorder="1" applyAlignment="1" applyProtection="1">
      <alignment horizontal="center" vertical="top"/>
      <protection locked="0"/>
    </xf>
    <xf numFmtId="0" fontId="9" fillId="25" borderId="32" xfId="0" applyFont="1" applyFill="1" applyBorder="1" applyAlignment="1" applyProtection="1">
      <alignment horizontal="center" vertical="top"/>
      <protection locked="0"/>
    </xf>
    <xf numFmtId="2" fontId="9" fillId="44" borderId="32" xfId="6" applyNumberFormat="1" applyFont="1" applyFill="1" applyBorder="1" applyAlignment="1" applyProtection="1">
      <alignment horizontal="center" vertical="top" wrapText="1"/>
      <protection locked="0"/>
    </xf>
    <xf numFmtId="0" fontId="9" fillId="44" borderId="32" xfId="6" applyFont="1" applyFill="1" applyBorder="1" applyAlignment="1" applyProtection="1">
      <alignment horizontal="center" vertical="top" wrapText="1"/>
      <protection locked="0"/>
    </xf>
    <xf numFmtId="0" fontId="9" fillId="44" borderId="32" xfId="6" applyFont="1" applyFill="1" applyBorder="1" applyAlignment="1" applyProtection="1">
      <alignment horizontal="center" vertical="top"/>
      <protection locked="0"/>
    </xf>
    <xf numFmtId="2" fontId="9" fillId="44" borderId="32" xfId="6" applyNumberFormat="1" applyFont="1" applyFill="1" applyBorder="1" applyAlignment="1" applyProtection="1">
      <alignment horizontal="center" vertical="top"/>
      <protection locked="0"/>
    </xf>
    <xf numFmtId="0" fontId="38" fillId="44" borderId="0" xfId="0" applyFont="1" applyFill="1" applyBorder="1" applyAlignment="1" applyProtection="1">
      <alignment horizontal="center" vertical="center"/>
      <protection locked="0"/>
    </xf>
    <xf numFmtId="0" fontId="9" fillId="0" borderId="0" xfId="0" applyFont="1" applyBorder="1" applyAlignment="1" applyProtection="1">
      <alignment horizontal="center" vertical="top" wrapText="1"/>
      <protection locked="0"/>
    </xf>
    <xf numFmtId="0" fontId="9" fillId="0" borderId="0" xfId="0" applyFont="1" applyBorder="1" applyAlignment="1" applyProtection="1">
      <alignment horizontal="center" vertical="top"/>
      <protection locked="0"/>
    </xf>
    <xf numFmtId="2" fontId="9" fillId="0" borderId="32" xfId="0" applyNumberFormat="1" applyFont="1" applyFill="1" applyBorder="1" applyAlignment="1">
      <alignment horizontal="center" vertical="top" wrapText="1"/>
    </xf>
    <xf numFmtId="2" fontId="9" fillId="0" borderId="32" xfId="6" applyNumberFormat="1" applyFont="1" applyFill="1" applyBorder="1" applyAlignment="1" applyProtection="1">
      <alignment vertical="center"/>
      <protection locked="0"/>
    </xf>
    <xf numFmtId="0" fontId="7" fillId="72" borderId="32" xfId="0" applyFont="1" applyFill="1" applyBorder="1" applyAlignment="1" applyProtection="1">
      <alignment vertical="top" wrapText="1"/>
      <protection locked="0"/>
    </xf>
    <xf numFmtId="2" fontId="9" fillId="72" borderId="32" xfId="0" applyNumberFormat="1" applyFont="1" applyFill="1" applyBorder="1" applyAlignment="1" applyProtection="1">
      <alignment horizontal="center" vertical="center"/>
    </xf>
    <xf numFmtId="0" fontId="7" fillId="79" borderId="32" xfId="0" applyFont="1" applyFill="1" applyBorder="1" applyAlignment="1" applyProtection="1">
      <alignment vertical="top" wrapText="1"/>
      <protection locked="0"/>
    </xf>
    <xf numFmtId="2" fontId="9" fillId="79" borderId="32" xfId="0" applyNumberFormat="1" applyFont="1" applyFill="1" applyBorder="1" applyAlignment="1" applyProtection="1">
      <alignment horizontal="center" vertical="center"/>
    </xf>
    <xf numFmtId="0" fontId="7" fillId="74" borderId="32" xfId="0" applyFont="1" applyFill="1" applyBorder="1" applyAlignment="1" applyProtection="1">
      <alignment vertical="top" wrapText="1"/>
      <protection locked="0"/>
    </xf>
    <xf numFmtId="2" fontId="9" fillId="74" borderId="32" xfId="0" applyNumberFormat="1" applyFont="1" applyFill="1" applyBorder="1" applyAlignment="1" applyProtection="1">
      <alignment horizontal="center" vertical="center"/>
    </xf>
    <xf numFmtId="0" fontId="7" fillId="82" borderId="32" xfId="0" applyFont="1" applyFill="1" applyBorder="1" applyAlignment="1" applyProtection="1">
      <alignment vertical="top" wrapText="1"/>
      <protection locked="0"/>
    </xf>
    <xf numFmtId="0" fontId="9" fillId="82" borderId="32" xfId="0" applyFont="1" applyFill="1" applyBorder="1" applyAlignment="1" applyProtection="1">
      <alignment horizontal="center" vertical="top" wrapText="1"/>
      <protection locked="0"/>
    </xf>
    <xf numFmtId="0" fontId="7" fillId="70" borderId="32" xfId="0" applyFont="1" applyFill="1" applyBorder="1" applyAlignment="1" applyProtection="1">
      <alignment vertical="top" wrapText="1"/>
      <protection locked="0"/>
    </xf>
    <xf numFmtId="0" fontId="7" fillId="85" borderId="32" xfId="0" applyFont="1" applyFill="1" applyBorder="1" applyAlignment="1" applyProtection="1">
      <alignment vertical="top" wrapText="1"/>
    </xf>
    <xf numFmtId="0" fontId="7" fillId="85" borderId="32" xfId="0" applyFont="1" applyFill="1" applyBorder="1" applyAlignment="1" applyProtection="1">
      <alignment horizontal="center" vertical="top" wrapText="1"/>
      <protection locked="0"/>
    </xf>
    <xf numFmtId="0" fontId="7" fillId="85" borderId="32" xfId="0" applyFont="1" applyFill="1" applyBorder="1" applyAlignment="1" applyProtection="1">
      <alignment horizontal="center" vertical="top"/>
      <protection locked="0"/>
    </xf>
    <xf numFmtId="0" fontId="7" fillId="85" borderId="32" xfId="0" applyFont="1" applyFill="1" applyBorder="1" applyAlignment="1" applyProtection="1">
      <alignment horizontal="center" vertical="center"/>
      <protection locked="0"/>
    </xf>
    <xf numFmtId="0" fontId="7" fillId="85" borderId="32" xfId="0" applyFont="1" applyFill="1" applyBorder="1" applyAlignment="1" applyProtection="1">
      <alignment vertical="top" wrapText="1"/>
      <protection locked="0"/>
    </xf>
    <xf numFmtId="2" fontId="7" fillId="85" borderId="32" xfId="0" applyNumberFormat="1" applyFont="1" applyFill="1" applyBorder="1" applyAlignment="1" applyProtection="1">
      <alignment horizontal="center" vertical="center"/>
    </xf>
    <xf numFmtId="0" fontId="7" fillId="85" borderId="32" xfId="0" applyFont="1" applyFill="1" applyBorder="1" applyAlignment="1" applyProtection="1">
      <alignment horizontal="center" vertical="center" wrapText="1"/>
      <protection locked="0"/>
    </xf>
    <xf numFmtId="0" fontId="7" fillId="86" borderId="32" xfId="0" applyFont="1" applyFill="1" applyBorder="1" applyAlignment="1" applyProtection="1">
      <alignment vertical="top" wrapText="1"/>
      <protection locked="0"/>
    </xf>
    <xf numFmtId="2" fontId="9" fillId="86" borderId="32" xfId="0" applyNumberFormat="1" applyFont="1" applyFill="1" applyBorder="1" applyAlignment="1" applyProtection="1">
      <alignment horizontal="center" vertical="center"/>
    </xf>
    <xf numFmtId="0" fontId="9" fillId="85" borderId="32" xfId="0" applyFont="1" applyFill="1" applyBorder="1" applyAlignment="1" applyProtection="1">
      <alignment vertical="top" wrapText="1"/>
    </xf>
    <xf numFmtId="0" fontId="9" fillId="86" borderId="32" xfId="0" applyFont="1" applyFill="1" applyBorder="1" applyAlignment="1" applyProtection="1">
      <alignment horizontal="center" vertical="top" wrapText="1"/>
      <protection locked="0"/>
    </xf>
    <xf numFmtId="0" fontId="9" fillId="86" borderId="32" xfId="0" applyFont="1" applyFill="1" applyBorder="1" applyAlignment="1" applyProtection="1">
      <alignment horizontal="center" vertical="center" wrapText="1"/>
      <protection locked="0"/>
    </xf>
    <xf numFmtId="0" fontId="7" fillId="80" borderId="32" xfId="0" applyFont="1" applyFill="1" applyBorder="1" applyAlignment="1" applyProtection="1">
      <alignment vertical="top" wrapText="1"/>
    </xf>
    <xf numFmtId="0" fontId="7" fillId="80" borderId="32" xfId="0" applyFont="1" applyFill="1" applyBorder="1" applyAlignment="1" applyProtection="1">
      <alignment horizontal="center" vertical="top" wrapText="1"/>
      <protection locked="0"/>
    </xf>
    <xf numFmtId="0" fontId="7" fillId="80" borderId="32" xfId="0" applyFont="1" applyFill="1" applyBorder="1" applyAlignment="1" applyProtection="1">
      <alignment horizontal="center" vertical="top"/>
      <protection locked="0"/>
    </xf>
    <xf numFmtId="0" fontId="7" fillId="80" borderId="32" xfId="0" applyFont="1" applyFill="1" applyBorder="1" applyAlignment="1" applyProtection="1">
      <alignment horizontal="center" vertical="center"/>
      <protection locked="0"/>
    </xf>
    <xf numFmtId="0" fontId="7" fillId="80" borderId="32" xfId="0" applyFont="1" applyFill="1" applyBorder="1" applyAlignment="1" applyProtection="1">
      <alignment vertical="top" wrapText="1"/>
      <protection locked="0"/>
    </xf>
    <xf numFmtId="2" fontId="7" fillId="80" borderId="32" xfId="0" applyNumberFormat="1" applyFont="1" applyFill="1" applyBorder="1" applyAlignment="1" applyProtection="1">
      <alignment horizontal="center" vertical="center"/>
    </xf>
    <xf numFmtId="0" fontId="9" fillId="80" borderId="32" xfId="0" applyFont="1" applyFill="1" applyBorder="1" applyAlignment="1" applyProtection="1">
      <alignment horizontal="center" vertical="top" wrapText="1"/>
      <protection locked="0"/>
    </xf>
    <xf numFmtId="0" fontId="7" fillId="80" borderId="32" xfId="0" applyFont="1" applyFill="1" applyBorder="1" applyAlignment="1" applyProtection="1">
      <alignment horizontal="center" vertical="center" wrapText="1"/>
      <protection locked="0"/>
    </xf>
    <xf numFmtId="0" fontId="7" fillId="88" borderId="32" xfId="0" applyFont="1" applyFill="1" applyBorder="1" applyAlignment="1" applyProtection="1">
      <alignment vertical="top" wrapText="1"/>
      <protection locked="0"/>
    </xf>
    <xf numFmtId="2" fontId="9" fillId="88" borderId="32" xfId="0" applyNumberFormat="1" applyFont="1" applyFill="1" applyBorder="1" applyAlignment="1" applyProtection="1">
      <alignment horizontal="center" vertical="center"/>
    </xf>
    <xf numFmtId="0" fontId="9" fillId="80" borderId="32" xfId="0" applyFont="1" applyFill="1" applyBorder="1" applyAlignment="1" applyProtection="1">
      <alignment vertical="top" wrapText="1"/>
    </xf>
    <xf numFmtId="0" fontId="9" fillId="88" borderId="32" xfId="0" applyFont="1" applyFill="1" applyBorder="1" applyAlignment="1" applyProtection="1">
      <alignment horizontal="center" vertical="top" wrapText="1"/>
      <protection locked="0"/>
    </xf>
    <xf numFmtId="0" fontId="9" fillId="88" borderId="32" xfId="0" applyFont="1" applyFill="1" applyBorder="1" applyAlignment="1" applyProtection="1">
      <alignment horizontal="center" vertical="center" wrapText="1"/>
      <protection locked="0"/>
    </xf>
    <xf numFmtId="2" fontId="9" fillId="88" borderId="32" xfId="0" applyNumberFormat="1" applyFont="1" applyFill="1" applyBorder="1" applyAlignment="1" applyProtection="1">
      <alignment horizontal="center" vertical="top" wrapText="1"/>
      <protection locked="0"/>
    </xf>
    <xf numFmtId="2" fontId="9" fillId="88" borderId="32" xfId="0" applyNumberFormat="1" applyFont="1" applyFill="1" applyBorder="1" applyAlignment="1" applyProtection="1">
      <alignment horizontal="center" vertical="top"/>
      <protection locked="0"/>
    </xf>
    <xf numFmtId="2" fontId="9" fillId="88" borderId="32" xfId="0" applyNumberFormat="1" applyFont="1" applyFill="1" applyBorder="1" applyAlignment="1" applyProtection="1">
      <alignment horizontal="center" vertical="center"/>
      <protection locked="0"/>
    </xf>
    <xf numFmtId="2" fontId="9" fillId="88" borderId="32" xfId="0" applyNumberFormat="1" applyFont="1" applyFill="1" applyBorder="1" applyAlignment="1" applyProtection="1">
      <alignment horizontal="center" vertical="center" wrapText="1"/>
      <protection locked="0"/>
    </xf>
    <xf numFmtId="2" fontId="7" fillId="88" borderId="32" xfId="0" applyNumberFormat="1" applyFont="1" applyFill="1" applyBorder="1" applyAlignment="1" applyProtection="1">
      <alignment horizontal="center" vertical="center"/>
    </xf>
    <xf numFmtId="2" fontId="9" fillId="72" borderId="32" xfId="0" applyNumberFormat="1" applyFont="1" applyFill="1" applyBorder="1" applyAlignment="1" applyProtection="1">
      <alignment horizontal="center" vertical="top" wrapText="1"/>
      <protection locked="0"/>
    </xf>
    <xf numFmtId="0" fontId="9" fillId="72" borderId="32" xfId="0" applyFont="1" applyFill="1" applyBorder="1" applyAlignment="1" applyProtection="1">
      <alignment horizontal="center" vertical="top" wrapText="1"/>
      <protection locked="0"/>
    </xf>
    <xf numFmtId="0" fontId="9" fillId="72" borderId="32" xfId="0" applyFont="1" applyFill="1" applyBorder="1" applyAlignment="1" applyProtection="1">
      <alignment horizontal="center" vertical="center" wrapText="1"/>
      <protection locked="0"/>
    </xf>
    <xf numFmtId="2" fontId="7" fillId="73" borderId="32" xfId="0" applyNumberFormat="1" applyFont="1" applyFill="1" applyBorder="1" applyAlignment="1" applyProtection="1">
      <alignment horizontal="center" vertical="center"/>
    </xf>
    <xf numFmtId="0" fontId="9" fillId="73" borderId="32" xfId="0" applyFont="1" applyFill="1" applyBorder="1" applyAlignment="1" applyProtection="1">
      <alignment horizontal="center" vertical="top" wrapText="1"/>
      <protection locked="0"/>
    </xf>
    <xf numFmtId="0" fontId="9" fillId="73" borderId="32" xfId="4" applyFont="1" applyFill="1" applyBorder="1" applyAlignment="1" applyProtection="1">
      <alignment horizontal="center" vertical="top" wrapText="1"/>
      <protection locked="0"/>
    </xf>
    <xf numFmtId="0" fontId="9" fillId="73" borderId="32" xfId="0" applyFont="1" applyFill="1" applyBorder="1" applyAlignment="1" applyProtection="1">
      <alignment horizontal="center" vertical="center" wrapText="1"/>
      <protection locked="0"/>
    </xf>
    <xf numFmtId="0" fontId="7" fillId="87" borderId="32" xfId="0" applyFont="1" applyFill="1" applyBorder="1" applyAlignment="1" applyProtection="1">
      <alignment horizontal="center" vertical="top" wrapText="1"/>
      <protection locked="0"/>
    </xf>
    <xf numFmtId="0" fontId="7" fillId="88" borderId="32" xfId="0" applyFont="1" applyFill="1" applyBorder="1" applyAlignment="1" applyProtection="1">
      <alignment horizontal="center" vertical="top" wrapText="1"/>
      <protection locked="0"/>
    </xf>
    <xf numFmtId="0" fontId="7" fillId="88" borderId="32" xfId="0" applyFont="1" applyFill="1" applyBorder="1" applyAlignment="1" applyProtection="1">
      <alignment horizontal="center" vertical="center" wrapText="1"/>
      <protection locked="0"/>
    </xf>
    <xf numFmtId="2" fontId="9" fillId="88" borderId="32" xfId="0" applyNumberFormat="1" applyFont="1" applyFill="1" applyBorder="1" applyAlignment="1" applyProtection="1">
      <alignment horizontal="center" vertical="center" wrapText="1"/>
    </xf>
    <xf numFmtId="2" fontId="9" fillId="80" borderId="32" xfId="0" applyNumberFormat="1" applyFont="1" applyFill="1" applyBorder="1" applyAlignment="1" applyProtection="1">
      <alignment vertical="top" wrapText="1"/>
    </xf>
    <xf numFmtId="2" fontId="7" fillId="88" borderId="32" xfId="0" applyNumberFormat="1" applyFont="1" applyFill="1" applyBorder="1" applyAlignment="1" applyProtection="1">
      <alignment horizontal="center" vertical="top" wrapText="1"/>
      <protection locked="0"/>
    </xf>
    <xf numFmtId="2" fontId="7" fillId="88" borderId="32" xfId="0" applyNumberFormat="1" applyFont="1" applyFill="1" applyBorder="1" applyAlignment="1" applyProtection="1">
      <alignment horizontal="center" vertical="top"/>
      <protection locked="0"/>
    </xf>
    <xf numFmtId="2" fontId="7" fillId="88" borderId="32" xfId="0" applyNumberFormat="1" applyFont="1" applyFill="1" applyBorder="1" applyAlignment="1" applyProtection="1">
      <alignment horizontal="center" vertical="center"/>
      <protection locked="0"/>
    </xf>
    <xf numFmtId="0" fontId="7" fillId="88" borderId="32" xfId="0" applyFont="1" applyFill="1" applyBorder="1" applyAlignment="1" applyProtection="1">
      <alignment horizontal="center" vertical="top"/>
      <protection locked="0"/>
    </xf>
    <xf numFmtId="0" fontId="7" fillId="88" borderId="32" xfId="0" applyFont="1" applyFill="1" applyBorder="1" applyAlignment="1" applyProtection="1">
      <alignment horizontal="center" vertical="center"/>
      <protection locked="0"/>
    </xf>
    <xf numFmtId="2" fontId="9" fillId="80" borderId="32" xfId="0" applyNumberFormat="1" applyFont="1" applyFill="1" applyBorder="1" applyAlignment="1" applyProtection="1">
      <alignment horizontal="left" vertical="top" wrapText="1"/>
    </xf>
    <xf numFmtId="0" fontId="9" fillId="80" borderId="32" xfId="0" applyFont="1" applyFill="1" applyBorder="1" applyAlignment="1" applyProtection="1">
      <alignment horizontal="center" vertical="top" wrapText="1"/>
    </xf>
    <xf numFmtId="0" fontId="9" fillId="80" borderId="32" xfId="0" applyFont="1" applyFill="1" applyBorder="1" applyAlignment="1" applyProtection="1">
      <alignment horizontal="center" vertical="top"/>
    </xf>
    <xf numFmtId="0" fontId="9" fillId="80" borderId="32" xfId="0" applyFont="1" applyFill="1" applyBorder="1" applyAlignment="1" applyProtection="1"/>
    <xf numFmtId="0" fontId="9" fillId="80" borderId="32" xfId="0" applyFont="1" applyFill="1" applyBorder="1" applyAlignment="1" applyProtection="1">
      <alignment vertical="center" wrapText="1"/>
    </xf>
    <xf numFmtId="2" fontId="7" fillId="80" borderId="32" xfId="0" applyNumberFormat="1" applyFont="1" applyFill="1" applyBorder="1" applyAlignment="1" applyProtection="1">
      <alignment horizontal="center" vertical="center" wrapText="1"/>
    </xf>
    <xf numFmtId="2" fontId="7" fillId="88" borderId="32" xfId="0" applyNumberFormat="1" applyFont="1" applyFill="1" applyBorder="1" applyAlignment="1" applyProtection="1">
      <alignment horizontal="center" vertical="center" wrapText="1"/>
      <protection locked="0"/>
    </xf>
    <xf numFmtId="0" fontId="9" fillId="72" borderId="32" xfId="0" applyFont="1" applyFill="1" applyBorder="1" applyAlignment="1">
      <alignment horizontal="center" vertical="top" wrapText="1"/>
    </xf>
    <xf numFmtId="2" fontId="9" fillId="73" borderId="32" xfId="0" applyNumberFormat="1" applyFont="1" applyFill="1" applyBorder="1" applyAlignment="1" applyProtection="1">
      <alignment horizontal="center" vertical="top" wrapText="1"/>
      <protection locked="0"/>
    </xf>
    <xf numFmtId="0" fontId="9" fillId="73" borderId="32" xfId="0" applyFont="1" applyFill="1" applyBorder="1" applyAlignment="1" applyProtection="1">
      <alignment horizontal="center" vertical="top"/>
      <protection locked="0"/>
    </xf>
    <xf numFmtId="0" fontId="9" fillId="73" borderId="32" xfId="0" applyFont="1" applyFill="1" applyBorder="1" applyAlignment="1" applyProtection="1">
      <alignment horizontal="center" vertical="center"/>
      <protection locked="0"/>
    </xf>
    <xf numFmtId="0" fontId="7" fillId="76" borderId="32" xfId="0" applyFont="1" applyFill="1" applyBorder="1" applyAlignment="1" applyProtection="1">
      <alignment vertical="top" wrapText="1"/>
      <protection locked="0"/>
    </xf>
    <xf numFmtId="2" fontId="9" fillId="76" borderId="32" xfId="0" applyNumberFormat="1" applyFont="1" applyFill="1" applyBorder="1" applyAlignment="1" applyProtection="1">
      <alignment horizontal="center" vertical="center"/>
    </xf>
    <xf numFmtId="0" fontId="9" fillId="76" borderId="32" xfId="0" applyFont="1" applyFill="1" applyBorder="1" applyAlignment="1" applyProtection="1">
      <alignment horizontal="center" vertical="center" wrapText="1"/>
      <protection locked="0"/>
    </xf>
    <xf numFmtId="2" fontId="9" fillId="75" borderId="32" xfId="0" applyNumberFormat="1" applyFont="1" applyFill="1" applyBorder="1" applyAlignment="1" applyProtection="1">
      <alignment horizontal="center" vertical="center" wrapText="1"/>
    </xf>
    <xf numFmtId="0" fontId="9" fillId="91" borderId="32" xfId="0" applyFont="1" applyFill="1" applyBorder="1" applyAlignment="1" applyProtection="1">
      <alignment horizontal="center" vertical="top" wrapText="1"/>
      <protection locked="0"/>
    </xf>
    <xf numFmtId="0" fontId="7" fillId="74" borderId="32" xfId="0" applyFont="1" applyFill="1" applyBorder="1" applyAlignment="1">
      <alignment horizontal="center" vertical="top" wrapText="1"/>
    </xf>
    <xf numFmtId="2" fontId="9" fillId="74" borderId="32" xfId="0" applyNumberFormat="1" applyFont="1" applyFill="1" applyBorder="1" applyAlignment="1">
      <alignment horizontal="center" vertical="center"/>
    </xf>
    <xf numFmtId="2" fontId="7" fillId="86" borderId="32" xfId="0" applyNumberFormat="1" applyFont="1" applyFill="1" applyBorder="1" applyAlignment="1" applyProtection="1">
      <alignment horizontal="center" vertical="center"/>
    </xf>
    <xf numFmtId="0" fontId="7" fillId="86" borderId="32" xfId="0" applyFont="1" applyFill="1" applyBorder="1" applyAlignment="1" applyProtection="1">
      <alignment horizontal="center" vertical="top" wrapText="1"/>
      <protection locked="0"/>
    </xf>
    <xf numFmtId="2" fontId="7" fillId="85" borderId="32" xfId="0" applyNumberFormat="1" applyFont="1" applyFill="1" applyBorder="1" applyAlignment="1" applyProtection="1">
      <alignment horizontal="center" vertical="top" wrapText="1"/>
    </xf>
    <xf numFmtId="2" fontId="7" fillId="93" borderId="32" xfId="0" applyNumberFormat="1" applyFont="1" applyFill="1" applyBorder="1" applyAlignment="1" applyProtection="1">
      <alignment horizontal="center" vertical="center" wrapText="1"/>
    </xf>
    <xf numFmtId="2" fontId="7" fillId="93" borderId="32" xfId="0" applyNumberFormat="1" applyFont="1" applyFill="1" applyBorder="1" applyAlignment="1" applyProtection="1">
      <alignment horizontal="center" vertical="top" wrapText="1"/>
    </xf>
    <xf numFmtId="0" fontId="7" fillId="78" borderId="32" xfId="0" applyFont="1" applyFill="1" applyBorder="1" applyAlignment="1" applyProtection="1">
      <alignment vertical="top" wrapText="1"/>
      <protection locked="0"/>
    </xf>
    <xf numFmtId="2" fontId="7" fillId="78" borderId="32" xfId="0" applyNumberFormat="1" applyFont="1" applyFill="1" applyBorder="1" applyAlignment="1" applyProtection="1">
      <alignment horizontal="center" vertical="center"/>
    </xf>
    <xf numFmtId="0" fontId="9" fillId="78" borderId="32" xfId="0" applyFont="1" applyFill="1" applyBorder="1" applyAlignment="1" applyProtection="1">
      <alignment vertical="top" wrapText="1"/>
    </xf>
    <xf numFmtId="0" fontId="9" fillId="78" borderId="32" xfId="0" applyFont="1" applyFill="1" applyBorder="1" applyAlignment="1" applyProtection="1">
      <alignment horizontal="center" vertical="top" wrapText="1"/>
      <protection locked="0"/>
    </xf>
    <xf numFmtId="0" fontId="9" fillId="78" borderId="32" xfId="0" applyFont="1" applyFill="1" applyBorder="1" applyAlignment="1" applyProtection="1">
      <alignment horizontal="center" vertical="center" wrapText="1"/>
      <protection locked="0"/>
    </xf>
    <xf numFmtId="0" fontId="7" fillId="84" borderId="32" xfId="0" applyFont="1" applyFill="1" applyBorder="1" applyAlignment="1" applyProtection="1">
      <alignment horizontal="center" vertical="top" wrapText="1"/>
      <protection locked="0"/>
    </xf>
    <xf numFmtId="2" fontId="38" fillId="86" borderId="32" xfId="0" applyNumberFormat="1" applyFont="1" applyFill="1" applyBorder="1" applyAlignment="1" applyProtection="1">
      <alignment horizontal="center" vertical="center"/>
      <protection locked="0"/>
    </xf>
    <xf numFmtId="0" fontId="9" fillId="86" borderId="32" xfId="0" applyFont="1" applyFill="1" applyBorder="1" applyAlignment="1" applyProtection="1">
      <alignment horizontal="center" vertical="top"/>
      <protection locked="0"/>
    </xf>
    <xf numFmtId="0" fontId="9" fillId="86" borderId="32" xfId="0" applyFont="1" applyFill="1" applyBorder="1" applyAlignment="1" applyProtection="1">
      <alignment horizontal="center" vertical="center"/>
      <protection locked="0"/>
    </xf>
    <xf numFmtId="2" fontId="9" fillId="75" borderId="32" xfId="6" applyNumberFormat="1" applyFont="1" applyFill="1" applyBorder="1" applyAlignment="1" applyProtection="1">
      <alignment horizontal="center" vertical="center"/>
    </xf>
    <xf numFmtId="0" fontId="9" fillId="25" borderId="32" xfId="0" applyFont="1" applyFill="1" applyBorder="1" applyAlignment="1" applyProtection="1">
      <alignment horizontal="center" vertical="center" wrapText="1"/>
      <protection locked="0"/>
    </xf>
    <xf numFmtId="0" fontId="9" fillId="78" borderId="32" xfId="0" applyFont="1" applyFill="1" applyBorder="1" applyAlignment="1" applyProtection="1">
      <alignment horizontal="center" vertical="top"/>
      <protection locked="0"/>
    </xf>
    <xf numFmtId="0" fontId="9" fillId="78" borderId="32" xfId="0" applyFont="1" applyFill="1" applyBorder="1" applyAlignment="1" applyProtection="1">
      <alignment horizontal="center" vertical="center"/>
      <protection locked="0"/>
    </xf>
    <xf numFmtId="0" fontId="7" fillId="78" borderId="32" xfId="0" applyFont="1" applyFill="1" applyBorder="1" applyAlignment="1" applyProtection="1">
      <alignment vertical="top" wrapText="1"/>
    </xf>
    <xf numFmtId="0" fontId="7" fillId="78" borderId="32" xfId="0" applyFont="1" applyFill="1" applyBorder="1" applyAlignment="1" applyProtection="1">
      <alignment horizontal="center" vertical="top" wrapText="1"/>
      <protection locked="0"/>
    </xf>
    <xf numFmtId="0" fontId="7" fillId="78" borderId="32" xfId="0" applyFont="1" applyFill="1" applyBorder="1" applyAlignment="1" applyProtection="1">
      <alignment horizontal="center" vertical="top"/>
      <protection locked="0"/>
    </xf>
    <xf numFmtId="0" fontId="7" fillId="78" borderId="32" xfId="0" applyFont="1" applyFill="1" applyBorder="1" applyAlignment="1" applyProtection="1">
      <alignment horizontal="center" vertical="center"/>
      <protection locked="0"/>
    </xf>
    <xf numFmtId="0" fontId="9" fillId="79" borderId="32" xfId="0" applyFont="1" applyFill="1" applyBorder="1" applyAlignment="1" applyProtection="1">
      <alignment horizontal="center" vertical="top" wrapText="1"/>
      <protection locked="0"/>
    </xf>
    <xf numFmtId="0" fontId="9" fillId="79" borderId="32" xfId="0" applyFont="1" applyFill="1" applyBorder="1" applyAlignment="1" applyProtection="1">
      <alignment horizontal="center" vertical="top"/>
      <protection locked="0"/>
    </xf>
    <xf numFmtId="2" fontId="7" fillId="79" borderId="32" xfId="0" applyNumberFormat="1" applyFont="1" applyFill="1" applyBorder="1" applyAlignment="1" applyProtection="1">
      <alignment horizontal="center" vertical="center" wrapText="1"/>
    </xf>
    <xf numFmtId="2" fontId="7" fillId="0" borderId="32" xfId="0" applyNumberFormat="1" applyFont="1" applyFill="1" applyBorder="1" applyAlignment="1" applyProtection="1">
      <alignment horizontal="center" vertical="center" wrapText="1"/>
    </xf>
    <xf numFmtId="0" fontId="7" fillId="74" borderId="32" xfId="0" applyFont="1" applyFill="1" applyBorder="1" applyAlignment="1" applyProtection="1">
      <alignment wrapText="1"/>
    </xf>
    <xf numFmtId="2" fontId="9" fillId="74" borderId="32" xfId="0" applyNumberFormat="1" applyFont="1" applyFill="1" applyBorder="1" applyAlignment="1" applyProtection="1">
      <alignment horizontal="center" vertical="center" wrapText="1"/>
    </xf>
    <xf numFmtId="0" fontId="7" fillId="74" borderId="32" xfId="177" applyFont="1" applyFill="1" applyBorder="1" applyAlignment="1" applyProtection="1">
      <alignment vertical="top" wrapText="1"/>
      <protection locked="0"/>
    </xf>
    <xf numFmtId="2" fontId="9" fillId="75" borderId="32" xfId="0" applyNumberFormat="1" applyFont="1" applyFill="1" applyBorder="1" applyAlignment="1" applyProtection="1">
      <alignment horizontal="center" vertical="center"/>
    </xf>
    <xf numFmtId="165" fontId="9" fillId="74" borderId="32" xfId="0" applyNumberFormat="1" applyFont="1" applyFill="1" applyBorder="1" applyAlignment="1" applyProtection="1">
      <alignment horizontal="center" vertical="top" wrapText="1"/>
    </xf>
    <xf numFmtId="2" fontId="7" fillId="91" borderId="32" xfId="0" applyNumberFormat="1" applyFont="1" applyFill="1" applyBorder="1" applyAlignment="1" applyProtection="1">
      <alignment horizontal="center" vertical="center" wrapText="1"/>
    </xf>
    <xf numFmtId="2" fontId="7" fillId="91" borderId="32" xfId="0" applyNumberFormat="1" applyFont="1" applyFill="1" applyBorder="1" applyAlignment="1" applyProtection="1">
      <alignment horizontal="center" vertical="top" wrapText="1"/>
    </xf>
    <xf numFmtId="0" fontId="7" fillId="91" borderId="32" xfId="0" applyFont="1" applyFill="1" applyBorder="1" applyAlignment="1" applyProtection="1">
      <alignment horizontal="center" vertical="top" wrapText="1"/>
      <protection locked="0"/>
    </xf>
    <xf numFmtId="0" fontId="7" fillId="91" borderId="32" xfId="0" applyFont="1" applyFill="1" applyBorder="1" applyAlignment="1" applyProtection="1">
      <alignment horizontal="center" vertical="center" wrapText="1"/>
      <protection locked="0"/>
    </xf>
    <xf numFmtId="2" fontId="7" fillId="91" borderId="32" xfId="0" applyNumberFormat="1" applyFont="1" applyFill="1" applyBorder="1" applyAlignment="1" applyProtection="1">
      <alignment horizontal="center" vertical="center"/>
    </xf>
    <xf numFmtId="0" fontId="38" fillId="85" borderId="32" xfId="0" applyFont="1" applyFill="1" applyBorder="1" applyAlignment="1" applyProtection="1"/>
    <xf numFmtId="2" fontId="9" fillId="86" borderId="32" xfId="0" applyNumberFormat="1" applyFont="1" applyFill="1" applyBorder="1" applyAlignment="1" applyProtection="1">
      <alignment horizontal="center" vertical="top" wrapText="1"/>
    </xf>
    <xf numFmtId="0" fontId="9" fillId="86" borderId="32" xfId="177" applyFont="1" applyFill="1" applyBorder="1" applyAlignment="1" applyProtection="1">
      <alignment horizontal="center" vertical="top" wrapText="1"/>
      <protection locked="0"/>
    </xf>
    <xf numFmtId="0" fontId="9" fillId="85" borderId="32" xfId="0" applyFont="1" applyFill="1" applyBorder="1" applyAlignment="1" applyProtection="1">
      <alignment horizontal="left" vertical="top" wrapText="1"/>
    </xf>
    <xf numFmtId="17" fontId="9" fillId="85" borderId="32" xfId="0" applyNumberFormat="1" applyFont="1" applyFill="1" applyBorder="1" applyAlignment="1" applyProtection="1">
      <alignment vertical="top" wrapText="1"/>
    </xf>
    <xf numFmtId="49" fontId="9" fillId="85" borderId="32" xfId="0" applyNumberFormat="1" applyFont="1" applyFill="1" applyBorder="1" applyAlignment="1" applyProtection="1">
      <alignment vertical="top" wrapText="1"/>
    </xf>
    <xf numFmtId="0" fontId="9" fillId="96" borderId="32" xfId="0" applyFont="1" applyFill="1" applyBorder="1" applyAlignment="1" applyProtection="1">
      <alignment vertical="top" wrapText="1"/>
    </xf>
    <xf numFmtId="0" fontId="38" fillId="91" borderId="32" xfId="0" applyFont="1" applyFill="1" applyBorder="1" applyAlignment="1" applyProtection="1">
      <alignment horizontal="center" vertical="center" wrapText="1"/>
      <protection locked="0"/>
    </xf>
    <xf numFmtId="0" fontId="75" fillId="78" borderId="32" xfId="0" applyFont="1" applyFill="1" applyBorder="1" applyAlignment="1" applyProtection="1">
      <alignment horizontal="center" vertical="center"/>
      <protection locked="0"/>
    </xf>
    <xf numFmtId="1" fontId="38" fillId="91" borderId="32" xfId="0" applyNumberFormat="1" applyFont="1" applyFill="1" applyBorder="1" applyAlignment="1">
      <alignment horizontal="center" vertical="center" wrapText="1"/>
    </xf>
    <xf numFmtId="165" fontId="38" fillId="91" borderId="32" xfId="0" applyNumberFormat="1" applyFont="1" applyFill="1" applyBorder="1" applyAlignment="1">
      <alignment horizontal="center" vertical="center" wrapText="1"/>
    </xf>
    <xf numFmtId="165" fontId="9" fillId="78" borderId="32" xfId="0" applyNumberFormat="1" applyFont="1" applyFill="1" applyBorder="1" applyAlignment="1">
      <alignment horizontal="center" vertical="center"/>
    </xf>
    <xf numFmtId="2" fontId="9" fillId="78" borderId="32" xfId="0" applyNumberFormat="1" applyFont="1" applyFill="1" applyBorder="1" applyAlignment="1" applyProtection="1">
      <alignment horizontal="center" vertical="center" wrapText="1"/>
      <protection locked="0"/>
    </xf>
    <xf numFmtId="0" fontId="9" fillId="91" borderId="32" xfId="0" applyFont="1" applyFill="1" applyBorder="1" applyAlignment="1" applyProtection="1">
      <alignment horizontal="center" vertical="center" wrapText="1"/>
      <protection locked="0"/>
    </xf>
    <xf numFmtId="0" fontId="9" fillId="91" borderId="32" xfId="0" applyFont="1" applyFill="1" applyBorder="1" applyAlignment="1" applyProtection="1">
      <alignment horizontal="center" vertical="center"/>
      <protection locked="0"/>
    </xf>
    <xf numFmtId="2" fontId="38" fillId="78" borderId="32" xfId="0" applyNumberFormat="1" applyFont="1" applyFill="1" applyBorder="1"/>
    <xf numFmtId="0" fontId="121" fillId="96" borderId="32" xfId="0" applyFont="1" applyFill="1" applyBorder="1" applyAlignment="1" applyProtection="1">
      <alignment horizontal="center" vertical="center" wrapText="1"/>
      <protection locked="0"/>
    </xf>
    <xf numFmtId="2" fontId="38" fillId="91" borderId="32" xfId="0" applyNumberFormat="1" applyFont="1" applyFill="1" applyBorder="1" applyAlignment="1" applyProtection="1">
      <alignment horizontal="center" vertical="center"/>
      <protection locked="0"/>
    </xf>
    <xf numFmtId="0" fontId="38" fillId="85" borderId="32" xfId="0" applyFont="1" applyFill="1" applyBorder="1" applyAlignment="1" applyProtection="1">
      <alignment horizontal="center" vertical="center"/>
    </xf>
    <xf numFmtId="0" fontId="38" fillId="78" borderId="32" xfId="0" applyFont="1" applyFill="1" applyBorder="1" applyAlignment="1" applyProtection="1">
      <alignment horizontal="center" vertical="center"/>
      <protection locked="0"/>
    </xf>
    <xf numFmtId="0" fontId="38" fillId="86" borderId="32" xfId="0" applyFont="1" applyFill="1" applyBorder="1" applyAlignment="1" applyProtection="1">
      <alignment horizontal="center" vertical="center"/>
      <protection locked="0"/>
    </xf>
    <xf numFmtId="0" fontId="40" fillId="86" borderId="32" xfId="0" applyFont="1" applyFill="1" applyBorder="1" applyAlignment="1" applyProtection="1">
      <alignment horizontal="center" vertical="center"/>
    </xf>
    <xf numFmtId="2" fontId="38" fillId="78" borderId="32" xfId="0" applyNumberFormat="1" applyFont="1" applyFill="1" applyBorder="1" applyAlignment="1" applyProtection="1">
      <alignment horizontal="center" vertical="center"/>
      <protection locked="0"/>
    </xf>
    <xf numFmtId="0" fontId="7" fillId="78" borderId="32" xfId="0" applyFont="1" applyFill="1" applyBorder="1" applyAlignment="1" applyProtection="1">
      <alignment horizontal="center" vertical="center" wrapText="1"/>
      <protection locked="0"/>
    </xf>
    <xf numFmtId="2" fontId="7" fillId="78" borderId="32" xfId="0" applyNumberFormat="1" applyFont="1" applyFill="1" applyBorder="1" applyAlignment="1" applyProtection="1">
      <alignment horizontal="center" vertical="center"/>
      <protection locked="0"/>
    </xf>
    <xf numFmtId="2" fontId="9" fillId="78" borderId="32" xfId="0" applyNumberFormat="1" applyFont="1" applyFill="1" applyBorder="1" applyAlignment="1" applyProtection="1">
      <alignment horizontal="center" vertical="center"/>
      <protection locked="0"/>
    </xf>
    <xf numFmtId="0" fontId="9" fillId="78" borderId="32" xfId="6" applyFont="1" applyFill="1" applyBorder="1" applyAlignment="1" applyProtection="1">
      <alignment horizontal="center" vertical="center" wrapText="1"/>
      <protection locked="0"/>
    </xf>
    <xf numFmtId="0" fontId="38" fillId="78" borderId="32" xfId="0" applyFont="1" applyFill="1" applyBorder="1" applyAlignment="1" applyProtection="1">
      <alignment horizontal="center" vertical="center" wrapText="1"/>
      <protection locked="0"/>
    </xf>
    <xf numFmtId="1" fontId="38" fillId="78" borderId="32" xfId="0" applyNumberFormat="1" applyFont="1" applyFill="1" applyBorder="1" applyAlignment="1" applyProtection="1">
      <alignment horizontal="center" vertical="center" wrapText="1"/>
      <protection locked="0"/>
    </xf>
    <xf numFmtId="2" fontId="7" fillId="79" borderId="32" xfId="0" applyNumberFormat="1" applyFont="1" applyFill="1" applyBorder="1" applyAlignment="1" applyProtection="1">
      <alignment horizontal="center" vertical="center"/>
    </xf>
    <xf numFmtId="0" fontId="9" fillId="79" borderId="32" xfId="0" applyFont="1" applyFill="1" applyBorder="1" applyAlignment="1" applyProtection="1">
      <alignment vertical="top" wrapText="1"/>
      <protection locked="0"/>
    </xf>
    <xf numFmtId="49" fontId="7" fillId="79" borderId="32" xfId="0" applyNumberFormat="1" applyFont="1" applyFill="1" applyBorder="1" applyAlignment="1" applyProtection="1">
      <alignment vertical="top" wrapText="1"/>
      <protection locked="0"/>
    </xf>
    <xf numFmtId="2" fontId="7" fillId="79" borderId="32" xfId="0" applyNumberFormat="1" applyFont="1" applyFill="1" applyBorder="1" applyAlignment="1" applyProtection="1">
      <alignment horizontal="center" vertical="top" wrapText="1"/>
    </xf>
    <xf numFmtId="0" fontId="9" fillId="79" borderId="32" xfId="0" applyFont="1" applyFill="1" applyBorder="1" applyAlignment="1">
      <alignment horizontal="center" vertical="top" wrapText="1"/>
    </xf>
    <xf numFmtId="0" fontId="9" fillId="79" borderId="32" xfId="0" applyFont="1" applyFill="1" applyBorder="1" applyAlignment="1">
      <alignment horizontal="center" vertical="top"/>
    </xf>
    <xf numFmtId="0" fontId="9" fillId="79" borderId="32" xfId="0" applyNumberFormat="1" applyFont="1" applyFill="1" applyBorder="1" applyAlignment="1">
      <alignment horizontal="center" vertical="top" wrapText="1"/>
    </xf>
    <xf numFmtId="0" fontId="9" fillId="79" borderId="32" xfId="0" applyNumberFormat="1" applyFont="1" applyFill="1" applyBorder="1" applyAlignment="1">
      <alignment horizontal="center" vertical="top"/>
    </xf>
    <xf numFmtId="165" fontId="9" fillId="79" borderId="32" xfId="0" applyNumberFormat="1" applyFont="1" applyFill="1" applyBorder="1" applyAlignment="1">
      <alignment horizontal="center" vertical="top" wrapText="1"/>
    </xf>
    <xf numFmtId="165" fontId="9" fillId="79" borderId="32" xfId="0" applyNumberFormat="1" applyFont="1" applyFill="1" applyBorder="1" applyAlignment="1">
      <alignment horizontal="center" vertical="top"/>
    </xf>
    <xf numFmtId="0" fontId="9" fillId="79" borderId="32" xfId="0" applyFont="1" applyFill="1" applyBorder="1" applyAlignment="1">
      <alignment vertical="top" wrapText="1"/>
    </xf>
    <xf numFmtId="0" fontId="9" fillId="79" borderId="32" xfId="0" applyNumberFormat="1" applyFont="1" applyFill="1" applyBorder="1" applyAlignment="1">
      <alignment vertical="top" wrapText="1"/>
    </xf>
    <xf numFmtId="165" fontId="9" fillId="79" borderId="32" xfId="0" applyNumberFormat="1" applyFont="1" applyFill="1" applyBorder="1" applyAlignment="1">
      <alignment vertical="top" wrapText="1"/>
    </xf>
    <xf numFmtId="2" fontId="9" fillId="79" borderId="32" xfId="0" applyNumberFormat="1" applyFont="1" applyFill="1" applyBorder="1" applyAlignment="1" applyProtection="1">
      <alignment horizontal="center" vertical="top" wrapText="1"/>
    </xf>
    <xf numFmtId="2" fontId="9" fillId="79" borderId="32" xfId="0" applyNumberFormat="1" applyFont="1" applyFill="1" applyBorder="1" applyAlignment="1">
      <alignment horizontal="center" vertical="top" wrapText="1"/>
    </xf>
    <xf numFmtId="2" fontId="9" fillId="79" borderId="32" xfId="0" applyNumberFormat="1" applyFont="1" applyFill="1" applyBorder="1" applyAlignment="1" applyProtection="1">
      <alignment horizontal="center" vertical="top" wrapText="1"/>
      <protection locked="0"/>
    </xf>
    <xf numFmtId="2" fontId="9" fillId="0" borderId="32" xfId="0" applyNumberFormat="1" applyFont="1" applyBorder="1" applyAlignment="1" applyProtection="1">
      <alignment horizontal="center" vertical="center" wrapText="1"/>
    </xf>
    <xf numFmtId="2" fontId="9" fillId="48" borderId="32" xfId="0" applyNumberFormat="1" applyFont="1" applyFill="1" applyBorder="1" applyAlignment="1">
      <alignment horizontal="center" vertical="center" wrapText="1"/>
    </xf>
    <xf numFmtId="2" fontId="9" fillId="0" borderId="32" xfId="177" applyNumberFormat="1" applyFont="1" applyFill="1" applyBorder="1" applyAlignment="1" applyProtection="1">
      <alignment horizontal="center" vertical="center"/>
      <protection locked="0"/>
    </xf>
    <xf numFmtId="2" fontId="9" fillId="24" borderId="32" xfId="177" applyNumberFormat="1" applyFont="1" applyFill="1" applyBorder="1" applyAlignment="1" applyProtection="1">
      <alignment horizontal="center" vertical="center"/>
      <protection locked="0"/>
    </xf>
    <xf numFmtId="2" fontId="9" fillId="0" borderId="32" xfId="177" applyNumberFormat="1" applyFont="1" applyFill="1" applyBorder="1" applyAlignment="1" applyProtection="1">
      <alignment horizontal="center" vertical="center" wrapText="1"/>
      <protection locked="0"/>
    </xf>
    <xf numFmtId="2" fontId="9" fillId="0" borderId="32" xfId="6" applyNumberFormat="1" applyFont="1" applyFill="1" applyBorder="1" applyAlignment="1" applyProtection="1">
      <alignment horizontal="center" vertical="center" wrapText="1"/>
      <protection locked="0"/>
    </xf>
    <xf numFmtId="2" fontId="9" fillId="0" borderId="32" xfId="6" applyNumberFormat="1" applyFont="1" applyFill="1" applyBorder="1" applyAlignment="1" applyProtection="1">
      <alignment horizontal="center" vertical="center" wrapText="1"/>
    </xf>
    <xf numFmtId="0" fontId="9" fillId="0" borderId="32" xfId="0" applyNumberFormat="1" applyFont="1" applyFill="1" applyBorder="1" applyAlignment="1">
      <alignment horizontal="center" vertical="top" wrapText="1"/>
    </xf>
    <xf numFmtId="49" fontId="9" fillId="0" borderId="32" xfId="0" applyNumberFormat="1" applyFont="1" applyFill="1" applyBorder="1" applyAlignment="1">
      <alignment horizontal="center" vertical="top" wrapText="1"/>
    </xf>
    <xf numFmtId="0" fontId="9" fillId="48" borderId="32" xfId="0" applyFont="1" applyFill="1" applyBorder="1" applyAlignment="1">
      <alignment horizontal="center" vertical="top" wrapText="1"/>
    </xf>
    <xf numFmtId="2" fontId="9" fillId="72" borderId="32" xfId="0" applyNumberFormat="1" applyFont="1" applyFill="1" applyBorder="1" applyAlignment="1">
      <alignment horizontal="center" vertical="top" wrapText="1"/>
    </xf>
    <xf numFmtId="0" fontId="9" fillId="0" borderId="32" xfId="0" applyFont="1" applyBorder="1" applyAlignment="1" applyProtection="1">
      <alignment horizontal="center" vertical="top"/>
      <protection locked="0"/>
    </xf>
    <xf numFmtId="0" fontId="9" fillId="97" borderId="32" xfId="0" applyFont="1" applyFill="1" applyBorder="1" applyAlignment="1" applyProtection="1">
      <alignment horizontal="center" vertical="top" wrapText="1"/>
      <protection locked="0"/>
    </xf>
    <xf numFmtId="1" fontId="9" fillId="97" borderId="32" xfId="0" applyNumberFormat="1" applyFont="1" applyFill="1" applyBorder="1" applyAlignment="1">
      <alignment horizontal="center" vertical="top" wrapText="1"/>
    </xf>
    <xf numFmtId="165" fontId="9" fillId="97" borderId="32" xfId="0" applyNumberFormat="1" applyFont="1" applyFill="1" applyBorder="1" applyAlignment="1">
      <alignment horizontal="center" vertical="top" wrapText="1"/>
    </xf>
    <xf numFmtId="0" fontId="9" fillId="0" borderId="32" xfId="177" applyFont="1" applyFill="1" applyBorder="1" applyAlignment="1" applyProtection="1">
      <alignment horizontal="center" vertical="top" wrapText="1"/>
      <protection locked="0"/>
    </xf>
    <xf numFmtId="0" fontId="9" fillId="24" borderId="32" xfId="177" applyFont="1" applyFill="1" applyBorder="1" applyAlignment="1" applyProtection="1">
      <alignment horizontal="center" vertical="top" wrapText="1"/>
      <protection locked="0"/>
    </xf>
    <xf numFmtId="0" fontId="9" fillId="85" borderId="32" xfId="0" applyFont="1" applyFill="1" applyBorder="1" applyAlignment="1" applyProtection="1">
      <alignment horizontal="center" vertical="top" wrapText="1"/>
    </xf>
    <xf numFmtId="0" fontId="9" fillId="85" borderId="32" xfId="0" applyFont="1" applyFill="1" applyBorder="1" applyAlignment="1" applyProtection="1">
      <alignment horizontal="center" vertical="top"/>
    </xf>
    <xf numFmtId="0" fontId="9" fillId="0" borderId="32" xfId="177" applyFont="1" applyBorder="1" applyAlignment="1">
      <alignment horizontal="center" vertical="top" wrapText="1"/>
    </xf>
    <xf numFmtId="0" fontId="9" fillId="74" borderId="32" xfId="177" applyFont="1" applyFill="1" applyBorder="1" applyAlignment="1" applyProtection="1">
      <alignment horizontal="center" vertical="top" wrapText="1"/>
      <protection locked="0"/>
    </xf>
    <xf numFmtId="0" fontId="9" fillId="83" borderId="32" xfId="0" applyFont="1" applyFill="1" applyBorder="1" applyAlignment="1" applyProtection="1">
      <alignment horizontal="center" vertical="top" wrapText="1"/>
    </xf>
    <xf numFmtId="0" fontId="9" fillId="83" borderId="32" xfId="0" applyFont="1" applyFill="1" applyBorder="1" applyAlignment="1" applyProtection="1">
      <alignment horizontal="center" vertical="top"/>
    </xf>
    <xf numFmtId="0" fontId="9" fillId="40" borderId="32" xfId="0" applyFont="1" applyFill="1" applyBorder="1" applyAlignment="1" applyProtection="1">
      <alignment horizontal="center" vertical="top" wrapText="1"/>
      <protection locked="0"/>
    </xf>
    <xf numFmtId="2" fontId="9" fillId="86" borderId="32" xfId="0" applyNumberFormat="1" applyFont="1" applyFill="1" applyBorder="1" applyAlignment="1" applyProtection="1">
      <alignment horizontal="center" vertical="top" wrapText="1"/>
      <protection locked="0"/>
    </xf>
    <xf numFmtId="2" fontId="9" fillId="86" borderId="32" xfId="0" applyNumberFormat="1" applyFont="1" applyFill="1" applyBorder="1" applyAlignment="1" applyProtection="1">
      <alignment horizontal="center" vertical="top"/>
      <protection locked="0"/>
    </xf>
    <xf numFmtId="0" fontId="9" fillId="74" borderId="32" xfId="0" applyNumberFormat="1" applyFont="1" applyFill="1" applyBorder="1" applyAlignment="1">
      <alignment horizontal="center" vertical="top" wrapText="1"/>
    </xf>
    <xf numFmtId="2" fontId="9" fillId="74" borderId="32" xfId="0" applyNumberFormat="1" applyFont="1" applyFill="1" applyBorder="1" applyAlignment="1" applyProtection="1">
      <alignment horizontal="center" vertical="top"/>
      <protection locked="0"/>
    </xf>
    <xf numFmtId="0" fontId="9" fillId="78" borderId="32" xfId="0" applyFont="1" applyFill="1" applyBorder="1" applyAlignment="1">
      <alignment horizontal="center" vertical="top" wrapText="1"/>
    </xf>
    <xf numFmtId="2" fontId="9" fillId="74" borderId="32" xfId="0" applyNumberFormat="1" applyFont="1" applyFill="1" applyBorder="1" applyAlignment="1">
      <alignment horizontal="center" vertical="top" wrapText="1"/>
    </xf>
    <xf numFmtId="49" fontId="9" fillId="44" borderId="32" xfId="0" applyNumberFormat="1" applyFont="1" applyFill="1" applyBorder="1" applyAlignment="1" applyProtection="1">
      <alignment wrapText="1"/>
      <protection locked="0"/>
    </xf>
    <xf numFmtId="9" fontId="9" fillId="0" borderId="32" xfId="7" applyFont="1" applyFill="1" applyBorder="1" applyAlignment="1">
      <alignment horizontal="center" vertical="top" wrapText="1"/>
    </xf>
    <xf numFmtId="2" fontId="9" fillId="44" borderId="32" xfId="6" applyNumberFormat="1" applyFont="1" applyFill="1" applyBorder="1" applyAlignment="1" applyProtection="1">
      <alignment vertical="center"/>
      <protection locked="0"/>
    </xf>
    <xf numFmtId="1" fontId="9" fillId="24" borderId="32" xfId="0" applyNumberFormat="1" applyFont="1" applyFill="1" applyBorder="1" applyAlignment="1" applyProtection="1">
      <alignment horizontal="center" vertical="top" wrapText="1"/>
      <protection locked="0"/>
    </xf>
    <xf numFmtId="0" fontId="9" fillId="0" borderId="0" xfId="0" applyFont="1" applyFill="1" applyBorder="1" applyAlignment="1" applyProtection="1">
      <alignment horizontal="center" vertical="top" wrapText="1"/>
      <protection locked="0"/>
    </xf>
    <xf numFmtId="0" fontId="9" fillId="0" borderId="0" xfId="0" applyFont="1" applyFill="1" applyBorder="1" applyAlignment="1" applyProtection="1">
      <alignment horizontal="center" vertical="top"/>
      <protection locked="0"/>
    </xf>
    <xf numFmtId="0" fontId="9" fillId="0" borderId="32" xfId="0" applyFont="1" applyFill="1" applyBorder="1" applyAlignment="1">
      <alignment wrapText="1"/>
    </xf>
    <xf numFmtId="0" fontId="9" fillId="0" borderId="32" xfId="0" applyFont="1" applyBorder="1" applyAlignment="1">
      <alignment wrapText="1"/>
    </xf>
    <xf numFmtId="49" fontId="9" fillId="0" borderId="32" xfId="0" applyNumberFormat="1" applyFont="1" applyFill="1" applyBorder="1" applyAlignment="1">
      <alignment horizontal="left" vertical="top" wrapText="1"/>
    </xf>
    <xf numFmtId="0" fontId="9" fillId="72" borderId="32" xfId="0" applyFont="1" applyFill="1" applyBorder="1" applyAlignment="1">
      <alignment horizontal="left" vertical="top" wrapText="1"/>
    </xf>
    <xf numFmtId="0" fontId="9" fillId="74" borderId="32" xfId="0" applyFont="1" applyFill="1" applyBorder="1" applyAlignment="1">
      <alignment horizontal="left" vertical="top" wrapText="1"/>
    </xf>
    <xf numFmtId="0" fontId="120" fillId="24" borderId="32" xfId="3" applyFont="1" applyFill="1" applyBorder="1" applyAlignment="1" applyProtection="1">
      <alignment horizontal="center" vertical="top" wrapText="1"/>
      <protection locked="0"/>
    </xf>
    <xf numFmtId="0" fontId="9" fillId="0" borderId="32" xfId="0" applyFont="1" applyBorder="1" applyAlignment="1">
      <alignment horizontal="left" vertical="top" wrapText="1"/>
    </xf>
    <xf numFmtId="0" fontId="9" fillId="0" borderId="32" xfId="4" applyFont="1" applyFill="1" applyBorder="1" applyAlignment="1">
      <alignment vertical="top" wrapText="1"/>
    </xf>
    <xf numFmtId="0" fontId="120" fillId="38" borderId="32" xfId="176" applyFont="1" applyFill="1" applyBorder="1" applyAlignment="1" applyProtection="1">
      <alignment horizontal="center" vertical="top" wrapText="1"/>
      <protection locked="0"/>
    </xf>
    <xf numFmtId="0" fontId="9" fillId="0" borderId="32" xfId="0" applyFont="1" applyFill="1" applyBorder="1" applyAlignment="1">
      <alignment horizontal="left" vertical="top" wrapText="1"/>
    </xf>
    <xf numFmtId="0" fontId="9" fillId="48" borderId="32" xfId="0" applyFont="1" applyFill="1" applyBorder="1" applyAlignment="1">
      <alignment horizontal="center" vertical="center" wrapText="1"/>
    </xf>
    <xf numFmtId="0" fontId="120" fillId="58" borderId="32" xfId="3" applyFont="1" applyFill="1" applyBorder="1" applyAlignment="1" applyProtection="1">
      <alignment horizontal="center" vertical="top" wrapText="1"/>
      <protection locked="0"/>
    </xf>
    <xf numFmtId="0" fontId="9" fillId="48" borderId="32" xfId="0" applyFont="1" applyFill="1" applyBorder="1" applyAlignment="1">
      <alignment vertical="center" wrapText="1"/>
    </xf>
    <xf numFmtId="0" fontId="9" fillId="48" borderId="32" xfId="0" applyFont="1" applyFill="1" applyBorder="1" applyAlignment="1">
      <alignment vertical="top" wrapText="1"/>
    </xf>
    <xf numFmtId="0" fontId="9" fillId="74" borderId="32" xfId="0" applyFont="1" applyFill="1" applyBorder="1" applyAlignment="1">
      <alignment vertical="center" wrapText="1"/>
    </xf>
    <xf numFmtId="49" fontId="7" fillId="0" borderId="32" xfId="0" applyNumberFormat="1" applyFont="1" applyFill="1" applyBorder="1" applyAlignment="1">
      <alignment horizontal="left" vertical="top" wrapText="1"/>
    </xf>
    <xf numFmtId="0" fontId="7" fillId="74" borderId="32" xfId="0" applyFont="1" applyFill="1" applyBorder="1" applyAlignment="1">
      <alignment horizontal="left" vertical="top" wrapText="1"/>
    </xf>
    <xf numFmtId="0" fontId="7" fillId="0" borderId="32" xfId="0" applyFont="1" applyFill="1" applyBorder="1" applyAlignment="1">
      <alignment horizontal="left" vertical="top" wrapText="1"/>
    </xf>
    <xf numFmtId="2" fontId="9" fillId="72" borderId="32" xfId="0" applyNumberFormat="1" applyFont="1" applyFill="1" applyBorder="1" applyAlignment="1">
      <alignment horizontal="left" vertical="top" wrapText="1"/>
    </xf>
    <xf numFmtId="0" fontId="9" fillId="0" borderId="32" xfId="177" applyFont="1" applyFill="1" applyBorder="1" applyAlignment="1" applyProtection="1">
      <alignment horizontal="left" vertical="top" wrapText="1"/>
      <protection locked="0"/>
    </xf>
    <xf numFmtId="0" fontId="9" fillId="24" borderId="32" xfId="177" applyFont="1" applyFill="1" applyBorder="1" applyAlignment="1" applyProtection="1">
      <alignment horizontal="left" vertical="top" wrapText="1"/>
      <protection locked="0"/>
    </xf>
    <xf numFmtId="0" fontId="9" fillId="85" borderId="32" xfId="177" applyFont="1" applyFill="1" applyBorder="1" applyAlignment="1" applyProtection="1">
      <alignment vertical="top" wrapText="1"/>
    </xf>
    <xf numFmtId="0" fontId="9" fillId="78" borderId="32" xfId="177" applyFont="1" applyFill="1" applyBorder="1" applyAlignment="1" applyProtection="1">
      <alignment horizontal="center" vertical="top" wrapText="1"/>
      <protection locked="0"/>
    </xf>
    <xf numFmtId="0" fontId="9" fillId="0" borderId="32" xfId="177" applyFont="1" applyBorder="1" applyAlignment="1">
      <alignment horizontal="left" vertical="top" wrapText="1"/>
    </xf>
    <xf numFmtId="0" fontId="9" fillId="74" borderId="32" xfId="177" applyFont="1" applyFill="1" applyBorder="1" applyAlignment="1" applyProtection="1">
      <alignment horizontal="left" vertical="top" wrapText="1"/>
      <protection locked="0"/>
    </xf>
    <xf numFmtId="0" fontId="9" fillId="83" borderId="32" xfId="177" applyFont="1" applyFill="1" applyBorder="1" applyAlignment="1" applyProtection="1">
      <alignment horizontal="center" vertical="top" wrapText="1"/>
    </xf>
    <xf numFmtId="0" fontId="9" fillId="0" borderId="32" xfId="0" applyFont="1" applyFill="1" applyBorder="1" applyAlignment="1" applyProtection="1">
      <alignment horizontal="left" vertical="center" wrapText="1"/>
      <protection locked="0"/>
    </xf>
    <xf numFmtId="0" fontId="9" fillId="0" borderId="32" xfId="177" applyFont="1" applyBorder="1" applyAlignment="1" applyProtection="1">
      <alignment horizontal="left" vertical="top" wrapText="1"/>
      <protection locked="0"/>
    </xf>
    <xf numFmtId="9" fontId="9" fillId="0" borderId="32" xfId="177" applyNumberFormat="1" applyFont="1" applyFill="1" applyBorder="1" applyAlignment="1" applyProtection="1">
      <alignment horizontal="center" vertical="top" wrapText="1"/>
      <protection locked="0"/>
    </xf>
    <xf numFmtId="49" fontId="120" fillId="0" borderId="32" xfId="0" applyNumberFormat="1" applyFont="1" applyFill="1" applyBorder="1" applyAlignment="1">
      <alignment horizontal="left" vertical="top" wrapText="1"/>
    </xf>
    <xf numFmtId="0" fontId="9" fillId="0" borderId="32" xfId="0" applyNumberFormat="1" applyFont="1" applyBorder="1" applyAlignment="1">
      <alignment horizontal="center" vertical="top" wrapText="1"/>
    </xf>
    <xf numFmtId="0" fontId="9" fillId="74" borderId="32" xfId="0" applyNumberFormat="1" applyFont="1" applyFill="1" applyBorder="1" applyAlignment="1">
      <alignment horizontal="left" vertical="top" wrapText="1"/>
    </xf>
    <xf numFmtId="0" fontId="9" fillId="74" borderId="32" xfId="0" applyFont="1" applyFill="1" applyBorder="1" applyAlignment="1">
      <alignment vertical="top" wrapText="1"/>
    </xf>
    <xf numFmtId="0" fontId="120" fillId="53" borderId="32" xfId="176" applyFont="1" applyFill="1" applyBorder="1" applyAlignment="1" applyProtection="1">
      <alignment horizontal="center" vertical="top" wrapText="1"/>
      <protection locked="0"/>
    </xf>
    <xf numFmtId="2" fontId="9" fillId="74" borderId="32" xfId="0" applyNumberFormat="1" applyFont="1" applyFill="1" applyBorder="1" applyAlignment="1">
      <alignment horizontal="left" vertical="top" wrapText="1"/>
    </xf>
    <xf numFmtId="2" fontId="9" fillId="0" borderId="32" xfId="0" applyNumberFormat="1" applyFont="1" applyFill="1" applyBorder="1" applyAlignment="1">
      <alignment horizontal="left" vertical="top" wrapText="1"/>
    </xf>
    <xf numFmtId="165" fontId="9" fillId="0" borderId="32" xfId="7" applyNumberFormat="1" applyFont="1" applyFill="1" applyBorder="1" applyAlignment="1" applyProtection="1">
      <alignment horizontal="center" vertical="top" wrapText="1"/>
      <protection locked="0"/>
    </xf>
    <xf numFmtId="165" fontId="9" fillId="0" borderId="32" xfId="177" applyNumberFormat="1" applyFont="1" applyFill="1" applyBorder="1" applyAlignment="1" applyProtection="1">
      <alignment horizontal="center" vertical="top" wrapText="1"/>
      <protection locked="0"/>
    </xf>
    <xf numFmtId="0" fontId="75" fillId="80" borderId="32" xfId="0" applyFont="1" applyFill="1" applyBorder="1" applyAlignment="1" applyProtection="1">
      <alignment vertical="top" wrapText="1"/>
    </xf>
    <xf numFmtId="0" fontId="9" fillId="72" borderId="32" xfId="0" applyFont="1" applyFill="1" applyBorder="1" applyAlignment="1" applyProtection="1">
      <alignment vertical="top" wrapText="1"/>
    </xf>
    <xf numFmtId="0" fontId="9" fillId="80" borderId="32" xfId="0" applyFont="1" applyFill="1" applyBorder="1" applyAlignment="1" applyProtection="1">
      <alignment horizontal="left" vertical="top" wrapText="1"/>
    </xf>
    <xf numFmtId="0" fontId="9" fillId="98" borderId="32" xfId="0" applyFont="1" applyFill="1" applyBorder="1" applyAlignment="1" applyProtection="1">
      <alignment vertical="top" wrapText="1"/>
    </xf>
    <xf numFmtId="0" fontId="38" fillId="98" borderId="32" xfId="0" applyFont="1" applyFill="1" applyBorder="1" applyAlignment="1" applyProtection="1">
      <alignment vertical="top" wrapText="1"/>
    </xf>
    <xf numFmtId="0" fontId="9" fillId="80" borderId="32" xfId="0" applyFont="1" applyFill="1" applyBorder="1" applyAlignment="1" applyProtection="1">
      <alignment vertical="top"/>
    </xf>
    <xf numFmtId="0" fontId="9" fillId="80" borderId="32" xfId="0" applyFont="1" applyFill="1" applyBorder="1" applyAlignment="1">
      <alignment vertical="top" wrapText="1"/>
    </xf>
    <xf numFmtId="0" fontId="9" fillId="99" borderId="32" xfId="0" applyFont="1" applyFill="1" applyBorder="1" applyAlignment="1" applyProtection="1">
      <alignment horizontal="center" vertical="center" wrapText="1"/>
      <protection locked="0"/>
    </xf>
    <xf numFmtId="0" fontId="9" fillId="98" borderId="32" xfId="0" applyFont="1" applyFill="1" applyBorder="1" applyAlignment="1" applyProtection="1">
      <alignment horizontal="center" vertical="center" wrapText="1"/>
      <protection locked="0"/>
    </xf>
    <xf numFmtId="0" fontId="9" fillId="72" borderId="32" xfId="0" applyFont="1" applyFill="1" applyBorder="1" applyAlignment="1" applyProtection="1">
      <alignment horizontal="center" vertical="center"/>
      <protection locked="0"/>
    </xf>
    <xf numFmtId="1" fontId="9" fillId="73" borderId="32" xfId="0" applyNumberFormat="1" applyFont="1" applyFill="1" applyBorder="1" applyAlignment="1" applyProtection="1">
      <alignment horizontal="center" vertical="center"/>
      <protection locked="0"/>
    </xf>
    <xf numFmtId="2" fontId="9" fillId="73" borderId="32" xfId="0" applyNumberFormat="1" applyFont="1" applyFill="1" applyBorder="1" applyAlignment="1" applyProtection="1">
      <alignment horizontal="center" vertical="center"/>
      <protection locked="0"/>
    </xf>
    <xf numFmtId="0" fontId="9" fillId="100" borderId="32" xfId="0" applyFont="1" applyFill="1" applyBorder="1" applyAlignment="1" applyProtection="1">
      <alignment horizontal="center" vertical="center" wrapText="1"/>
      <protection locked="0"/>
    </xf>
    <xf numFmtId="1" fontId="9" fillId="73" borderId="32" xfId="0" applyNumberFormat="1" applyFont="1" applyFill="1" applyBorder="1" applyAlignment="1" applyProtection="1">
      <alignment horizontal="center" vertical="center" wrapText="1"/>
      <protection locked="0"/>
    </xf>
    <xf numFmtId="2" fontId="9" fillId="73" borderId="32" xfId="0" applyNumberFormat="1" applyFont="1" applyFill="1" applyBorder="1" applyAlignment="1" applyProtection="1">
      <alignment horizontal="center" vertical="center" wrapText="1"/>
      <protection locked="0"/>
    </xf>
    <xf numFmtId="1" fontId="9" fillId="72" borderId="32" xfId="0" applyNumberFormat="1" applyFont="1" applyFill="1" applyBorder="1" applyAlignment="1" applyProtection="1">
      <alignment horizontal="center" vertical="center" wrapText="1"/>
      <protection locked="0"/>
    </xf>
    <xf numFmtId="2" fontId="9" fillId="25" borderId="32" xfId="0" applyNumberFormat="1" applyFont="1" applyFill="1" applyBorder="1" applyAlignment="1" applyProtection="1">
      <alignment horizontal="center" vertical="center" wrapText="1"/>
      <protection locked="0"/>
    </xf>
    <xf numFmtId="2" fontId="9" fillId="0" borderId="32" xfId="5" applyNumberFormat="1" applyFont="1" applyFill="1" applyBorder="1" applyAlignment="1" applyProtection="1">
      <alignment horizontal="center" vertical="center" wrapText="1"/>
      <protection locked="0"/>
    </xf>
    <xf numFmtId="2" fontId="9" fillId="0" borderId="32" xfId="5" applyNumberFormat="1" applyFont="1" applyFill="1" applyBorder="1" applyAlignment="1" applyProtection="1">
      <alignment horizontal="center" vertical="top" wrapText="1"/>
      <protection locked="0"/>
    </xf>
    <xf numFmtId="2" fontId="9" fillId="97" borderId="32" xfId="0" applyNumberFormat="1" applyFont="1" applyFill="1" applyBorder="1" applyAlignment="1" applyProtection="1">
      <alignment horizontal="center" vertical="center"/>
    </xf>
    <xf numFmtId="0" fontId="9" fillId="0" borderId="32" xfId="4" applyFont="1" applyFill="1" applyBorder="1" applyAlignment="1">
      <alignment horizontal="center" vertical="top" wrapText="1"/>
    </xf>
    <xf numFmtId="2" fontId="9" fillId="0" borderId="32" xfId="4" applyNumberFormat="1" applyFont="1" applyFill="1" applyBorder="1" applyAlignment="1">
      <alignment horizontal="center" vertical="top" wrapText="1"/>
    </xf>
    <xf numFmtId="2" fontId="9" fillId="0" borderId="32" xfId="4" applyNumberFormat="1" applyFont="1" applyFill="1" applyBorder="1" applyAlignment="1" applyProtection="1">
      <alignment horizontal="center" vertical="top" wrapText="1"/>
      <protection locked="0"/>
    </xf>
    <xf numFmtId="2" fontId="9" fillId="0" borderId="32" xfId="0" applyNumberFormat="1" applyFont="1" applyFill="1" applyBorder="1" applyAlignment="1">
      <alignment horizontal="center" vertical="center"/>
    </xf>
    <xf numFmtId="0" fontId="7" fillId="0" borderId="32" xfId="0" applyFont="1" applyFill="1" applyBorder="1" applyAlignment="1">
      <alignment wrapText="1"/>
    </xf>
    <xf numFmtId="2" fontId="9" fillId="0" borderId="32" xfId="178" applyNumberFormat="1" applyFont="1" applyFill="1" applyBorder="1" applyAlignment="1" applyProtection="1">
      <alignment horizontal="center" vertical="center" wrapText="1"/>
      <protection locked="0"/>
    </xf>
    <xf numFmtId="0" fontId="9" fillId="0" borderId="32" xfId="0" applyFont="1" applyFill="1" applyBorder="1" applyAlignment="1" applyProtection="1">
      <alignment wrapText="1"/>
      <protection locked="0"/>
    </xf>
    <xf numFmtId="0" fontId="7" fillId="74" borderId="32" xfId="0" applyFont="1" applyFill="1" applyBorder="1" applyAlignment="1" applyProtection="1">
      <protection locked="0"/>
    </xf>
    <xf numFmtId="0" fontId="7" fillId="74" borderId="32" xfId="0" applyFont="1" applyFill="1" applyBorder="1" applyAlignment="1">
      <alignment wrapText="1"/>
    </xf>
    <xf numFmtId="0" fontId="9" fillId="0" borderId="32" xfId="178" applyFont="1" applyFill="1" applyBorder="1" applyAlignment="1" applyProtection="1">
      <alignment horizontal="center" vertical="top" wrapText="1"/>
      <protection locked="0"/>
    </xf>
    <xf numFmtId="2" fontId="9" fillId="44" borderId="32" xfId="0" applyNumberFormat="1" applyFont="1" applyFill="1" applyBorder="1" applyAlignment="1" applyProtection="1">
      <alignment horizontal="center" vertical="center"/>
    </xf>
    <xf numFmtId="1" fontId="9" fillId="97" borderId="32" xfId="0" applyNumberFormat="1" applyFont="1" applyFill="1" applyBorder="1" applyAlignment="1" applyProtection="1">
      <alignment horizontal="center" vertical="top" wrapText="1"/>
      <protection locked="0"/>
    </xf>
    <xf numFmtId="1" fontId="9" fillId="97" borderId="32" xfId="0" applyNumberFormat="1" applyFont="1" applyFill="1" applyBorder="1" applyAlignment="1" applyProtection="1">
      <alignment horizontal="center" vertical="top"/>
      <protection locked="0"/>
    </xf>
    <xf numFmtId="2" fontId="9" fillId="97" borderId="32" xfId="0" applyNumberFormat="1" applyFont="1" applyFill="1" applyBorder="1" applyAlignment="1" applyProtection="1">
      <alignment horizontal="center" vertical="top" wrapText="1"/>
      <protection locked="0"/>
    </xf>
    <xf numFmtId="2" fontId="9" fillId="97" borderId="32" xfId="0" applyNumberFormat="1" applyFont="1" applyFill="1" applyBorder="1" applyAlignment="1" applyProtection="1">
      <alignment horizontal="center" vertical="top"/>
      <protection locked="0"/>
    </xf>
    <xf numFmtId="0" fontId="7" fillId="102" borderId="32" xfId="0" applyFont="1" applyFill="1" applyBorder="1" applyAlignment="1" applyProtection="1">
      <alignment vertical="top" wrapText="1"/>
      <protection locked="0"/>
    </xf>
    <xf numFmtId="0" fontId="9" fillId="101" borderId="32" xfId="0" applyFont="1" applyFill="1" applyBorder="1" applyAlignment="1" applyProtection="1">
      <alignment horizontal="center" vertical="center" wrapText="1"/>
      <protection locked="0"/>
    </xf>
    <xf numFmtId="1" fontId="9" fillId="101" borderId="32" xfId="0" applyNumberFormat="1" applyFont="1" applyFill="1" applyBorder="1" applyAlignment="1" applyProtection="1">
      <alignment horizontal="center" vertical="top" wrapText="1"/>
      <protection locked="0"/>
    </xf>
    <xf numFmtId="0" fontId="9" fillId="101" borderId="32" xfId="0" applyFont="1" applyFill="1" applyBorder="1" applyAlignment="1" applyProtection="1">
      <alignment horizontal="center" vertical="top" wrapText="1"/>
      <protection locked="0"/>
    </xf>
    <xf numFmtId="0" fontId="9" fillId="97" borderId="32" xfId="0" applyFont="1" applyFill="1" applyBorder="1" applyAlignment="1" applyProtection="1">
      <alignment horizontal="center" vertical="top"/>
      <protection locked="0"/>
    </xf>
    <xf numFmtId="0" fontId="9" fillId="0" borderId="32" xfId="0" applyNumberFormat="1" applyFont="1" applyFill="1" applyBorder="1" applyAlignment="1">
      <alignment horizontal="left" vertical="top" wrapText="1"/>
    </xf>
    <xf numFmtId="0" fontId="9" fillId="0" borderId="32" xfId="0" applyFont="1" applyFill="1" applyBorder="1" applyAlignment="1" applyProtection="1">
      <alignment horizontal="center" vertical="top" wrapText="1" shrinkToFit="1"/>
      <protection locked="0"/>
    </xf>
    <xf numFmtId="0" fontId="9" fillId="0" borderId="32" xfId="0" applyNumberFormat="1" applyFont="1" applyFill="1" applyBorder="1" applyAlignment="1" applyProtection="1">
      <alignment horizontal="center" vertical="top" wrapText="1" shrinkToFit="1"/>
      <protection locked="0"/>
    </xf>
    <xf numFmtId="0" fontId="9" fillId="0" borderId="32" xfId="0" applyFont="1" applyFill="1" applyBorder="1" applyAlignment="1">
      <alignment vertical="center" wrapText="1"/>
    </xf>
    <xf numFmtId="49" fontId="9" fillId="79" borderId="32" xfId="0" applyNumberFormat="1" applyFont="1" applyFill="1" applyBorder="1" applyAlignment="1">
      <alignment horizontal="center" vertical="top" wrapText="1"/>
    </xf>
    <xf numFmtId="0" fontId="9" fillId="79" borderId="32" xfId="177" applyFont="1" applyFill="1" applyBorder="1" applyAlignment="1" applyProtection="1">
      <alignment horizontal="center" vertical="top" wrapText="1"/>
      <protection locked="0"/>
    </xf>
    <xf numFmtId="2" fontId="9" fillId="0" borderId="32" xfId="6" applyNumberFormat="1" applyFont="1" applyFill="1" applyBorder="1" applyAlignment="1" applyProtection="1">
      <alignment horizontal="center" vertical="center"/>
    </xf>
    <xf numFmtId="2" fontId="9" fillId="0" borderId="32" xfId="6" applyNumberFormat="1" applyFont="1" applyFill="1" applyBorder="1" applyAlignment="1" applyProtection="1">
      <alignment horizontal="center" vertical="top" wrapText="1"/>
    </xf>
    <xf numFmtId="15" fontId="9" fillId="79" borderId="32" xfId="0" applyNumberFormat="1" applyFont="1" applyFill="1" applyBorder="1" applyAlignment="1" applyProtection="1">
      <alignment horizontal="center" vertical="top" wrapText="1"/>
      <protection locked="0"/>
    </xf>
    <xf numFmtId="15" fontId="9" fillId="97" borderId="32" xfId="0" applyNumberFormat="1" applyFont="1" applyFill="1" applyBorder="1" applyAlignment="1" applyProtection="1">
      <alignment horizontal="center" vertical="top" wrapText="1"/>
      <protection locked="0"/>
    </xf>
    <xf numFmtId="2" fontId="7" fillId="0" borderId="32" xfId="0" applyNumberFormat="1" applyFont="1" applyFill="1" applyBorder="1" applyAlignment="1" applyProtection="1">
      <alignment horizontal="center" vertical="top" wrapText="1"/>
    </xf>
    <xf numFmtId="2" fontId="7" fillId="0" borderId="32" xfId="0" applyNumberFormat="1" applyFont="1" applyFill="1" applyBorder="1" applyAlignment="1" applyProtection="1">
      <alignment horizontal="center" vertical="center"/>
      <protection locked="0"/>
    </xf>
    <xf numFmtId="49" fontId="7" fillId="0" borderId="32" xfId="0" applyNumberFormat="1" applyFont="1" applyFill="1" applyBorder="1" applyAlignment="1" applyProtection="1">
      <alignment horizontal="left" vertical="top" wrapText="1"/>
      <protection locked="0"/>
    </xf>
    <xf numFmtId="0" fontId="9" fillId="44" borderId="32" xfId="0" applyFont="1" applyFill="1" applyBorder="1" applyAlignment="1" applyProtection="1">
      <alignment vertical="top" wrapText="1"/>
    </xf>
    <xf numFmtId="0" fontId="7" fillId="44" borderId="32" xfId="4" applyFont="1" applyFill="1" applyBorder="1" applyAlignment="1" applyProtection="1">
      <alignment horizontal="center" vertical="top" wrapText="1"/>
      <protection locked="0"/>
    </xf>
    <xf numFmtId="0" fontId="7" fillId="44" borderId="32" xfId="0" applyFont="1" applyFill="1" applyBorder="1" applyAlignment="1" applyProtection="1">
      <alignment horizontal="center" vertical="top" wrapText="1"/>
      <protection locked="0"/>
    </xf>
    <xf numFmtId="49" fontId="7" fillId="44" borderId="32" xfId="0" applyNumberFormat="1" applyFont="1" applyFill="1" applyBorder="1" applyAlignment="1" applyProtection="1">
      <alignment horizontal="left" vertical="top" wrapText="1"/>
      <protection locked="0"/>
    </xf>
    <xf numFmtId="2" fontId="7" fillId="44" borderId="32" xfId="0" applyNumberFormat="1" applyFont="1" applyFill="1" applyBorder="1" applyAlignment="1" applyProtection="1">
      <alignment horizontal="center" vertical="center" wrapText="1"/>
    </xf>
    <xf numFmtId="0" fontId="7" fillId="44" borderId="32" xfId="0" applyFont="1" applyFill="1" applyBorder="1" applyAlignment="1" applyProtection="1">
      <alignment horizontal="center" vertical="top"/>
      <protection locked="0"/>
    </xf>
    <xf numFmtId="2" fontId="9" fillId="79" borderId="32" xfId="0" applyNumberFormat="1" applyFont="1" applyFill="1" applyBorder="1" applyAlignment="1" applyProtection="1">
      <alignment horizontal="center" vertical="center" wrapText="1"/>
    </xf>
    <xf numFmtId="49" fontId="7" fillId="79" borderId="32" xfId="0" applyNumberFormat="1" applyFont="1" applyFill="1" applyBorder="1" applyAlignment="1" applyProtection="1">
      <alignment horizontal="left" vertical="center" wrapText="1"/>
      <protection locked="0"/>
    </xf>
    <xf numFmtId="0" fontId="9" fillId="79" borderId="32" xfId="6" applyFont="1" applyFill="1" applyBorder="1" applyAlignment="1" applyProtection="1">
      <alignment horizontal="center" vertical="top" wrapText="1"/>
      <protection locked="0"/>
    </xf>
    <xf numFmtId="0" fontId="7" fillId="79" borderId="32" xfId="0" applyFont="1" applyFill="1" applyBorder="1" applyAlignment="1" applyProtection="1">
      <alignment vertical="center" wrapText="1"/>
      <protection locked="0"/>
    </xf>
    <xf numFmtId="0" fontId="7" fillId="79" borderId="32" xfId="0" applyFont="1" applyFill="1" applyBorder="1" applyAlignment="1" applyProtection="1">
      <alignment horizontal="center" vertical="top" wrapText="1"/>
      <protection locked="0"/>
    </xf>
    <xf numFmtId="2" fontId="9" fillId="79" borderId="32" xfId="6" applyNumberFormat="1" applyFont="1" applyFill="1" applyBorder="1" applyAlignment="1" applyProtection="1">
      <alignment horizontal="center" vertical="top" wrapText="1"/>
      <protection locked="0"/>
    </xf>
    <xf numFmtId="49" fontId="7" fillId="79" borderId="32" xfId="0" applyNumberFormat="1" applyFont="1" applyFill="1" applyBorder="1" applyAlignment="1" applyProtection="1">
      <alignment vertical="center" wrapText="1"/>
      <protection locked="0"/>
    </xf>
    <xf numFmtId="2" fontId="7" fillId="79" borderId="32" xfId="6" applyNumberFormat="1" applyFont="1" applyFill="1" applyBorder="1" applyAlignment="1" applyProtection="1">
      <alignment horizontal="center" vertical="top" wrapText="1"/>
      <protection locked="0"/>
    </xf>
    <xf numFmtId="0" fontId="9" fillId="79" borderId="32" xfId="6" applyNumberFormat="1" applyFont="1" applyFill="1" applyBorder="1" applyAlignment="1" applyProtection="1">
      <alignment horizontal="center" vertical="top" wrapText="1"/>
      <protection locked="0"/>
    </xf>
    <xf numFmtId="2" fontId="9" fillId="79" borderId="32" xfId="4" applyNumberFormat="1" applyFont="1" applyFill="1" applyBorder="1" applyAlignment="1" applyProtection="1">
      <alignment horizontal="center" vertical="top" wrapText="1"/>
      <protection locked="0"/>
    </xf>
    <xf numFmtId="2" fontId="9" fillId="79" borderId="32" xfId="6" applyNumberFormat="1" applyFont="1" applyFill="1" applyBorder="1" applyAlignment="1" applyProtection="1">
      <alignment horizontal="center" vertical="top"/>
      <protection locked="0"/>
    </xf>
    <xf numFmtId="49" fontId="7" fillId="79" borderId="32" xfId="0" applyNumberFormat="1" applyFont="1" applyFill="1" applyBorder="1" applyAlignment="1" applyProtection="1">
      <alignment horizontal="left" vertical="top" wrapText="1"/>
      <protection locked="0"/>
    </xf>
    <xf numFmtId="0" fontId="7" fillId="79" borderId="32" xfId="0" applyFont="1" applyFill="1" applyBorder="1" applyAlignment="1" applyProtection="1">
      <alignment horizontal="left" vertical="center" wrapText="1"/>
      <protection locked="0"/>
    </xf>
    <xf numFmtId="0" fontId="7" fillId="79" borderId="32" xfId="0" applyFont="1" applyFill="1" applyBorder="1" applyAlignment="1" applyProtection="1">
      <alignment horizontal="center" vertical="top"/>
      <protection locked="0"/>
    </xf>
    <xf numFmtId="0" fontId="74" fillId="0" borderId="32" xfId="0" applyFont="1" applyFill="1" applyBorder="1" applyAlignment="1" applyProtection="1">
      <alignment horizontal="left" vertical="center" wrapText="1"/>
      <protection locked="0"/>
    </xf>
    <xf numFmtId="2" fontId="9" fillId="0" borderId="32" xfId="6" applyNumberFormat="1" applyFont="1" applyFill="1" applyBorder="1" applyAlignment="1">
      <alignment horizontal="center" vertical="center" wrapText="1"/>
    </xf>
    <xf numFmtId="0" fontId="9" fillId="0" borderId="32" xfId="6" applyFont="1" applyFill="1" applyBorder="1" applyAlignment="1">
      <alignment horizontal="center" vertical="top" wrapText="1"/>
    </xf>
    <xf numFmtId="0" fontId="9" fillId="0" borderId="32" xfId="180" applyFont="1" applyFill="1" applyBorder="1" applyAlignment="1">
      <alignment horizontal="center" vertical="top" wrapText="1"/>
    </xf>
    <xf numFmtId="0" fontId="7" fillId="25" borderId="32" xfId="0" applyFont="1" applyFill="1" applyBorder="1" applyAlignment="1" applyProtection="1">
      <alignment horizontal="center" vertical="center"/>
      <protection locked="0"/>
    </xf>
    <xf numFmtId="0" fontId="7" fillId="25" borderId="32" xfId="6" applyFont="1" applyFill="1" applyBorder="1" applyAlignment="1" applyProtection="1">
      <alignment horizontal="center" vertical="center"/>
      <protection locked="0"/>
    </xf>
    <xf numFmtId="0" fontId="9" fillId="25" borderId="32" xfId="0" applyFont="1" applyFill="1" applyBorder="1" applyAlignment="1" applyProtection="1">
      <alignment horizontal="center" vertical="center"/>
      <protection locked="0"/>
    </xf>
    <xf numFmtId="2" fontId="7" fillId="25" borderId="32" xfId="6" applyNumberFormat="1" applyFont="1" applyFill="1" applyBorder="1" applyAlignment="1" applyProtection="1">
      <alignment horizontal="center" vertical="center"/>
      <protection locked="0"/>
    </xf>
    <xf numFmtId="2" fontId="9" fillId="25" borderId="32" xfId="6" applyNumberFormat="1" applyFont="1" applyFill="1" applyBorder="1" applyAlignment="1" applyProtection="1">
      <alignment horizontal="center" vertical="center"/>
      <protection locked="0"/>
    </xf>
    <xf numFmtId="0" fontId="7" fillId="25" borderId="32" xfId="0" applyFont="1" applyFill="1" applyBorder="1" applyAlignment="1" applyProtection="1">
      <alignment horizontal="center" vertical="top" wrapText="1"/>
      <protection locked="0"/>
    </xf>
    <xf numFmtId="0" fontId="120" fillId="0" borderId="32" xfId="3" applyFont="1" applyFill="1" applyBorder="1" applyAlignment="1">
      <alignment horizontal="left" vertical="top" wrapText="1"/>
    </xf>
    <xf numFmtId="9" fontId="9" fillId="0" borderId="32" xfId="181" applyFont="1" applyFill="1" applyBorder="1" applyAlignment="1">
      <alignment horizontal="center" vertical="top" wrapText="1"/>
    </xf>
    <xf numFmtId="9" fontId="9" fillId="0" borderId="32" xfId="6" applyNumberFormat="1" applyFont="1" applyFill="1" applyBorder="1" applyAlignment="1" applyProtection="1">
      <alignment horizontal="center" vertical="top"/>
      <protection locked="0"/>
    </xf>
    <xf numFmtId="9" fontId="9" fillId="0" borderId="32" xfId="181" applyFont="1" applyFill="1" applyBorder="1" applyAlignment="1">
      <alignment horizontal="left" vertical="top" wrapText="1"/>
    </xf>
    <xf numFmtId="9" fontId="9" fillId="0" borderId="32" xfId="7" applyFont="1" applyFill="1" applyBorder="1" applyAlignment="1">
      <alignment horizontal="center" wrapText="1"/>
    </xf>
    <xf numFmtId="2" fontId="9" fillId="0" borderId="32" xfId="177" applyNumberFormat="1" applyFont="1" applyFill="1" applyBorder="1" applyAlignment="1" applyProtection="1">
      <alignment vertical="top" wrapText="1"/>
      <protection locked="0"/>
    </xf>
    <xf numFmtId="2" fontId="9" fillId="0" borderId="32" xfId="177" applyNumberFormat="1" applyFont="1" applyFill="1" applyBorder="1" applyAlignment="1" applyProtection="1">
      <alignment horizontal="center" vertical="top" wrapText="1"/>
      <protection locked="0"/>
    </xf>
    <xf numFmtId="2" fontId="9" fillId="0" borderId="32" xfId="0" applyNumberFormat="1" applyFont="1" applyFill="1" applyBorder="1" applyAlignment="1" applyProtection="1">
      <alignment vertical="top" wrapText="1"/>
      <protection locked="0"/>
    </xf>
    <xf numFmtId="0" fontId="9" fillId="0" borderId="32" xfId="0" quotePrefix="1" applyFont="1" applyFill="1" applyBorder="1" applyAlignment="1" applyProtection="1">
      <alignment horizontal="center" vertical="top" wrapText="1"/>
      <protection locked="0"/>
    </xf>
    <xf numFmtId="2" fontId="7" fillId="44" borderId="32" xfId="0" applyNumberFormat="1" applyFont="1" applyFill="1" applyBorder="1" applyAlignment="1" applyProtection="1">
      <alignment horizontal="center" vertical="center"/>
    </xf>
    <xf numFmtId="2" fontId="9" fillId="0" borderId="32" xfId="0" applyNumberFormat="1" applyFont="1" applyFill="1" applyBorder="1" applyAlignment="1" applyProtection="1">
      <alignment horizontal="center" vertical="center" shrinkToFit="1"/>
      <protection locked="0"/>
    </xf>
    <xf numFmtId="0" fontId="7" fillId="27" borderId="32" xfId="0" applyFont="1" applyFill="1" applyBorder="1" applyAlignment="1" applyProtection="1">
      <alignment horizontal="center" vertical="center" wrapText="1"/>
      <protection locked="0"/>
    </xf>
    <xf numFmtId="0" fontId="7" fillId="81" borderId="32" xfId="0" applyFont="1" applyFill="1" applyBorder="1" applyAlignment="1" applyProtection="1">
      <alignment horizontal="center" vertical="center" wrapText="1"/>
    </xf>
    <xf numFmtId="2" fontId="9" fillId="103" borderId="32" xfId="0" applyNumberFormat="1" applyFont="1" applyFill="1" applyBorder="1" applyAlignment="1" applyProtection="1">
      <alignment horizontal="center" vertical="center"/>
    </xf>
    <xf numFmtId="165" fontId="9" fillId="97" borderId="32" xfId="0" applyNumberFormat="1" applyFont="1" applyFill="1" applyBorder="1" applyAlignment="1" applyProtection="1">
      <alignment horizontal="center" vertical="top" wrapText="1"/>
      <protection locked="0"/>
    </xf>
    <xf numFmtId="10" fontId="9" fillId="97" borderId="32" xfId="0" applyNumberFormat="1" applyFont="1" applyFill="1" applyBorder="1" applyAlignment="1" applyProtection="1">
      <alignment horizontal="center" vertical="top" wrapText="1"/>
      <protection locked="0"/>
    </xf>
    <xf numFmtId="9" fontId="9" fillId="97" borderId="32" xfId="0" applyNumberFormat="1" applyFont="1" applyFill="1" applyBorder="1" applyAlignment="1" applyProtection="1">
      <alignment horizontal="center" vertical="top" wrapText="1"/>
      <protection locked="0"/>
    </xf>
    <xf numFmtId="10" fontId="9" fillId="82" borderId="32" xfId="0" applyNumberFormat="1" applyFont="1" applyFill="1" applyBorder="1" applyAlignment="1" applyProtection="1">
      <alignment horizontal="center" vertical="top" wrapText="1"/>
      <protection locked="0"/>
    </xf>
    <xf numFmtId="2" fontId="9" fillId="103" borderId="32" xfId="0" applyNumberFormat="1" applyFont="1" applyFill="1" applyBorder="1" applyAlignment="1" applyProtection="1">
      <alignment horizontal="center" vertical="top" wrapText="1"/>
    </xf>
    <xf numFmtId="0" fontId="9" fillId="79" borderId="32" xfId="0" applyFont="1" applyFill="1" applyBorder="1" applyAlignment="1">
      <alignment vertical="center" wrapText="1"/>
    </xf>
    <xf numFmtId="2" fontId="9" fillId="79" borderId="32" xfId="0" applyNumberFormat="1" applyFont="1" applyFill="1" applyBorder="1" applyAlignment="1">
      <alignment horizontal="center" vertical="top"/>
    </xf>
    <xf numFmtId="2" fontId="9" fillId="79" borderId="32" xfId="0" applyNumberFormat="1" applyFont="1" applyFill="1" applyBorder="1" applyAlignment="1">
      <alignment vertical="top" wrapText="1"/>
    </xf>
    <xf numFmtId="2" fontId="9" fillId="79" borderId="32" xfId="177" applyNumberFormat="1" applyFont="1" applyFill="1" applyBorder="1" applyAlignment="1">
      <alignment vertical="top" wrapText="1"/>
    </xf>
    <xf numFmtId="2" fontId="9" fillId="97" borderId="32" xfId="0" applyNumberFormat="1" applyFont="1" applyFill="1" applyBorder="1" applyAlignment="1" applyProtection="1">
      <alignment horizontal="center" vertical="center" wrapText="1"/>
    </xf>
    <xf numFmtId="2" fontId="9" fillId="97" borderId="32" xfId="0" applyNumberFormat="1" applyFont="1" applyFill="1" applyBorder="1" applyAlignment="1" applyProtection="1">
      <alignment horizontal="center" vertical="top" wrapText="1"/>
    </xf>
    <xf numFmtId="2" fontId="9" fillId="79" borderId="32" xfId="177" applyNumberFormat="1" applyFont="1" applyFill="1" applyBorder="1" applyAlignment="1">
      <alignment horizontal="center" vertical="top" wrapText="1"/>
    </xf>
    <xf numFmtId="2" fontId="9" fillId="79" borderId="32" xfId="0" applyNumberFormat="1" applyFont="1" applyFill="1" applyBorder="1" applyAlignment="1" applyProtection="1">
      <alignment horizontal="center" vertical="top"/>
    </xf>
    <xf numFmtId="0" fontId="9" fillId="85" borderId="32" xfId="177" applyFont="1" applyFill="1" applyBorder="1" applyAlignment="1" applyProtection="1">
      <alignment horizontal="center" vertical="top" wrapText="1"/>
    </xf>
    <xf numFmtId="0" fontId="9" fillId="78" borderId="32" xfId="0" applyFont="1" applyFill="1" applyBorder="1" applyAlignment="1">
      <alignment horizontal="left" vertical="top" wrapText="1"/>
    </xf>
    <xf numFmtId="0" fontId="7" fillId="78" borderId="32" xfId="0" applyFont="1" applyFill="1" applyBorder="1" applyAlignment="1">
      <alignment horizontal="center" vertical="top" wrapText="1"/>
    </xf>
    <xf numFmtId="0" fontId="7" fillId="86" borderId="32" xfId="0" applyFont="1" applyFill="1" applyBorder="1" applyAlignment="1" applyProtection="1">
      <alignment horizontal="center" vertical="top" wrapText="1"/>
    </xf>
    <xf numFmtId="0" fontId="7" fillId="86" borderId="32" xfId="0" applyFont="1" applyFill="1" applyBorder="1" applyAlignment="1" applyProtection="1">
      <alignment horizontal="center" vertical="top"/>
    </xf>
    <xf numFmtId="0" fontId="7" fillId="78" borderId="32" xfId="0" applyFont="1" applyFill="1" applyBorder="1" applyAlignment="1">
      <alignment horizontal="left" vertical="top" wrapText="1"/>
    </xf>
    <xf numFmtId="0" fontId="7" fillId="79" borderId="32" xfId="0" applyFont="1" applyFill="1" applyBorder="1" applyAlignment="1">
      <alignment vertical="top" wrapText="1"/>
    </xf>
    <xf numFmtId="2" fontId="7" fillId="79" borderId="32" xfId="0" applyNumberFormat="1" applyFont="1" applyFill="1" applyBorder="1" applyAlignment="1" applyProtection="1">
      <alignment horizontal="center" vertical="top"/>
      <protection locked="0"/>
    </xf>
    <xf numFmtId="2" fontId="9" fillId="97" borderId="32" xfId="0" applyNumberFormat="1" applyFont="1" applyFill="1" applyBorder="1" applyAlignment="1" applyProtection="1">
      <alignment vertical="top" wrapText="1"/>
      <protection locked="0"/>
    </xf>
    <xf numFmtId="0" fontId="9" fillId="79" borderId="32" xfId="0" applyFont="1" applyFill="1" applyBorder="1" applyAlignment="1">
      <alignment horizontal="center" vertical="center" wrapText="1"/>
    </xf>
    <xf numFmtId="0" fontId="9" fillId="79" borderId="32" xfId="0" applyFont="1" applyFill="1" applyBorder="1" applyAlignment="1">
      <alignment horizontal="center" vertical="center"/>
    </xf>
    <xf numFmtId="2" fontId="9" fillId="79" borderId="32" xfId="0" applyNumberFormat="1" applyFont="1" applyFill="1" applyBorder="1" applyAlignment="1">
      <alignment horizontal="center" vertical="center"/>
    </xf>
    <xf numFmtId="0" fontId="7" fillId="79" borderId="32" xfId="0" applyFont="1" applyFill="1" applyBorder="1" applyAlignment="1">
      <alignment horizontal="center" vertical="top" wrapText="1"/>
    </xf>
    <xf numFmtId="0" fontId="38" fillId="104" borderId="32" xfId="0" applyFont="1" applyFill="1" applyBorder="1" applyAlignment="1" applyProtection="1">
      <alignment vertical="top" wrapText="1"/>
      <protection locked="0"/>
    </xf>
    <xf numFmtId="2" fontId="9" fillId="104" borderId="32" xfId="0" applyNumberFormat="1" applyFont="1" applyFill="1" applyBorder="1" applyAlignment="1">
      <alignment horizontal="center" vertical="center"/>
    </xf>
    <xf numFmtId="2" fontId="9" fillId="104" borderId="32" xfId="0" applyNumberFormat="1" applyFont="1" applyFill="1" applyBorder="1" applyAlignment="1">
      <alignment horizontal="center" vertical="top"/>
    </xf>
    <xf numFmtId="0" fontId="38" fillId="97" borderId="32" xfId="0" applyFont="1" applyFill="1" applyBorder="1" applyAlignment="1" applyProtection="1">
      <alignment vertical="top" wrapText="1"/>
      <protection locked="0"/>
    </xf>
    <xf numFmtId="2" fontId="9" fillId="97" borderId="32" xfId="0" applyNumberFormat="1" applyFont="1" applyFill="1" applyBorder="1" applyAlignment="1">
      <alignment horizontal="center" vertical="center"/>
    </xf>
    <xf numFmtId="1" fontId="9" fillId="79" borderId="32" xfId="0" applyNumberFormat="1" applyFont="1" applyFill="1" applyBorder="1" applyAlignment="1">
      <alignment horizontal="center" vertical="top" wrapText="1"/>
    </xf>
    <xf numFmtId="0" fontId="9" fillId="97" borderId="32" xfId="0" applyFont="1" applyFill="1" applyBorder="1" applyAlignment="1">
      <alignment horizontal="center" vertical="top" wrapText="1"/>
    </xf>
    <xf numFmtId="2" fontId="9" fillId="97" borderId="32" xfId="0" applyNumberFormat="1" applyFont="1" applyFill="1" applyBorder="1" applyAlignment="1">
      <alignment horizontal="center" vertical="top"/>
    </xf>
    <xf numFmtId="2" fontId="9" fillId="97" borderId="32" xfId="0" applyNumberFormat="1" applyFont="1" applyFill="1" applyBorder="1" applyAlignment="1">
      <alignment horizontal="center" vertical="top" wrapText="1"/>
    </xf>
    <xf numFmtId="1" fontId="9" fillId="97" borderId="32" xfId="0" applyNumberFormat="1" applyFont="1" applyFill="1" applyBorder="1" applyAlignment="1">
      <alignment horizontal="center" vertical="top"/>
    </xf>
    <xf numFmtId="0" fontId="9" fillId="25" borderId="32" xfId="0" applyFont="1" applyFill="1" applyBorder="1" applyAlignment="1" applyProtection="1">
      <alignment horizontal="left" vertical="top" wrapText="1"/>
    </xf>
    <xf numFmtId="0" fontId="9" fillId="22" borderId="32" xfId="0" applyFont="1" applyFill="1" applyBorder="1" applyAlignment="1">
      <alignment vertical="top" wrapText="1"/>
    </xf>
    <xf numFmtId="0" fontId="38" fillId="105" borderId="32" xfId="0" applyFont="1" applyFill="1" applyBorder="1" applyAlignment="1">
      <alignment vertical="top" wrapText="1"/>
    </xf>
    <xf numFmtId="0" fontId="38" fillId="22" borderId="32" xfId="0" applyFont="1" applyFill="1" applyBorder="1" applyAlignment="1">
      <alignment vertical="top" wrapText="1"/>
    </xf>
    <xf numFmtId="2" fontId="9" fillId="54" borderId="32" xfId="0" applyNumberFormat="1" applyFont="1" applyFill="1" applyBorder="1" applyAlignment="1" applyProtection="1">
      <alignment horizontal="center" vertical="center" wrapText="1"/>
      <protection locked="0"/>
    </xf>
    <xf numFmtId="0" fontId="9" fillId="25" borderId="32" xfId="6" applyFont="1" applyFill="1" applyBorder="1" applyAlignment="1" applyProtection="1">
      <alignment horizontal="center" vertical="center" wrapText="1"/>
      <protection locked="0"/>
    </xf>
    <xf numFmtId="2" fontId="9" fillId="25" borderId="32" xfId="6" applyNumberFormat="1" applyFont="1" applyFill="1" applyBorder="1" applyAlignment="1" applyProtection="1">
      <alignment horizontal="center" vertical="center" wrapText="1"/>
      <protection locked="0"/>
    </xf>
    <xf numFmtId="2" fontId="7" fillId="25" borderId="32" xfId="6" applyNumberFormat="1" applyFont="1" applyFill="1" applyBorder="1" applyAlignment="1" applyProtection="1">
      <alignment horizontal="center" vertical="center" wrapText="1"/>
      <protection locked="0"/>
    </xf>
    <xf numFmtId="0" fontId="9" fillId="25" borderId="32" xfId="6" applyFont="1" applyFill="1" applyBorder="1" applyAlignment="1" applyProtection="1">
      <alignment horizontal="center" vertical="center"/>
      <protection locked="0"/>
    </xf>
    <xf numFmtId="9" fontId="9" fillId="25" borderId="32" xfId="6" applyNumberFormat="1" applyFont="1" applyFill="1" applyBorder="1" applyAlignment="1" applyProtection="1">
      <alignment horizontal="center" vertical="center"/>
      <protection locked="0"/>
    </xf>
    <xf numFmtId="0" fontId="7" fillId="25" borderId="32" xfId="0" applyFont="1" applyFill="1" applyBorder="1" applyAlignment="1" applyProtection="1">
      <alignment horizontal="center" vertical="center" wrapText="1"/>
      <protection locked="0"/>
    </xf>
    <xf numFmtId="0" fontId="7" fillId="23" borderId="32" xfId="0" applyFont="1" applyFill="1" applyBorder="1" applyAlignment="1" applyProtection="1">
      <alignment horizontal="center" vertical="center" wrapText="1"/>
      <protection locked="0"/>
    </xf>
    <xf numFmtId="1" fontId="38" fillId="25" borderId="32" xfId="0" applyNumberFormat="1" applyFont="1" applyFill="1" applyBorder="1" applyAlignment="1" applyProtection="1">
      <alignment horizontal="center" vertical="center" wrapText="1"/>
      <protection locked="0"/>
    </xf>
    <xf numFmtId="0" fontId="7" fillId="25" borderId="32" xfId="0" applyFont="1" applyFill="1" applyBorder="1" applyAlignment="1">
      <alignment horizontal="center" vertical="center" wrapText="1"/>
    </xf>
    <xf numFmtId="2" fontId="38" fillId="105" borderId="32" xfId="0" applyNumberFormat="1" applyFont="1" applyFill="1" applyBorder="1" applyAlignment="1">
      <alignment horizontal="center" vertical="center"/>
    </xf>
    <xf numFmtId="0" fontId="38" fillId="54" borderId="32" xfId="0" applyFont="1" applyFill="1" applyBorder="1" applyAlignment="1">
      <alignment horizontal="center" vertical="center" wrapText="1"/>
    </xf>
    <xf numFmtId="2" fontId="38" fillId="54" borderId="32" xfId="0" applyNumberFormat="1" applyFont="1" applyFill="1" applyBorder="1" applyAlignment="1">
      <alignment horizontal="center" vertical="center"/>
    </xf>
    <xf numFmtId="0" fontId="38" fillId="0" borderId="0" xfId="0" applyFont="1" applyFill="1" applyBorder="1" applyAlignment="1" applyProtection="1">
      <alignment vertical="top" wrapText="1"/>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top" wrapText="1"/>
    </xf>
    <xf numFmtId="0" fontId="9" fillId="74" borderId="32" xfId="0" applyFont="1" applyFill="1" applyBorder="1" applyAlignment="1" applyProtection="1">
      <alignment wrapText="1"/>
      <protection locked="0"/>
    </xf>
    <xf numFmtId="0" fontId="7" fillId="74" borderId="32" xfId="0" applyFont="1" applyFill="1" applyBorder="1" applyAlignment="1" applyProtection="1">
      <alignment horizontal="left" vertical="center" wrapText="1"/>
      <protection locked="0"/>
    </xf>
    <xf numFmtId="0" fontId="7" fillId="74" borderId="32" xfId="0" applyFont="1" applyFill="1" applyBorder="1" applyAlignment="1" applyProtection="1">
      <alignment horizontal="center" vertical="top"/>
      <protection locked="0"/>
    </xf>
    <xf numFmtId="2" fontId="9" fillId="74" borderId="32" xfId="177" applyNumberFormat="1" applyFont="1" applyFill="1" applyBorder="1" applyAlignment="1" applyProtection="1">
      <alignment horizontal="center" vertical="top" wrapText="1"/>
      <protection locked="0"/>
    </xf>
    <xf numFmtId="0" fontId="7" fillId="4" borderId="3" xfId="0" applyFont="1" applyFill="1" applyBorder="1" applyAlignment="1" applyProtection="1">
      <alignment horizontal="left" vertical="top" wrapText="1"/>
      <protection locked="0"/>
    </xf>
    <xf numFmtId="2" fontId="7" fillId="4" borderId="3" xfId="0" applyNumberFormat="1" applyFont="1" applyFill="1" applyBorder="1" applyAlignment="1" applyProtection="1">
      <alignment horizontal="center" vertical="center" wrapText="1"/>
    </xf>
    <xf numFmtId="0" fontId="9" fillId="81" borderId="3" xfId="0" applyFont="1" applyFill="1" applyBorder="1" applyAlignment="1" applyProtection="1">
      <alignment vertical="top" wrapText="1"/>
    </xf>
    <xf numFmtId="0" fontId="7" fillId="80" borderId="33" xfId="0" applyFont="1" applyFill="1" applyBorder="1" applyAlignment="1" applyProtection="1">
      <alignment horizontal="center" vertical="top" wrapText="1"/>
      <protection locked="0"/>
    </xf>
    <xf numFmtId="2" fontId="113" fillId="89" borderId="35" xfId="0" applyNumberFormat="1" applyFont="1" applyFill="1" applyBorder="1" applyAlignment="1" applyProtection="1">
      <alignment horizontal="center" vertical="center"/>
    </xf>
    <xf numFmtId="0" fontId="113" fillId="90" borderId="35" xfId="0" applyFont="1" applyFill="1" applyBorder="1" applyAlignment="1" applyProtection="1">
      <alignment vertical="top" wrapText="1"/>
    </xf>
    <xf numFmtId="0" fontId="113" fillId="89" borderId="35" xfId="0" applyFont="1" applyFill="1" applyBorder="1" applyAlignment="1" applyProtection="1">
      <alignment horizontal="center" vertical="top" wrapText="1"/>
      <protection locked="0"/>
    </xf>
    <xf numFmtId="0" fontId="113" fillId="89" borderId="35" xfId="0" applyFont="1" applyFill="1" applyBorder="1" applyAlignment="1" applyProtection="1">
      <alignment horizontal="center" vertical="top"/>
      <protection locked="0"/>
    </xf>
    <xf numFmtId="0" fontId="113" fillId="89" borderId="35" xfId="0" applyFont="1" applyFill="1" applyBorder="1" applyAlignment="1" applyProtection="1">
      <alignment horizontal="center" vertical="center"/>
      <protection locked="0"/>
    </xf>
    <xf numFmtId="0" fontId="113" fillId="89" borderId="36" xfId="0" applyFont="1" applyFill="1" applyBorder="1" applyAlignment="1" applyProtection="1">
      <alignment horizontal="center" vertical="top" wrapText="1"/>
      <protection locked="0"/>
    </xf>
    <xf numFmtId="0" fontId="7" fillId="80" borderId="33" xfId="0" applyFont="1" applyFill="1" applyBorder="1" applyAlignment="1" applyProtection="1">
      <alignment vertical="top" wrapText="1"/>
      <protection locked="0"/>
    </xf>
    <xf numFmtId="2" fontId="7" fillId="80" borderId="33" xfId="0" applyNumberFormat="1" applyFont="1" applyFill="1" applyBorder="1" applyAlignment="1" applyProtection="1">
      <alignment horizontal="center" vertical="center"/>
    </xf>
    <xf numFmtId="0" fontId="7" fillId="80" borderId="33" xfId="0" applyFont="1" applyFill="1" applyBorder="1" applyAlignment="1" applyProtection="1">
      <alignment vertical="top" wrapText="1"/>
    </xf>
    <xf numFmtId="0" fontId="9" fillId="80" borderId="33" xfId="0" applyFont="1" applyFill="1" applyBorder="1" applyAlignment="1" applyProtection="1">
      <alignment horizontal="center" vertical="top" wrapText="1"/>
      <protection locked="0"/>
    </xf>
    <xf numFmtId="0" fontId="7" fillId="80" borderId="33" xfId="0" applyFont="1" applyFill="1" applyBorder="1" applyAlignment="1" applyProtection="1">
      <alignment horizontal="center" vertical="center" wrapText="1"/>
      <protection locked="0"/>
    </xf>
    <xf numFmtId="2" fontId="12" fillId="87" borderId="35" xfId="0" applyNumberFormat="1" applyFont="1" applyFill="1" applyBorder="1" applyAlignment="1" applyProtection="1">
      <alignment horizontal="center" vertical="center"/>
    </xf>
    <xf numFmtId="0" fontId="12" fillId="80" borderId="35" xfId="0" applyFont="1" applyFill="1" applyBorder="1" applyAlignment="1" applyProtection="1">
      <alignment vertical="top" wrapText="1"/>
    </xf>
    <xf numFmtId="0" fontId="7" fillId="80" borderId="35" xfId="0" applyFont="1" applyFill="1" applyBorder="1" applyAlignment="1" applyProtection="1">
      <alignment horizontal="center" vertical="top" wrapText="1"/>
      <protection locked="0"/>
    </xf>
    <xf numFmtId="0" fontId="7" fillId="80" borderId="35" xfId="0" applyFont="1" applyFill="1" applyBorder="1" applyAlignment="1" applyProtection="1">
      <alignment horizontal="center" vertical="top"/>
      <protection locked="0"/>
    </xf>
    <xf numFmtId="0" fontId="7" fillId="80" borderId="35" xfId="0" applyFont="1" applyFill="1" applyBorder="1" applyAlignment="1" applyProtection="1">
      <alignment horizontal="center" vertical="center"/>
      <protection locked="0"/>
    </xf>
    <xf numFmtId="0" fontId="7" fillId="80" borderId="36" xfId="0" applyFont="1" applyFill="1" applyBorder="1" applyAlignment="1" applyProtection="1">
      <alignment horizontal="center" vertical="top" wrapText="1"/>
      <protection locked="0"/>
    </xf>
    <xf numFmtId="0" fontId="38" fillId="0" borderId="3" xfId="0" applyFont="1" applyBorder="1" applyAlignment="1" applyProtection="1">
      <alignment vertical="top" wrapText="1"/>
      <protection locked="0"/>
    </xf>
    <xf numFmtId="2" fontId="9" fillId="0" borderId="3" xfId="0" applyNumberFormat="1" applyFont="1" applyBorder="1" applyAlignment="1" applyProtection="1">
      <alignment horizontal="center" vertical="center"/>
    </xf>
    <xf numFmtId="0" fontId="38" fillId="72" borderId="3" xfId="0" applyFont="1" applyFill="1" applyBorder="1" applyAlignment="1" applyProtection="1">
      <alignment vertical="top" wrapText="1"/>
    </xf>
    <xf numFmtId="0" fontId="9" fillId="0" borderId="3" xfId="0" applyFont="1" applyBorder="1" applyAlignment="1" applyProtection="1">
      <alignment horizontal="center" vertical="top" wrapText="1"/>
      <protection locked="0"/>
    </xf>
    <xf numFmtId="0" fontId="9" fillId="0" borderId="3" xfId="0" applyFont="1" applyBorder="1" applyAlignment="1" applyProtection="1">
      <alignment horizontal="center" vertical="top"/>
      <protection locked="0"/>
    </xf>
    <xf numFmtId="0" fontId="38" fillId="72" borderId="3" xfId="0" applyFont="1" applyFill="1" applyBorder="1" applyAlignment="1" applyProtection="1">
      <alignment horizontal="center" vertical="center"/>
      <protection locked="0"/>
    </xf>
    <xf numFmtId="0" fontId="7" fillId="86" borderId="33" xfId="0" applyFont="1" applyFill="1" applyBorder="1" applyAlignment="1" applyProtection="1">
      <alignment vertical="top" wrapText="1"/>
      <protection locked="0"/>
    </xf>
    <xf numFmtId="2" fontId="7" fillId="86" borderId="33" xfId="0" applyNumberFormat="1" applyFont="1" applyFill="1" applyBorder="1" applyAlignment="1" applyProtection="1">
      <alignment horizontal="center" vertical="center"/>
    </xf>
    <xf numFmtId="0" fontId="7" fillId="85" borderId="33" xfId="0" applyFont="1" applyFill="1" applyBorder="1" applyAlignment="1" applyProtection="1">
      <alignment vertical="top" wrapText="1"/>
    </xf>
    <xf numFmtId="0" fontId="7" fillId="86" borderId="33" xfId="0" applyFont="1" applyFill="1" applyBorder="1" applyAlignment="1" applyProtection="1">
      <alignment horizontal="center" vertical="top" wrapText="1"/>
      <protection locked="0"/>
    </xf>
    <xf numFmtId="2" fontId="7" fillId="86" borderId="33" xfId="0" applyNumberFormat="1" applyFont="1" applyFill="1" applyBorder="1" applyAlignment="1" applyProtection="1">
      <alignment horizontal="center" vertical="top" wrapText="1"/>
    </xf>
    <xf numFmtId="0" fontId="7" fillId="86" borderId="33" xfId="0" applyFont="1" applyFill="1" applyBorder="1" applyAlignment="1" applyProtection="1">
      <alignment horizontal="center" vertical="top"/>
      <protection locked="0"/>
    </xf>
    <xf numFmtId="0" fontId="7" fillId="86" borderId="33" xfId="0" applyFont="1" applyFill="1" applyBorder="1" applyAlignment="1" applyProtection="1">
      <alignment horizontal="center" vertical="center"/>
      <protection locked="0"/>
    </xf>
    <xf numFmtId="2" fontId="12" fillId="95" borderId="35" xfId="0" applyNumberFormat="1" applyFont="1" applyFill="1" applyBorder="1" applyAlignment="1" applyProtection="1">
      <alignment horizontal="center" vertical="center" wrapText="1"/>
    </xf>
    <xf numFmtId="0" fontId="12" fillId="92" borderId="35" xfId="0" applyFont="1" applyFill="1" applyBorder="1" applyAlignment="1" applyProtection="1">
      <alignment vertical="top" wrapText="1"/>
    </xf>
    <xf numFmtId="0" fontId="12" fillId="92" borderId="35" xfId="0" applyFont="1" applyFill="1" applyBorder="1" applyAlignment="1" applyProtection="1">
      <alignment horizontal="center" vertical="top" wrapText="1"/>
    </xf>
    <xf numFmtId="0" fontId="12" fillId="92" borderId="35" xfId="0" applyFont="1" applyFill="1" applyBorder="1" applyAlignment="1" applyProtection="1">
      <alignment horizontal="center" vertical="top"/>
    </xf>
    <xf numFmtId="0" fontId="43" fillId="92" borderId="35" xfId="0" applyFont="1" applyFill="1" applyBorder="1" applyAlignment="1" applyProtection="1">
      <alignment vertical="center"/>
    </xf>
    <xf numFmtId="0" fontId="12" fillId="92" borderId="36" xfId="0" applyFont="1" applyFill="1" applyBorder="1" applyAlignment="1" applyProtection="1">
      <alignment vertical="top" wrapText="1"/>
    </xf>
    <xf numFmtId="0" fontId="7" fillId="24" borderId="3" xfId="0" applyFont="1" applyFill="1" applyBorder="1" applyAlignment="1" applyProtection="1">
      <alignment vertical="top" wrapText="1"/>
      <protection locked="0"/>
    </xf>
    <xf numFmtId="0" fontId="38" fillId="85" borderId="3" xfId="0" applyFont="1" applyFill="1" applyBorder="1" applyAlignment="1" applyProtection="1">
      <alignment vertical="top" wrapText="1"/>
    </xf>
    <xf numFmtId="1" fontId="9" fillId="0" borderId="3" xfId="0" applyNumberFormat="1" applyFont="1" applyFill="1" applyBorder="1" applyAlignment="1">
      <alignment horizontal="center" vertical="top" wrapText="1"/>
    </xf>
    <xf numFmtId="1" fontId="9" fillId="0" borderId="3" xfId="0" applyNumberFormat="1" applyFont="1" applyBorder="1" applyAlignment="1" applyProtection="1">
      <alignment horizontal="center" vertical="top" wrapText="1"/>
      <protection locked="0"/>
    </xf>
    <xf numFmtId="1" fontId="9" fillId="5" borderId="3" xfId="0" applyNumberFormat="1" applyFont="1" applyFill="1" applyBorder="1" applyAlignment="1" applyProtection="1">
      <alignment horizontal="center" vertical="top" wrapText="1"/>
      <protection locked="0"/>
    </xf>
    <xf numFmtId="1" fontId="38" fillId="78" borderId="3" xfId="0" applyNumberFormat="1" applyFont="1" applyFill="1" applyBorder="1" applyAlignment="1" applyProtection="1">
      <alignment horizontal="center" vertical="center" wrapText="1"/>
      <protection locked="0"/>
    </xf>
    <xf numFmtId="1" fontId="9" fillId="0" borderId="3" xfId="0" applyNumberFormat="1" applyFont="1" applyFill="1" applyBorder="1" applyAlignment="1">
      <alignment horizontal="left" vertical="top" wrapText="1"/>
    </xf>
    <xf numFmtId="0" fontId="7" fillId="23" borderId="33" xfId="0" applyFont="1" applyFill="1" applyBorder="1" applyAlignment="1" applyProtection="1">
      <alignment vertical="top" wrapText="1"/>
      <protection locked="0"/>
    </xf>
    <xf numFmtId="2" fontId="7" fillId="25" borderId="33" xfId="0" applyNumberFormat="1" applyFont="1" applyFill="1" applyBorder="1" applyAlignment="1" applyProtection="1">
      <alignment horizontal="center" vertical="center" wrapText="1"/>
    </xf>
    <xf numFmtId="0" fontId="7" fillId="2" borderId="33" xfId="0" applyFont="1" applyFill="1" applyBorder="1" applyAlignment="1" applyProtection="1">
      <alignment vertical="top" wrapText="1"/>
    </xf>
    <xf numFmtId="0" fontId="7" fillId="43" borderId="33" xfId="0" applyFont="1" applyFill="1" applyBorder="1" applyAlignment="1" applyProtection="1">
      <alignment horizontal="center" vertical="top" wrapText="1"/>
      <protection locked="0"/>
    </xf>
    <xf numFmtId="0" fontId="9" fillId="44" borderId="33" xfId="0" applyFont="1" applyFill="1" applyBorder="1" applyAlignment="1" applyProtection="1">
      <alignment horizontal="center" vertical="top" wrapText="1"/>
      <protection locked="0"/>
    </xf>
    <xf numFmtId="0" fontId="9" fillId="44" borderId="33" xfId="0" applyFont="1" applyFill="1" applyBorder="1" applyAlignment="1" applyProtection="1">
      <alignment horizontal="center" vertical="top"/>
      <protection locked="0"/>
    </xf>
    <xf numFmtId="0" fontId="9" fillId="44" borderId="33" xfId="0" applyFont="1" applyFill="1" applyBorder="1" applyAlignment="1" applyProtection="1">
      <alignment horizontal="center" vertical="center"/>
      <protection locked="0"/>
    </xf>
    <xf numFmtId="2" fontId="12" fillId="43" borderId="35" xfId="0" applyNumberFormat="1" applyFont="1" applyFill="1" applyBorder="1" applyAlignment="1" applyProtection="1">
      <alignment horizontal="center" vertical="center" wrapText="1"/>
    </xf>
    <xf numFmtId="0" fontId="122" fillId="44" borderId="35" xfId="0" applyFont="1" applyFill="1" applyBorder="1" applyAlignment="1" applyProtection="1">
      <alignment horizontal="center" vertical="center"/>
      <protection locked="0"/>
    </xf>
    <xf numFmtId="0" fontId="113" fillId="89" borderId="34" xfId="0" applyFont="1" applyFill="1" applyBorder="1" applyAlignment="1" applyProtection="1">
      <alignment horizontal="left" vertical="top" wrapText="1"/>
      <protection locked="0"/>
    </xf>
    <xf numFmtId="0" fontId="7" fillId="80" borderId="33" xfId="0" applyFont="1" applyFill="1" applyBorder="1" applyAlignment="1" applyProtection="1">
      <alignment horizontal="left" vertical="top" wrapText="1"/>
      <protection locked="0"/>
    </xf>
    <xf numFmtId="0" fontId="7" fillId="88" borderId="32" xfId="0" applyFont="1" applyFill="1" applyBorder="1" applyAlignment="1" applyProtection="1">
      <alignment horizontal="left" vertical="top" wrapText="1"/>
      <protection locked="0"/>
    </xf>
    <xf numFmtId="0" fontId="7" fillId="74" borderId="32" xfId="0" applyFont="1" applyFill="1" applyBorder="1" applyAlignment="1" applyProtection="1">
      <alignment horizontal="left" vertical="top" wrapText="1"/>
      <protection locked="0"/>
    </xf>
    <xf numFmtId="0" fontId="7" fillId="0" borderId="32" xfId="0" applyFont="1" applyBorder="1" applyAlignment="1" applyProtection="1">
      <alignment horizontal="left" vertical="top" wrapText="1"/>
      <protection locked="0"/>
    </xf>
    <xf numFmtId="0" fontId="7" fillId="80" borderId="32" xfId="0" applyFont="1" applyFill="1" applyBorder="1" applyAlignment="1" applyProtection="1">
      <alignment horizontal="left" vertical="top" wrapText="1"/>
      <protection locked="0"/>
    </xf>
    <xf numFmtId="0" fontId="7" fillId="72" borderId="32" xfId="0" applyFont="1" applyFill="1" applyBorder="1" applyAlignment="1" applyProtection="1">
      <alignment horizontal="left" vertical="top" wrapText="1"/>
      <protection locked="0"/>
    </xf>
    <xf numFmtId="0" fontId="7" fillId="79" borderId="32" xfId="0" applyFont="1" applyFill="1" applyBorder="1" applyAlignment="1" applyProtection="1">
      <alignment horizontal="left" vertical="top" wrapText="1"/>
      <protection locked="0"/>
    </xf>
    <xf numFmtId="14" fontId="7" fillId="72" borderId="32" xfId="0" quotePrefix="1" applyNumberFormat="1" applyFont="1" applyFill="1" applyBorder="1" applyAlignment="1" applyProtection="1">
      <alignment horizontal="left" vertical="top" wrapText="1"/>
      <protection locked="0"/>
    </xf>
    <xf numFmtId="0" fontId="7" fillId="35" borderId="32" xfId="0" applyFont="1" applyFill="1" applyBorder="1" applyAlignment="1" applyProtection="1">
      <alignment horizontal="left" vertical="top" wrapText="1"/>
      <protection locked="0"/>
    </xf>
    <xf numFmtId="0" fontId="7" fillId="58" borderId="32" xfId="0" applyFont="1" applyFill="1" applyBorder="1" applyAlignment="1" applyProtection="1">
      <alignment horizontal="left" vertical="top" wrapText="1"/>
      <protection locked="0"/>
    </xf>
    <xf numFmtId="0" fontId="7" fillId="76" borderId="32" xfId="0" applyFont="1" applyFill="1" applyBorder="1" applyAlignment="1" applyProtection="1">
      <alignment horizontal="left" vertical="top" wrapText="1"/>
      <protection locked="0"/>
    </xf>
    <xf numFmtId="0" fontId="74" fillId="0" borderId="32" xfId="0" applyFont="1" applyFill="1" applyBorder="1" applyAlignment="1" applyProtection="1">
      <alignment horizontal="left" vertical="top" wrapText="1"/>
      <protection locked="0"/>
    </xf>
    <xf numFmtId="0" fontId="7" fillId="101" borderId="32" xfId="0" applyFont="1" applyFill="1" applyBorder="1" applyAlignment="1" applyProtection="1">
      <alignment horizontal="left" vertical="top" wrapText="1"/>
      <protection locked="0"/>
    </xf>
    <xf numFmtId="0" fontId="7" fillId="38" borderId="32" xfId="0" applyFont="1" applyFill="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78" borderId="33" xfId="0" applyFont="1" applyFill="1" applyBorder="1" applyAlignment="1" applyProtection="1">
      <alignment horizontal="left" vertical="top" wrapText="1"/>
      <protection locked="0"/>
    </xf>
    <xf numFmtId="0" fontId="7" fillId="85" borderId="32" xfId="0" applyFont="1" applyFill="1" applyBorder="1" applyAlignment="1" applyProtection="1">
      <alignment horizontal="left" vertical="top" wrapText="1"/>
      <protection locked="0"/>
    </xf>
    <xf numFmtId="0" fontId="7" fillId="86" borderId="32" xfId="0" applyFont="1" applyFill="1" applyBorder="1" applyAlignment="1" applyProtection="1">
      <alignment horizontal="left" vertical="top" wrapText="1"/>
      <protection locked="0"/>
    </xf>
    <xf numFmtId="0" fontId="7" fillId="70" borderId="32" xfId="0" applyFont="1" applyFill="1" applyBorder="1" applyAlignment="1" applyProtection="1">
      <alignment horizontal="left" vertical="top" wrapText="1"/>
      <protection locked="0"/>
    </xf>
    <xf numFmtId="16" fontId="7" fillId="86" borderId="32" xfId="0" applyNumberFormat="1" applyFont="1" applyFill="1" applyBorder="1" applyAlignment="1" applyProtection="1">
      <alignment horizontal="left" vertical="top" wrapText="1"/>
      <protection locked="0"/>
    </xf>
    <xf numFmtId="16" fontId="7" fillId="0" borderId="32" xfId="0" applyNumberFormat="1" applyFont="1" applyFill="1" applyBorder="1" applyAlignment="1" applyProtection="1">
      <alignment horizontal="left" vertical="top" wrapText="1"/>
      <protection locked="0"/>
    </xf>
    <xf numFmtId="0" fontId="7" fillId="94" borderId="32" xfId="0" applyFont="1" applyFill="1" applyBorder="1" applyAlignment="1" applyProtection="1">
      <alignment horizontal="left" vertical="top" wrapText="1"/>
      <protection locked="0"/>
    </xf>
    <xf numFmtId="0" fontId="7" fillId="78" borderId="32" xfId="0" applyFont="1" applyFill="1" applyBorder="1" applyAlignment="1" applyProtection="1">
      <alignment horizontal="left" vertical="top" wrapText="1"/>
      <protection locked="0"/>
    </xf>
    <xf numFmtId="10" fontId="7" fillId="86" borderId="32" xfId="0" applyNumberFormat="1" applyFont="1" applyFill="1" applyBorder="1" applyAlignment="1" applyProtection="1">
      <alignment horizontal="left" vertical="top" wrapText="1"/>
      <protection locked="0"/>
    </xf>
    <xf numFmtId="10" fontId="7" fillId="0" borderId="32" xfId="0" applyNumberFormat="1" applyFont="1" applyFill="1" applyBorder="1" applyAlignment="1" applyProtection="1">
      <alignment horizontal="left" vertical="top" wrapText="1"/>
      <protection locked="0"/>
    </xf>
    <xf numFmtId="10" fontId="7" fillId="74" borderId="32" xfId="0" applyNumberFormat="1" applyFont="1" applyFill="1" applyBorder="1" applyAlignment="1" applyProtection="1">
      <alignment horizontal="left" vertical="top" wrapText="1"/>
      <protection locked="0"/>
    </xf>
    <xf numFmtId="0" fontId="7" fillId="53" borderId="32" xfId="0" applyFont="1" applyFill="1" applyBorder="1" applyAlignment="1" applyProtection="1">
      <alignment vertical="top" wrapText="1"/>
      <protection locked="0"/>
    </xf>
    <xf numFmtId="10" fontId="7" fillId="78" borderId="32" xfId="0" applyNumberFormat="1" applyFont="1" applyFill="1" applyBorder="1" applyAlignment="1" applyProtection="1">
      <alignment horizontal="left" vertical="top" wrapText="1"/>
      <protection locked="0"/>
    </xf>
    <xf numFmtId="10" fontId="7" fillId="79" borderId="32" xfId="0" applyNumberFormat="1" applyFont="1" applyFill="1" applyBorder="1" applyAlignment="1" applyProtection="1">
      <alignment horizontal="left" vertical="top" wrapText="1"/>
      <protection locked="0"/>
    </xf>
    <xf numFmtId="10" fontId="7" fillId="24" borderId="32" xfId="0" applyNumberFormat="1" applyFont="1" applyFill="1" applyBorder="1" applyAlignment="1" applyProtection="1">
      <alignment horizontal="left" vertical="top" wrapText="1"/>
      <protection locked="0"/>
    </xf>
    <xf numFmtId="0" fontId="7" fillId="43" borderId="33" xfId="0" applyFont="1" applyFill="1" applyBorder="1" applyAlignment="1" applyProtection="1">
      <alignment horizontal="left" vertical="top" wrapText="1"/>
      <protection locked="0"/>
    </xf>
    <xf numFmtId="0" fontId="7" fillId="45" borderId="32" xfId="0" applyFont="1" applyFill="1" applyBorder="1" applyAlignment="1" applyProtection="1">
      <alignment horizontal="left" vertical="top" wrapText="1"/>
      <protection locked="0"/>
    </xf>
    <xf numFmtId="0" fontId="7" fillId="43" borderId="32" xfId="0" applyFont="1" applyFill="1" applyBorder="1" applyAlignment="1" applyProtection="1">
      <alignment horizontal="left" vertical="top" wrapText="1"/>
      <protection locked="0"/>
    </xf>
    <xf numFmtId="0" fontId="7" fillId="25" borderId="32" xfId="0" applyFont="1" applyFill="1" applyBorder="1" applyAlignment="1" applyProtection="1">
      <alignment horizontal="left" vertical="top" wrapText="1"/>
      <protection locked="0"/>
    </xf>
    <xf numFmtId="0" fontId="7" fillId="104" borderId="32" xfId="0" applyFont="1" applyFill="1" applyBorder="1" applyAlignment="1" applyProtection="1">
      <alignment vertical="top" wrapText="1"/>
      <protection locked="0"/>
    </xf>
    <xf numFmtId="0" fontId="7" fillId="97" borderId="32" xfId="0" applyFont="1" applyFill="1" applyBorder="1" applyAlignment="1" applyProtection="1">
      <alignment vertical="top" wrapText="1"/>
      <protection locked="0"/>
    </xf>
    <xf numFmtId="0" fontId="7" fillId="97" borderId="32" xfId="0" applyFont="1" applyFill="1" applyBorder="1" applyAlignment="1" applyProtection="1">
      <alignment horizontal="center" vertical="top" wrapText="1"/>
      <protection locked="0"/>
    </xf>
    <xf numFmtId="0" fontId="7" fillId="0" borderId="0" xfId="0" applyFont="1" applyFill="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113" fillId="89" borderId="35" xfId="0" applyFont="1" applyFill="1" applyBorder="1" applyAlignment="1" applyProtection="1">
      <alignment vertical="center" wrapText="1"/>
      <protection locked="0"/>
    </xf>
    <xf numFmtId="0" fontId="74" fillId="80" borderId="32" xfId="0" applyFont="1" applyFill="1" applyBorder="1" applyAlignment="1" applyProtection="1">
      <alignment vertical="top" wrapText="1"/>
    </xf>
    <xf numFmtId="0" fontId="74" fillId="98" borderId="32" xfId="0" applyFont="1" applyFill="1" applyBorder="1" applyAlignment="1" applyProtection="1">
      <alignment vertical="top" wrapText="1"/>
    </xf>
    <xf numFmtId="0" fontId="74" fillId="80" borderId="32" xfId="0" applyFont="1" applyFill="1" applyBorder="1" applyAlignment="1" applyProtection="1">
      <alignment horizontal="left" vertical="top" wrapText="1"/>
    </xf>
    <xf numFmtId="0" fontId="74" fillId="85" borderId="32" xfId="0" applyFont="1" applyFill="1" applyBorder="1" applyAlignment="1" applyProtection="1">
      <alignment vertical="top" wrapText="1"/>
    </xf>
    <xf numFmtId="0" fontId="12" fillId="43" borderId="34" xfId="0" applyFont="1" applyFill="1" applyBorder="1" applyAlignment="1" applyProtection="1">
      <alignment horizontal="left" vertical="center" wrapText="1"/>
      <protection locked="0"/>
    </xf>
    <xf numFmtId="0" fontId="12" fillId="43" borderId="35" xfId="0" applyFont="1" applyFill="1" applyBorder="1" applyAlignment="1" applyProtection="1">
      <alignment vertical="center" wrapText="1"/>
      <protection locked="0"/>
    </xf>
    <xf numFmtId="0" fontId="12" fillId="2" borderId="35" xfId="0" applyFont="1" applyFill="1" applyBorder="1" applyAlignment="1" applyProtection="1">
      <alignment vertical="center" wrapText="1"/>
    </xf>
    <xf numFmtId="0" fontId="12" fillId="43" borderId="35" xfId="0" applyFont="1" applyFill="1" applyBorder="1" applyAlignment="1" applyProtection="1">
      <alignment horizontal="center" vertical="center" wrapText="1"/>
      <protection locked="0"/>
    </xf>
    <xf numFmtId="0" fontId="122" fillId="44" borderId="35" xfId="0" applyFont="1" applyFill="1" applyBorder="1" applyAlignment="1" applyProtection="1">
      <alignment horizontal="center" vertical="center" wrapText="1"/>
      <protection locked="0"/>
    </xf>
    <xf numFmtId="0" fontId="122" fillId="44" borderId="36" xfId="0" applyFont="1" applyFill="1" applyBorder="1" applyAlignment="1" applyProtection="1">
      <alignment horizontal="center" vertical="center" wrapText="1"/>
      <protection locked="0"/>
    </xf>
    <xf numFmtId="0" fontId="12" fillId="95" borderId="35" xfId="0" applyFont="1" applyFill="1" applyBorder="1" applyAlignment="1" applyProtection="1">
      <alignment vertical="center" wrapText="1"/>
      <protection locked="0"/>
    </xf>
    <xf numFmtId="0" fontId="12" fillId="95" borderId="34" xfId="0" applyFont="1" applyFill="1" applyBorder="1" applyAlignment="1" applyProtection="1">
      <alignment horizontal="left" vertical="center" wrapText="1"/>
      <protection locked="0"/>
    </xf>
    <xf numFmtId="0" fontId="12" fillId="87" borderId="34" xfId="0" applyFont="1" applyFill="1" applyBorder="1" applyAlignment="1" applyProtection="1">
      <alignment horizontal="left" vertical="center" wrapText="1"/>
      <protection locked="0"/>
    </xf>
    <xf numFmtId="0" fontId="12" fillId="87" borderId="35" xfId="0" applyFont="1" applyFill="1" applyBorder="1" applyAlignment="1" applyProtection="1">
      <alignment vertical="center" wrapText="1"/>
      <protection locked="0"/>
    </xf>
    <xf numFmtId="0" fontId="0" fillId="0" borderId="32" xfId="0" applyFont="1" applyBorder="1" applyAlignment="1">
      <alignment wrapText="1"/>
    </xf>
    <xf numFmtId="2" fontId="0" fillId="0" borderId="32" xfId="0" applyNumberFormat="1" applyFont="1" applyBorder="1" applyAlignment="1">
      <alignment horizontal="center" vertical="center"/>
    </xf>
    <xf numFmtId="0" fontId="0" fillId="0" borderId="32" xfId="0" applyFont="1" applyBorder="1" applyAlignment="1">
      <alignment vertical="center"/>
    </xf>
    <xf numFmtId="0" fontId="0" fillId="0" borderId="0" xfId="0" applyFont="1" applyFill="1" applyAlignment="1">
      <alignment wrapText="1"/>
    </xf>
    <xf numFmtId="0" fontId="40" fillId="0" borderId="0" xfId="0" applyFont="1" applyFill="1" applyAlignment="1">
      <alignment wrapText="1"/>
    </xf>
    <xf numFmtId="0" fontId="38" fillId="0" borderId="0" xfId="0" applyFont="1" applyFill="1" applyAlignment="1">
      <alignment wrapText="1"/>
    </xf>
    <xf numFmtId="0" fontId="123" fillId="0" borderId="0" xfId="0" applyFont="1" applyFill="1" applyBorder="1" applyAlignment="1">
      <alignment horizontal="center" wrapText="1"/>
    </xf>
    <xf numFmtId="2" fontId="43" fillId="0" borderId="32" xfId="0" applyNumberFormat="1" applyFont="1" applyBorder="1" applyAlignment="1">
      <alignment horizontal="center" vertical="center"/>
    </xf>
    <xf numFmtId="2" fontId="123" fillId="106" borderId="32" xfId="0" applyNumberFormat="1" applyFont="1" applyFill="1" applyBorder="1" applyAlignment="1">
      <alignment horizontal="center" vertical="center"/>
    </xf>
    <xf numFmtId="0" fontId="40" fillId="107" borderId="32" xfId="0" applyFont="1" applyFill="1" applyBorder="1" applyAlignment="1">
      <alignment wrapText="1"/>
    </xf>
    <xf numFmtId="2" fontId="40" fillId="107" borderId="32" xfId="0" applyNumberFormat="1" applyFont="1" applyFill="1" applyBorder="1" applyAlignment="1">
      <alignment horizontal="center" vertical="center"/>
    </xf>
    <xf numFmtId="0" fontId="40" fillId="107" borderId="32" xfId="0" applyFont="1" applyFill="1" applyBorder="1" applyAlignment="1">
      <alignment vertical="center"/>
    </xf>
    <xf numFmtId="0" fontId="38" fillId="0" borderId="32" xfId="0" applyFont="1" applyBorder="1" applyAlignment="1">
      <alignment vertical="top" wrapText="1"/>
    </xf>
    <xf numFmtId="0" fontId="40" fillId="107" borderId="32" xfId="0" applyFont="1" applyFill="1" applyBorder="1" applyAlignment="1">
      <alignment vertical="top"/>
    </xf>
    <xf numFmtId="0" fontId="40" fillId="107" borderId="2" xfId="0" applyFont="1" applyFill="1" applyBorder="1" applyAlignment="1">
      <alignment vertical="top"/>
    </xf>
    <xf numFmtId="0" fontId="123" fillId="106" borderId="33" xfId="0" applyFont="1" applyFill="1" applyBorder="1" applyAlignment="1">
      <alignment horizontal="center" wrapText="1"/>
    </xf>
    <xf numFmtId="0" fontId="43" fillId="108" borderId="37" xfId="0" applyFont="1" applyFill="1" applyBorder="1" applyAlignment="1">
      <alignment horizontal="center" vertical="center" wrapText="1"/>
    </xf>
    <xf numFmtId="2" fontId="0" fillId="0" borderId="32" xfId="0" applyNumberFormat="1" applyFont="1" applyBorder="1" applyAlignment="1">
      <alignment horizontal="center"/>
    </xf>
    <xf numFmtId="0" fontId="7" fillId="44" borderId="32" xfId="0" applyFont="1" applyFill="1" applyBorder="1" applyAlignment="1" applyProtection="1">
      <alignment wrapText="1"/>
      <protection locked="0"/>
    </xf>
    <xf numFmtId="4" fontId="0" fillId="28" borderId="1" xfId="0" applyNumberFormat="1" applyFont="1" applyFill="1" applyBorder="1" applyAlignment="1" applyProtection="1">
      <alignment horizontal="center" vertical="center" wrapText="1"/>
    </xf>
    <xf numFmtId="2" fontId="9" fillId="47" borderId="32" xfId="0" applyNumberFormat="1" applyFont="1" applyFill="1" applyBorder="1" applyAlignment="1" applyProtection="1">
      <alignment horizontal="center" vertical="center" wrapText="1"/>
      <protection locked="0"/>
    </xf>
    <xf numFmtId="2" fontId="9" fillId="47" borderId="32" xfId="0" applyNumberFormat="1" applyFont="1" applyFill="1" applyBorder="1" applyAlignment="1" applyProtection="1">
      <alignment horizontal="center" vertical="center"/>
      <protection locked="0"/>
    </xf>
    <xf numFmtId="2" fontId="0" fillId="0" borderId="0" xfId="0" applyNumberFormat="1" applyFont="1" applyAlignment="1"/>
    <xf numFmtId="0" fontId="74" fillId="25" borderId="32" xfId="0" applyFont="1" applyFill="1" applyBorder="1" applyAlignment="1" applyProtection="1">
      <alignment vertical="top" wrapText="1"/>
    </xf>
    <xf numFmtId="2" fontId="9" fillId="0" borderId="32" xfId="7" applyNumberFormat="1" applyFont="1" applyFill="1" applyBorder="1" applyAlignment="1">
      <alignment horizontal="center" vertical="top" wrapText="1"/>
    </xf>
    <xf numFmtId="2" fontId="9" fillId="0" borderId="32" xfId="181" applyNumberFormat="1" applyFont="1" applyFill="1" applyBorder="1" applyAlignment="1">
      <alignment horizontal="center" vertical="top" wrapText="1"/>
    </xf>
    <xf numFmtId="2" fontId="9" fillId="0" borderId="2" xfId="0" applyNumberFormat="1" applyFont="1" applyFill="1" applyBorder="1" applyAlignment="1" applyProtection="1">
      <alignment horizontal="center" vertical="center" wrapText="1"/>
    </xf>
    <xf numFmtId="0" fontId="9" fillId="25" borderId="4" xfId="0" applyFont="1" applyFill="1" applyBorder="1" applyAlignment="1" applyProtection="1">
      <alignment vertical="top" wrapText="1"/>
    </xf>
    <xf numFmtId="2" fontId="7" fillId="25" borderId="3" xfId="0" applyNumberFormat="1" applyFont="1" applyFill="1" applyBorder="1" applyAlignment="1" applyProtection="1">
      <alignment horizontal="center" vertical="center" wrapText="1"/>
    </xf>
    <xf numFmtId="2" fontId="9" fillId="0" borderId="33" xfId="0" applyNumberFormat="1" applyFont="1" applyFill="1" applyBorder="1" applyAlignment="1" applyProtection="1">
      <alignment horizontal="center" vertical="center" wrapText="1"/>
    </xf>
    <xf numFmtId="2" fontId="0" fillId="0" borderId="32" xfId="0" applyNumberFormat="1" applyFont="1" applyFill="1" applyBorder="1" applyAlignment="1">
      <alignment horizontal="center" vertical="center"/>
    </xf>
    <xf numFmtId="0" fontId="0" fillId="0" borderId="0" xfId="0" applyFont="1" applyFill="1" applyAlignment="1"/>
    <xf numFmtId="2" fontId="0" fillId="0" borderId="0" xfId="0" applyNumberFormat="1" applyFont="1" applyFill="1" applyAlignment="1"/>
    <xf numFmtId="2" fontId="75" fillId="0" borderId="0" xfId="0" applyNumberFormat="1" applyFont="1" applyAlignment="1">
      <alignment horizontal="center" vertical="center"/>
    </xf>
    <xf numFmtId="2" fontId="38" fillId="0" borderId="0" xfId="0" applyNumberFormat="1" applyFont="1" applyFill="1" applyAlignment="1"/>
    <xf numFmtId="2" fontId="7" fillId="107" borderId="32" xfId="0" applyNumberFormat="1" applyFont="1" applyFill="1" applyBorder="1" applyAlignment="1">
      <alignment horizontal="center" vertical="center"/>
    </xf>
    <xf numFmtId="0" fontId="7" fillId="4" borderId="3" xfId="0" applyFont="1" applyFill="1" applyBorder="1" applyAlignment="1" applyProtection="1">
      <alignment horizontal="center" vertical="top"/>
      <protection locked="0"/>
    </xf>
    <xf numFmtId="0" fontId="9" fillId="27" borderId="3" xfId="0" applyFont="1" applyFill="1" applyBorder="1" applyAlignment="1" applyProtection="1">
      <alignment horizontal="center" vertical="top"/>
      <protection locked="0"/>
    </xf>
    <xf numFmtId="0" fontId="7" fillId="4" borderId="3"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30" fillId="4" borderId="1" xfId="0" applyFont="1" applyFill="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85" fillId="4" borderId="18" xfId="0" applyFont="1" applyFill="1" applyBorder="1" applyAlignment="1">
      <alignment horizontal="center" vertical="center"/>
    </xf>
    <xf numFmtId="0" fontId="85" fillId="4" borderId="14" xfId="0" applyFont="1" applyFill="1" applyBorder="1" applyAlignment="1">
      <alignment horizontal="center" vertical="center"/>
    </xf>
    <xf numFmtId="0" fontId="19" fillId="4" borderId="18" xfId="0" applyFont="1" applyFill="1" applyBorder="1" applyAlignment="1">
      <alignment wrapText="1"/>
    </xf>
    <xf numFmtId="0" fontId="19" fillId="4" borderId="14" xfId="0" applyFont="1" applyFill="1" applyBorder="1" applyAlignment="1">
      <alignment wrapText="1"/>
    </xf>
    <xf numFmtId="0" fontId="42" fillId="4" borderId="18" xfId="0" applyFont="1" applyFill="1" applyBorder="1" applyAlignment="1">
      <alignment horizontal="center" vertical="center" wrapText="1"/>
    </xf>
    <xf numFmtId="0" fontId="9" fillId="0" borderId="13" xfId="0" applyFont="1" applyBorder="1" applyAlignment="1"/>
    <xf numFmtId="0" fontId="9" fillId="0" borderId="14" xfId="0" applyFont="1" applyBorder="1" applyAlignment="1"/>
    <xf numFmtId="0" fontId="7" fillId="4" borderId="18" xfId="0" applyFont="1" applyFill="1" applyBorder="1" applyAlignment="1">
      <alignment horizontal="center" vertical="center"/>
    </xf>
    <xf numFmtId="0" fontId="43" fillId="3" borderId="18" xfId="0" applyFont="1" applyFill="1" applyBorder="1" applyAlignment="1">
      <alignment horizontal="center" vertical="center" wrapText="1"/>
    </xf>
    <xf numFmtId="0" fontId="11" fillId="3" borderId="18" xfId="0" applyFont="1" applyFill="1" applyBorder="1" applyAlignment="1">
      <alignment vertical="center"/>
    </xf>
    <xf numFmtId="0" fontId="43" fillId="3" borderId="18" xfId="0" applyFont="1" applyFill="1" applyBorder="1" applyAlignment="1">
      <alignment horizontal="center" wrapText="1"/>
    </xf>
    <xf numFmtId="0" fontId="85" fillId="4" borderId="0" xfId="0" applyFont="1" applyFill="1" applyBorder="1" applyAlignment="1">
      <alignment horizontal="center" vertical="center"/>
    </xf>
    <xf numFmtId="0" fontId="9" fillId="0" borderId="0" xfId="0" applyFont="1" applyBorder="1" applyAlignment="1"/>
    <xf numFmtId="0" fontId="43" fillId="3" borderId="13" xfId="0" applyFont="1" applyFill="1" applyBorder="1" applyAlignment="1">
      <alignment horizontal="center" wrapText="1"/>
    </xf>
    <xf numFmtId="0" fontId="19" fillId="4" borderId="0" xfId="0" applyFont="1" applyFill="1" applyBorder="1" applyAlignment="1">
      <alignment wrapText="1"/>
    </xf>
    <xf numFmtId="0" fontId="11" fillId="3" borderId="13" xfId="0" applyFont="1" applyFill="1" applyBorder="1" applyAlignment="1">
      <alignment vertical="center"/>
    </xf>
    <xf numFmtId="0" fontId="42" fillId="4" borderId="0" xfId="0" applyFont="1" applyFill="1" applyBorder="1" applyAlignment="1">
      <alignment horizontal="center" vertical="center" wrapText="1"/>
    </xf>
    <xf numFmtId="0" fontId="10" fillId="4" borderId="0" xfId="0" applyFont="1" applyFill="1" applyBorder="1" applyAlignment="1">
      <alignment horizontal="center" vertical="center"/>
    </xf>
    <xf numFmtId="0" fontId="43" fillId="3" borderId="13" xfId="0" applyFont="1" applyFill="1" applyBorder="1" applyAlignment="1">
      <alignment horizontal="center" vertical="center" wrapText="1"/>
    </xf>
    <xf numFmtId="0" fontId="7" fillId="3" borderId="13" xfId="0" applyFont="1" applyFill="1" applyBorder="1" applyAlignment="1">
      <alignment vertical="center"/>
    </xf>
  </cellXfs>
  <cellStyles count="274">
    <cellStyle name="Comma" xfId="1" builtinId="3"/>
    <cellStyle name="Comma 2" xfId="2"/>
    <cellStyle name="Comma 2 2" xfId="184"/>
    <cellStyle name="Comma 2 2 2" xfId="196"/>
    <cellStyle name="Comma 2 2 2 2" xfId="210"/>
    <cellStyle name="Comma 2 2 2 2 2" xfId="259"/>
    <cellStyle name="Comma 2 2 2 3" xfId="251"/>
    <cellStyle name="Comma 2 2 3" xfId="199"/>
    <cellStyle name="Comma 2 2 3 2" xfId="254"/>
    <cellStyle name="Comma 2 2 4" xfId="246"/>
    <cellStyle name="Comma 2 3" xfId="186"/>
    <cellStyle name="Comma 2 3 2" xfId="201"/>
    <cellStyle name="Comma 2 3 2 2" xfId="256"/>
    <cellStyle name="Comma 2 3 3" xfId="248"/>
    <cellStyle name="Comma 2 4" xfId="212"/>
    <cellStyle name="Comma 2 4 2" xfId="261"/>
    <cellStyle name="Comma 3" xfId="183"/>
    <cellStyle name="Comma 3 2" xfId="195"/>
    <cellStyle name="Comma 3 2 2" xfId="209"/>
    <cellStyle name="Comma 3 2 2 2" xfId="258"/>
    <cellStyle name="Comma 3 2 3" xfId="250"/>
    <cellStyle name="Comma 3 3" xfId="198"/>
    <cellStyle name="Comma 3 3 2" xfId="253"/>
    <cellStyle name="Comma 3 4" xfId="245"/>
    <cellStyle name="Comma 4" xfId="185"/>
    <cellStyle name="Comma 4 2" xfId="200"/>
    <cellStyle name="Comma 4 2 2" xfId="255"/>
    <cellStyle name="Comma 4 3" xfId="247"/>
    <cellStyle name="Comma 5" xfId="211"/>
    <cellStyle name="Comma 5 2" xfId="260"/>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Hyperlink" xfId="176" builtinId="8"/>
    <cellStyle name="Hyperlink 2" xfId="3"/>
    <cellStyle name="Hyperlink 3" xfId="191"/>
    <cellStyle name="Hyperlink 3 2" xfId="206"/>
    <cellStyle name="Hyperlink 4" xfId="193"/>
    <cellStyle name="Hyperlink 4 2" xfId="207"/>
    <cellStyle name="Normal" xfId="0" builtinId="0"/>
    <cellStyle name="Normal 2" xfId="4"/>
    <cellStyle name="Normal 2 2" xfId="178"/>
    <cellStyle name="Normal 2 3" xfId="187"/>
    <cellStyle name="Normal 2 3 2" xfId="202"/>
    <cellStyle name="Normal 2 4" xfId="213"/>
    <cellStyle name="Normal 2 4 2" xfId="262"/>
    <cellStyle name="Normal 3" xfId="5"/>
    <cellStyle name="Normal 3 2" xfId="192"/>
    <cellStyle name="Normal 3 3" xfId="188"/>
    <cellStyle name="Normal 3 3 2" xfId="203"/>
    <cellStyle name="Normal 3 4" xfId="214"/>
    <cellStyle name="Normal 3 4 2" xfId="263"/>
    <cellStyle name="Normal 4" xfId="6"/>
    <cellStyle name="Normal 4 2" xfId="180"/>
    <cellStyle name="Normal 4 3" xfId="189"/>
    <cellStyle name="Normal 4 3 2" xfId="204"/>
    <cellStyle name="Normal 4 4" xfId="215"/>
    <cellStyle name="Normal 4 4 2" xfId="264"/>
    <cellStyle name="Normal 5" xfId="179"/>
    <cellStyle name="Normal 6" xfId="182"/>
    <cellStyle name="Normal 6 2" xfId="194"/>
    <cellStyle name="Normal 6 2 2" xfId="208"/>
    <cellStyle name="Normal 6 2 2 2" xfId="257"/>
    <cellStyle name="Normal 6 2 2 3" xfId="269"/>
    <cellStyle name="Normal 6 2 2 4" xfId="273"/>
    <cellStyle name="Normal 6 2 3" xfId="249"/>
    <cellStyle name="Normal 6 2 4" xfId="267"/>
    <cellStyle name="Normal 6 2 5" xfId="271"/>
    <cellStyle name="Normal 6 3" xfId="197"/>
    <cellStyle name="Normal 6 3 2" xfId="252"/>
    <cellStyle name="Normal 6 3 3" xfId="268"/>
    <cellStyle name="Normal 6 3 4" xfId="272"/>
    <cellStyle name="Normal 6 4" xfId="244"/>
    <cellStyle name="Normal 6 5" xfId="266"/>
    <cellStyle name="Normal 6 6" xfId="270"/>
    <cellStyle name="Percent" xfId="7" builtinId="5"/>
    <cellStyle name="Percent 2" xfId="181"/>
    <cellStyle name="Percent 3" xfId="190"/>
    <cellStyle name="Percent 3 2" xfId="205"/>
    <cellStyle name="Percent 4" xfId="216"/>
    <cellStyle name="Percent 4 2" xfId="265"/>
    <cellStyle name="Обычный 2" xfId="177"/>
  </cellStyles>
  <dxfs count="0"/>
  <tableStyles count="0" defaultTableStyle="TableStyleMedium2" defaultPivotStyle="PivotStyleLight16"/>
  <colors>
    <mruColors>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1117600</xdr:colOff>
      <xdr:row>15</xdr:row>
      <xdr:rowOff>0</xdr:rowOff>
    </xdr:to>
    <xdr:sp macro="" textlink="">
      <xdr:nvSpPr>
        <xdr:cNvPr id="2" name="AutoShape 16">
          <a:extLst>
            <a:ext uri="{FF2B5EF4-FFF2-40B4-BE49-F238E27FC236}">
              <a16:creationId xmlns:a16="http://schemas.microsoft.com/office/drawing/2014/main" id="{00000000-0008-0000-0000-000002000000}"/>
            </a:ext>
          </a:extLst>
        </xdr:cNvPr>
        <xdr:cNvSpPr>
          <a:spLocks noChangeArrowheads="1"/>
        </xdr:cNvSpPr>
      </xdr:nvSpPr>
      <xdr:spPr bwMode="auto">
        <a:xfrm>
          <a:off x="0" y="0"/>
          <a:ext cx="10617200" cy="4470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0</xdr:colOff>
      <xdr:row>15</xdr:row>
      <xdr:rowOff>0</xdr:rowOff>
    </xdr:to>
    <xdr:sp macro="" textlink="">
      <xdr:nvSpPr>
        <xdr:cNvPr id="3" name="AutoShape 16">
          <a:extLst>
            <a:ext uri="{FF2B5EF4-FFF2-40B4-BE49-F238E27FC236}">
              <a16:creationId xmlns:a16="http://schemas.microsoft.com/office/drawing/2014/main" id="{00000000-0008-0000-0000-000003000000}"/>
            </a:ext>
          </a:extLst>
        </xdr:cNvPr>
        <xdr:cNvSpPr>
          <a:spLocks noChangeArrowheads="1"/>
        </xdr:cNvSpPr>
      </xdr:nvSpPr>
      <xdr:spPr bwMode="auto">
        <a:xfrm>
          <a:off x="0" y="0"/>
          <a:ext cx="9817100" cy="4470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0</xdr:colOff>
      <xdr:row>15</xdr:row>
      <xdr:rowOff>0</xdr:rowOff>
    </xdr:to>
    <xdr:sp macro="" textlink="">
      <xdr:nvSpPr>
        <xdr:cNvPr id="4" name="AutoShape 16">
          <a:extLst>
            <a:ext uri="{FF2B5EF4-FFF2-40B4-BE49-F238E27FC236}">
              <a16:creationId xmlns:a16="http://schemas.microsoft.com/office/drawing/2014/main" id="{00000000-0008-0000-0000-000004000000}"/>
            </a:ext>
          </a:extLst>
        </xdr:cNvPr>
        <xdr:cNvSpPr>
          <a:spLocks noChangeArrowheads="1"/>
        </xdr:cNvSpPr>
      </xdr:nvSpPr>
      <xdr:spPr bwMode="auto">
        <a:xfrm>
          <a:off x="0" y="0"/>
          <a:ext cx="9817100" cy="4470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1117600</xdr:colOff>
      <xdr:row>11</xdr:row>
      <xdr:rowOff>0</xdr:rowOff>
    </xdr:to>
    <xdr:sp macro="" textlink="">
      <xdr:nvSpPr>
        <xdr:cNvPr id="1265" name="Rectangle 16" hidden="1">
          <a:extLst>
            <a:ext uri="{FF2B5EF4-FFF2-40B4-BE49-F238E27FC236}">
              <a16:creationId xmlns:a16="http://schemas.microsoft.com/office/drawing/2014/main" id="{00000000-0008-0000-0100-0000F1040000}"/>
            </a:ext>
          </a:extLst>
        </xdr:cNvPr>
        <xdr:cNvSpPr>
          <a:spLocks noSelect="1" noChangeArrowheads="1"/>
        </xdr:cNvSpPr>
      </xdr:nvSpPr>
      <xdr:spPr bwMode="auto">
        <a:xfrm>
          <a:off x="0" y="0"/>
          <a:ext cx="10617200" cy="44704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1117600</xdr:colOff>
      <xdr:row>11</xdr:row>
      <xdr:rowOff>0</xdr:rowOff>
    </xdr:to>
    <xdr:sp macro="" textlink="">
      <xdr:nvSpPr>
        <xdr:cNvPr id="1266" name="AutoShape 16">
          <a:extLst>
            <a:ext uri="{FF2B5EF4-FFF2-40B4-BE49-F238E27FC236}">
              <a16:creationId xmlns:a16="http://schemas.microsoft.com/office/drawing/2014/main" id="{00000000-0008-0000-0100-0000F2040000}"/>
            </a:ext>
          </a:extLst>
        </xdr:cNvPr>
        <xdr:cNvSpPr>
          <a:spLocks noChangeArrowheads="1"/>
        </xdr:cNvSpPr>
      </xdr:nvSpPr>
      <xdr:spPr bwMode="auto">
        <a:xfrm>
          <a:off x="0" y="0"/>
          <a:ext cx="10617200" cy="4470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0</xdr:colOff>
      <xdr:row>11</xdr:row>
      <xdr:rowOff>0</xdr:rowOff>
    </xdr:to>
    <xdr:sp macro="" textlink="">
      <xdr:nvSpPr>
        <xdr:cNvPr id="1267" name="AutoShape 16">
          <a:extLst>
            <a:ext uri="{FF2B5EF4-FFF2-40B4-BE49-F238E27FC236}">
              <a16:creationId xmlns:a16="http://schemas.microsoft.com/office/drawing/2014/main" id="{00000000-0008-0000-0100-0000F3040000}"/>
            </a:ext>
          </a:extLst>
        </xdr:cNvPr>
        <xdr:cNvSpPr>
          <a:spLocks noChangeArrowheads="1"/>
        </xdr:cNvSpPr>
      </xdr:nvSpPr>
      <xdr:spPr bwMode="auto">
        <a:xfrm>
          <a:off x="0" y="0"/>
          <a:ext cx="9817100" cy="4470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0</xdr:colOff>
      <xdr:row>11</xdr:row>
      <xdr:rowOff>0</xdr:rowOff>
    </xdr:to>
    <xdr:sp macro="" textlink="">
      <xdr:nvSpPr>
        <xdr:cNvPr id="1268" name="AutoShape 16">
          <a:extLst>
            <a:ext uri="{FF2B5EF4-FFF2-40B4-BE49-F238E27FC236}">
              <a16:creationId xmlns:a16="http://schemas.microsoft.com/office/drawing/2014/main" id="{00000000-0008-0000-0100-0000F4040000}"/>
            </a:ext>
          </a:extLst>
        </xdr:cNvPr>
        <xdr:cNvSpPr>
          <a:spLocks noChangeArrowheads="1"/>
        </xdr:cNvSpPr>
      </xdr:nvSpPr>
      <xdr:spPr bwMode="auto">
        <a:xfrm>
          <a:off x="0" y="0"/>
          <a:ext cx="9817100" cy="4470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393700</xdr:colOff>
      <xdr:row>15</xdr:row>
      <xdr:rowOff>63500</xdr:rowOff>
    </xdr:to>
    <xdr:sp macro="" textlink="">
      <xdr:nvSpPr>
        <xdr:cNvPr id="2070" name="Rectangle 21" hidden="1">
          <a:extLst>
            <a:ext uri="{FF2B5EF4-FFF2-40B4-BE49-F238E27FC236}">
              <a16:creationId xmlns:a16="http://schemas.microsoft.com/office/drawing/2014/main" id="{00000000-0008-0000-0200-000016080000}"/>
            </a:ext>
          </a:extLst>
        </xdr:cNvPr>
        <xdr:cNvSpPr>
          <a:spLocks noSelect="1" noChangeArrowheads="1"/>
        </xdr:cNvSpPr>
      </xdr:nvSpPr>
      <xdr:spPr bwMode="auto">
        <a:xfrm>
          <a:off x="0" y="0"/>
          <a:ext cx="11023600" cy="94742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393700</xdr:colOff>
      <xdr:row>15</xdr:row>
      <xdr:rowOff>63500</xdr:rowOff>
    </xdr:to>
    <xdr:sp macro="" textlink="">
      <xdr:nvSpPr>
        <xdr:cNvPr id="2071" name="AutoShape 21">
          <a:extLst>
            <a:ext uri="{FF2B5EF4-FFF2-40B4-BE49-F238E27FC236}">
              <a16:creationId xmlns:a16="http://schemas.microsoft.com/office/drawing/2014/main" id="{00000000-0008-0000-0200-000017080000}"/>
            </a:ext>
          </a:extLst>
        </xdr:cNvPr>
        <xdr:cNvSpPr>
          <a:spLocks noChangeArrowheads="1"/>
        </xdr:cNvSpPr>
      </xdr:nvSpPr>
      <xdr:spPr bwMode="auto">
        <a:xfrm>
          <a:off x="0" y="0"/>
          <a:ext cx="11023600" cy="94742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863600</xdr:colOff>
      <xdr:row>15</xdr:row>
      <xdr:rowOff>114300</xdr:rowOff>
    </xdr:to>
    <xdr:sp macro="" textlink="">
      <xdr:nvSpPr>
        <xdr:cNvPr id="2072" name="AutoShape 21">
          <a:extLst>
            <a:ext uri="{FF2B5EF4-FFF2-40B4-BE49-F238E27FC236}">
              <a16:creationId xmlns:a16="http://schemas.microsoft.com/office/drawing/2014/main" id="{00000000-0008-0000-0200-000018080000}"/>
            </a:ext>
          </a:extLst>
        </xdr:cNvPr>
        <xdr:cNvSpPr>
          <a:spLocks noChangeArrowheads="1"/>
        </xdr:cNvSpPr>
      </xdr:nvSpPr>
      <xdr:spPr bwMode="auto">
        <a:xfrm>
          <a:off x="0" y="0"/>
          <a:ext cx="97028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863600</xdr:colOff>
      <xdr:row>15</xdr:row>
      <xdr:rowOff>114300</xdr:rowOff>
    </xdr:to>
    <xdr:sp macro="" textlink="">
      <xdr:nvSpPr>
        <xdr:cNvPr id="2073" name="AutoShape 21">
          <a:extLst>
            <a:ext uri="{FF2B5EF4-FFF2-40B4-BE49-F238E27FC236}">
              <a16:creationId xmlns:a16="http://schemas.microsoft.com/office/drawing/2014/main" id="{00000000-0008-0000-0200-000019080000}"/>
            </a:ext>
          </a:extLst>
        </xdr:cNvPr>
        <xdr:cNvSpPr>
          <a:spLocks noChangeArrowheads="1"/>
        </xdr:cNvSpPr>
      </xdr:nvSpPr>
      <xdr:spPr bwMode="auto">
        <a:xfrm>
          <a:off x="0" y="0"/>
          <a:ext cx="97028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1016000</xdr:colOff>
      <xdr:row>17</xdr:row>
      <xdr:rowOff>88900</xdr:rowOff>
    </xdr:to>
    <xdr:sp macro="" textlink="">
      <xdr:nvSpPr>
        <xdr:cNvPr id="3106" name="Rectangle 33" hidden="1">
          <a:extLst>
            <a:ext uri="{FF2B5EF4-FFF2-40B4-BE49-F238E27FC236}">
              <a16:creationId xmlns:a16="http://schemas.microsoft.com/office/drawing/2014/main" id="{00000000-0008-0000-0300-0000220C0000}"/>
            </a:ext>
          </a:extLst>
        </xdr:cNvPr>
        <xdr:cNvSpPr>
          <a:spLocks noSelect="1" noChangeArrowheads="1"/>
        </xdr:cNvSpPr>
      </xdr:nvSpPr>
      <xdr:spPr bwMode="auto">
        <a:xfrm>
          <a:off x="0" y="0"/>
          <a:ext cx="10744200" cy="94361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1016000</xdr:colOff>
      <xdr:row>17</xdr:row>
      <xdr:rowOff>88900</xdr:rowOff>
    </xdr:to>
    <xdr:sp macro="" textlink="">
      <xdr:nvSpPr>
        <xdr:cNvPr id="3107" name="AutoShape 33">
          <a:extLst>
            <a:ext uri="{FF2B5EF4-FFF2-40B4-BE49-F238E27FC236}">
              <a16:creationId xmlns:a16="http://schemas.microsoft.com/office/drawing/2014/main" id="{00000000-0008-0000-0300-0000230C0000}"/>
            </a:ext>
          </a:extLst>
        </xdr:cNvPr>
        <xdr:cNvSpPr>
          <a:spLocks noChangeArrowheads="1"/>
        </xdr:cNvSpPr>
      </xdr:nvSpPr>
      <xdr:spPr bwMode="auto">
        <a:xfrm>
          <a:off x="0" y="0"/>
          <a:ext cx="10744200" cy="9436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1219200</xdr:colOff>
      <xdr:row>17</xdr:row>
      <xdr:rowOff>177800</xdr:rowOff>
    </xdr:to>
    <xdr:sp macro="" textlink="">
      <xdr:nvSpPr>
        <xdr:cNvPr id="3108" name="AutoShape 33">
          <a:extLst>
            <a:ext uri="{FF2B5EF4-FFF2-40B4-BE49-F238E27FC236}">
              <a16:creationId xmlns:a16="http://schemas.microsoft.com/office/drawing/2014/main" id="{00000000-0008-0000-0300-0000240C0000}"/>
            </a:ext>
          </a:extLst>
        </xdr:cNvPr>
        <xdr:cNvSpPr>
          <a:spLocks noChangeArrowheads="1"/>
        </xdr:cNvSpPr>
      </xdr:nvSpPr>
      <xdr:spPr bwMode="auto">
        <a:xfrm>
          <a:off x="0" y="0"/>
          <a:ext cx="94996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1219200</xdr:colOff>
      <xdr:row>17</xdr:row>
      <xdr:rowOff>177800</xdr:rowOff>
    </xdr:to>
    <xdr:sp macro="" textlink="">
      <xdr:nvSpPr>
        <xdr:cNvPr id="3109" name="AutoShape 33">
          <a:extLst>
            <a:ext uri="{FF2B5EF4-FFF2-40B4-BE49-F238E27FC236}">
              <a16:creationId xmlns:a16="http://schemas.microsoft.com/office/drawing/2014/main" id="{00000000-0008-0000-0300-0000250C0000}"/>
            </a:ext>
          </a:extLst>
        </xdr:cNvPr>
        <xdr:cNvSpPr>
          <a:spLocks noChangeArrowheads="1"/>
        </xdr:cNvSpPr>
      </xdr:nvSpPr>
      <xdr:spPr bwMode="auto">
        <a:xfrm>
          <a:off x="0" y="0"/>
          <a:ext cx="94996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698500</xdr:colOff>
      <xdr:row>22</xdr:row>
      <xdr:rowOff>571500</xdr:rowOff>
    </xdr:to>
    <xdr:sp macro="" textlink="">
      <xdr:nvSpPr>
        <xdr:cNvPr id="4121" name="Rectangle 24" hidden="1">
          <a:extLst>
            <a:ext uri="{FF2B5EF4-FFF2-40B4-BE49-F238E27FC236}">
              <a16:creationId xmlns:a16="http://schemas.microsoft.com/office/drawing/2014/main" id="{00000000-0008-0000-0400-000019100000}"/>
            </a:ext>
          </a:extLst>
        </xdr:cNvPr>
        <xdr:cNvSpPr>
          <a:spLocks noSelect="1" noChangeArrowheads="1"/>
        </xdr:cNvSpPr>
      </xdr:nvSpPr>
      <xdr:spPr bwMode="auto">
        <a:xfrm>
          <a:off x="0" y="0"/>
          <a:ext cx="10782300" cy="94234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698500</xdr:colOff>
      <xdr:row>22</xdr:row>
      <xdr:rowOff>571500</xdr:rowOff>
    </xdr:to>
    <xdr:sp macro="" textlink="">
      <xdr:nvSpPr>
        <xdr:cNvPr id="4122" name="AutoShape 24">
          <a:extLst>
            <a:ext uri="{FF2B5EF4-FFF2-40B4-BE49-F238E27FC236}">
              <a16:creationId xmlns:a16="http://schemas.microsoft.com/office/drawing/2014/main" id="{00000000-0008-0000-0400-00001A100000}"/>
            </a:ext>
          </a:extLst>
        </xdr:cNvPr>
        <xdr:cNvSpPr>
          <a:spLocks noChangeArrowheads="1"/>
        </xdr:cNvSpPr>
      </xdr:nvSpPr>
      <xdr:spPr bwMode="auto">
        <a:xfrm>
          <a:off x="0" y="0"/>
          <a:ext cx="10782300" cy="94234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863600</xdr:colOff>
      <xdr:row>22</xdr:row>
      <xdr:rowOff>673100</xdr:rowOff>
    </xdr:to>
    <xdr:sp macro="" textlink="">
      <xdr:nvSpPr>
        <xdr:cNvPr id="4123" name="AutoShape 24">
          <a:extLst>
            <a:ext uri="{FF2B5EF4-FFF2-40B4-BE49-F238E27FC236}">
              <a16:creationId xmlns:a16="http://schemas.microsoft.com/office/drawing/2014/main" id="{00000000-0008-0000-0400-00001B100000}"/>
            </a:ext>
          </a:extLst>
        </xdr:cNvPr>
        <xdr:cNvSpPr>
          <a:spLocks noChangeArrowheads="1"/>
        </xdr:cNvSpPr>
      </xdr:nvSpPr>
      <xdr:spPr bwMode="auto">
        <a:xfrm>
          <a:off x="0" y="0"/>
          <a:ext cx="94996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863600</xdr:colOff>
      <xdr:row>22</xdr:row>
      <xdr:rowOff>673100</xdr:rowOff>
    </xdr:to>
    <xdr:sp macro="" textlink="">
      <xdr:nvSpPr>
        <xdr:cNvPr id="4124" name="AutoShape 24">
          <a:extLst>
            <a:ext uri="{FF2B5EF4-FFF2-40B4-BE49-F238E27FC236}">
              <a16:creationId xmlns:a16="http://schemas.microsoft.com/office/drawing/2014/main" id="{00000000-0008-0000-0400-00001C100000}"/>
            </a:ext>
          </a:extLst>
        </xdr:cNvPr>
        <xdr:cNvSpPr>
          <a:spLocks noChangeArrowheads="1"/>
        </xdr:cNvSpPr>
      </xdr:nvSpPr>
      <xdr:spPr bwMode="auto">
        <a:xfrm>
          <a:off x="0" y="0"/>
          <a:ext cx="9499600" cy="95250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1.c1.rada.gov.ua/pls/zweb2/webproc4_1?pf3511=60032" TargetMode="External"/><Relationship Id="rId18" Type="http://schemas.openxmlformats.org/officeDocument/2006/relationships/hyperlink" Target="https://www.npu.gov.ua/about/struktura/struktura/" TargetMode="External"/><Relationship Id="rId26" Type="http://schemas.openxmlformats.org/officeDocument/2006/relationships/hyperlink" Target="http://w1.c1.rada.gov.ua/pls/site2/p_komity_list?pidid=2633" TargetMode="External"/><Relationship Id="rId39" Type="http://schemas.openxmlformats.org/officeDocument/2006/relationships/hyperlink" Target="http://mvs.gov.ua/ua/pages/Zapiti_ZMI.htm/" TargetMode="External"/><Relationship Id="rId21" Type="http://schemas.openxmlformats.org/officeDocument/2006/relationships/hyperlink" Target="https://www.npu.gov.ua/konataktu.html" TargetMode="External"/><Relationship Id="rId34" Type="http://schemas.openxmlformats.org/officeDocument/2006/relationships/hyperlink" Target="http://zakon3.rada.gov.ua/laws/show/1801-19/page2" TargetMode="External"/><Relationship Id="rId42" Type="http://schemas.openxmlformats.org/officeDocument/2006/relationships/hyperlink" Target="http://mvs.gov.ua/ua/pages/268_Konsultacii_z_gromadskistyu.htm" TargetMode="External"/><Relationship Id="rId47" Type="http://schemas.openxmlformats.org/officeDocument/2006/relationships/hyperlink" Target="http://www.dejure.foundation/wp-content/uploads/2018/01/Establishment-of-the-new-Supreme-court-key-lessons.pdf" TargetMode="External"/><Relationship Id="rId50" Type="http://schemas.openxmlformats.org/officeDocument/2006/relationships/hyperlink" Target="http://www.drs.gov.ua/regulatory_policy/informatsiya-pro-zdijsnennya-organamy-vykonavchoyi-vlady-derzhavnoyi-regulyatornoyi-polityky-u-2017-rotsi/" TargetMode="External"/><Relationship Id="rId55" Type="http://schemas.openxmlformats.org/officeDocument/2006/relationships/hyperlink" Target="http://zakon3.rada.gov.ua/laws/show/116/95-%D0%B2%D1%80" TargetMode="External"/><Relationship Id="rId63" Type="http://schemas.openxmlformats.org/officeDocument/2006/relationships/hyperlink" Target="http://www.registru.md/ro/buletin-de-indentitate-electronic/informatii-generale" TargetMode="External"/><Relationship Id="rId68" Type="http://schemas.openxmlformats.org/officeDocument/2006/relationships/printerSettings" Target="../printerSettings/printerSettings2.bin"/><Relationship Id="rId7" Type="http://schemas.openxmlformats.org/officeDocument/2006/relationships/hyperlink" Target="http://legalaid.gov.ua/ua/" TargetMode="External"/><Relationship Id="rId2" Type="http://schemas.openxmlformats.org/officeDocument/2006/relationships/hyperlink" Target="../../../../../Library/Containers/C:/Users/tania/journalistshttps/:..:helsinki.org.ua:appeals:vidkryta-zayava-pravozahysnyh-orhanizatsij-schodo-politychno-motyvovanoho-peresliduvannya-ta-nezakonnoho-zasudzhennya-ilmi-umerova:" TargetMode="External"/><Relationship Id="rId16" Type="http://schemas.openxmlformats.org/officeDocument/2006/relationships/hyperlink" Target="http://www.treasury.gov.ua/main/uk/doccatalog/list?currDir=400657" TargetMode="External"/><Relationship Id="rId29" Type="http://schemas.openxmlformats.org/officeDocument/2006/relationships/hyperlink" Target="http://www.mil.gov.ua/ministry/struktura-aparatu-ministerstva/upimou.html" TargetMode="External"/><Relationship Id="rId1" Type="http://schemas.openxmlformats.org/officeDocument/2006/relationships/hyperlink" Target="http://www.geostat.ge/index.php?action=page&amp;p_id=431&amp;lang=eng" TargetMode="External"/><Relationship Id="rId6" Type="http://schemas.openxmlformats.org/officeDocument/2006/relationships/hyperlink" Target="http://zakon2.rada.gov.ua/laws/show/475/97-%D0%B2%D1%80" TargetMode="External"/><Relationship Id="rId11" Type="http://schemas.openxmlformats.org/officeDocument/2006/relationships/hyperlink" Target="http://zakon2.rada.gov.ua/laws/show/22-16" TargetMode="External"/><Relationship Id="rId24" Type="http://schemas.openxmlformats.org/officeDocument/2006/relationships/hyperlink" Target="http://zakon2.rada.gov.ua/laws/show/254%D0%BA/96-%D0%B2%D1%80/paran5091" TargetMode="External"/><Relationship Id="rId32" Type="http://schemas.openxmlformats.org/officeDocument/2006/relationships/hyperlink" Target="http://mvs.gov.ua/ua/pages/Struktura_Ministerstva_vnutrishnih_sprav_Ukraini.htm" TargetMode="External"/><Relationship Id="rId37" Type="http://schemas.openxmlformats.org/officeDocument/2006/relationships/hyperlink" Target="http://mvs.gov.ua/ua/pages/151_vropeyskiy-sud-z-prav-lyudini-.htm" TargetMode="External"/><Relationship Id="rId40" Type="http://schemas.openxmlformats.org/officeDocument/2006/relationships/hyperlink" Target="https://ssu.gov.ua/ua/pages/87" TargetMode="External"/><Relationship Id="rId45" Type="http://schemas.openxmlformats.org/officeDocument/2006/relationships/hyperlink" Target="https://netfreedom.org.ua/sbu-zvituye-jaka-statystyka-zatryman-agitatoriv-administratoriv-antyurkainskych-grup/" TargetMode="External"/><Relationship Id="rId53" Type="http://schemas.openxmlformats.org/officeDocument/2006/relationships/hyperlink" Target="http://www.parliament.am/legislation.php?sel=alpha&amp;ltype=4&amp;lang=arm;%20%20datalex.am" TargetMode="External"/><Relationship Id="rId58" Type="http://schemas.openxmlformats.org/officeDocument/2006/relationships/hyperlink" Target="http://mf.gov.md/ro/trezorerie/rapoarte-privind-executarea-bugetului/rapoarte-anuale" TargetMode="External"/><Relationship Id="rId66" Type="http://schemas.openxmlformats.org/officeDocument/2006/relationships/hyperlink" Target="http://lex.justice.md/md/373267/" TargetMode="External"/><Relationship Id="rId5" Type="http://schemas.openxmlformats.org/officeDocument/2006/relationships/hyperlink" Target="http://dbr.gov.ua/" TargetMode="External"/><Relationship Id="rId15" Type="http://schemas.openxmlformats.org/officeDocument/2006/relationships/hyperlink" Target="http://www.treasury.gov.ua/main/uk/doccatalog/list?currDir=146477" TargetMode="External"/><Relationship Id="rId23" Type="http://schemas.openxmlformats.org/officeDocument/2006/relationships/hyperlink" Target="https://ssu.gov.ua/ua/pages/30" TargetMode="External"/><Relationship Id="rId28" Type="http://schemas.openxmlformats.org/officeDocument/2006/relationships/hyperlink" Target="http://www.ombudsman.gov.ua/ua/page/secretariat/docs/presentations/&amp;page=3" TargetMode="External"/><Relationship Id="rId36" Type="http://schemas.openxmlformats.org/officeDocument/2006/relationships/hyperlink" Target="https://ssu.gov.ua/ua/news/1/category/21" TargetMode="External"/><Relationship Id="rId49" Type="http://schemas.openxmlformats.org/officeDocument/2006/relationships/hyperlink" Target="http://reyestr.court.gov.ua/" TargetMode="External"/><Relationship Id="rId57" Type="http://schemas.openxmlformats.org/officeDocument/2006/relationships/hyperlink" Target="http://mf.gov.md/ro/trezorerie/rapoarte-privind-executarea-bugetului/rapoarte-lunare" TargetMode="External"/><Relationship Id="rId61" Type="http://schemas.openxmlformats.org/officeDocument/2006/relationships/hyperlink" Target="http://en.anrceti.md/node/5" TargetMode="External"/><Relationship Id="rId10" Type="http://schemas.openxmlformats.org/officeDocument/2006/relationships/hyperlink" Target="https://minjust.gov.ua/news/ministry/komitet-proti-tortur-radi-evropi-opublikuvav-dopovid-schodo-ukraini-19684" TargetMode="External"/><Relationship Id="rId19" Type="http://schemas.openxmlformats.org/officeDocument/2006/relationships/hyperlink" Target="http://www.mil.gov.ua/ministry/struktura-aparatu-ministerstva/gimou.html" TargetMode="External"/><Relationship Id="rId31" Type="http://schemas.openxmlformats.org/officeDocument/2006/relationships/hyperlink" Target="https://ssu.gov.ua/ua/pages/89" TargetMode="External"/><Relationship Id="rId44" Type="http://schemas.openxmlformats.org/officeDocument/2006/relationships/hyperlink" Target="http://iportal.rada.gov.ua/news/Novyny/152174.html" TargetMode="External"/><Relationship Id="rId52" Type="http://schemas.openxmlformats.org/officeDocument/2006/relationships/hyperlink" Target="http://zakon5.rada.gov.ua/laws/show/1000/2011" TargetMode="External"/><Relationship Id="rId60" Type="http://schemas.openxmlformats.org/officeDocument/2006/relationships/hyperlink" Target="http://mf.gov.md/ro/content/hot%C4%83r%C3%AErea-guvernului-pivind-aplicarea-standardelor-interna%C8%9Bionale-de-raportare-fianciar%C4%83-0" TargetMode="External"/><Relationship Id="rId65" Type="http://schemas.openxmlformats.org/officeDocument/2006/relationships/hyperlink" Target="http://lex.justice.md/index.php?action=view&amp;view=doc&amp;lang=1&amp;id=311627" TargetMode="External"/><Relationship Id="rId4" Type="http://schemas.openxmlformats.org/officeDocument/2006/relationships/hyperlink" Target="http://www.ombudsman.gov.ua/ua/all-news/pr/13318-uj-do-verxovnoii-radi-ukraiini-napravleno-schorichnu-dopovid-upovnovazhen/" TargetMode="External"/><Relationship Id="rId9" Type="http://schemas.openxmlformats.org/officeDocument/2006/relationships/hyperlink" Target="http://zakon5.rada.gov.ua/laws/show/995_068" TargetMode="External"/><Relationship Id="rId14" Type="http://schemas.openxmlformats.org/officeDocument/2006/relationships/hyperlink" Target="http://www.treasury.gov.ua/main/uk/doccatalog/list?currDir=146477" TargetMode="External"/><Relationship Id="rId22" Type="http://schemas.openxmlformats.org/officeDocument/2006/relationships/hyperlink" Target="http://www.mil.gov.ua/kontakti/garyacha-liniya.html" TargetMode="External"/><Relationship Id="rId27" Type="http://schemas.openxmlformats.org/officeDocument/2006/relationships/hyperlink" Target="http://zakon2.rada.gov.ua/laws/show/776/97-%D0%B2%D1%80" TargetMode="External"/><Relationship Id="rId30" Type="http://schemas.openxmlformats.org/officeDocument/2006/relationships/hyperlink" Target="http://mvs.gov.ua/ua/pages/457_Kontakti_dlya_informaciynih_zapitiv_vid_predstavnikiv_zasobiv_masovoi_informacii.htm" TargetMode="External"/><Relationship Id="rId35" Type="http://schemas.openxmlformats.org/officeDocument/2006/relationships/hyperlink" Target="http://mvs.gov.ua/ua/news/" TargetMode="External"/><Relationship Id="rId43" Type="http://schemas.openxmlformats.org/officeDocument/2006/relationships/hyperlink" Target="http://gromradasbu.org.ua/" TargetMode="External"/><Relationship Id="rId48" Type="http://schemas.openxmlformats.org/officeDocument/2006/relationships/hyperlink" Target="http://www.atlanticcouncil.org/blogs/ukrainealert/the-only-way-to-improve-ukraine-s-courts" TargetMode="External"/><Relationship Id="rId56" Type="http://schemas.openxmlformats.org/officeDocument/2006/relationships/hyperlink" Target="https://www.unodc.org/unodc/en/corruption/ratification-status.html" TargetMode="External"/><Relationship Id="rId64" Type="http://schemas.openxmlformats.org/officeDocument/2006/relationships/hyperlink" Target="http://112.md/2018/07/03/din-1-iulie-2018-solicitarea-ambulantei-politiei-si-pompierilor-este-posibila-doar-la-numarul-unic-de-urgenta-112/" TargetMode="External"/><Relationship Id="rId69" Type="http://schemas.openxmlformats.org/officeDocument/2006/relationships/drawing" Target="../drawings/drawing1.xml"/><Relationship Id="rId8" Type="http://schemas.openxmlformats.org/officeDocument/2006/relationships/hyperlink" Target="http://zakon2.rada.gov.ua/laws/show/v011p710-99" TargetMode="External"/><Relationship Id="rId51" Type="http://schemas.openxmlformats.org/officeDocument/2006/relationships/hyperlink" Target="http://zakon3.rada.gov.ua/laws/show/995_791" TargetMode="External"/><Relationship Id="rId3" Type="http://schemas.openxmlformats.org/officeDocument/2006/relationships/hyperlink" Target="http://www.ombudsman.gov.ua/ua/all-news/pr/13318-uj-do-verxovnoii-radi-ukraiini-napravleno-schorichnu-dopovid-upovnovazhen/" TargetMode="External"/><Relationship Id="rId12" Type="http://schemas.openxmlformats.org/officeDocument/2006/relationships/hyperlink" Target="http://www.treasury.gov.ua/main/uk/doccatalog/list?currDir=146477" TargetMode="External"/><Relationship Id="rId17" Type="http://schemas.openxmlformats.org/officeDocument/2006/relationships/hyperlink" Target="http://zakon5.rada.gov.ua/laws/show/580-19/page2" TargetMode="External"/><Relationship Id="rId25" Type="http://schemas.openxmlformats.org/officeDocument/2006/relationships/hyperlink" Target="http://zakon2.rada.gov.ua/laws/show/254%D0%BA/96-%D0%B2%D1%80/paran5091" TargetMode="External"/><Relationship Id="rId33" Type="http://schemas.openxmlformats.org/officeDocument/2006/relationships/hyperlink" Target="https://ssu.gov.ua/ua/pages/109" TargetMode="External"/><Relationship Id="rId38" Type="http://schemas.openxmlformats.org/officeDocument/2006/relationships/hyperlink" Target="http://www.mil.gov.ua/dlya-zmi/forma-ta-poryadok-podannya-zhurnalistskogo-zapitu.html" TargetMode="External"/><Relationship Id="rId46" Type="http://schemas.openxmlformats.org/officeDocument/2006/relationships/hyperlink" Target="http://www.dejure.foundation/wp-content/uploads/2018/01/Establishment-of-the-new-Supreme-court-key-lessons.pdf" TargetMode="External"/><Relationship Id="rId59" Type="http://schemas.openxmlformats.org/officeDocument/2006/relationships/hyperlink" Target="http://www.licentiere.gov.md/pageview.php?l=ro&amp;idc=22" TargetMode="External"/><Relationship Id="rId67" Type="http://schemas.openxmlformats.org/officeDocument/2006/relationships/hyperlink" Target="https://www.unece.org/environmental-policy/environmental-performance-reviews/enveprpublications/environmental-performance-reviews/2016/3rd-environmental-performance-review-of-georgia.html" TargetMode="External"/><Relationship Id="rId20" Type="http://schemas.openxmlformats.org/officeDocument/2006/relationships/hyperlink" Target="http://zakon4.rada.gov.ua/laws/show/1860/2005" TargetMode="External"/><Relationship Id="rId41" Type="http://schemas.openxmlformats.org/officeDocument/2006/relationships/hyperlink" Target="http://www.mil.gov.ua/diyalnist/zvyazki-z-gromadskistyu/" TargetMode="External"/><Relationship Id="rId54" Type="http://schemas.openxmlformats.org/officeDocument/2006/relationships/hyperlink" Target="http://zakon3.rada.gov.ua/laws/show/2939-17" TargetMode="External"/><Relationship Id="rId62" Type="http://schemas.openxmlformats.org/officeDocument/2006/relationships/hyperlink" Target="http://lex.justice.md/md/37001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matsne.gov.ge/index.php?option=com_ldmssearch&amp;view=docView&amp;id=1659419&amp;lang=g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matsne.gov.ge/index.php?option=com_ldmssearch&amp;view=docView&amp;id=1659419&amp;lang=g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energy-community.org/pls/portal/docs/106817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25"/>
  <sheetViews>
    <sheetView tabSelected="1" zoomScaleNormal="100" workbookViewId="0">
      <selection activeCell="M8" sqref="M8"/>
    </sheetView>
  </sheetViews>
  <sheetFormatPr defaultColWidth="8.85546875" defaultRowHeight="15"/>
  <cols>
    <col min="1" max="1" width="8.85546875" style="15"/>
    <col min="2" max="2" width="32.140625" style="84" customWidth="1"/>
    <col min="3" max="3" width="3.7109375" style="2555" customWidth="1"/>
    <col min="4" max="4" width="11.5703125" style="271" bestFit="1" customWidth="1"/>
    <col min="5" max="5" width="13.7109375" style="271" bestFit="1" customWidth="1"/>
    <col min="6" max="6" width="11.5703125" style="271" bestFit="1" customWidth="1"/>
    <col min="7" max="7" width="11.85546875" style="271" bestFit="1" customWidth="1"/>
    <col min="8" max="8" width="12.5703125" style="271" bestFit="1" customWidth="1"/>
    <col min="9" max="9" width="15.7109375" style="271" bestFit="1" customWidth="1"/>
  </cols>
  <sheetData>
    <row r="1" spans="1:16" ht="19.5" thickBot="1">
      <c r="B1" s="2568">
        <v>2017</v>
      </c>
      <c r="D1" s="2559" t="s">
        <v>2</v>
      </c>
      <c r="E1" s="2559" t="s">
        <v>3</v>
      </c>
      <c r="F1" s="2559" t="s">
        <v>4</v>
      </c>
      <c r="G1" s="2559" t="s">
        <v>5</v>
      </c>
      <c r="H1" s="2559" t="s">
        <v>6</v>
      </c>
      <c r="I1" s="2559" t="s">
        <v>7</v>
      </c>
    </row>
    <row r="2" spans="1:16" ht="23.25" customHeight="1">
      <c r="B2" s="2567" t="s">
        <v>9312</v>
      </c>
      <c r="C2" s="2558"/>
      <c r="D2" s="2560">
        <v>0.73069703233726679</v>
      </c>
      <c r="E2" s="2560">
        <v>0.65296889851434081</v>
      </c>
      <c r="F2" s="2560">
        <v>0.52139057180418547</v>
      </c>
      <c r="G2" s="2560">
        <v>0.63886821466658839</v>
      </c>
      <c r="H2" s="2560">
        <v>0.65864527015566532</v>
      </c>
      <c r="I2" s="2560">
        <v>0.55841311247270908</v>
      </c>
      <c r="J2" s="2574"/>
      <c r="K2" s="2574"/>
      <c r="L2" s="2574"/>
      <c r="M2" s="2574"/>
      <c r="N2" s="2574"/>
      <c r="O2" s="2574"/>
    </row>
    <row r="3" spans="1:16" ht="30">
      <c r="A3" s="2566">
        <v>1</v>
      </c>
      <c r="B3" s="2561" t="s">
        <v>731</v>
      </c>
      <c r="C3" s="2556"/>
      <c r="D3" s="2562">
        <v>0.70977896639695504</v>
      </c>
      <c r="E3" s="2562">
        <v>0.68959963529712176</v>
      </c>
      <c r="F3" s="2562">
        <v>0.27205773421083146</v>
      </c>
      <c r="G3" s="2562">
        <v>0.6955097286637042</v>
      </c>
      <c r="H3" s="2562">
        <v>0.60257994427395511</v>
      </c>
      <c r="I3" s="2562">
        <v>0.32253648401193824</v>
      </c>
    </row>
    <row r="4" spans="1:16" ht="34.5" customHeight="1">
      <c r="A4" s="2554">
        <v>1.1000000000000001</v>
      </c>
      <c r="B4" s="2564" t="s">
        <v>9313</v>
      </c>
      <c r="C4" s="2557"/>
      <c r="D4" s="2553">
        <v>0.61286495098039218</v>
      </c>
      <c r="E4" s="2553">
        <v>0.69869926470588228</v>
      </c>
      <c r="F4" s="2553">
        <v>0.17764117647058825</v>
      </c>
      <c r="G4" s="2553">
        <v>0.69704730392156866</v>
      </c>
      <c r="H4" s="2553">
        <v>0.48433308823529408</v>
      </c>
      <c r="I4" s="2553">
        <v>0.15865196078431371</v>
      </c>
    </row>
    <row r="5" spans="1:16" ht="30">
      <c r="A5" s="2554">
        <v>1.2</v>
      </c>
      <c r="B5" s="2552" t="s">
        <v>7104</v>
      </c>
      <c r="D5" s="2553">
        <v>0.64672619047619051</v>
      </c>
      <c r="E5" s="2553">
        <v>0.64404761904761898</v>
      </c>
      <c r="F5" s="2553">
        <v>6.283068783068782E-2</v>
      </c>
      <c r="G5" s="2553">
        <v>0.67797619047619051</v>
      </c>
      <c r="H5" s="2553">
        <v>0.580952380952381</v>
      </c>
      <c r="I5" s="2553">
        <v>0.35714285714285715</v>
      </c>
    </row>
    <row r="6" spans="1:16">
      <c r="A6" s="2554">
        <v>1.3</v>
      </c>
      <c r="B6" s="2552" t="s">
        <v>7108</v>
      </c>
      <c r="D6" s="2553">
        <v>0.84856102615295304</v>
      </c>
      <c r="E6" s="2553">
        <v>0.7858685066006601</v>
      </c>
      <c r="F6" s="2553">
        <v>0.28598055555555557</v>
      </c>
      <c r="G6" s="2553">
        <v>0.86058952306779413</v>
      </c>
      <c r="H6" s="2553">
        <v>0.71824600722311405</v>
      </c>
      <c r="I6" s="2553">
        <v>0.34447916666666667</v>
      </c>
    </row>
    <row r="7" spans="1:16">
      <c r="A7" s="2554">
        <v>1.4</v>
      </c>
      <c r="B7" s="2552" t="s">
        <v>185</v>
      </c>
      <c r="D7" s="2569">
        <v>0.56806656453231696</v>
      </c>
      <c r="E7" s="2569">
        <v>0.6097627284395607</v>
      </c>
      <c r="F7" s="2569">
        <v>0.20831668701238359</v>
      </c>
      <c r="G7" s="2569">
        <v>0.61927501978236033</v>
      </c>
      <c r="H7" s="2569">
        <v>0.54932657258558037</v>
      </c>
      <c r="I7" s="2569">
        <v>0.1285386832678847</v>
      </c>
    </row>
    <row r="8" spans="1:16">
      <c r="A8" s="2554">
        <v>1.5</v>
      </c>
      <c r="B8" s="2552" t="s">
        <v>200</v>
      </c>
      <c r="D8" s="2553">
        <v>0.83308270676691742</v>
      </c>
      <c r="E8" s="2553">
        <v>0.7170426065162907</v>
      </c>
      <c r="F8" s="2553">
        <v>0.10175438596491228</v>
      </c>
      <c r="G8" s="2553">
        <v>0.72957393483709276</v>
      </c>
      <c r="H8" s="2553">
        <v>0.47243107769423559</v>
      </c>
      <c r="I8" s="2553">
        <v>0</v>
      </c>
    </row>
    <row r="9" spans="1:16">
      <c r="A9" s="2554">
        <v>1.6</v>
      </c>
      <c r="B9" s="2552" t="s">
        <v>207</v>
      </c>
      <c r="D9" s="2553">
        <v>0.65357142857142858</v>
      </c>
      <c r="E9" s="2553">
        <v>0.60952380952380947</v>
      </c>
      <c r="F9" s="2553">
        <v>0.42321428571428577</v>
      </c>
      <c r="G9" s="2553">
        <v>0.63988095238095244</v>
      </c>
      <c r="H9" s="2553">
        <v>0.85714285714285721</v>
      </c>
      <c r="I9" s="2553">
        <v>0.39107142857142857</v>
      </c>
    </row>
    <row r="10" spans="1:16" ht="30">
      <c r="A10" s="2554">
        <v>1.7</v>
      </c>
      <c r="B10" s="2552" t="s">
        <v>243</v>
      </c>
      <c r="D10" s="2553">
        <v>0.74712107065048228</v>
      </c>
      <c r="E10" s="2553">
        <v>0.68471521942110181</v>
      </c>
      <c r="F10" s="2553">
        <v>0.25457989417989418</v>
      </c>
      <c r="G10" s="2553">
        <v>0.64377429193899782</v>
      </c>
      <c r="H10" s="2553">
        <v>0.47658300653594776</v>
      </c>
      <c r="I10" s="2553">
        <v>0.43634842826019299</v>
      </c>
    </row>
    <row r="11" spans="1:16">
      <c r="A11" s="2554">
        <v>1.8</v>
      </c>
      <c r="B11" s="2552" t="s">
        <v>9309</v>
      </c>
      <c r="D11" s="2553">
        <v>0.78623941550770804</v>
      </c>
      <c r="E11" s="2553">
        <v>0.87636829069755906</v>
      </c>
      <c r="F11" s="2553">
        <v>0.60130848149140836</v>
      </c>
      <c r="G11" s="2553">
        <v>0.86138583638583643</v>
      </c>
      <c r="H11" s="2553">
        <v>0.79420111279867378</v>
      </c>
      <c r="I11" s="2553">
        <v>0.62085306292623366</v>
      </c>
    </row>
    <row r="12" spans="1:16">
      <c r="A12" s="2554">
        <v>1.9</v>
      </c>
      <c r="B12" s="2552" t="s">
        <v>369</v>
      </c>
      <c r="D12" s="2553">
        <v>0.69177734393420665</v>
      </c>
      <c r="E12" s="2553">
        <v>0.58036867272161385</v>
      </c>
      <c r="F12" s="2553">
        <v>0.3328934536777674</v>
      </c>
      <c r="G12" s="2553">
        <v>0.53008450518254435</v>
      </c>
      <c r="H12" s="2553">
        <v>0.49000339529751291</v>
      </c>
      <c r="I12" s="2553">
        <v>0.4657427684878665</v>
      </c>
    </row>
    <row r="14" spans="1:16" ht="30">
      <c r="A14" s="2565">
        <v>2</v>
      </c>
      <c r="B14" s="2561" t="s">
        <v>527</v>
      </c>
      <c r="C14" s="2556"/>
      <c r="D14" s="2562">
        <v>0.71647801131547073</v>
      </c>
      <c r="E14" s="2562">
        <v>0.70306705804620928</v>
      </c>
      <c r="F14" s="2562">
        <v>0.51004030630969843</v>
      </c>
      <c r="G14" s="2562">
        <v>0.64883541929423338</v>
      </c>
      <c r="H14" s="2562">
        <v>0.65130798942252943</v>
      </c>
      <c r="I14" s="2562">
        <v>0.56611863536759444</v>
      </c>
      <c r="K14" s="2574"/>
      <c r="L14" s="2574"/>
      <c r="M14" s="2574"/>
      <c r="N14" s="2574"/>
      <c r="O14" s="2574"/>
      <c r="P14" s="2574"/>
    </row>
    <row r="15" spans="1:16" ht="30">
      <c r="A15" s="2554">
        <v>2.1</v>
      </c>
      <c r="B15" s="2552" t="s">
        <v>7072</v>
      </c>
      <c r="D15" s="2553">
        <v>0.57981954375684031</v>
      </c>
      <c r="E15" s="2553">
        <v>0.6156714975972879</v>
      </c>
      <c r="F15" s="2553">
        <v>0.58069143209417107</v>
      </c>
      <c r="G15" s="2553">
        <v>0.8353922340224027</v>
      </c>
      <c r="H15" s="2553">
        <v>0.70105413810853112</v>
      </c>
      <c r="I15" s="2553">
        <v>0.63867757494504085</v>
      </c>
    </row>
    <row r="16" spans="1:16">
      <c r="A16" s="2554">
        <v>2.2000000000000002</v>
      </c>
      <c r="B16" s="2552" t="s">
        <v>5347</v>
      </c>
      <c r="D16" s="2553">
        <v>0.97100000000000009</v>
      </c>
      <c r="E16" s="2553">
        <v>0.94414285714285717</v>
      </c>
      <c r="F16" s="2553">
        <v>0.35785714285714287</v>
      </c>
      <c r="G16" s="2553">
        <v>0.95850000000000002</v>
      </c>
      <c r="H16" s="2553">
        <v>0.76845238095238089</v>
      </c>
      <c r="I16" s="2553">
        <v>0.69756666666666667</v>
      </c>
    </row>
    <row r="17" spans="1:21" ht="30">
      <c r="A17" s="2554">
        <v>2.2999999999999998</v>
      </c>
      <c r="B17" s="2552" t="s">
        <v>7080</v>
      </c>
      <c r="D17" s="2553">
        <v>0.55000000000000004</v>
      </c>
      <c r="E17" s="2553">
        <v>0.53811022120518692</v>
      </c>
      <c r="F17" s="2553">
        <v>0.54994279176201366</v>
      </c>
      <c r="G17" s="2553">
        <v>0.2986937452326468</v>
      </c>
      <c r="H17" s="2553">
        <v>0.63565980167810832</v>
      </c>
      <c r="I17" s="2553">
        <v>0.60353260869565217</v>
      </c>
    </row>
    <row r="18" spans="1:21">
      <c r="A18" s="2554">
        <v>2.4</v>
      </c>
      <c r="B18" s="2552" t="s">
        <v>705</v>
      </c>
      <c r="D18" s="2582">
        <v>0.76728479853479858</v>
      </c>
      <c r="E18" s="2553">
        <v>0.7566964285714286</v>
      </c>
      <c r="F18" s="2553">
        <v>0.70456730769230758</v>
      </c>
      <c r="G18" s="2553">
        <v>0.58016254578754578</v>
      </c>
      <c r="H18" s="2553">
        <v>0.69899267399267395</v>
      </c>
      <c r="I18" s="2553">
        <v>0.51581632653061216</v>
      </c>
      <c r="M18" s="2574"/>
      <c r="N18" s="2574"/>
      <c r="O18" s="2574"/>
      <c r="P18" s="2574"/>
      <c r="Q18" s="2574"/>
      <c r="R18" s="2574"/>
    </row>
    <row r="19" spans="1:21">
      <c r="A19" s="2554">
        <v>2.5</v>
      </c>
      <c r="B19" s="2552" t="s">
        <v>7090</v>
      </c>
      <c r="D19" s="2553">
        <v>0.7142857142857143</v>
      </c>
      <c r="E19" s="2553">
        <v>0.6607142857142857</v>
      </c>
      <c r="F19" s="2553">
        <v>0.35714285714285715</v>
      </c>
      <c r="G19" s="2553">
        <v>0.5714285714285714</v>
      </c>
      <c r="H19" s="2553">
        <v>0.45238095238095238</v>
      </c>
      <c r="I19" s="2553">
        <v>0.375</v>
      </c>
      <c r="J19" s="2583"/>
      <c r="K19" s="2583"/>
      <c r="L19" s="2583"/>
      <c r="M19" s="2583"/>
      <c r="N19" s="2583"/>
      <c r="O19" s="2583"/>
      <c r="P19" s="2583"/>
      <c r="Q19" s="2583"/>
      <c r="R19" s="2583"/>
      <c r="S19" s="2583"/>
      <c r="T19" s="2583"/>
      <c r="U19" s="2583"/>
    </row>
    <row r="20" spans="1:21">
      <c r="J20" s="2583"/>
      <c r="K20" s="2583"/>
      <c r="L20" s="2583"/>
      <c r="M20" s="2583"/>
      <c r="N20" s="2583"/>
      <c r="O20" s="2583"/>
      <c r="P20" s="2583"/>
      <c r="Q20" s="2583"/>
      <c r="R20" s="2583"/>
      <c r="S20" s="2583"/>
      <c r="T20" s="2583"/>
      <c r="U20" s="2583"/>
    </row>
    <row r="21" spans="1:21">
      <c r="A21" s="2563">
        <v>3</v>
      </c>
      <c r="B21" s="2561" t="s">
        <v>435</v>
      </c>
      <c r="C21" s="2556"/>
      <c r="D21" s="2587">
        <v>0.76583411929937462</v>
      </c>
      <c r="E21" s="2587">
        <v>0.56624000219969151</v>
      </c>
      <c r="F21" s="2587">
        <v>0.78207367489202617</v>
      </c>
      <c r="G21" s="2587">
        <v>0.57225949604182758</v>
      </c>
      <c r="H21" s="2587">
        <v>0.72204787677051152</v>
      </c>
      <c r="I21" s="2587">
        <v>0.78658421803859468</v>
      </c>
      <c r="J21" s="2584"/>
      <c r="K21" s="2584"/>
      <c r="L21" s="2584"/>
      <c r="M21" s="2584"/>
      <c r="N21" s="2584"/>
      <c r="O21" s="2584"/>
      <c r="P21" s="2586"/>
      <c r="Q21" s="2584"/>
      <c r="R21" s="2584"/>
      <c r="S21" s="2583"/>
      <c r="T21" s="2583"/>
      <c r="U21" s="2583"/>
    </row>
    <row r="22" spans="1:21">
      <c r="A22" s="2554">
        <v>3.1</v>
      </c>
      <c r="B22" s="2552" t="s">
        <v>5290</v>
      </c>
      <c r="D22" s="2307">
        <v>0.75</v>
      </c>
      <c r="E22" s="2307">
        <v>0.5</v>
      </c>
      <c r="F22" s="2307">
        <v>1</v>
      </c>
      <c r="G22" s="2307">
        <v>0.25</v>
      </c>
      <c r="H22" s="2307">
        <v>0.75</v>
      </c>
      <c r="I22" s="2307">
        <v>1</v>
      </c>
      <c r="J22" s="2583"/>
      <c r="K22" s="2583"/>
      <c r="L22" s="2583"/>
      <c r="M22" s="2584"/>
      <c r="N22" s="2584"/>
      <c r="O22" s="2584"/>
      <c r="P22" s="2584"/>
      <c r="Q22" s="2584"/>
      <c r="R22" s="2584"/>
      <c r="S22" s="2583"/>
      <c r="T22" s="2583"/>
      <c r="U22" s="2583"/>
    </row>
    <row r="23" spans="1:21">
      <c r="A23" s="2554">
        <v>3.2</v>
      </c>
      <c r="B23" s="2552" t="s">
        <v>5293</v>
      </c>
      <c r="D23" s="2307">
        <v>0.5808086452851674</v>
      </c>
      <c r="E23" s="2307">
        <v>0.45625309810982911</v>
      </c>
      <c r="F23" s="2307">
        <v>0.75349320235203598</v>
      </c>
      <c r="G23" s="2307">
        <v>0.57651343785184161</v>
      </c>
      <c r="H23" s="2307">
        <v>0.58136254338268101</v>
      </c>
      <c r="I23" s="2307">
        <v>0.57734524670837661</v>
      </c>
      <c r="J23" s="2584"/>
      <c r="M23" s="2574"/>
      <c r="N23" s="2574"/>
      <c r="O23" s="2574"/>
      <c r="P23" s="2574"/>
      <c r="Q23" s="2574"/>
      <c r="R23" s="2574"/>
      <c r="S23" s="2583"/>
      <c r="T23" s="2583"/>
      <c r="U23" s="2583"/>
    </row>
    <row r="24" spans="1:21">
      <c r="A24" s="2554">
        <v>3.3</v>
      </c>
      <c r="B24" s="2552" t="s">
        <v>7101</v>
      </c>
      <c r="D24" s="2307">
        <v>0.96669371261295656</v>
      </c>
      <c r="E24" s="2307">
        <v>0.74246690848924535</v>
      </c>
      <c r="F24" s="2307">
        <v>0.59272782232404231</v>
      </c>
      <c r="G24" s="2307">
        <v>0.89026505027364122</v>
      </c>
      <c r="H24" s="2307">
        <v>0.83478108692885333</v>
      </c>
      <c r="I24" s="2307">
        <v>0.78240740740740744</v>
      </c>
      <c r="J24" s="2583"/>
      <c r="K24" s="2583"/>
      <c r="L24" s="2583"/>
      <c r="M24" s="2584"/>
      <c r="N24" s="2584"/>
      <c r="O24" s="2584"/>
      <c r="P24" s="2584"/>
      <c r="Q24" s="2584"/>
      <c r="R24" s="2584"/>
      <c r="S24" s="2583"/>
      <c r="T24" s="2583"/>
      <c r="U24" s="2583"/>
    </row>
    <row r="25" spans="1:21">
      <c r="E25" s="2585"/>
      <c r="F25" s="2585"/>
      <c r="G25" s="2585"/>
      <c r="H25" s="2585"/>
      <c r="I25" s="2585"/>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T1167"/>
  <sheetViews>
    <sheetView zoomScale="70" zoomScaleNormal="70" zoomScalePageLayoutView="89" workbookViewId="0">
      <pane ySplit="2" topLeftCell="A744" activePane="bottomLeft" state="frozen"/>
      <selection pane="bottomLeft" activeCell="C747" sqref="C747:H747"/>
    </sheetView>
  </sheetViews>
  <sheetFormatPr defaultColWidth="15.140625" defaultRowHeight="32.1" customHeight="1"/>
  <cols>
    <col min="1" max="1" width="18.7109375" style="2536" customWidth="1"/>
    <col min="2" max="2" width="42.85546875" style="1905" customWidth="1"/>
    <col min="3" max="3" width="10.140625" style="1810" bestFit="1" customWidth="1"/>
    <col min="4" max="4" width="10.42578125" style="1810" bestFit="1" customWidth="1"/>
    <col min="5" max="5" width="8.85546875" style="1810" bestFit="1" customWidth="1"/>
    <col min="6" max="6" width="9.28515625" style="1810" bestFit="1" customWidth="1"/>
    <col min="7" max="7" width="9.42578125" style="1810" bestFit="1" customWidth="1"/>
    <col min="8" max="8" width="11.85546875" style="1810" bestFit="1" customWidth="1"/>
    <col min="9" max="9" width="24.140625" style="1906" customWidth="1"/>
    <col min="10" max="10" width="16.42578125" style="2051" customWidth="1"/>
    <col min="11" max="11" width="15.28515625" style="2051" customWidth="1"/>
    <col min="12" max="12" width="14.140625" style="2051" customWidth="1"/>
    <col min="13" max="13" width="13.42578125" style="2051" customWidth="1"/>
    <col min="14" max="14" width="11.28515625" style="2051" customWidth="1"/>
    <col min="15" max="15" width="9.85546875" style="2051" customWidth="1"/>
    <col min="16" max="16" width="11.28515625" style="2052" customWidth="1"/>
    <col min="17" max="17" width="9.85546875" style="2052" customWidth="1"/>
    <col min="18" max="18" width="10.7109375" style="2050" customWidth="1"/>
    <col min="19" max="19" width="14.28515625" style="2051" customWidth="1"/>
    <col min="20" max="20" width="15.42578125" style="2051" customWidth="1"/>
    <col min="21" max="21" width="19.7109375" style="2051" customWidth="1"/>
    <col min="22" max="22" width="16.42578125" style="2051" customWidth="1"/>
    <col min="23" max="23" width="16" style="2051" customWidth="1"/>
    <col min="24" max="24" width="17.85546875" style="2051" bestFit="1" customWidth="1"/>
    <col min="25" max="78" width="15.140625" style="1818"/>
    <col min="79" max="16384" width="15.140625" style="1890"/>
  </cols>
  <sheetData>
    <row r="1" spans="1:24" ht="39.950000000000003" customHeight="1">
      <c r="A1" s="1907"/>
      <c r="B1" s="1820"/>
      <c r="C1" s="1821" t="s">
        <v>2</v>
      </c>
      <c r="D1" s="1821" t="s">
        <v>3</v>
      </c>
      <c r="E1" s="1821" t="s">
        <v>4</v>
      </c>
      <c r="F1" s="1821" t="s">
        <v>5</v>
      </c>
      <c r="G1" s="1821" t="s">
        <v>6</v>
      </c>
      <c r="H1" s="1821" t="s">
        <v>7</v>
      </c>
      <c r="I1" s="2379" t="s">
        <v>8</v>
      </c>
      <c r="J1" s="1907" t="s">
        <v>2</v>
      </c>
      <c r="K1" s="1907" t="s">
        <v>3</v>
      </c>
      <c r="L1" s="1907" t="s">
        <v>4</v>
      </c>
      <c r="M1" s="1907" t="s">
        <v>5</v>
      </c>
      <c r="N1" s="1907" t="s">
        <v>6</v>
      </c>
      <c r="O1" s="1907" t="s">
        <v>7</v>
      </c>
      <c r="P1" s="1907" t="s">
        <v>9</v>
      </c>
      <c r="Q1" s="1907" t="s">
        <v>6963</v>
      </c>
      <c r="R1" s="2378" t="s">
        <v>6965</v>
      </c>
      <c r="S1" s="1908" t="s">
        <v>2</v>
      </c>
      <c r="T1" s="1908" t="s">
        <v>3</v>
      </c>
      <c r="U1" s="1908" t="s">
        <v>4</v>
      </c>
      <c r="V1" s="1908" t="s">
        <v>5</v>
      </c>
      <c r="W1" s="1908" t="s">
        <v>6</v>
      </c>
      <c r="X1" s="1908" t="s">
        <v>7</v>
      </c>
    </row>
    <row r="2" spans="1:24" ht="32.1" customHeight="1" thickBot="1">
      <c r="A2" s="2441"/>
      <c r="B2" s="2441" t="s">
        <v>10</v>
      </c>
      <c r="C2" s="2442"/>
      <c r="D2" s="2442"/>
      <c r="E2" s="2442"/>
      <c r="F2" s="2442"/>
      <c r="G2" s="2442"/>
      <c r="H2" s="2442"/>
      <c r="I2" s="2443"/>
      <c r="J2" s="2588" t="s">
        <v>6941</v>
      </c>
      <c r="K2" s="2589"/>
      <c r="L2" s="2589"/>
      <c r="M2" s="2589"/>
      <c r="N2" s="2589"/>
      <c r="O2" s="2589"/>
      <c r="P2" s="2589"/>
      <c r="Q2" s="2589"/>
      <c r="R2" s="2590" t="s">
        <v>6964</v>
      </c>
      <c r="S2" s="2591"/>
      <c r="T2" s="2591"/>
      <c r="U2" s="2591"/>
      <c r="V2" s="2591"/>
      <c r="W2" s="2591"/>
      <c r="X2" s="2591"/>
    </row>
    <row r="3" spans="1:24" ht="45.75" customHeight="1" thickBot="1">
      <c r="A3" s="2497"/>
      <c r="B3" s="2537" t="s">
        <v>12</v>
      </c>
      <c r="C3" s="2445">
        <f t="shared" ref="C3:H3" si="0">AVERAGE(C4,C686,C453)</f>
        <v>0.73069703233726679</v>
      </c>
      <c r="D3" s="2445">
        <f t="shared" si="0"/>
        <v>0.65296889851434081</v>
      </c>
      <c r="E3" s="2445">
        <f t="shared" si="0"/>
        <v>0.52139057180418547</v>
      </c>
      <c r="F3" s="2445">
        <f t="shared" si="0"/>
        <v>0.63886821466658839</v>
      </c>
      <c r="G3" s="2445">
        <f t="shared" si="0"/>
        <v>0.65864527015566532</v>
      </c>
      <c r="H3" s="2445">
        <f t="shared" si="0"/>
        <v>0.55841311247270908</v>
      </c>
      <c r="I3" s="2446"/>
      <c r="J3" s="2447"/>
      <c r="K3" s="2447"/>
      <c r="L3" s="2447"/>
      <c r="M3" s="2447"/>
      <c r="N3" s="2447"/>
      <c r="O3" s="2447"/>
      <c r="P3" s="2448"/>
      <c r="Q3" s="2448"/>
      <c r="R3" s="2449"/>
      <c r="S3" s="2447"/>
      <c r="T3" s="2447"/>
      <c r="U3" s="2447"/>
      <c r="V3" s="2447"/>
      <c r="W3" s="2447"/>
      <c r="X3" s="2450"/>
    </row>
    <row r="4" spans="1:24" ht="60" customHeight="1" thickBot="1">
      <c r="A4" s="2550">
        <v>1</v>
      </c>
      <c r="B4" s="2551" t="s">
        <v>13</v>
      </c>
      <c r="C4" s="2456">
        <f t="shared" ref="C4:H4" si="1">AVERAGE(C5,C47,C67,C178,C195,C199,C228,C310,C372)</f>
        <v>0.70977896639695504</v>
      </c>
      <c r="D4" s="2456">
        <f t="shared" si="1"/>
        <v>0.68959963529712176</v>
      </c>
      <c r="E4" s="2456">
        <f t="shared" si="1"/>
        <v>0.27205773421083146</v>
      </c>
      <c r="F4" s="2456">
        <f t="shared" si="1"/>
        <v>0.6955097286637042</v>
      </c>
      <c r="G4" s="2456">
        <f t="shared" si="1"/>
        <v>0.60257994427395511</v>
      </c>
      <c r="H4" s="2456">
        <f t="shared" si="1"/>
        <v>0.32253648401193824</v>
      </c>
      <c r="I4" s="2457"/>
      <c r="J4" s="2458"/>
      <c r="K4" s="2458"/>
      <c r="L4" s="2458"/>
      <c r="M4" s="2458"/>
      <c r="N4" s="2458"/>
      <c r="O4" s="2458"/>
      <c r="P4" s="2459"/>
      <c r="Q4" s="2459"/>
      <c r="R4" s="2460"/>
      <c r="S4" s="2458"/>
      <c r="T4" s="2458"/>
      <c r="U4" s="2458"/>
      <c r="V4" s="2458"/>
      <c r="W4" s="2458"/>
      <c r="X4" s="2461"/>
    </row>
    <row r="5" spans="1:24" ht="75.95" customHeight="1">
      <c r="A5" s="2498" t="s">
        <v>733</v>
      </c>
      <c r="B5" s="2451" t="s">
        <v>7060</v>
      </c>
      <c r="C5" s="2452">
        <f t="shared" ref="C5:H5" si="2">AVERAGE(C6,C14,C22,C44)</f>
        <v>0.61286495098039218</v>
      </c>
      <c r="D5" s="2452">
        <f t="shared" si="2"/>
        <v>0.69869926470588228</v>
      </c>
      <c r="E5" s="2452">
        <f t="shared" si="2"/>
        <v>0.17764117647058825</v>
      </c>
      <c r="F5" s="2452">
        <f t="shared" si="2"/>
        <v>0.69704730392156866</v>
      </c>
      <c r="G5" s="2452">
        <f t="shared" si="2"/>
        <v>0.48433308823529408</v>
      </c>
      <c r="H5" s="2452">
        <f t="shared" si="2"/>
        <v>0.15865196078431371</v>
      </c>
      <c r="I5" s="2453"/>
      <c r="J5" s="2444"/>
      <c r="K5" s="2454"/>
      <c r="L5" s="2444"/>
      <c r="M5" s="2444"/>
      <c r="N5" s="2444"/>
      <c r="O5" s="2444"/>
      <c r="P5" s="2444"/>
      <c r="Q5" s="2444"/>
      <c r="R5" s="2455"/>
      <c r="S5" s="2444"/>
      <c r="T5" s="2454"/>
      <c r="U5" s="2454" t="s">
        <v>7162</v>
      </c>
      <c r="V5" s="2444"/>
      <c r="W5" s="2444"/>
      <c r="X5" s="2444"/>
    </row>
    <row r="6" spans="1:24" ht="32.1" customHeight="1">
      <c r="A6" s="2499" t="s">
        <v>15</v>
      </c>
      <c r="B6" s="2084" t="s">
        <v>16</v>
      </c>
      <c r="C6" s="2085">
        <f>AVERAGE(C7,C10,C11)</f>
        <v>0.58333333333333337</v>
      </c>
      <c r="D6" s="2085">
        <f>AVERAGE(D7,D10,D11)</f>
        <v>0.75</v>
      </c>
      <c r="E6" s="2085">
        <f t="shared" ref="E6:H6" si="3">AVERAGE(E7,E10,E11)</f>
        <v>0.25</v>
      </c>
      <c r="F6" s="2085">
        <f t="shared" si="3"/>
        <v>0.83333333333333337</v>
      </c>
      <c r="G6" s="2085">
        <f t="shared" si="3"/>
        <v>0.25</v>
      </c>
      <c r="H6" s="2085">
        <f t="shared" si="3"/>
        <v>0.16666666666666666</v>
      </c>
      <c r="I6" s="2086"/>
      <c r="J6" s="2087"/>
      <c r="K6" s="2087"/>
      <c r="L6" s="2087"/>
      <c r="M6" s="2087"/>
      <c r="N6" s="2087"/>
      <c r="O6" s="2087"/>
      <c r="P6" s="2087"/>
      <c r="Q6" s="2087"/>
      <c r="R6" s="2088"/>
      <c r="S6" s="2087"/>
      <c r="T6" s="2087"/>
      <c r="U6" s="2087"/>
      <c r="V6" s="2087"/>
      <c r="W6" s="2087"/>
      <c r="X6" s="2087"/>
    </row>
    <row r="7" spans="1:24" ht="32.1" customHeight="1">
      <c r="A7" s="2500"/>
      <c r="B7" s="2059" t="s">
        <v>6968</v>
      </c>
      <c r="C7" s="2060">
        <f>AVERAGE(C8:C9)</f>
        <v>0.75</v>
      </c>
      <c r="D7" s="2060">
        <f t="shared" ref="D7:H7" si="4">AVERAGE(D8:D9)</f>
        <v>0.75</v>
      </c>
      <c r="E7" s="2060">
        <f t="shared" si="4"/>
        <v>0.25</v>
      </c>
      <c r="F7" s="2060">
        <f t="shared" si="4"/>
        <v>1</v>
      </c>
      <c r="G7" s="2060">
        <f t="shared" si="4"/>
        <v>0.25</v>
      </c>
      <c r="H7" s="2060">
        <f t="shared" si="4"/>
        <v>0</v>
      </c>
      <c r="I7" s="2086" t="s">
        <v>18</v>
      </c>
      <c r="J7" s="1910"/>
      <c r="K7" s="1911"/>
      <c r="L7" s="1911"/>
      <c r="M7" s="1911"/>
      <c r="N7" s="1912"/>
      <c r="O7" s="1912"/>
      <c r="P7" s="1911"/>
      <c r="Q7" s="1911"/>
      <c r="R7" s="2096"/>
      <c r="S7" s="1910"/>
      <c r="T7" s="1911"/>
      <c r="U7" s="1911"/>
      <c r="V7" s="1911"/>
      <c r="W7" s="1912"/>
      <c r="X7" s="1912"/>
    </row>
    <row r="8" spans="1:24" ht="122.25" customHeight="1">
      <c r="A8" s="1899"/>
      <c r="B8" s="1804" t="s">
        <v>17</v>
      </c>
      <c r="C8" s="1850">
        <v>1</v>
      </c>
      <c r="D8" s="1850">
        <v>1</v>
      </c>
      <c r="E8" s="1850">
        <v>0</v>
      </c>
      <c r="F8" s="1850">
        <v>1</v>
      </c>
      <c r="G8" s="1850">
        <v>0.5</v>
      </c>
      <c r="H8" s="1850">
        <v>0</v>
      </c>
      <c r="I8" s="2086"/>
      <c r="J8" s="2217">
        <v>1</v>
      </c>
      <c r="K8" s="1794" t="s">
        <v>5427</v>
      </c>
      <c r="L8" s="1794">
        <v>0</v>
      </c>
      <c r="M8" s="1916">
        <v>1</v>
      </c>
      <c r="N8" s="1918" t="s">
        <v>3989</v>
      </c>
      <c r="O8" s="1917" t="s">
        <v>8601</v>
      </c>
      <c r="P8" s="1915">
        <v>1</v>
      </c>
      <c r="Q8" s="1915">
        <v>0</v>
      </c>
      <c r="R8" s="2096"/>
      <c r="S8" s="2246" t="s">
        <v>9023</v>
      </c>
      <c r="T8" s="1794" t="s">
        <v>9118</v>
      </c>
      <c r="U8" s="1794" t="s">
        <v>7163</v>
      </c>
      <c r="V8" s="1916" t="s">
        <v>6032</v>
      </c>
      <c r="W8" s="1919" t="s">
        <v>8259</v>
      </c>
      <c r="X8" s="1917" t="s">
        <v>8601</v>
      </c>
    </row>
    <row r="9" spans="1:24" ht="62.1" customHeight="1">
      <c r="A9" s="1899"/>
      <c r="B9" s="1804" t="s">
        <v>21</v>
      </c>
      <c r="C9" s="1850">
        <v>0.5</v>
      </c>
      <c r="D9" s="1850">
        <v>0.5</v>
      </c>
      <c r="E9" s="1850">
        <v>0.5</v>
      </c>
      <c r="F9" s="1850">
        <v>1</v>
      </c>
      <c r="G9" s="1850">
        <v>0</v>
      </c>
      <c r="H9" s="1850">
        <v>0</v>
      </c>
      <c r="I9" s="2086"/>
      <c r="J9" s="2217">
        <v>0.5</v>
      </c>
      <c r="K9" s="1915" t="s">
        <v>6304</v>
      </c>
      <c r="L9" s="1794">
        <v>0.5</v>
      </c>
      <c r="M9" s="1916">
        <v>1</v>
      </c>
      <c r="N9" s="1920" t="s">
        <v>748</v>
      </c>
      <c r="O9" s="1917" t="s">
        <v>8602</v>
      </c>
      <c r="P9" s="1915">
        <v>1</v>
      </c>
      <c r="Q9" s="1915">
        <v>0</v>
      </c>
      <c r="R9" s="2096"/>
      <c r="S9" s="1800" t="s">
        <v>9024</v>
      </c>
      <c r="T9" s="1794" t="s">
        <v>7404</v>
      </c>
      <c r="U9" s="1794" t="s">
        <v>7164</v>
      </c>
      <c r="V9" s="1916" t="s">
        <v>7820</v>
      </c>
      <c r="W9" s="1919" t="s">
        <v>8260</v>
      </c>
      <c r="X9" s="1917" t="s">
        <v>8602</v>
      </c>
    </row>
    <row r="10" spans="1:24" ht="124.5" customHeight="1">
      <c r="A10" s="1899"/>
      <c r="B10" s="1820" t="s">
        <v>19</v>
      </c>
      <c r="C10" s="1837">
        <v>0.5</v>
      </c>
      <c r="D10" s="1829">
        <v>1</v>
      </c>
      <c r="E10" s="1829">
        <v>0</v>
      </c>
      <c r="F10" s="1829">
        <v>1</v>
      </c>
      <c r="G10" s="1850">
        <v>0</v>
      </c>
      <c r="H10" s="1850">
        <v>0</v>
      </c>
      <c r="I10" s="2086" t="s">
        <v>20</v>
      </c>
      <c r="J10" s="2218" t="s">
        <v>6225</v>
      </c>
      <c r="K10" s="1915" t="s">
        <v>948</v>
      </c>
      <c r="L10" s="1794">
        <v>0</v>
      </c>
      <c r="M10" s="1921">
        <v>1</v>
      </c>
      <c r="N10" s="1920" t="s">
        <v>748</v>
      </c>
      <c r="O10" s="1914" t="s">
        <v>8603</v>
      </c>
      <c r="P10" s="1915">
        <v>1</v>
      </c>
      <c r="Q10" s="1915">
        <v>0</v>
      </c>
      <c r="R10" s="2096"/>
      <c r="S10" s="1800" t="s">
        <v>9025</v>
      </c>
      <c r="T10" s="1794" t="s">
        <v>7405</v>
      </c>
      <c r="U10" s="1794" t="s">
        <v>7165</v>
      </c>
      <c r="V10" s="1921" t="s">
        <v>6033</v>
      </c>
      <c r="W10" s="1915" t="s">
        <v>748</v>
      </c>
      <c r="X10" s="1914" t="s">
        <v>8603</v>
      </c>
    </row>
    <row r="11" spans="1:24" ht="32.1" customHeight="1">
      <c r="A11" s="2500"/>
      <c r="B11" s="2059" t="s">
        <v>6969</v>
      </c>
      <c r="C11" s="2060">
        <f t="shared" ref="C11:H11" si="5">AVERAGE(C12:C13)</f>
        <v>0.5</v>
      </c>
      <c r="D11" s="2060">
        <f t="shared" si="5"/>
        <v>0.5</v>
      </c>
      <c r="E11" s="2060">
        <f t="shared" si="5"/>
        <v>0.5</v>
      </c>
      <c r="F11" s="2060">
        <f t="shared" si="5"/>
        <v>0.5</v>
      </c>
      <c r="G11" s="2060">
        <f t="shared" si="5"/>
        <v>0.5</v>
      </c>
      <c r="H11" s="2060">
        <f t="shared" si="5"/>
        <v>0.5</v>
      </c>
      <c r="I11" s="2086"/>
      <c r="J11" s="1910"/>
      <c r="K11" s="1911"/>
      <c r="L11" s="1911"/>
      <c r="M11" s="1922"/>
      <c r="N11" s="1911"/>
      <c r="O11" s="1910" t="s">
        <v>8604</v>
      </c>
      <c r="P11" s="1911"/>
      <c r="Q11" s="1911"/>
      <c r="R11" s="2096"/>
      <c r="S11" s="1923" t="s">
        <v>9026</v>
      </c>
      <c r="T11" s="1911"/>
      <c r="U11" s="1911"/>
      <c r="V11" s="1922"/>
      <c r="W11" s="1911"/>
      <c r="X11" s="1910" t="s">
        <v>8604</v>
      </c>
    </row>
    <row r="12" spans="1:24" ht="175.5" customHeight="1">
      <c r="A12" s="1899"/>
      <c r="B12" s="1805" t="s">
        <v>6966</v>
      </c>
      <c r="C12" s="1837">
        <v>1</v>
      </c>
      <c r="D12" s="1829">
        <v>1</v>
      </c>
      <c r="E12" s="1829">
        <v>1</v>
      </c>
      <c r="F12" s="1829">
        <v>1</v>
      </c>
      <c r="G12" s="1850">
        <v>1</v>
      </c>
      <c r="H12" s="1850">
        <v>1</v>
      </c>
      <c r="I12" s="2086"/>
      <c r="J12" s="2218" t="s">
        <v>6225</v>
      </c>
      <c r="K12" s="1915" t="s">
        <v>7372</v>
      </c>
      <c r="L12" s="1794">
        <v>0.5</v>
      </c>
      <c r="M12" s="1924" t="s">
        <v>9310</v>
      </c>
      <c r="N12" s="1918" t="s">
        <v>8258</v>
      </c>
      <c r="O12" s="1914" t="s">
        <v>8605</v>
      </c>
      <c r="P12" s="1915">
        <v>1</v>
      </c>
      <c r="Q12" s="1915">
        <v>0</v>
      </c>
      <c r="R12" s="2096"/>
      <c r="S12" s="1795" t="s">
        <v>9027</v>
      </c>
      <c r="T12" s="1915" t="s">
        <v>7406</v>
      </c>
      <c r="U12" s="1794" t="s">
        <v>7166</v>
      </c>
      <c r="V12" s="1924" t="s">
        <v>8563</v>
      </c>
      <c r="W12" s="1915" t="s">
        <v>8261</v>
      </c>
      <c r="X12" s="1914" t="s">
        <v>8605</v>
      </c>
    </row>
    <row r="13" spans="1:24" ht="62.1" customHeight="1">
      <c r="A13" s="1899"/>
      <c r="B13" s="1804" t="s">
        <v>6967</v>
      </c>
      <c r="C13" s="1837">
        <v>0</v>
      </c>
      <c r="D13" s="1829">
        <v>0</v>
      </c>
      <c r="E13" s="1829">
        <v>0</v>
      </c>
      <c r="F13" s="1837">
        <v>0</v>
      </c>
      <c r="G13" s="1850">
        <v>0</v>
      </c>
      <c r="H13" s="1850">
        <v>0</v>
      </c>
      <c r="I13" s="2086" t="s">
        <v>22</v>
      </c>
      <c r="J13" s="2217">
        <v>0</v>
      </c>
      <c r="K13" s="1916" t="s">
        <v>968</v>
      </c>
      <c r="L13" s="1794">
        <v>0</v>
      </c>
      <c r="M13" s="1914">
        <v>0.5</v>
      </c>
      <c r="N13" s="1918" t="s">
        <v>1060</v>
      </c>
      <c r="O13" s="1915" t="s">
        <v>8606</v>
      </c>
      <c r="P13" s="1915">
        <v>1</v>
      </c>
      <c r="Q13" s="1915">
        <v>0</v>
      </c>
      <c r="R13" s="2096"/>
      <c r="S13" s="1795" t="s">
        <v>9028</v>
      </c>
      <c r="T13" s="1916" t="s">
        <v>7407</v>
      </c>
      <c r="U13" s="1794" t="s">
        <v>7167</v>
      </c>
      <c r="V13" s="1914" t="s">
        <v>7821</v>
      </c>
      <c r="W13" s="1915" t="s">
        <v>8262</v>
      </c>
      <c r="X13" s="1915" t="s">
        <v>8606</v>
      </c>
    </row>
    <row r="14" spans="1:24" ht="32.1" customHeight="1">
      <c r="A14" s="2499" t="s">
        <v>23</v>
      </c>
      <c r="B14" s="2084" t="s">
        <v>24</v>
      </c>
      <c r="C14" s="2085">
        <f>AVERAGE(C15,C16,C17,C18,C21)</f>
        <v>0.45</v>
      </c>
      <c r="D14" s="2085">
        <f t="shared" ref="D14:H14" si="6">AVERAGE(D15,D16,D17,D18,D21)</f>
        <v>0.45</v>
      </c>
      <c r="E14" s="2085">
        <f t="shared" si="6"/>
        <v>0.1</v>
      </c>
      <c r="F14" s="2085">
        <f t="shared" si="6"/>
        <v>0.5</v>
      </c>
      <c r="G14" s="2085">
        <f t="shared" si="6"/>
        <v>0.45</v>
      </c>
      <c r="H14" s="2085">
        <f t="shared" si="6"/>
        <v>0.2</v>
      </c>
      <c r="I14" s="2086"/>
      <c r="J14" s="2089"/>
      <c r="K14" s="2089"/>
      <c r="L14" s="2089"/>
      <c r="M14" s="2087"/>
      <c r="N14" s="2087"/>
      <c r="O14" s="2087"/>
      <c r="P14" s="2090"/>
      <c r="Q14" s="2090"/>
      <c r="R14" s="2091"/>
      <c r="S14" s="2092"/>
      <c r="T14" s="2089"/>
      <c r="U14" s="2089"/>
      <c r="V14" s="2087"/>
      <c r="W14" s="2087"/>
      <c r="X14" s="2087"/>
    </row>
    <row r="15" spans="1:24" ht="135" customHeight="1">
      <c r="A15" s="1899"/>
      <c r="B15" s="1807" t="s">
        <v>25</v>
      </c>
      <c r="C15" s="1837">
        <v>0.5</v>
      </c>
      <c r="D15" s="1829">
        <v>0.5</v>
      </c>
      <c r="E15" s="1829">
        <v>0</v>
      </c>
      <c r="F15" s="1837">
        <v>0.5</v>
      </c>
      <c r="G15" s="1850">
        <v>0.5</v>
      </c>
      <c r="H15" s="1850">
        <v>0</v>
      </c>
      <c r="I15" s="2086" t="s">
        <v>26</v>
      </c>
      <c r="J15" s="2217">
        <v>1</v>
      </c>
      <c r="K15" s="1925" t="s">
        <v>6304</v>
      </c>
      <c r="L15" s="1794">
        <v>0</v>
      </c>
      <c r="M15" s="1914">
        <v>1</v>
      </c>
      <c r="N15" s="1926" t="s">
        <v>8258</v>
      </c>
      <c r="O15" s="1914" t="s">
        <v>8607</v>
      </c>
      <c r="P15" s="1915">
        <v>1</v>
      </c>
      <c r="Q15" s="1915">
        <v>0</v>
      </c>
      <c r="R15" s="2096"/>
      <c r="S15" s="1795" t="s">
        <v>9029</v>
      </c>
      <c r="T15" s="1925" t="s">
        <v>7408</v>
      </c>
      <c r="U15" s="1794" t="s">
        <v>7168</v>
      </c>
      <c r="V15" s="1802" t="s">
        <v>9094</v>
      </c>
      <c r="W15" s="1915" t="s">
        <v>8263</v>
      </c>
      <c r="X15" s="1914" t="s">
        <v>8607</v>
      </c>
    </row>
    <row r="16" spans="1:24" ht="69" customHeight="1">
      <c r="A16" s="1899"/>
      <c r="B16" s="1807" t="s">
        <v>27</v>
      </c>
      <c r="C16" s="1837">
        <v>0.5</v>
      </c>
      <c r="D16" s="1829">
        <v>0</v>
      </c>
      <c r="E16" s="1829">
        <v>0</v>
      </c>
      <c r="F16" s="1837">
        <v>0.5</v>
      </c>
      <c r="G16" s="1850">
        <v>0</v>
      </c>
      <c r="H16" s="1850">
        <v>0</v>
      </c>
      <c r="I16" s="2086" t="s">
        <v>28</v>
      </c>
      <c r="J16" s="2218" t="s">
        <v>6225</v>
      </c>
      <c r="K16" s="1925" t="s">
        <v>8559</v>
      </c>
      <c r="L16" s="1794">
        <v>0</v>
      </c>
      <c r="M16" s="1927">
        <v>0.5</v>
      </c>
      <c r="N16" s="1926" t="s">
        <v>8258</v>
      </c>
      <c r="O16" s="1914" t="s">
        <v>8608</v>
      </c>
      <c r="P16" s="1915">
        <v>1</v>
      </c>
      <c r="Q16" s="1915">
        <v>0</v>
      </c>
      <c r="R16" s="2096"/>
      <c r="S16" s="1795" t="s">
        <v>9030</v>
      </c>
      <c r="T16" s="1925" t="s">
        <v>7409</v>
      </c>
      <c r="U16" s="1794" t="s">
        <v>5852</v>
      </c>
      <c r="V16" s="1927" t="s">
        <v>8564</v>
      </c>
      <c r="W16" s="1915" t="s">
        <v>8264</v>
      </c>
      <c r="X16" s="1914" t="s">
        <v>8608</v>
      </c>
    </row>
    <row r="17" spans="1:24" ht="86.25" customHeight="1">
      <c r="A17" s="1899"/>
      <c r="B17" s="1807" t="s">
        <v>29</v>
      </c>
      <c r="C17" s="1837">
        <v>0</v>
      </c>
      <c r="D17" s="1829">
        <v>0.5</v>
      </c>
      <c r="E17" s="1829">
        <v>0</v>
      </c>
      <c r="F17" s="1837">
        <v>0</v>
      </c>
      <c r="G17" s="1850">
        <v>0.5</v>
      </c>
      <c r="H17" s="1850">
        <v>0</v>
      </c>
      <c r="I17" s="2086" t="s">
        <v>30</v>
      </c>
      <c r="J17" s="2217">
        <v>1</v>
      </c>
      <c r="K17" s="1915" t="s">
        <v>6304</v>
      </c>
      <c r="L17" s="1794">
        <v>0</v>
      </c>
      <c r="M17" s="1914">
        <v>0</v>
      </c>
      <c r="N17" s="1926" t="s">
        <v>8258</v>
      </c>
      <c r="O17" s="1915" t="s">
        <v>8609</v>
      </c>
      <c r="P17" s="1915">
        <v>1</v>
      </c>
      <c r="Q17" s="1915">
        <v>0</v>
      </c>
      <c r="R17" s="2096"/>
      <c r="S17" s="1795" t="s">
        <v>9031</v>
      </c>
      <c r="T17" s="1915" t="s">
        <v>7410</v>
      </c>
      <c r="U17" s="1794" t="s">
        <v>5853</v>
      </c>
      <c r="V17" s="1914" t="s">
        <v>7822</v>
      </c>
      <c r="W17" s="1915" t="s">
        <v>8265</v>
      </c>
      <c r="X17" s="1915" t="s">
        <v>8609</v>
      </c>
    </row>
    <row r="18" spans="1:24" ht="20.100000000000001" customHeight="1">
      <c r="A18" s="2500"/>
      <c r="B18" s="2059" t="s">
        <v>6970</v>
      </c>
      <c r="C18" s="2060">
        <f>AVERAGE(C19:C20)</f>
        <v>0.75</v>
      </c>
      <c r="D18" s="2060">
        <f t="shared" ref="D18:H18" si="7">AVERAGE(D19:D20)</f>
        <v>0.75</v>
      </c>
      <c r="E18" s="2060">
        <f t="shared" si="7"/>
        <v>0.5</v>
      </c>
      <c r="F18" s="2060">
        <f t="shared" si="7"/>
        <v>1</v>
      </c>
      <c r="G18" s="2060">
        <f t="shared" si="7"/>
        <v>0.75</v>
      </c>
      <c r="H18" s="2060">
        <f t="shared" si="7"/>
        <v>0.5</v>
      </c>
      <c r="I18" s="2086"/>
      <c r="J18" s="1910"/>
      <c r="K18" s="1911"/>
      <c r="L18" s="1911"/>
      <c r="M18" s="1910"/>
      <c r="N18" s="1911"/>
      <c r="O18" s="1911"/>
      <c r="P18" s="1911"/>
      <c r="Q18" s="1911"/>
      <c r="R18" s="2096"/>
      <c r="S18" s="1923"/>
      <c r="T18" s="1911"/>
      <c r="U18" s="1911"/>
      <c r="V18" s="1910"/>
      <c r="W18" s="1911"/>
      <c r="X18" s="1911"/>
    </row>
    <row r="19" spans="1:24" ht="72" customHeight="1">
      <c r="A19" s="1899"/>
      <c r="B19" s="1804" t="s">
        <v>6971</v>
      </c>
      <c r="C19" s="1837">
        <v>1</v>
      </c>
      <c r="D19" s="1828">
        <v>1</v>
      </c>
      <c r="E19" s="1829">
        <v>0.5</v>
      </c>
      <c r="F19" s="1834">
        <v>1</v>
      </c>
      <c r="G19" s="1831">
        <v>1</v>
      </c>
      <c r="H19" s="1831">
        <v>1</v>
      </c>
      <c r="I19" s="2086"/>
      <c r="J19" s="2217">
        <v>1</v>
      </c>
      <c r="K19" s="1915" t="s">
        <v>1134</v>
      </c>
      <c r="L19" s="1794">
        <v>0.5</v>
      </c>
      <c r="M19" s="1928">
        <v>1</v>
      </c>
      <c r="N19" s="1926" t="s">
        <v>960</v>
      </c>
      <c r="O19" s="1915" t="s">
        <v>8610</v>
      </c>
      <c r="P19" s="1915">
        <v>1</v>
      </c>
      <c r="Q19" s="1915">
        <v>0</v>
      </c>
      <c r="R19" s="2096"/>
      <c r="S19" s="1795" t="s">
        <v>9032</v>
      </c>
      <c r="T19" s="1915" t="s">
        <v>7411</v>
      </c>
      <c r="U19" s="1794" t="s">
        <v>7169</v>
      </c>
      <c r="V19" s="1928" t="s">
        <v>7823</v>
      </c>
      <c r="W19" s="1915" t="s">
        <v>8266</v>
      </c>
      <c r="X19" s="1915" t="s">
        <v>8610</v>
      </c>
    </row>
    <row r="20" spans="1:24" ht="93.75" customHeight="1">
      <c r="A20" s="1899"/>
      <c r="B20" s="1835" t="s">
        <v>6972</v>
      </c>
      <c r="C20" s="1837">
        <v>0.5</v>
      </c>
      <c r="D20" s="1828">
        <v>0.5</v>
      </c>
      <c r="E20" s="1829">
        <v>0.5</v>
      </c>
      <c r="F20" s="1834">
        <v>1</v>
      </c>
      <c r="G20" s="1831">
        <v>0.5</v>
      </c>
      <c r="H20" s="1831">
        <v>0</v>
      </c>
      <c r="I20" s="2086"/>
      <c r="J20" s="2217">
        <v>1</v>
      </c>
      <c r="K20" s="1915" t="s">
        <v>5848</v>
      </c>
      <c r="L20" s="1794">
        <v>0.5</v>
      </c>
      <c r="M20" s="1928">
        <v>1</v>
      </c>
      <c r="N20" s="1926" t="s">
        <v>8258</v>
      </c>
      <c r="O20" s="1794" t="s">
        <v>8611</v>
      </c>
      <c r="P20" s="1915">
        <v>1</v>
      </c>
      <c r="Q20" s="1915">
        <v>0</v>
      </c>
      <c r="R20" s="2096"/>
      <c r="S20" s="1795" t="s">
        <v>9033</v>
      </c>
      <c r="T20" s="1915" t="s">
        <v>7412</v>
      </c>
      <c r="U20" s="1794" t="s">
        <v>7170</v>
      </c>
      <c r="V20" s="1928" t="s">
        <v>7824</v>
      </c>
      <c r="W20" s="1915" t="s">
        <v>8267</v>
      </c>
      <c r="X20" s="1915" t="s">
        <v>8611</v>
      </c>
    </row>
    <row r="21" spans="1:24" ht="57.95" customHeight="1">
      <c r="A21" s="1899"/>
      <c r="B21" s="1820" t="s">
        <v>6973</v>
      </c>
      <c r="C21" s="1837">
        <v>0.5</v>
      </c>
      <c r="D21" s="1828">
        <v>0.5</v>
      </c>
      <c r="E21" s="1829">
        <v>0</v>
      </c>
      <c r="F21" s="1834">
        <v>0.5</v>
      </c>
      <c r="G21" s="1831">
        <v>0.5</v>
      </c>
      <c r="H21" s="1831">
        <v>0.5</v>
      </c>
      <c r="I21" s="2086"/>
      <c r="J21" s="2217">
        <v>1</v>
      </c>
      <c r="K21" s="1915" t="s">
        <v>7373</v>
      </c>
      <c r="L21" s="1794">
        <v>0</v>
      </c>
      <c r="M21" s="1928">
        <v>1</v>
      </c>
      <c r="N21" s="1926" t="s">
        <v>8258</v>
      </c>
      <c r="O21" s="1915" t="s">
        <v>8612</v>
      </c>
      <c r="P21" s="1915">
        <v>1</v>
      </c>
      <c r="Q21" s="1915">
        <v>0</v>
      </c>
      <c r="R21" s="2096"/>
      <c r="S21" s="1795" t="s">
        <v>9034</v>
      </c>
      <c r="T21" s="1915" t="s">
        <v>7413</v>
      </c>
      <c r="U21" s="1798" t="s">
        <v>7171</v>
      </c>
      <c r="V21" s="1802" t="s">
        <v>9090</v>
      </c>
      <c r="W21" s="1915" t="s">
        <v>8268</v>
      </c>
      <c r="X21" s="1915" t="s">
        <v>8612</v>
      </c>
    </row>
    <row r="22" spans="1:24" ht="32.1" customHeight="1">
      <c r="A22" s="2499" t="s">
        <v>31</v>
      </c>
      <c r="B22" s="2084" t="s">
        <v>32</v>
      </c>
      <c r="C22" s="2085">
        <f>AVERAGE(C23:C33,C36,C39:C43)</f>
        <v>0.69117647058823528</v>
      </c>
      <c r="D22" s="2085">
        <f t="shared" ref="D22:H22" si="8">AVERAGE(D23:D33,D36,D39:D43)</f>
        <v>0.61764705882352944</v>
      </c>
      <c r="E22" s="2085">
        <f>AVERAGE(E23:E33,E36,E39:E43)</f>
        <v>0.16176470588235295</v>
      </c>
      <c r="F22" s="2085">
        <f>AVERAGE(F23:F33,F36,F39:F43)</f>
        <v>0.76470588235294112</v>
      </c>
      <c r="G22" s="2085">
        <f t="shared" ref="G22" si="9">AVERAGE(G23:G33,G36,G39:G43)</f>
        <v>0.45588235294117646</v>
      </c>
      <c r="H22" s="2085">
        <f t="shared" si="8"/>
        <v>0.10294117647058823</v>
      </c>
      <c r="I22" s="2086"/>
      <c r="J22" s="2089"/>
      <c r="K22" s="2089"/>
      <c r="L22" s="2087"/>
      <c r="M22" s="2087"/>
      <c r="N22" s="2087"/>
      <c r="O22" s="2087"/>
      <c r="P22" s="2090"/>
      <c r="Q22" s="2090"/>
      <c r="R22" s="2091"/>
      <c r="S22" s="2092"/>
      <c r="T22" s="2089"/>
      <c r="U22" s="2087"/>
      <c r="V22" s="2087"/>
      <c r="W22" s="2087"/>
      <c r="X22" s="2087"/>
    </row>
    <row r="23" spans="1:24" ht="32.1" customHeight="1">
      <c r="A23" s="2501"/>
      <c r="B23" s="1820" t="s">
        <v>7049</v>
      </c>
      <c r="C23" s="1837">
        <v>1</v>
      </c>
      <c r="D23" s="1830">
        <v>0.5</v>
      </c>
      <c r="E23" s="1829">
        <v>0</v>
      </c>
      <c r="F23" s="1833">
        <v>1</v>
      </c>
      <c r="G23" s="1831">
        <v>0.5</v>
      </c>
      <c r="H23" s="1831">
        <v>0</v>
      </c>
      <c r="I23" s="2086" t="s">
        <v>34</v>
      </c>
      <c r="J23" s="2217">
        <v>1</v>
      </c>
      <c r="K23" s="1916" t="s">
        <v>5848</v>
      </c>
      <c r="L23" s="1794">
        <v>0</v>
      </c>
      <c r="M23" s="1914">
        <v>1</v>
      </c>
      <c r="N23" s="1926" t="s">
        <v>8258</v>
      </c>
      <c r="O23" s="1915" t="s">
        <v>8613</v>
      </c>
      <c r="P23" s="1915">
        <v>1</v>
      </c>
      <c r="Q23" s="1915">
        <v>0</v>
      </c>
      <c r="R23" s="2096"/>
      <c r="S23" s="1795" t="s">
        <v>9035</v>
      </c>
      <c r="T23" s="1916" t="s">
        <v>7414</v>
      </c>
      <c r="U23" s="1794" t="s">
        <v>5854</v>
      </c>
      <c r="V23" s="1914" t="s">
        <v>7825</v>
      </c>
      <c r="W23" s="1915" t="s">
        <v>8269</v>
      </c>
      <c r="X23" s="1915" t="s">
        <v>8613</v>
      </c>
    </row>
    <row r="24" spans="1:24" ht="32.1" customHeight="1">
      <c r="A24" s="2501"/>
      <c r="B24" s="1807" t="s">
        <v>35</v>
      </c>
      <c r="C24" s="1837">
        <v>1</v>
      </c>
      <c r="D24" s="1829">
        <v>0</v>
      </c>
      <c r="E24" s="1829">
        <v>0</v>
      </c>
      <c r="F24" s="1837">
        <v>0.5</v>
      </c>
      <c r="G24" s="1850">
        <v>0.5</v>
      </c>
      <c r="H24" s="1850">
        <v>0</v>
      </c>
      <c r="I24" s="2086" t="s">
        <v>36</v>
      </c>
      <c r="J24" s="2217">
        <v>1</v>
      </c>
      <c r="K24" s="1925" t="s">
        <v>968</v>
      </c>
      <c r="L24" s="1794">
        <v>0</v>
      </c>
      <c r="M24" s="1928" t="s">
        <v>8258</v>
      </c>
      <c r="N24" s="1918" t="s">
        <v>8258</v>
      </c>
      <c r="O24" s="1915" t="s">
        <v>8614</v>
      </c>
      <c r="P24" s="1915">
        <v>1</v>
      </c>
      <c r="Q24" s="1915">
        <v>0</v>
      </c>
      <c r="R24" s="2096"/>
      <c r="S24" s="1795" t="s">
        <v>9036</v>
      </c>
      <c r="T24" s="1925" t="s">
        <v>7415</v>
      </c>
      <c r="U24" s="1794" t="s">
        <v>7172</v>
      </c>
      <c r="V24" s="1928" t="s">
        <v>7826</v>
      </c>
      <c r="W24" s="1915" t="s">
        <v>8270</v>
      </c>
      <c r="X24" s="1915" t="s">
        <v>8614</v>
      </c>
    </row>
    <row r="25" spans="1:24" ht="32.1" customHeight="1">
      <c r="A25" s="2501"/>
      <c r="B25" s="1807" t="s">
        <v>37</v>
      </c>
      <c r="C25" s="1837">
        <v>1</v>
      </c>
      <c r="D25" s="1829">
        <v>0.5</v>
      </c>
      <c r="E25" s="1829">
        <v>0</v>
      </c>
      <c r="F25" s="1837">
        <v>1</v>
      </c>
      <c r="G25" s="1850">
        <v>0.5</v>
      </c>
      <c r="H25" s="1850">
        <v>0</v>
      </c>
      <c r="I25" s="2086" t="s">
        <v>38</v>
      </c>
      <c r="J25" s="2217">
        <v>1</v>
      </c>
      <c r="K25" s="1925" t="s">
        <v>7373</v>
      </c>
      <c r="L25" s="1794">
        <v>0</v>
      </c>
      <c r="M25" s="1928">
        <v>1</v>
      </c>
      <c r="N25" s="1918" t="s">
        <v>8258</v>
      </c>
      <c r="O25" s="1915" t="s">
        <v>8615</v>
      </c>
      <c r="P25" s="1915">
        <v>1</v>
      </c>
      <c r="Q25" s="1915">
        <v>0</v>
      </c>
      <c r="R25" s="2096"/>
      <c r="S25" s="1795" t="s">
        <v>9037</v>
      </c>
      <c r="T25" s="1925" t="s">
        <v>7416</v>
      </c>
      <c r="U25" s="1794" t="s">
        <v>7173</v>
      </c>
      <c r="V25" s="1928" t="s">
        <v>7827</v>
      </c>
      <c r="W25" s="1915" t="s">
        <v>8271</v>
      </c>
      <c r="X25" s="1915" t="s">
        <v>8615</v>
      </c>
    </row>
    <row r="26" spans="1:24" ht="32.1" customHeight="1">
      <c r="A26" s="2501"/>
      <c r="B26" s="1807" t="s">
        <v>39</v>
      </c>
      <c r="C26" s="1837">
        <v>1</v>
      </c>
      <c r="D26" s="1829">
        <v>1</v>
      </c>
      <c r="E26" s="1829">
        <v>0</v>
      </c>
      <c r="F26" s="1837">
        <v>1</v>
      </c>
      <c r="G26" s="1850">
        <v>0.5</v>
      </c>
      <c r="H26" s="1850">
        <v>0</v>
      </c>
      <c r="I26" s="2086" t="s">
        <v>40</v>
      </c>
      <c r="J26" s="2217">
        <v>1</v>
      </c>
      <c r="K26" s="1915" t="s">
        <v>1134</v>
      </c>
      <c r="L26" s="1794">
        <v>0</v>
      </c>
      <c r="M26" s="1928">
        <v>1</v>
      </c>
      <c r="N26" s="1918" t="s">
        <v>8258</v>
      </c>
      <c r="O26" s="1915" t="s">
        <v>5574</v>
      </c>
      <c r="P26" s="1915">
        <v>1</v>
      </c>
      <c r="Q26" s="1915">
        <v>0</v>
      </c>
      <c r="R26" s="2096"/>
      <c r="S26" s="1795" t="s">
        <v>9038</v>
      </c>
      <c r="T26" s="1915" t="s">
        <v>7417</v>
      </c>
      <c r="U26" s="1794" t="s">
        <v>5857</v>
      </c>
      <c r="V26" s="1928" t="s">
        <v>6041</v>
      </c>
      <c r="W26" s="1915" t="s">
        <v>8272</v>
      </c>
      <c r="X26" s="1915" t="s">
        <v>5574</v>
      </c>
    </row>
    <row r="27" spans="1:24" ht="32.1" customHeight="1">
      <c r="A27" s="1899"/>
      <c r="B27" s="1807" t="s">
        <v>41</v>
      </c>
      <c r="C27" s="1837">
        <v>0.5</v>
      </c>
      <c r="D27" s="1829">
        <v>0.5</v>
      </c>
      <c r="E27" s="1829">
        <v>0</v>
      </c>
      <c r="F27" s="1837">
        <v>0.5</v>
      </c>
      <c r="G27" s="1850">
        <v>0</v>
      </c>
      <c r="H27" s="1850">
        <v>0</v>
      </c>
      <c r="I27" s="2086" t="s">
        <v>42</v>
      </c>
      <c r="J27" s="2218" t="s">
        <v>6225</v>
      </c>
      <c r="K27" s="1915" t="s">
        <v>7373</v>
      </c>
      <c r="L27" s="1794">
        <v>0</v>
      </c>
      <c r="M27" s="1928">
        <v>0.5</v>
      </c>
      <c r="N27" s="1918" t="s">
        <v>1060</v>
      </c>
      <c r="O27" s="1794" t="s">
        <v>8616</v>
      </c>
      <c r="P27" s="1794">
        <v>1</v>
      </c>
      <c r="Q27" s="1915">
        <v>0</v>
      </c>
      <c r="R27" s="2096"/>
      <c r="S27" s="1795" t="s">
        <v>9039</v>
      </c>
      <c r="T27" s="1915" t="s">
        <v>7418</v>
      </c>
      <c r="U27" s="1794" t="s">
        <v>7174</v>
      </c>
      <c r="V27" s="1928" t="s">
        <v>7828</v>
      </c>
      <c r="W27" s="1915" t="s">
        <v>8273</v>
      </c>
      <c r="X27" s="1915" t="s">
        <v>8616</v>
      </c>
    </row>
    <row r="28" spans="1:24" ht="82.5" customHeight="1">
      <c r="A28" s="1899"/>
      <c r="B28" s="1807" t="s">
        <v>43</v>
      </c>
      <c r="C28" s="1837">
        <v>1</v>
      </c>
      <c r="D28" s="1829">
        <v>1</v>
      </c>
      <c r="E28" s="1829">
        <v>1</v>
      </c>
      <c r="F28" s="1837">
        <v>1</v>
      </c>
      <c r="G28" s="1850">
        <v>1</v>
      </c>
      <c r="H28" s="1850">
        <v>1</v>
      </c>
      <c r="I28" s="2086" t="s">
        <v>42</v>
      </c>
      <c r="J28" s="2217">
        <v>1</v>
      </c>
      <c r="K28" s="1925" t="s">
        <v>1134</v>
      </c>
      <c r="L28" s="1794">
        <v>1</v>
      </c>
      <c r="M28" s="1928">
        <v>1</v>
      </c>
      <c r="N28" s="1918" t="s">
        <v>960</v>
      </c>
      <c r="O28" s="1794" t="s">
        <v>8617</v>
      </c>
      <c r="P28" s="1794">
        <v>1</v>
      </c>
      <c r="Q28" s="1915">
        <v>0</v>
      </c>
      <c r="R28" s="2096"/>
      <c r="S28" s="1795" t="s">
        <v>9040</v>
      </c>
      <c r="T28" s="1925" t="s">
        <v>7419</v>
      </c>
      <c r="U28" s="1794" t="s">
        <v>5859</v>
      </c>
      <c r="V28" s="1928" t="s">
        <v>6043</v>
      </c>
      <c r="W28" s="1915" t="s">
        <v>8274</v>
      </c>
      <c r="X28" s="1915" t="s">
        <v>8617</v>
      </c>
    </row>
    <row r="29" spans="1:24" ht="80.099999999999994" customHeight="1">
      <c r="A29" s="1899"/>
      <c r="B29" s="1807" t="s">
        <v>44</v>
      </c>
      <c r="C29" s="1837">
        <v>0</v>
      </c>
      <c r="D29" s="1829">
        <v>0.5</v>
      </c>
      <c r="E29" s="1850">
        <v>0.5</v>
      </c>
      <c r="F29" s="1829">
        <v>0.5</v>
      </c>
      <c r="G29" s="1850">
        <v>0.5</v>
      </c>
      <c r="H29" s="1850">
        <v>0</v>
      </c>
      <c r="I29" s="2086" t="s">
        <v>45</v>
      </c>
      <c r="J29" s="2217">
        <v>1</v>
      </c>
      <c r="K29" s="1925" t="s">
        <v>7373</v>
      </c>
      <c r="L29" s="1920">
        <v>0.5</v>
      </c>
      <c r="M29" s="1916">
        <v>0.5</v>
      </c>
      <c r="N29" s="1918" t="s">
        <v>8258</v>
      </c>
      <c r="O29" s="1794" t="s">
        <v>8618</v>
      </c>
      <c r="P29" s="1794">
        <v>1</v>
      </c>
      <c r="Q29" s="1915">
        <v>0</v>
      </c>
      <c r="R29" s="2096"/>
      <c r="S29" s="1795" t="s">
        <v>9041</v>
      </c>
      <c r="T29" s="1925" t="s">
        <v>7420</v>
      </c>
      <c r="U29" s="1916" t="s">
        <v>5860</v>
      </c>
      <c r="V29" s="1916" t="s">
        <v>7829</v>
      </c>
      <c r="W29" s="1915" t="s">
        <v>8275</v>
      </c>
      <c r="X29" s="1915" t="s">
        <v>8618</v>
      </c>
    </row>
    <row r="30" spans="1:24" ht="32.1" customHeight="1">
      <c r="A30" s="1899"/>
      <c r="B30" s="1807" t="s">
        <v>46</v>
      </c>
      <c r="C30" s="1837">
        <v>0.5</v>
      </c>
      <c r="D30" s="1829">
        <v>0.5</v>
      </c>
      <c r="E30" s="1829">
        <v>0</v>
      </c>
      <c r="F30" s="1837">
        <v>1</v>
      </c>
      <c r="G30" s="1850">
        <v>0</v>
      </c>
      <c r="H30" s="1850">
        <v>0</v>
      </c>
      <c r="I30" s="2086" t="s">
        <v>47</v>
      </c>
      <c r="J30" s="2218" t="s">
        <v>6225</v>
      </c>
      <c r="K30" s="1929" t="s">
        <v>7374</v>
      </c>
      <c r="L30" s="1794">
        <v>0</v>
      </c>
      <c r="M30" s="1928">
        <v>1</v>
      </c>
      <c r="N30" s="1918" t="s">
        <v>1060</v>
      </c>
      <c r="O30" s="1794" t="s">
        <v>8619</v>
      </c>
      <c r="P30" s="1794">
        <v>1</v>
      </c>
      <c r="Q30" s="1915">
        <v>0</v>
      </c>
      <c r="R30" s="2096"/>
      <c r="S30" s="1795" t="s">
        <v>9042</v>
      </c>
      <c r="T30" s="1929" t="s">
        <v>7421</v>
      </c>
      <c r="U30" s="1794" t="s">
        <v>7175</v>
      </c>
      <c r="V30" s="1928" t="s">
        <v>7830</v>
      </c>
      <c r="W30" s="1915" t="s">
        <v>8276</v>
      </c>
      <c r="X30" s="1915" t="s">
        <v>8619</v>
      </c>
    </row>
    <row r="31" spans="1:24" ht="141.75" customHeight="1">
      <c r="A31" s="1899"/>
      <c r="B31" s="1807" t="s">
        <v>48</v>
      </c>
      <c r="C31" s="1837">
        <v>0</v>
      </c>
      <c r="D31" s="1829">
        <v>0.5</v>
      </c>
      <c r="E31" s="1850">
        <v>0.5</v>
      </c>
      <c r="F31" s="1837">
        <v>1</v>
      </c>
      <c r="G31" s="1850">
        <v>0</v>
      </c>
      <c r="H31" s="1850">
        <v>0</v>
      </c>
      <c r="I31" s="2086" t="s">
        <v>49</v>
      </c>
      <c r="J31" s="2217">
        <v>0</v>
      </c>
      <c r="K31" s="1925" t="s">
        <v>7373</v>
      </c>
      <c r="L31" s="1920">
        <v>0.5</v>
      </c>
      <c r="M31" s="1928">
        <v>1</v>
      </c>
      <c r="N31" s="1918" t="s">
        <v>1060</v>
      </c>
      <c r="O31" s="1915" t="s">
        <v>8620</v>
      </c>
      <c r="P31" s="1915">
        <v>1</v>
      </c>
      <c r="Q31" s="1915">
        <v>0</v>
      </c>
      <c r="R31" s="2096"/>
      <c r="S31" s="1795" t="s">
        <v>9043</v>
      </c>
      <c r="T31" s="1925" t="s">
        <v>7422</v>
      </c>
      <c r="U31" s="1794" t="s">
        <v>7176</v>
      </c>
      <c r="V31" s="1802" t="s">
        <v>9089</v>
      </c>
      <c r="W31" s="1915" t="s">
        <v>8277</v>
      </c>
      <c r="X31" s="1915" t="s">
        <v>8620</v>
      </c>
    </row>
    <row r="32" spans="1:24" ht="92.1" customHeight="1">
      <c r="A32" s="1899"/>
      <c r="B32" s="1807" t="s">
        <v>50</v>
      </c>
      <c r="C32" s="1837">
        <v>0.5</v>
      </c>
      <c r="D32" s="1829">
        <v>0.5</v>
      </c>
      <c r="E32" s="1829">
        <v>0</v>
      </c>
      <c r="F32" s="1837">
        <v>0.5</v>
      </c>
      <c r="G32" s="1850">
        <v>0.5</v>
      </c>
      <c r="H32" s="1850">
        <v>0</v>
      </c>
      <c r="I32" s="2086" t="s">
        <v>51</v>
      </c>
      <c r="J32" s="2217">
        <v>1</v>
      </c>
      <c r="K32" s="1915" t="s">
        <v>6304</v>
      </c>
      <c r="L32" s="1794">
        <v>0</v>
      </c>
      <c r="M32" s="1802">
        <v>1</v>
      </c>
      <c r="N32" s="1918" t="s">
        <v>1060</v>
      </c>
      <c r="O32" s="1915" t="s">
        <v>8621</v>
      </c>
      <c r="P32" s="1915">
        <v>1</v>
      </c>
      <c r="Q32" s="1915">
        <v>0</v>
      </c>
      <c r="R32" s="2096"/>
      <c r="S32" s="1795" t="s">
        <v>9044</v>
      </c>
      <c r="T32" s="1915" t="s">
        <v>7423</v>
      </c>
      <c r="U32" s="1794" t="s">
        <v>7177</v>
      </c>
      <c r="V32" s="1928" t="s">
        <v>7831</v>
      </c>
      <c r="W32" s="1915" t="s">
        <v>8278</v>
      </c>
      <c r="X32" s="1915" t="s">
        <v>8621</v>
      </c>
    </row>
    <row r="33" spans="1:78" ht="32.1" customHeight="1">
      <c r="A33" s="2500"/>
      <c r="B33" s="2059" t="s">
        <v>6975</v>
      </c>
      <c r="C33" s="2060">
        <f>AVERAGE(C34:C35)</f>
        <v>0.75</v>
      </c>
      <c r="D33" s="2060">
        <f t="shared" ref="D33:F33" si="10">AVERAGE(D34:D35)</f>
        <v>1</v>
      </c>
      <c r="E33" s="2060">
        <f t="shared" si="10"/>
        <v>0.25</v>
      </c>
      <c r="F33" s="2060">
        <f t="shared" si="10"/>
        <v>1</v>
      </c>
      <c r="G33" s="2060">
        <f>AVERAGE(G34:G35)</f>
        <v>0.75</v>
      </c>
      <c r="H33" s="2060">
        <f>AVERAGE(H34:H35)</f>
        <v>0.25</v>
      </c>
      <c r="I33" s="2086"/>
      <c r="J33" s="1910"/>
      <c r="K33" s="1911"/>
      <c r="L33" s="1911"/>
      <c r="M33" s="1910"/>
      <c r="N33" s="1911"/>
      <c r="O33" s="1911"/>
      <c r="P33" s="1911"/>
      <c r="Q33" s="1911"/>
      <c r="R33" s="2096"/>
      <c r="S33" s="1923"/>
      <c r="T33" s="1911"/>
      <c r="U33" s="1911"/>
      <c r="V33" s="1910"/>
      <c r="W33" s="1911"/>
      <c r="X33" s="1911"/>
    </row>
    <row r="34" spans="1:78" ht="32.1" customHeight="1">
      <c r="A34" s="1899"/>
      <c r="B34" s="1805" t="s">
        <v>52</v>
      </c>
      <c r="C34" s="1837">
        <v>0.5</v>
      </c>
      <c r="D34" s="1829">
        <v>1</v>
      </c>
      <c r="E34" s="1829">
        <v>0.5</v>
      </c>
      <c r="F34" s="1837">
        <v>1</v>
      </c>
      <c r="G34" s="1850">
        <v>1</v>
      </c>
      <c r="H34" s="1850">
        <v>0.5</v>
      </c>
      <c r="I34" s="2086" t="s">
        <v>53</v>
      </c>
      <c r="J34" s="2218" t="s">
        <v>6225</v>
      </c>
      <c r="K34" s="1915" t="s">
        <v>1134</v>
      </c>
      <c r="L34" s="1794">
        <v>0.5</v>
      </c>
      <c r="M34" s="1928">
        <v>1</v>
      </c>
      <c r="N34" s="1918" t="s">
        <v>960</v>
      </c>
      <c r="O34" s="1915" t="s">
        <v>8622</v>
      </c>
      <c r="P34" s="1915">
        <v>1</v>
      </c>
      <c r="Q34" s="1915">
        <v>0</v>
      </c>
      <c r="R34" s="2096"/>
      <c r="S34" s="1795" t="s">
        <v>9045</v>
      </c>
      <c r="T34" s="1915" t="s">
        <v>7424</v>
      </c>
      <c r="U34" s="1794" t="s">
        <v>5864</v>
      </c>
      <c r="V34" s="1928" t="s">
        <v>845</v>
      </c>
      <c r="W34" s="1915" t="s">
        <v>8279</v>
      </c>
      <c r="X34" s="1915" t="s">
        <v>8622</v>
      </c>
    </row>
    <row r="35" spans="1:78" ht="32.1" customHeight="1">
      <c r="A35" s="1899"/>
      <c r="B35" s="1805" t="s">
        <v>7050</v>
      </c>
      <c r="C35" s="1837">
        <v>1</v>
      </c>
      <c r="D35" s="1829">
        <v>1</v>
      </c>
      <c r="E35" s="1829">
        <v>0</v>
      </c>
      <c r="F35" s="1837">
        <v>1</v>
      </c>
      <c r="G35" s="1850">
        <v>0.5</v>
      </c>
      <c r="H35" s="1850">
        <v>0</v>
      </c>
      <c r="I35" s="2086"/>
      <c r="J35" s="2217">
        <v>1</v>
      </c>
      <c r="K35" s="1915" t="s">
        <v>1134</v>
      </c>
      <c r="L35" s="1794">
        <v>0</v>
      </c>
      <c r="M35" s="1928">
        <v>1</v>
      </c>
      <c r="N35" s="1918" t="s">
        <v>8258</v>
      </c>
      <c r="O35" s="1915" t="s">
        <v>8623</v>
      </c>
      <c r="P35" s="1915">
        <v>1</v>
      </c>
      <c r="Q35" s="1915">
        <v>0</v>
      </c>
      <c r="R35" s="2096"/>
      <c r="S35" s="1795" t="s">
        <v>9046</v>
      </c>
      <c r="T35" s="1915" t="s">
        <v>7425</v>
      </c>
      <c r="U35" s="1794" t="s">
        <v>7178</v>
      </c>
      <c r="V35" s="1928" t="s">
        <v>7832</v>
      </c>
      <c r="W35" s="1915" t="s">
        <v>8280</v>
      </c>
      <c r="X35" s="1915" t="s">
        <v>8623</v>
      </c>
    </row>
    <row r="36" spans="1:78" ht="32.1" customHeight="1">
      <c r="A36" s="2500"/>
      <c r="B36" s="2059" t="s">
        <v>6974</v>
      </c>
      <c r="C36" s="2060">
        <f>AVERAGE(C37:C38)</f>
        <v>0</v>
      </c>
      <c r="D36" s="2060">
        <f t="shared" ref="D36:H36" si="11">AVERAGE(D37:D38)</f>
        <v>0.5</v>
      </c>
      <c r="E36" s="2060">
        <f t="shared" si="11"/>
        <v>0</v>
      </c>
      <c r="F36" s="2060">
        <f>AVERAGE(F37:F38)</f>
        <v>0</v>
      </c>
      <c r="G36" s="2060">
        <f t="shared" si="11"/>
        <v>0.5</v>
      </c>
      <c r="H36" s="2060">
        <f t="shared" si="11"/>
        <v>0</v>
      </c>
      <c r="I36" s="2086"/>
      <c r="J36" s="1910"/>
      <c r="K36" s="1911"/>
      <c r="L36" s="1911"/>
      <c r="M36" s="1910"/>
      <c r="N36" s="1911"/>
      <c r="O36" s="1911"/>
      <c r="P36" s="1911"/>
      <c r="Q36" s="1911"/>
      <c r="R36" s="2096"/>
      <c r="S36" s="1923"/>
      <c r="T36" s="1911"/>
      <c r="U36" s="1911"/>
      <c r="V36" s="1910"/>
      <c r="W36" s="1911"/>
      <c r="X36" s="1911"/>
    </row>
    <row r="37" spans="1:78" ht="161.25" customHeight="1">
      <c r="A37" s="1899"/>
      <c r="B37" s="1805" t="s">
        <v>7051</v>
      </c>
      <c r="C37" s="1837">
        <v>0</v>
      </c>
      <c r="D37" s="1829">
        <v>0.5</v>
      </c>
      <c r="E37" s="1829">
        <v>0</v>
      </c>
      <c r="F37" s="1837">
        <v>0</v>
      </c>
      <c r="G37" s="1850">
        <v>0.5</v>
      </c>
      <c r="H37" s="1850">
        <v>0</v>
      </c>
      <c r="I37" s="2086"/>
      <c r="J37" s="2217">
        <v>0</v>
      </c>
      <c r="K37" s="1915" t="s">
        <v>1134</v>
      </c>
      <c r="L37" s="1794">
        <v>0</v>
      </c>
      <c r="M37" s="1802">
        <v>0</v>
      </c>
      <c r="N37" s="1918" t="s">
        <v>960</v>
      </c>
      <c r="O37" s="1915" t="s">
        <v>8624</v>
      </c>
      <c r="P37" s="1915">
        <v>1</v>
      </c>
      <c r="Q37" s="1915">
        <v>0</v>
      </c>
      <c r="R37" s="2096"/>
      <c r="S37" s="1930" t="s">
        <v>748</v>
      </c>
      <c r="T37" s="1915" t="s">
        <v>7426</v>
      </c>
      <c r="U37" s="1794" t="s">
        <v>7179</v>
      </c>
      <c r="V37" s="1802" t="s">
        <v>8565</v>
      </c>
      <c r="W37" s="1915" t="s">
        <v>8281</v>
      </c>
      <c r="X37" s="1915" t="s">
        <v>8624</v>
      </c>
    </row>
    <row r="38" spans="1:78" ht="32.1" customHeight="1">
      <c r="A38" s="1899"/>
      <c r="B38" s="1805" t="s">
        <v>7052</v>
      </c>
      <c r="C38" s="1837">
        <v>0</v>
      </c>
      <c r="D38" s="1829">
        <v>0.5</v>
      </c>
      <c r="E38" s="1829">
        <v>0</v>
      </c>
      <c r="F38" s="1837">
        <v>0</v>
      </c>
      <c r="G38" s="1850">
        <v>0.5</v>
      </c>
      <c r="H38" s="1850">
        <v>0</v>
      </c>
      <c r="I38" s="2086"/>
      <c r="J38" s="2217">
        <v>0</v>
      </c>
      <c r="K38" s="1915" t="s">
        <v>7373</v>
      </c>
      <c r="L38" s="1794">
        <v>0</v>
      </c>
      <c r="M38" s="1802">
        <v>0</v>
      </c>
      <c r="N38" s="1918" t="s">
        <v>8258</v>
      </c>
      <c r="O38" s="1915" t="s">
        <v>8625</v>
      </c>
      <c r="P38" s="1915">
        <v>1</v>
      </c>
      <c r="Q38" s="1915">
        <v>0</v>
      </c>
      <c r="R38" s="2096"/>
      <c r="S38" s="1930" t="s">
        <v>748</v>
      </c>
      <c r="T38" s="1915" t="s">
        <v>7427</v>
      </c>
      <c r="U38" s="1794" t="s">
        <v>748</v>
      </c>
      <c r="V38" s="1802" t="s">
        <v>877</v>
      </c>
      <c r="W38" s="1915" t="s">
        <v>8282</v>
      </c>
      <c r="X38" s="1915" t="s">
        <v>8625</v>
      </c>
    </row>
    <row r="39" spans="1:78" ht="66" customHeight="1">
      <c r="A39" s="1899"/>
      <c r="B39" s="1807" t="s">
        <v>54</v>
      </c>
      <c r="C39" s="1837">
        <v>1</v>
      </c>
      <c r="D39" s="1829">
        <v>1</v>
      </c>
      <c r="E39" s="1829">
        <v>0</v>
      </c>
      <c r="F39" s="1837">
        <v>0.5</v>
      </c>
      <c r="G39" s="1850">
        <v>0.5</v>
      </c>
      <c r="H39" s="1850">
        <v>0</v>
      </c>
      <c r="I39" s="2086" t="s">
        <v>55</v>
      </c>
      <c r="J39" s="2217">
        <v>0.5</v>
      </c>
      <c r="K39" s="1915" t="s">
        <v>1134</v>
      </c>
      <c r="L39" s="1794">
        <v>0</v>
      </c>
      <c r="M39" s="1802" t="s">
        <v>5533</v>
      </c>
      <c r="N39" s="1918" t="s">
        <v>8258</v>
      </c>
      <c r="O39" s="1915" t="s">
        <v>8626</v>
      </c>
      <c r="P39" s="1915">
        <v>1</v>
      </c>
      <c r="Q39" s="1915">
        <v>0</v>
      </c>
      <c r="R39" s="2096"/>
      <c r="S39" s="1795" t="s">
        <v>9047</v>
      </c>
      <c r="T39" s="1915" t="s">
        <v>7428</v>
      </c>
      <c r="U39" s="1794" t="s">
        <v>7180</v>
      </c>
      <c r="V39" s="1802" t="s">
        <v>7833</v>
      </c>
      <c r="W39" s="1915" t="s">
        <v>8283</v>
      </c>
      <c r="X39" s="1915" t="s">
        <v>8626</v>
      </c>
    </row>
    <row r="40" spans="1:78" ht="135" customHeight="1">
      <c r="A40" s="1899"/>
      <c r="B40" s="1807" t="s">
        <v>56</v>
      </c>
      <c r="C40" s="1837">
        <v>1</v>
      </c>
      <c r="D40" s="1829">
        <v>1</v>
      </c>
      <c r="E40" s="1829">
        <v>0.5</v>
      </c>
      <c r="F40" s="1837">
        <v>1</v>
      </c>
      <c r="G40" s="1850">
        <v>1</v>
      </c>
      <c r="H40" s="1850">
        <v>0.5</v>
      </c>
      <c r="I40" s="2086" t="s">
        <v>57</v>
      </c>
      <c r="J40" s="2217">
        <v>1</v>
      </c>
      <c r="K40" s="1915" t="s">
        <v>948</v>
      </c>
      <c r="L40" s="1794">
        <v>0.5</v>
      </c>
      <c r="M40" s="1802">
        <v>1</v>
      </c>
      <c r="N40" s="1918" t="s">
        <v>960</v>
      </c>
      <c r="O40" s="1915" t="s">
        <v>8627</v>
      </c>
      <c r="P40" s="1915">
        <v>1</v>
      </c>
      <c r="Q40" s="1915">
        <v>0</v>
      </c>
      <c r="R40" s="2096"/>
      <c r="S40" s="1795" t="s">
        <v>9048</v>
      </c>
      <c r="T40" s="1915" t="s">
        <v>7429</v>
      </c>
      <c r="U40" s="1794" t="s">
        <v>7181</v>
      </c>
      <c r="V40" s="1802" t="s">
        <v>7834</v>
      </c>
      <c r="W40" s="1915" t="s">
        <v>8284</v>
      </c>
      <c r="X40" s="1915" t="s">
        <v>8627</v>
      </c>
    </row>
    <row r="41" spans="1:78" ht="65.25" customHeight="1">
      <c r="A41" s="1899"/>
      <c r="B41" s="1807" t="s">
        <v>6976</v>
      </c>
      <c r="C41" s="1837">
        <v>1</v>
      </c>
      <c r="D41" s="1829">
        <v>1</v>
      </c>
      <c r="E41" s="1829">
        <v>0</v>
      </c>
      <c r="F41" s="1837">
        <v>1</v>
      </c>
      <c r="G41" s="1850">
        <v>0</v>
      </c>
      <c r="H41" s="1850">
        <v>0</v>
      </c>
      <c r="I41" s="2086"/>
      <c r="J41" s="1915" t="s">
        <v>1134</v>
      </c>
      <c r="K41" s="1915" t="s">
        <v>1134</v>
      </c>
      <c r="L41" s="1794">
        <v>0</v>
      </c>
      <c r="M41" s="1802">
        <v>1</v>
      </c>
      <c r="N41" s="1918" t="s">
        <v>1060</v>
      </c>
      <c r="O41" s="1915" t="s">
        <v>8628</v>
      </c>
      <c r="P41" s="1915">
        <v>1</v>
      </c>
      <c r="Q41" s="1915">
        <v>0</v>
      </c>
      <c r="R41" s="2096"/>
      <c r="S41" s="1795" t="s">
        <v>9049</v>
      </c>
      <c r="T41" s="1915" t="s">
        <v>7430</v>
      </c>
      <c r="U41" s="1794" t="s">
        <v>7182</v>
      </c>
      <c r="V41" s="1802" t="s">
        <v>7835</v>
      </c>
      <c r="W41" s="1915" t="s">
        <v>8285</v>
      </c>
      <c r="X41" s="1915" t="s">
        <v>8628</v>
      </c>
    </row>
    <row r="42" spans="1:78" ht="68.099999999999994" customHeight="1">
      <c r="A42" s="1899"/>
      <c r="B42" s="1807" t="s">
        <v>58</v>
      </c>
      <c r="C42" s="1837">
        <v>0.5</v>
      </c>
      <c r="D42" s="1829">
        <v>0</v>
      </c>
      <c r="E42" s="1829">
        <v>0</v>
      </c>
      <c r="F42" s="1829">
        <v>0.5</v>
      </c>
      <c r="G42" s="1850">
        <v>0.5</v>
      </c>
      <c r="H42" s="1850">
        <v>0</v>
      </c>
      <c r="I42" s="2086" t="s">
        <v>59</v>
      </c>
      <c r="J42" s="2217">
        <v>0.5</v>
      </c>
      <c r="K42" s="1915" t="s">
        <v>968</v>
      </c>
      <c r="L42" s="1794">
        <v>0</v>
      </c>
      <c r="M42" s="1794" t="s">
        <v>8566</v>
      </c>
      <c r="N42" s="1918" t="s">
        <v>1060</v>
      </c>
      <c r="O42" s="1915" t="s">
        <v>8629</v>
      </c>
      <c r="P42" s="1915">
        <v>1</v>
      </c>
      <c r="Q42" s="1915">
        <v>0</v>
      </c>
      <c r="R42" s="2096"/>
      <c r="S42" s="1795" t="s">
        <v>9050</v>
      </c>
      <c r="T42" s="1915" t="s">
        <v>7431</v>
      </c>
      <c r="U42" s="1794" t="s">
        <v>7183</v>
      </c>
      <c r="V42" s="1794" t="s">
        <v>7836</v>
      </c>
      <c r="W42" s="1915" t="s">
        <v>8286</v>
      </c>
      <c r="X42" s="1915" t="s">
        <v>8629</v>
      </c>
    </row>
    <row r="43" spans="1:78" ht="87" customHeight="1">
      <c r="A43" s="1899"/>
      <c r="B43" s="1807" t="s">
        <v>60</v>
      </c>
      <c r="C43" s="1837">
        <v>1</v>
      </c>
      <c r="D43" s="1829">
        <v>0.5</v>
      </c>
      <c r="E43" s="1829">
        <v>0</v>
      </c>
      <c r="F43" s="1837">
        <v>1</v>
      </c>
      <c r="G43" s="1850">
        <v>0.5</v>
      </c>
      <c r="H43" s="1850">
        <v>0</v>
      </c>
      <c r="I43" s="2284" t="s">
        <v>38</v>
      </c>
      <c r="J43" s="2217">
        <v>0.5</v>
      </c>
      <c r="K43" s="1915" t="s">
        <v>6304</v>
      </c>
      <c r="L43" s="1794">
        <v>0</v>
      </c>
      <c r="M43" s="1802">
        <v>1</v>
      </c>
      <c r="N43" s="1918" t="s">
        <v>3989</v>
      </c>
      <c r="O43" s="1915" t="s">
        <v>8630</v>
      </c>
      <c r="P43" s="1915">
        <v>1</v>
      </c>
      <c r="Q43" s="1915">
        <v>0</v>
      </c>
      <c r="R43" s="2096"/>
      <c r="S43" s="1800" t="s">
        <v>9051</v>
      </c>
      <c r="T43" s="1915" t="s">
        <v>7432</v>
      </c>
      <c r="U43" s="1794" t="s">
        <v>7184</v>
      </c>
      <c r="V43" s="1802" t="s">
        <v>7837</v>
      </c>
      <c r="W43" s="1915" t="s">
        <v>8287</v>
      </c>
      <c r="X43" s="1915" t="s">
        <v>8630</v>
      </c>
    </row>
    <row r="44" spans="1:78" ht="32.1" customHeight="1">
      <c r="A44" s="2499" t="s">
        <v>61</v>
      </c>
      <c r="B44" s="2084" t="s">
        <v>62</v>
      </c>
      <c r="C44" s="2093">
        <f t="shared" ref="C44:H44" si="12">AVERAGE(C45,C46)</f>
        <v>0.72694999999999999</v>
      </c>
      <c r="D44" s="2093">
        <f t="shared" si="12"/>
        <v>0.97714999999999996</v>
      </c>
      <c r="E44" s="2093">
        <f t="shared" si="12"/>
        <v>0.19880000000000003</v>
      </c>
      <c r="F44" s="2093">
        <f t="shared" si="12"/>
        <v>0.69015000000000004</v>
      </c>
      <c r="G44" s="2093">
        <f t="shared" si="12"/>
        <v>0.78144999999999998</v>
      </c>
      <c r="H44" s="2093">
        <f t="shared" si="12"/>
        <v>0.16499999999999998</v>
      </c>
      <c r="I44" s="2086"/>
      <c r="J44" s="2089"/>
      <c r="K44" s="2089"/>
      <c r="L44" s="2089"/>
      <c r="M44" s="2087"/>
      <c r="N44" s="2094"/>
      <c r="O44" s="2094"/>
      <c r="P44" s="2090"/>
      <c r="Q44" s="2090"/>
      <c r="R44" s="2091"/>
      <c r="S44" s="2089"/>
      <c r="T44" s="2089"/>
      <c r="U44" s="2089"/>
      <c r="V44" s="2087"/>
      <c r="W44" s="2094"/>
      <c r="X44" s="2094"/>
    </row>
    <row r="45" spans="1:78" s="1891" customFormat="1" ht="78" customHeight="1">
      <c r="A45" s="1899"/>
      <c r="B45" s="1838" t="s">
        <v>7103</v>
      </c>
      <c r="C45" s="1850">
        <f>(J45-100)/(0-100)</f>
        <v>0.58099999999999996</v>
      </c>
      <c r="D45" s="1850">
        <f>(K45-100)/(0-100)</f>
        <v>0.95779999999999998</v>
      </c>
      <c r="E45" s="1850">
        <f t="shared" ref="E45:H46" si="13">(L45-100)/(0-100)</f>
        <v>0.20900000000000005</v>
      </c>
      <c r="F45" s="1850">
        <f t="shared" si="13"/>
        <v>0.59599999999999997</v>
      </c>
      <c r="G45" s="1850">
        <f t="shared" si="13"/>
        <v>0.78110000000000002</v>
      </c>
      <c r="H45" s="1839">
        <f t="shared" si="13"/>
        <v>0.20700000000000002</v>
      </c>
      <c r="I45" s="2086" t="s">
        <v>5340</v>
      </c>
      <c r="J45" s="2217">
        <v>41.9</v>
      </c>
      <c r="K45" s="1931">
        <v>4.22</v>
      </c>
      <c r="L45" s="1932">
        <f>83.5-4.4</f>
        <v>79.099999999999994</v>
      </c>
      <c r="M45" s="1928">
        <v>40.4</v>
      </c>
      <c r="N45" s="1933">
        <v>21.89</v>
      </c>
      <c r="O45" s="1916">
        <v>79.3</v>
      </c>
      <c r="P45" s="1934">
        <v>0</v>
      </c>
      <c r="Q45" s="1934">
        <v>100</v>
      </c>
      <c r="R45" s="2291"/>
      <c r="S45" s="2217" t="s">
        <v>878</v>
      </c>
      <c r="T45" s="1931" t="s">
        <v>7433</v>
      </c>
      <c r="U45" s="1794" t="s">
        <v>7185</v>
      </c>
      <c r="V45" s="1928" t="s">
        <v>6049</v>
      </c>
      <c r="W45" s="1919" t="s">
        <v>5376</v>
      </c>
      <c r="X45" s="1916">
        <v>79.3</v>
      </c>
      <c r="Y45" s="1818"/>
      <c r="Z45" s="1818"/>
      <c r="AA45" s="1818"/>
      <c r="AB45" s="1818"/>
      <c r="AC45" s="1818"/>
      <c r="AD45" s="1818"/>
      <c r="AE45" s="1818"/>
      <c r="AF45" s="1818"/>
      <c r="AG45" s="1818"/>
      <c r="AH45" s="1818"/>
      <c r="AI45" s="1818"/>
      <c r="AJ45" s="1818"/>
      <c r="AK45" s="1818"/>
      <c r="AL45" s="1818"/>
      <c r="AM45" s="1818"/>
      <c r="AN45" s="1818"/>
      <c r="AO45" s="1818"/>
      <c r="AP45" s="1818"/>
      <c r="AQ45" s="1818"/>
      <c r="AR45" s="1818"/>
      <c r="AS45" s="1818"/>
      <c r="AT45" s="1818"/>
      <c r="AU45" s="1818"/>
      <c r="AV45" s="1818"/>
      <c r="AW45" s="1818"/>
      <c r="AX45" s="1818"/>
      <c r="AY45" s="1818"/>
      <c r="AZ45" s="1818"/>
      <c r="BA45" s="1818"/>
      <c r="BB45" s="1818"/>
      <c r="BC45" s="1818"/>
      <c r="BD45" s="1818"/>
      <c r="BE45" s="1818"/>
      <c r="BF45" s="1818"/>
      <c r="BG45" s="1818"/>
      <c r="BH45" s="1818"/>
      <c r="BI45" s="1818"/>
      <c r="BJ45" s="1818"/>
      <c r="BK45" s="1818"/>
      <c r="BL45" s="1818"/>
      <c r="BM45" s="1818"/>
      <c r="BN45" s="1818"/>
      <c r="BO45" s="1818"/>
      <c r="BP45" s="1818"/>
      <c r="BQ45" s="1818"/>
      <c r="BR45" s="1818"/>
      <c r="BS45" s="1818"/>
      <c r="BT45" s="1818"/>
      <c r="BU45" s="1818"/>
      <c r="BV45" s="1818"/>
      <c r="BW45" s="1818"/>
      <c r="BX45" s="1818"/>
      <c r="BY45" s="1818"/>
      <c r="BZ45" s="1818"/>
    </row>
    <row r="46" spans="1:78" ht="141" customHeight="1">
      <c r="A46" s="1899"/>
      <c r="B46" s="1840" t="s">
        <v>6933</v>
      </c>
      <c r="C46" s="1850">
        <f>(J46-100)/(0-100)</f>
        <v>0.8728999999999999</v>
      </c>
      <c r="D46" s="1850">
        <f>(K46-100)/(0-100)</f>
        <v>0.99650000000000005</v>
      </c>
      <c r="E46" s="1850">
        <f>(L46-100)/(0-100)</f>
        <v>0.18859999999999999</v>
      </c>
      <c r="F46" s="1850">
        <f>(M46-100)/(0-100)</f>
        <v>0.78430000000000011</v>
      </c>
      <c r="G46" s="1850">
        <f t="shared" si="13"/>
        <v>0.78180000000000005</v>
      </c>
      <c r="H46" s="1839">
        <f t="shared" si="13"/>
        <v>0.12299999999999997</v>
      </c>
      <c r="I46" s="2285" t="s">
        <v>5341</v>
      </c>
      <c r="J46" s="2217">
        <v>12.71</v>
      </c>
      <c r="K46" s="1925">
        <v>0.35</v>
      </c>
      <c r="L46" s="1916">
        <v>81.14</v>
      </c>
      <c r="M46" s="1929">
        <v>21.57</v>
      </c>
      <c r="N46" s="1933">
        <v>21.82</v>
      </c>
      <c r="O46" s="1915">
        <v>87.7</v>
      </c>
      <c r="P46" s="1915">
        <v>0</v>
      </c>
      <c r="Q46" s="1915">
        <v>100</v>
      </c>
      <c r="R46" s="2096"/>
      <c r="S46" s="2217" t="s">
        <v>9098</v>
      </c>
      <c r="T46" s="1925" t="s">
        <v>7434</v>
      </c>
      <c r="U46" s="1916" t="s">
        <v>7186</v>
      </c>
      <c r="V46" s="1916" t="s">
        <v>6050</v>
      </c>
      <c r="W46" s="1915" t="s">
        <v>8288</v>
      </c>
      <c r="X46" s="1915">
        <v>87.7</v>
      </c>
    </row>
    <row r="47" spans="1:78" ht="32.1" customHeight="1">
      <c r="A47" s="2502" t="s">
        <v>5267</v>
      </c>
      <c r="B47" s="2080" t="s">
        <v>7104</v>
      </c>
      <c r="C47" s="2081">
        <f>AVERAGE(C48,C59)</f>
        <v>0.64672619047619051</v>
      </c>
      <c r="D47" s="2081">
        <f t="shared" ref="D47:H47" si="14">AVERAGE(D48,D59)</f>
        <v>0.64404761904761898</v>
      </c>
      <c r="E47" s="2081">
        <f t="shared" si="14"/>
        <v>6.283068783068782E-2</v>
      </c>
      <c r="F47" s="2081">
        <f t="shared" si="14"/>
        <v>0.67797619047619051</v>
      </c>
      <c r="G47" s="2081">
        <f t="shared" si="14"/>
        <v>0.580952380952381</v>
      </c>
      <c r="H47" s="2081">
        <f t="shared" si="14"/>
        <v>0.35714285714285715</v>
      </c>
      <c r="I47" s="2076"/>
      <c r="J47" s="2077"/>
      <c r="K47" s="2077"/>
      <c r="L47" s="2077"/>
      <c r="M47" s="2077"/>
      <c r="N47" s="2077"/>
      <c r="O47" s="2077"/>
      <c r="P47" s="2077"/>
      <c r="Q47" s="2077"/>
      <c r="R47" s="2083"/>
      <c r="S47" s="2077"/>
      <c r="T47" s="2077"/>
      <c r="U47" s="2077"/>
      <c r="V47" s="2077"/>
      <c r="W47" s="2077"/>
      <c r="X47" s="2077"/>
    </row>
    <row r="48" spans="1:78" s="1892" customFormat="1" ht="32.1" customHeight="1">
      <c r="A48" s="2503" t="s">
        <v>65</v>
      </c>
      <c r="B48" s="2055" t="s">
        <v>6960</v>
      </c>
      <c r="C48" s="2056">
        <f>AVERAGE(C49:C58)</f>
        <v>0.29345238095238091</v>
      </c>
      <c r="D48" s="2056">
        <f t="shared" ref="D48:H48" si="15">AVERAGE(D49:D58)</f>
        <v>0.28809523809523807</v>
      </c>
      <c r="E48" s="2056">
        <f t="shared" si="15"/>
        <v>5.4232804232804223E-2</v>
      </c>
      <c r="F48" s="2056">
        <f t="shared" si="15"/>
        <v>0.35595238095238091</v>
      </c>
      <c r="G48" s="2056">
        <f t="shared" si="15"/>
        <v>0.23333333333333331</v>
      </c>
      <c r="H48" s="2056">
        <f t="shared" si="15"/>
        <v>0</v>
      </c>
      <c r="I48" s="2086"/>
      <c r="J48" s="2095"/>
      <c r="K48" s="2095"/>
      <c r="L48" s="2095"/>
      <c r="M48" s="2095"/>
      <c r="N48" s="2095"/>
      <c r="O48" s="2095"/>
      <c r="P48" s="2095"/>
      <c r="Q48" s="2095"/>
      <c r="R48" s="2096"/>
      <c r="S48" s="2095"/>
      <c r="T48" s="2095"/>
      <c r="U48" s="2095"/>
      <c r="V48" s="2095"/>
      <c r="W48" s="2095"/>
      <c r="X48" s="2095"/>
      <c r="Y48" s="1818"/>
      <c r="Z48" s="1818"/>
      <c r="AA48" s="1818"/>
      <c r="AB48" s="1818"/>
      <c r="AC48" s="1818"/>
      <c r="AD48" s="1818"/>
      <c r="AE48" s="1818"/>
      <c r="AF48" s="1818"/>
      <c r="AG48" s="1818"/>
      <c r="AH48" s="1818"/>
      <c r="AI48" s="1818"/>
      <c r="AJ48" s="1818"/>
      <c r="AK48" s="1818"/>
      <c r="AL48" s="1818"/>
      <c r="AM48" s="1818"/>
      <c r="AN48" s="1818"/>
      <c r="AO48" s="1818"/>
      <c r="AP48" s="1818"/>
      <c r="AQ48" s="1818"/>
      <c r="AR48" s="1818"/>
      <c r="AS48" s="1818"/>
      <c r="AT48" s="1818"/>
      <c r="AU48" s="1818"/>
      <c r="AV48" s="1818"/>
      <c r="AW48" s="1818"/>
      <c r="AX48" s="1818"/>
      <c r="AY48" s="1818"/>
      <c r="AZ48" s="1818"/>
      <c r="BA48" s="1818"/>
      <c r="BB48" s="1818"/>
      <c r="BC48" s="1818"/>
      <c r="BD48" s="1818"/>
      <c r="BE48" s="1818"/>
      <c r="BF48" s="1818"/>
      <c r="BG48" s="1818"/>
      <c r="BH48" s="1818"/>
      <c r="BI48" s="1818"/>
      <c r="BJ48" s="1818"/>
      <c r="BK48" s="1818"/>
      <c r="BL48" s="1818"/>
      <c r="BM48" s="1818"/>
      <c r="BN48" s="1818"/>
      <c r="BO48" s="1818"/>
      <c r="BP48" s="1818"/>
      <c r="BQ48" s="1818"/>
      <c r="BR48" s="1818"/>
      <c r="BS48" s="1818"/>
      <c r="BT48" s="1818"/>
      <c r="BU48" s="1818"/>
      <c r="BV48" s="1818"/>
      <c r="BW48" s="1818"/>
      <c r="BX48" s="1818"/>
      <c r="BY48" s="1818"/>
      <c r="BZ48" s="1818"/>
    </row>
    <row r="49" spans="1:78" s="1893" customFormat="1" ht="88.35" customHeight="1">
      <c r="A49" s="2504"/>
      <c r="B49" s="2057" t="s">
        <v>7137</v>
      </c>
      <c r="C49" s="2303">
        <f t="shared" ref="C49:H51" si="16">IF(J49&gt;$P49,1,IF(J49&lt;$Q49,0,(J49-$Q49)/($P49-$Q49)))</f>
        <v>0.625</v>
      </c>
      <c r="D49" s="2303">
        <f t="shared" si="16"/>
        <v>0.5</v>
      </c>
      <c r="E49" s="2303">
        <f t="shared" si="16"/>
        <v>0.25</v>
      </c>
      <c r="F49" s="2303">
        <f t="shared" si="16"/>
        <v>0.75</v>
      </c>
      <c r="G49" s="2303">
        <f t="shared" si="16"/>
        <v>0.5</v>
      </c>
      <c r="H49" s="2303">
        <f t="shared" si="16"/>
        <v>0</v>
      </c>
      <c r="I49" s="2086" t="s">
        <v>5343</v>
      </c>
      <c r="J49" s="2222">
        <v>10</v>
      </c>
      <c r="K49" s="2222">
        <v>9</v>
      </c>
      <c r="L49" s="2222">
        <v>7</v>
      </c>
      <c r="M49" s="2222">
        <v>11</v>
      </c>
      <c r="N49" s="2222">
        <v>9</v>
      </c>
      <c r="O49" s="2222">
        <v>5</v>
      </c>
      <c r="P49" s="2222">
        <v>13</v>
      </c>
      <c r="Q49" s="2222">
        <v>5</v>
      </c>
      <c r="R49" s="2100"/>
      <c r="S49" s="2222"/>
      <c r="T49" s="2222"/>
      <c r="U49" s="2222"/>
      <c r="V49" s="2222"/>
      <c r="W49" s="2222"/>
      <c r="X49" s="2222">
        <v>5</v>
      </c>
      <c r="Y49" s="1818"/>
      <c r="Z49" s="1818"/>
      <c r="AA49" s="1818"/>
      <c r="AB49" s="1818"/>
      <c r="AC49" s="1818"/>
      <c r="AD49" s="1818"/>
      <c r="AE49" s="1818"/>
      <c r="AF49" s="1818"/>
      <c r="AG49" s="1818"/>
      <c r="AH49" s="1818"/>
      <c r="AI49" s="1818"/>
      <c r="AJ49" s="1818"/>
      <c r="AK49" s="1818"/>
      <c r="AL49" s="1818"/>
      <c r="AM49" s="1818"/>
      <c r="AN49" s="1818"/>
      <c r="AO49" s="1818"/>
      <c r="AP49" s="1818"/>
      <c r="AQ49" s="1818"/>
      <c r="AR49" s="1818"/>
      <c r="AS49" s="1818"/>
      <c r="AT49" s="1818"/>
      <c r="AU49" s="1818"/>
      <c r="AV49" s="1818"/>
      <c r="AW49" s="1818"/>
      <c r="AX49" s="1818"/>
      <c r="AY49" s="1818"/>
      <c r="AZ49" s="1818"/>
      <c r="BA49" s="1818"/>
      <c r="BB49" s="1818"/>
      <c r="BC49" s="1818"/>
      <c r="BD49" s="1818"/>
      <c r="BE49" s="1818"/>
      <c r="BF49" s="1818"/>
      <c r="BG49" s="1818"/>
      <c r="BH49" s="1818"/>
      <c r="BI49" s="1818"/>
      <c r="BJ49" s="1818"/>
      <c r="BK49" s="1818"/>
      <c r="BL49" s="1818"/>
      <c r="BM49" s="1818"/>
      <c r="BN49" s="1818"/>
      <c r="BO49" s="1818"/>
      <c r="BP49" s="1818"/>
      <c r="BQ49" s="1818"/>
      <c r="BR49" s="1818"/>
      <c r="BS49" s="1818"/>
      <c r="BT49" s="1818"/>
      <c r="BU49" s="1818"/>
      <c r="BV49" s="1818"/>
      <c r="BW49" s="1818"/>
      <c r="BX49" s="1818"/>
      <c r="BY49" s="1818"/>
      <c r="BZ49" s="1818"/>
    </row>
    <row r="50" spans="1:78" s="1893" customFormat="1" ht="87" customHeight="1">
      <c r="A50" s="2504"/>
      <c r="B50" s="2057" t="s">
        <v>7138</v>
      </c>
      <c r="C50" s="2303">
        <f t="shared" si="16"/>
        <v>0.6428571428571429</v>
      </c>
      <c r="D50" s="2303">
        <f t="shared" si="16"/>
        <v>0.7142857142857143</v>
      </c>
      <c r="E50" s="2303">
        <f t="shared" si="16"/>
        <v>7.1428571428571425E-2</v>
      </c>
      <c r="F50" s="2303">
        <f t="shared" si="16"/>
        <v>0.6428571428571429</v>
      </c>
      <c r="G50" s="2303">
        <f t="shared" si="16"/>
        <v>0.5</v>
      </c>
      <c r="H50" s="2303">
        <f t="shared" si="16"/>
        <v>0</v>
      </c>
      <c r="I50" s="2086" t="s">
        <v>5344</v>
      </c>
      <c r="J50" s="2222">
        <v>11</v>
      </c>
      <c r="K50" s="2222">
        <v>12</v>
      </c>
      <c r="L50" s="2222">
        <v>3</v>
      </c>
      <c r="M50" s="2222">
        <v>11</v>
      </c>
      <c r="N50" s="2222">
        <v>9</v>
      </c>
      <c r="O50" s="2222">
        <v>2</v>
      </c>
      <c r="P50" s="2222">
        <v>16</v>
      </c>
      <c r="Q50" s="2222">
        <v>2</v>
      </c>
      <c r="R50" s="2100"/>
      <c r="S50" s="2222"/>
      <c r="T50" s="2222"/>
      <c r="U50" s="2222"/>
      <c r="V50" s="2222"/>
      <c r="W50" s="2222"/>
      <c r="X50" s="2222">
        <v>2</v>
      </c>
      <c r="Y50" s="1818"/>
      <c r="Z50" s="1818"/>
      <c r="AA50" s="1818"/>
      <c r="AB50" s="1818"/>
      <c r="AC50" s="1818"/>
      <c r="AD50" s="1818"/>
      <c r="AE50" s="1818"/>
      <c r="AF50" s="1818"/>
      <c r="AG50" s="1818"/>
      <c r="AH50" s="1818"/>
      <c r="AI50" s="1818"/>
      <c r="AJ50" s="1818"/>
      <c r="AK50" s="1818"/>
      <c r="AL50" s="1818"/>
      <c r="AM50" s="1818"/>
      <c r="AN50" s="1818"/>
      <c r="AO50" s="1818"/>
      <c r="AP50" s="1818"/>
      <c r="AQ50" s="1818"/>
      <c r="AR50" s="1818"/>
      <c r="AS50" s="1818"/>
      <c r="AT50" s="1818"/>
      <c r="AU50" s="1818"/>
      <c r="AV50" s="1818"/>
      <c r="AW50" s="1818"/>
      <c r="AX50" s="1818"/>
      <c r="AY50" s="1818"/>
      <c r="AZ50" s="1818"/>
      <c r="BA50" s="1818"/>
      <c r="BB50" s="1818"/>
      <c r="BC50" s="1818"/>
      <c r="BD50" s="1818"/>
      <c r="BE50" s="1818"/>
      <c r="BF50" s="1818"/>
      <c r="BG50" s="1818"/>
      <c r="BH50" s="1818"/>
      <c r="BI50" s="1818"/>
      <c r="BJ50" s="1818"/>
      <c r="BK50" s="1818"/>
      <c r="BL50" s="1818"/>
      <c r="BM50" s="1818"/>
      <c r="BN50" s="1818"/>
      <c r="BO50" s="1818"/>
      <c r="BP50" s="1818"/>
      <c r="BQ50" s="1818"/>
      <c r="BR50" s="1818"/>
      <c r="BS50" s="1818"/>
      <c r="BT50" s="1818"/>
      <c r="BU50" s="1818"/>
      <c r="BV50" s="1818"/>
      <c r="BW50" s="1818"/>
      <c r="BX50" s="1818"/>
      <c r="BY50" s="1818"/>
      <c r="BZ50" s="1818"/>
    </row>
    <row r="51" spans="1:78" s="1893" customFormat="1" ht="69" customHeight="1">
      <c r="A51" s="2504"/>
      <c r="B51" s="2057" t="s">
        <v>7139</v>
      </c>
      <c r="C51" s="2303">
        <f t="shared" si="16"/>
        <v>0.66666666666666663</v>
      </c>
      <c r="D51" s="2303">
        <f t="shared" si="16"/>
        <v>0.66666666666666663</v>
      </c>
      <c r="E51" s="2303">
        <f t="shared" si="16"/>
        <v>0.16666666666666666</v>
      </c>
      <c r="F51" s="2303">
        <f t="shared" si="16"/>
        <v>0.66666666666666663</v>
      </c>
      <c r="G51" s="2303">
        <f t="shared" si="16"/>
        <v>0.33333333333333331</v>
      </c>
      <c r="H51" s="2303">
        <f t="shared" si="16"/>
        <v>0</v>
      </c>
      <c r="I51" s="2086" t="s">
        <v>5345</v>
      </c>
      <c r="J51" s="2222">
        <v>7</v>
      </c>
      <c r="K51" s="2222">
        <v>7</v>
      </c>
      <c r="L51" s="2222">
        <v>4</v>
      </c>
      <c r="M51" s="2222">
        <v>7</v>
      </c>
      <c r="N51" s="2222">
        <v>5</v>
      </c>
      <c r="O51" s="2222">
        <v>3</v>
      </c>
      <c r="P51" s="2222">
        <v>9</v>
      </c>
      <c r="Q51" s="2222">
        <v>3</v>
      </c>
      <c r="R51" s="2100"/>
      <c r="S51" s="2222"/>
      <c r="T51" s="2222"/>
      <c r="U51" s="2222"/>
      <c r="V51" s="2222"/>
      <c r="W51" s="2222"/>
      <c r="X51" s="2222">
        <v>3</v>
      </c>
      <c r="Y51" s="1818"/>
      <c r="Z51" s="1818"/>
      <c r="AA51" s="1818"/>
      <c r="AB51" s="1818"/>
      <c r="AC51" s="1818"/>
      <c r="AD51" s="1818"/>
      <c r="AE51" s="1818"/>
      <c r="AF51" s="1818"/>
      <c r="AG51" s="1818"/>
      <c r="AH51" s="1818"/>
      <c r="AI51" s="1818"/>
      <c r="AJ51" s="1818"/>
      <c r="AK51" s="1818"/>
      <c r="AL51" s="1818"/>
      <c r="AM51" s="1818"/>
      <c r="AN51" s="1818"/>
      <c r="AO51" s="1818"/>
      <c r="AP51" s="1818"/>
      <c r="AQ51" s="1818"/>
      <c r="AR51" s="1818"/>
      <c r="AS51" s="1818"/>
      <c r="AT51" s="1818"/>
      <c r="AU51" s="1818"/>
      <c r="AV51" s="1818"/>
      <c r="AW51" s="1818"/>
      <c r="AX51" s="1818"/>
      <c r="AY51" s="1818"/>
      <c r="AZ51" s="1818"/>
      <c r="BA51" s="1818"/>
      <c r="BB51" s="1818"/>
      <c r="BC51" s="1818"/>
      <c r="BD51" s="1818"/>
      <c r="BE51" s="1818"/>
      <c r="BF51" s="1818"/>
      <c r="BG51" s="1818"/>
      <c r="BH51" s="1818"/>
      <c r="BI51" s="1818"/>
      <c r="BJ51" s="1818"/>
      <c r="BK51" s="1818"/>
      <c r="BL51" s="1818"/>
      <c r="BM51" s="1818"/>
      <c r="BN51" s="1818"/>
      <c r="BO51" s="1818"/>
      <c r="BP51" s="1818"/>
      <c r="BQ51" s="1818"/>
      <c r="BR51" s="1818"/>
      <c r="BS51" s="1818"/>
      <c r="BT51" s="1818"/>
      <c r="BU51" s="1818"/>
      <c r="BV51" s="1818"/>
      <c r="BW51" s="1818"/>
      <c r="BX51" s="1818"/>
      <c r="BY51" s="1818"/>
      <c r="BZ51" s="1818"/>
    </row>
    <row r="52" spans="1:78" s="1894" customFormat="1" ht="247.5" customHeight="1">
      <c r="A52" s="1899"/>
      <c r="B52" s="1807" t="s">
        <v>70</v>
      </c>
      <c r="C52" s="1829">
        <v>0</v>
      </c>
      <c r="D52" s="2301">
        <v>0</v>
      </c>
      <c r="E52" s="1829">
        <v>0</v>
      </c>
      <c r="F52" s="1829">
        <v>0.5</v>
      </c>
      <c r="G52" s="1829">
        <v>0</v>
      </c>
      <c r="H52" s="1808">
        <v>0</v>
      </c>
      <c r="I52" s="2538" t="s">
        <v>6962</v>
      </c>
      <c r="J52" s="1794" t="s">
        <v>8586</v>
      </c>
      <c r="K52" s="2302" t="s">
        <v>811</v>
      </c>
      <c r="L52" s="1794" t="s">
        <v>960</v>
      </c>
      <c r="M52" s="1794" t="s">
        <v>9306</v>
      </c>
      <c r="N52" s="1794" t="s">
        <v>8585</v>
      </c>
      <c r="O52" s="1799" t="s">
        <v>9307</v>
      </c>
      <c r="P52" s="2026">
        <v>0</v>
      </c>
      <c r="Q52" s="2026">
        <v>1</v>
      </c>
      <c r="R52" s="2121"/>
      <c r="S52" s="2246" t="s">
        <v>9169</v>
      </c>
      <c r="T52" s="2302" t="s">
        <v>7435</v>
      </c>
      <c r="U52" s="1794" t="s">
        <v>7187</v>
      </c>
      <c r="V52" s="1794" t="s">
        <v>7838</v>
      </c>
      <c r="W52" s="1794" t="s">
        <v>9091</v>
      </c>
      <c r="X52" s="1799" t="s">
        <v>8631</v>
      </c>
      <c r="Y52" s="1809"/>
      <c r="Z52" s="1809"/>
      <c r="AA52" s="1809"/>
      <c r="AB52" s="1809"/>
      <c r="AC52" s="1809"/>
      <c r="AD52" s="1809"/>
      <c r="AE52" s="1809"/>
      <c r="AF52" s="1809"/>
      <c r="AG52" s="1809"/>
      <c r="AH52" s="1809"/>
      <c r="AI52" s="1809"/>
      <c r="AJ52" s="1809"/>
      <c r="AK52" s="1809"/>
      <c r="AL52" s="1809"/>
      <c r="AM52" s="1809"/>
      <c r="AN52" s="1809"/>
      <c r="AO52" s="1809"/>
      <c r="AP52" s="1809"/>
      <c r="AQ52" s="1809"/>
      <c r="AR52" s="1809"/>
      <c r="AS52" s="1809"/>
      <c r="AT52" s="1809"/>
      <c r="AU52" s="1809"/>
      <c r="AV52" s="1809"/>
      <c r="AW52" s="1809"/>
      <c r="AX52" s="1809"/>
      <c r="AY52" s="1809"/>
      <c r="AZ52" s="1809"/>
      <c r="BA52" s="1809"/>
      <c r="BB52" s="1809"/>
      <c r="BC52" s="1809"/>
      <c r="BD52" s="1809"/>
      <c r="BE52" s="1809"/>
      <c r="BF52" s="1809"/>
      <c r="BG52" s="1809"/>
      <c r="BH52" s="1809"/>
      <c r="BI52" s="1809"/>
      <c r="BJ52" s="1809"/>
      <c r="BK52" s="1809"/>
      <c r="BL52" s="1809"/>
      <c r="BM52" s="1809"/>
      <c r="BN52" s="1809"/>
      <c r="BO52" s="1809"/>
      <c r="BP52" s="1809"/>
      <c r="BQ52" s="1809"/>
      <c r="BR52" s="1809"/>
      <c r="BS52" s="1809"/>
      <c r="BT52" s="1809"/>
      <c r="BU52" s="1809"/>
      <c r="BV52" s="1809"/>
      <c r="BW52" s="1809"/>
      <c r="BX52" s="1809"/>
      <c r="BY52" s="1809"/>
      <c r="BZ52" s="1809"/>
    </row>
    <row r="53" spans="1:78" s="1811" customFormat="1" ht="86.1" customHeight="1">
      <c r="A53" s="1899"/>
      <c r="B53" s="1807" t="s">
        <v>6961</v>
      </c>
      <c r="C53" s="1829">
        <v>0</v>
      </c>
      <c r="D53" s="2301">
        <v>0</v>
      </c>
      <c r="E53" s="1829">
        <v>0</v>
      </c>
      <c r="F53" s="1829">
        <v>0</v>
      </c>
      <c r="G53" s="1829">
        <v>0</v>
      </c>
      <c r="H53" s="1808">
        <v>0</v>
      </c>
      <c r="I53" s="2538" t="s">
        <v>9170</v>
      </c>
      <c r="J53" s="1794">
        <v>1</v>
      </c>
      <c r="K53" s="2302" t="s">
        <v>5427</v>
      </c>
      <c r="L53" s="1794">
        <v>1</v>
      </c>
      <c r="M53" s="1794">
        <v>1</v>
      </c>
      <c r="N53" s="1794" t="s">
        <v>811</v>
      </c>
      <c r="O53" s="1799" t="s">
        <v>8632</v>
      </c>
      <c r="P53" s="2026">
        <v>0</v>
      </c>
      <c r="Q53" s="2026">
        <v>1</v>
      </c>
      <c r="R53" s="2121"/>
      <c r="S53" s="2248" t="s">
        <v>9194</v>
      </c>
      <c r="T53" s="2302" t="s">
        <v>7436</v>
      </c>
      <c r="U53" s="1794" t="s">
        <v>7188</v>
      </c>
      <c r="V53" s="1794" t="s">
        <v>7839</v>
      </c>
      <c r="W53" s="1794" t="s">
        <v>8308</v>
      </c>
      <c r="X53" s="1799" t="s">
        <v>8632</v>
      </c>
      <c r="Y53" s="1748"/>
      <c r="Z53" s="1748"/>
      <c r="AA53" s="1748"/>
      <c r="AB53" s="1748"/>
      <c r="AC53" s="1748"/>
      <c r="AD53" s="1748"/>
      <c r="AE53" s="1748"/>
      <c r="AF53" s="1748"/>
      <c r="AG53" s="1748"/>
      <c r="AH53" s="1748"/>
      <c r="AI53" s="1748"/>
      <c r="AJ53" s="1748"/>
      <c r="AK53" s="1748"/>
      <c r="AL53" s="1748"/>
      <c r="AM53" s="1748"/>
      <c r="AN53" s="1748"/>
      <c r="AO53" s="1748"/>
      <c r="AP53" s="1748"/>
      <c r="AQ53" s="1748"/>
      <c r="AR53" s="1748"/>
      <c r="AS53" s="1748"/>
      <c r="AT53" s="1748"/>
      <c r="AU53" s="1748"/>
      <c r="AV53" s="1748"/>
      <c r="AW53" s="1748"/>
      <c r="AX53" s="1748"/>
      <c r="AY53" s="1748"/>
      <c r="AZ53" s="1748"/>
      <c r="BA53" s="1748"/>
      <c r="BB53" s="1748"/>
      <c r="BC53" s="1748"/>
      <c r="BD53" s="1748"/>
      <c r="BE53" s="1748"/>
      <c r="BF53" s="1748"/>
      <c r="BG53" s="1748"/>
      <c r="BH53" s="1748"/>
      <c r="BI53" s="1748"/>
      <c r="BJ53" s="1748"/>
      <c r="BK53" s="1748"/>
      <c r="BL53" s="1748"/>
      <c r="BM53" s="1748"/>
      <c r="BN53" s="1748"/>
      <c r="BO53" s="1748"/>
      <c r="BP53" s="1748"/>
      <c r="BQ53" s="1748"/>
      <c r="BR53" s="1748"/>
      <c r="BS53" s="1748"/>
      <c r="BT53" s="1748"/>
      <c r="BU53" s="1748"/>
      <c r="BV53" s="1748"/>
      <c r="BW53" s="1748"/>
      <c r="BX53" s="1748"/>
      <c r="BY53" s="1748"/>
      <c r="BZ53" s="1748"/>
    </row>
    <row r="54" spans="1:78" s="1814" customFormat="1" ht="135.94999999999999" customHeight="1">
      <c r="A54" s="1899"/>
      <c r="B54" s="1807" t="s">
        <v>7105</v>
      </c>
      <c r="C54" s="1829">
        <v>0.5</v>
      </c>
      <c r="D54" s="2301">
        <v>0.5</v>
      </c>
      <c r="E54" s="1829" t="s">
        <v>1073</v>
      </c>
      <c r="F54" s="1829">
        <v>0.5</v>
      </c>
      <c r="G54" s="1846">
        <v>0.5</v>
      </c>
      <c r="H54" s="1808">
        <v>0</v>
      </c>
      <c r="I54" s="2086" t="s">
        <v>6834</v>
      </c>
      <c r="J54" s="1794">
        <v>0</v>
      </c>
      <c r="K54" s="2302" t="s">
        <v>5427</v>
      </c>
      <c r="L54" s="1794" t="s">
        <v>1073</v>
      </c>
      <c r="M54" s="1794">
        <v>0.5</v>
      </c>
      <c r="N54" s="1794" t="s">
        <v>811</v>
      </c>
      <c r="O54" s="1799" t="s">
        <v>8633</v>
      </c>
      <c r="P54" s="2026">
        <v>1</v>
      </c>
      <c r="Q54" s="2026">
        <v>0</v>
      </c>
      <c r="R54" s="2121"/>
      <c r="S54" s="2248" t="s">
        <v>8080</v>
      </c>
      <c r="T54" s="2302" t="s">
        <v>7437</v>
      </c>
      <c r="U54" s="1939" t="s">
        <v>1073</v>
      </c>
      <c r="V54" s="1794" t="s">
        <v>7840</v>
      </c>
      <c r="W54" s="1794" t="s">
        <v>8309</v>
      </c>
      <c r="X54" s="1799" t="s">
        <v>8633</v>
      </c>
      <c r="Y54" s="1809"/>
      <c r="Z54" s="1809"/>
      <c r="AA54" s="1809"/>
      <c r="AB54" s="1809"/>
      <c r="AC54" s="1809"/>
      <c r="AD54" s="1809"/>
      <c r="AE54" s="1809"/>
      <c r="AF54" s="1809"/>
      <c r="AG54" s="1809"/>
      <c r="AH54" s="1809"/>
      <c r="AI54" s="1809"/>
      <c r="AJ54" s="1809"/>
      <c r="AK54" s="1809"/>
      <c r="AL54" s="1809"/>
      <c r="AM54" s="1809"/>
      <c r="AN54" s="1809"/>
      <c r="AO54" s="1809"/>
      <c r="AP54" s="1809"/>
      <c r="AQ54" s="1809"/>
      <c r="AR54" s="1809"/>
      <c r="AS54" s="1809"/>
      <c r="AT54" s="1809"/>
      <c r="AU54" s="1809"/>
      <c r="AV54" s="1809"/>
      <c r="AW54" s="1809"/>
      <c r="AX54" s="1809"/>
      <c r="AY54" s="1809"/>
      <c r="AZ54" s="1809"/>
      <c r="BA54" s="1809"/>
      <c r="BB54" s="1809"/>
      <c r="BC54" s="1809"/>
      <c r="BD54" s="1809"/>
      <c r="BE54" s="1809"/>
      <c r="BF54" s="1809"/>
      <c r="BG54" s="1809"/>
      <c r="BH54" s="1809"/>
      <c r="BI54" s="1809"/>
      <c r="BJ54" s="1809"/>
      <c r="BK54" s="1809"/>
      <c r="BL54" s="1809"/>
      <c r="BM54" s="1809"/>
      <c r="BN54" s="1809"/>
      <c r="BO54" s="1809"/>
      <c r="BP54" s="1809"/>
      <c r="BQ54" s="1809"/>
      <c r="BR54" s="1809"/>
      <c r="BS54" s="1809"/>
      <c r="BT54" s="1809"/>
      <c r="BU54" s="1809"/>
      <c r="BV54" s="1809"/>
      <c r="BW54" s="1809"/>
      <c r="BX54" s="1809"/>
      <c r="BY54" s="1809"/>
      <c r="BZ54" s="1809"/>
    </row>
    <row r="55" spans="1:78" s="1814" customFormat="1" ht="125.25" customHeight="1">
      <c r="A55" s="1899"/>
      <c r="B55" s="1807" t="s">
        <v>6912</v>
      </c>
      <c r="C55" s="1829">
        <v>0</v>
      </c>
      <c r="D55" s="2301">
        <v>0</v>
      </c>
      <c r="E55" s="1829">
        <v>0</v>
      </c>
      <c r="F55" s="1837">
        <v>0</v>
      </c>
      <c r="G55" s="1846">
        <v>0</v>
      </c>
      <c r="H55" s="1808">
        <v>0</v>
      </c>
      <c r="I55" s="2538" t="s">
        <v>9170</v>
      </c>
      <c r="J55" s="1794" t="s">
        <v>960</v>
      </c>
      <c r="K55" s="2302" t="s">
        <v>811</v>
      </c>
      <c r="L55" s="1794" t="s">
        <v>811</v>
      </c>
      <c r="M55" s="1802" t="s">
        <v>811</v>
      </c>
      <c r="N55" s="1794" t="s">
        <v>811</v>
      </c>
      <c r="O55" s="1799" t="s">
        <v>8634</v>
      </c>
      <c r="P55" s="2026">
        <v>0</v>
      </c>
      <c r="Q55" s="2026">
        <v>1</v>
      </c>
      <c r="R55" s="2121"/>
      <c r="S55" s="2248" t="s">
        <v>9195</v>
      </c>
      <c r="T55" s="2302" t="s">
        <v>9189</v>
      </c>
      <c r="U55" s="1794" t="s">
        <v>7189</v>
      </c>
      <c r="V55" s="1802" t="s">
        <v>7841</v>
      </c>
      <c r="W55" s="1794" t="s">
        <v>8310</v>
      </c>
      <c r="X55" s="1799" t="s">
        <v>8634</v>
      </c>
      <c r="Y55" s="1809"/>
      <c r="Z55" s="1809"/>
      <c r="AA55" s="1809"/>
      <c r="AB55" s="1809"/>
      <c r="AC55" s="1809"/>
      <c r="AD55" s="1809"/>
      <c r="AE55" s="1809"/>
      <c r="AF55" s="1809"/>
      <c r="AG55" s="1809"/>
      <c r="AH55" s="1809"/>
      <c r="AI55" s="1809"/>
      <c r="AJ55" s="1809"/>
      <c r="AK55" s="1809"/>
      <c r="AL55" s="1809"/>
      <c r="AM55" s="1809"/>
      <c r="AN55" s="1809"/>
      <c r="AO55" s="1809"/>
      <c r="AP55" s="1809"/>
      <c r="AQ55" s="1809"/>
      <c r="AR55" s="1809"/>
      <c r="AS55" s="1809"/>
      <c r="AT55" s="1809"/>
      <c r="AU55" s="1809"/>
      <c r="AV55" s="1809"/>
      <c r="AW55" s="1809"/>
      <c r="AX55" s="1809"/>
      <c r="AY55" s="1809"/>
      <c r="AZ55" s="1809"/>
      <c r="BA55" s="1809"/>
      <c r="BB55" s="1809"/>
      <c r="BC55" s="1809"/>
      <c r="BD55" s="1809"/>
      <c r="BE55" s="1809"/>
      <c r="BF55" s="1809"/>
      <c r="BG55" s="1809"/>
      <c r="BH55" s="1809"/>
      <c r="BI55" s="1809"/>
      <c r="BJ55" s="1809"/>
      <c r="BK55" s="1809"/>
      <c r="BL55" s="1809"/>
      <c r="BM55" s="1809"/>
      <c r="BN55" s="1809"/>
      <c r="BO55" s="1809"/>
      <c r="BP55" s="1809"/>
      <c r="BQ55" s="1809"/>
      <c r="BR55" s="1809"/>
      <c r="BS55" s="1809"/>
      <c r="BT55" s="1809"/>
      <c r="BU55" s="1809"/>
      <c r="BV55" s="1809"/>
      <c r="BW55" s="1809"/>
      <c r="BX55" s="1809"/>
      <c r="BY55" s="1809"/>
      <c r="BZ55" s="1809"/>
    </row>
    <row r="56" spans="1:78" s="1814" customFormat="1" ht="89.25" customHeight="1">
      <c r="A56" s="1899"/>
      <c r="B56" s="1807" t="s">
        <v>72</v>
      </c>
      <c r="C56" s="1829">
        <v>0</v>
      </c>
      <c r="D56" s="2301">
        <v>0</v>
      </c>
      <c r="E56" s="1846">
        <v>0</v>
      </c>
      <c r="F56" s="1829">
        <v>0.5</v>
      </c>
      <c r="G56" s="1846">
        <v>0</v>
      </c>
      <c r="H56" s="1808">
        <v>0</v>
      </c>
      <c r="I56" s="2086" t="s">
        <v>38</v>
      </c>
      <c r="J56" s="1794">
        <v>0</v>
      </c>
      <c r="K56" s="2302" t="s">
        <v>748</v>
      </c>
      <c r="L56" s="1794">
        <v>0</v>
      </c>
      <c r="M56" s="1794">
        <v>0.5</v>
      </c>
      <c r="N56" s="1794" t="s">
        <v>748</v>
      </c>
      <c r="O56" s="1799" t="s">
        <v>8635</v>
      </c>
      <c r="P56" s="2026">
        <v>1</v>
      </c>
      <c r="Q56" s="2026">
        <v>0</v>
      </c>
      <c r="R56" s="2121"/>
      <c r="S56" s="2248" t="s">
        <v>9196</v>
      </c>
      <c r="T56" s="2302" t="s">
        <v>7438</v>
      </c>
      <c r="U56" s="1794" t="s">
        <v>7190</v>
      </c>
      <c r="V56" s="1794" t="s">
        <v>7842</v>
      </c>
      <c r="W56" s="1794" t="s">
        <v>8311</v>
      </c>
      <c r="X56" s="1799" t="s">
        <v>8635</v>
      </c>
      <c r="Y56" s="1809"/>
      <c r="Z56" s="1809"/>
      <c r="AA56" s="1809"/>
      <c r="AB56" s="1809"/>
      <c r="AC56" s="1809"/>
      <c r="AD56" s="1809"/>
      <c r="AE56" s="1809"/>
      <c r="AF56" s="1809"/>
      <c r="AG56" s="1809"/>
      <c r="AH56" s="1809"/>
      <c r="AI56" s="1809"/>
      <c r="AJ56" s="1809"/>
      <c r="AK56" s="1809"/>
      <c r="AL56" s="1809"/>
      <c r="AM56" s="1809"/>
      <c r="AN56" s="1809"/>
      <c r="AO56" s="1809"/>
      <c r="AP56" s="1809"/>
      <c r="AQ56" s="1809"/>
      <c r="AR56" s="1809"/>
      <c r="AS56" s="1809"/>
      <c r="AT56" s="1809"/>
      <c r="AU56" s="1809"/>
      <c r="AV56" s="1809"/>
      <c r="AW56" s="1809"/>
      <c r="AX56" s="1809"/>
      <c r="AY56" s="1809"/>
      <c r="AZ56" s="1809"/>
      <c r="BA56" s="1809"/>
      <c r="BB56" s="1809"/>
      <c r="BC56" s="1809"/>
      <c r="BD56" s="1809"/>
      <c r="BE56" s="1809"/>
      <c r="BF56" s="1809"/>
      <c r="BG56" s="1809"/>
      <c r="BH56" s="1809"/>
      <c r="BI56" s="1809"/>
      <c r="BJ56" s="1809"/>
      <c r="BK56" s="1809"/>
      <c r="BL56" s="1809"/>
      <c r="BM56" s="1809"/>
      <c r="BN56" s="1809"/>
      <c r="BO56" s="1809"/>
      <c r="BP56" s="1809"/>
      <c r="BQ56" s="1809"/>
      <c r="BR56" s="1809"/>
      <c r="BS56" s="1809"/>
      <c r="BT56" s="1809"/>
      <c r="BU56" s="1809"/>
      <c r="BV56" s="1809"/>
      <c r="BW56" s="1809"/>
      <c r="BX56" s="1809"/>
      <c r="BY56" s="1809"/>
      <c r="BZ56" s="1809"/>
    </row>
    <row r="57" spans="1:78" s="1814" customFormat="1" ht="47.1" customHeight="1">
      <c r="A57" s="1899"/>
      <c r="B57" s="1807" t="s">
        <v>73</v>
      </c>
      <c r="C57" s="1829">
        <v>0</v>
      </c>
      <c r="D57" s="2301">
        <v>0</v>
      </c>
      <c r="E57" s="1829">
        <v>0</v>
      </c>
      <c r="F57" s="1829">
        <v>0</v>
      </c>
      <c r="G57" s="1829">
        <v>0</v>
      </c>
      <c r="H57" s="1808">
        <v>0</v>
      </c>
      <c r="I57" s="2086" t="s">
        <v>38</v>
      </c>
      <c r="J57" s="1794">
        <v>0</v>
      </c>
      <c r="K57" s="1936" t="s">
        <v>748</v>
      </c>
      <c r="L57" s="1794">
        <v>0</v>
      </c>
      <c r="M57" s="1935">
        <v>0</v>
      </c>
      <c r="N57" s="1794" t="s">
        <v>748</v>
      </c>
      <c r="O57" s="1938" t="s">
        <v>8636</v>
      </c>
      <c r="P57" s="1937">
        <v>1</v>
      </c>
      <c r="Q57" s="1937">
        <v>0</v>
      </c>
      <c r="R57" s="2121"/>
      <c r="S57" s="2248" t="s">
        <v>9197</v>
      </c>
      <c r="T57" s="1936" t="s">
        <v>7439</v>
      </c>
      <c r="U57" s="1794" t="s">
        <v>7191</v>
      </c>
      <c r="V57" s="1935" t="s">
        <v>7843</v>
      </c>
      <c r="W57" s="1794"/>
      <c r="X57" s="1938" t="s">
        <v>8636</v>
      </c>
      <c r="Y57" s="1809"/>
      <c r="Z57" s="1809"/>
      <c r="AA57" s="1809"/>
      <c r="AB57" s="1809"/>
      <c r="AC57" s="1809"/>
      <c r="AD57" s="1809"/>
      <c r="AE57" s="1809"/>
      <c r="AF57" s="1809"/>
      <c r="AG57" s="1809"/>
      <c r="AH57" s="1809"/>
      <c r="AI57" s="1809"/>
      <c r="AJ57" s="1809"/>
      <c r="AK57" s="1809"/>
      <c r="AL57" s="1809"/>
      <c r="AM57" s="1809"/>
      <c r="AN57" s="1809"/>
      <c r="AO57" s="1809"/>
      <c r="AP57" s="1809"/>
      <c r="AQ57" s="1809"/>
      <c r="AR57" s="1809"/>
      <c r="AS57" s="1809"/>
      <c r="AT57" s="1809"/>
      <c r="AU57" s="1809"/>
      <c r="AV57" s="1809"/>
      <c r="AW57" s="1809"/>
      <c r="AX57" s="1809"/>
      <c r="AY57" s="1809"/>
      <c r="AZ57" s="1809"/>
      <c r="BA57" s="1809"/>
      <c r="BB57" s="1809"/>
      <c r="BC57" s="1809"/>
      <c r="BD57" s="1809"/>
      <c r="BE57" s="1809"/>
      <c r="BF57" s="1809"/>
      <c r="BG57" s="1809"/>
      <c r="BH57" s="1809"/>
      <c r="BI57" s="1809"/>
      <c r="BJ57" s="1809"/>
      <c r="BK57" s="1809"/>
      <c r="BL57" s="1809"/>
      <c r="BM57" s="1809"/>
      <c r="BN57" s="1809"/>
      <c r="BO57" s="1809"/>
      <c r="BP57" s="1809"/>
      <c r="BQ57" s="1809"/>
      <c r="BR57" s="1809"/>
      <c r="BS57" s="1809"/>
      <c r="BT57" s="1809"/>
      <c r="BU57" s="1809"/>
      <c r="BV57" s="1809"/>
      <c r="BW57" s="1809"/>
      <c r="BX57" s="1809"/>
      <c r="BY57" s="1809"/>
      <c r="BZ57" s="1809"/>
    </row>
    <row r="58" spans="1:78" s="1814" customFormat="1" ht="99.75" customHeight="1">
      <c r="A58" s="1899"/>
      <c r="B58" s="1807" t="s">
        <v>6942</v>
      </c>
      <c r="C58" s="1829">
        <v>0.5</v>
      </c>
      <c r="D58" s="2301">
        <v>0.5</v>
      </c>
      <c r="E58" s="1829">
        <v>0</v>
      </c>
      <c r="F58" s="1829">
        <v>0</v>
      </c>
      <c r="G58" s="1829">
        <v>0.5</v>
      </c>
      <c r="H58" s="1808">
        <v>0</v>
      </c>
      <c r="I58" s="2086" t="s">
        <v>38</v>
      </c>
      <c r="J58" s="1794">
        <v>0</v>
      </c>
      <c r="K58" s="1936" t="s">
        <v>5427</v>
      </c>
      <c r="L58" s="1794">
        <v>0</v>
      </c>
      <c r="M58" s="1935">
        <v>0</v>
      </c>
      <c r="N58" s="1935" t="s">
        <v>8289</v>
      </c>
      <c r="O58" s="1938" t="s">
        <v>8637</v>
      </c>
      <c r="P58" s="1937">
        <v>1</v>
      </c>
      <c r="Q58" s="1937">
        <v>0</v>
      </c>
      <c r="R58" s="2121"/>
      <c r="S58" s="2248" t="s">
        <v>8081</v>
      </c>
      <c r="T58" s="1936" t="s">
        <v>7440</v>
      </c>
      <c r="U58" s="1794" t="s">
        <v>7192</v>
      </c>
      <c r="V58" s="1935" t="s">
        <v>7844</v>
      </c>
      <c r="W58" s="1940" t="s">
        <v>8289</v>
      </c>
      <c r="X58" s="1938" t="s">
        <v>8637</v>
      </c>
      <c r="Y58" s="1809"/>
      <c r="Z58" s="1809"/>
      <c r="AA58" s="1809"/>
      <c r="AB58" s="1809"/>
      <c r="AC58" s="1809"/>
      <c r="AD58" s="1809"/>
      <c r="AE58" s="1809"/>
      <c r="AF58" s="1809"/>
      <c r="AG58" s="1809"/>
      <c r="AH58" s="1809"/>
      <c r="AI58" s="1809"/>
      <c r="AJ58" s="1809"/>
      <c r="AK58" s="1809"/>
      <c r="AL58" s="1809"/>
      <c r="AM58" s="1809"/>
      <c r="AN58" s="1809"/>
      <c r="AO58" s="1809"/>
      <c r="AP58" s="1809"/>
      <c r="AQ58" s="1809"/>
      <c r="AR58" s="1809"/>
      <c r="AS58" s="1809"/>
      <c r="AT58" s="1809"/>
      <c r="AU58" s="1809"/>
      <c r="AV58" s="1809"/>
      <c r="AW58" s="1809"/>
      <c r="AX58" s="1809"/>
      <c r="AY58" s="1809"/>
      <c r="AZ58" s="1809"/>
      <c r="BA58" s="1809"/>
      <c r="BB58" s="1809"/>
      <c r="BC58" s="1809"/>
      <c r="BD58" s="1809"/>
      <c r="BE58" s="1809"/>
      <c r="BF58" s="1809"/>
      <c r="BG58" s="1809"/>
      <c r="BH58" s="1809"/>
      <c r="BI58" s="1809"/>
      <c r="BJ58" s="1809"/>
      <c r="BK58" s="1809"/>
      <c r="BL58" s="1809"/>
      <c r="BM58" s="1809"/>
      <c r="BN58" s="1809"/>
      <c r="BO58" s="1809"/>
      <c r="BP58" s="1809"/>
      <c r="BQ58" s="1809"/>
      <c r="BR58" s="1809"/>
      <c r="BS58" s="1809"/>
      <c r="BT58" s="1809"/>
      <c r="BU58" s="1809"/>
      <c r="BV58" s="1809"/>
      <c r="BW58" s="1809"/>
      <c r="BX58" s="1809"/>
      <c r="BY58" s="1809"/>
      <c r="BZ58" s="1809"/>
    </row>
    <row r="59" spans="1:78" s="1892" customFormat="1" ht="32.1" customHeight="1">
      <c r="A59" s="2505" t="s">
        <v>75</v>
      </c>
      <c r="B59" s="2055" t="s">
        <v>76</v>
      </c>
      <c r="C59" s="2097">
        <f t="shared" ref="C59:H59" si="17">AVERAGE(C60,C61,C62,C63,C64,C65,C66)</f>
        <v>1</v>
      </c>
      <c r="D59" s="2097">
        <f t="shared" si="17"/>
        <v>1</v>
      </c>
      <c r="E59" s="2097">
        <f t="shared" si="17"/>
        <v>7.1428571428571425E-2</v>
      </c>
      <c r="F59" s="2097">
        <f t="shared" si="17"/>
        <v>1</v>
      </c>
      <c r="G59" s="2097">
        <f t="shared" si="17"/>
        <v>0.9285714285714286</v>
      </c>
      <c r="H59" s="2097">
        <f t="shared" si="17"/>
        <v>0.7142857142857143</v>
      </c>
      <c r="I59" s="2086"/>
      <c r="J59" s="2098"/>
      <c r="K59" s="2098"/>
      <c r="L59" s="2098"/>
      <c r="M59" s="2098"/>
      <c r="N59" s="2098"/>
      <c r="O59" s="2099"/>
      <c r="P59" s="2098"/>
      <c r="Q59" s="2098"/>
      <c r="R59" s="2100"/>
      <c r="S59" s="2249"/>
      <c r="T59" s="2098"/>
      <c r="U59" s="2098"/>
      <c r="V59" s="2098"/>
      <c r="W59" s="2098"/>
      <c r="X59" s="2099"/>
      <c r="Y59" s="1818"/>
      <c r="Z59" s="1818"/>
      <c r="AA59" s="1818"/>
      <c r="AB59" s="1818"/>
      <c r="AC59" s="1818"/>
      <c r="AD59" s="1818"/>
      <c r="AE59" s="1818"/>
      <c r="AF59" s="1818"/>
      <c r="AG59" s="1818"/>
      <c r="AH59" s="1818"/>
      <c r="AI59" s="1818"/>
      <c r="AJ59" s="1818"/>
      <c r="AK59" s="1818"/>
      <c r="AL59" s="1818"/>
      <c r="AM59" s="1818"/>
      <c r="AN59" s="1818"/>
      <c r="AO59" s="1818"/>
      <c r="AP59" s="1818"/>
      <c r="AQ59" s="1818"/>
      <c r="AR59" s="1818"/>
      <c r="AS59" s="1818"/>
      <c r="AT59" s="1818"/>
      <c r="AU59" s="1818"/>
      <c r="AV59" s="1818"/>
      <c r="AW59" s="1818"/>
      <c r="AX59" s="1818"/>
      <c r="AY59" s="1818"/>
      <c r="AZ59" s="1818"/>
      <c r="BA59" s="1818"/>
      <c r="BB59" s="1818"/>
      <c r="BC59" s="1818"/>
      <c r="BD59" s="1818"/>
      <c r="BE59" s="1818"/>
      <c r="BF59" s="1818"/>
      <c r="BG59" s="1818"/>
      <c r="BH59" s="1818"/>
      <c r="BI59" s="1818"/>
      <c r="BJ59" s="1818"/>
      <c r="BK59" s="1818"/>
      <c r="BL59" s="1818"/>
      <c r="BM59" s="1818"/>
      <c r="BN59" s="1818"/>
      <c r="BO59" s="1818"/>
      <c r="BP59" s="1818"/>
      <c r="BQ59" s="1818"/>
      <c r="BR59" s="1818"/>
      <c r="BS59" s="1818"/>
      <c r="BT59" s="1818"/>
      <c r="BU59" s="1818"/>
      <c r="BV59" s="1818"/>
      <c r="BW59" s="1818"/>
      <c r="BX59" s="1818"/>
      <c r="BY59" s="1818"/>
      <c r="BZ59" s="1818"/>
    </row>
    <row r="60" spans="1:78" ht="32.1" customHeight="1">
      <c r="A60" s="2501"/>
      <c r="B60" s="1820" t="s">
        <v>77</v>
      </c>
      <c r="C60" s="1847">
        <v>1</v>
      </c>
      <c r="D60" s="1828">
        <v>1</v>
      </c>
      <c r="E60" s="1846">
        <v>0</v>
      </c>
      <c r="F60" s="1872">
        <v>1</v>
      </c>
      <c r="G60" s="1829">
        <v>1</v>
      </c>
      <c r="H60" s="1839">
        <v>1</v>
      </c>
      <c r="I60" s="2086" t="s">
        <v>38</v>
      </c>
      <c r="J60" s="1949">
        <v>1</v>
      </c>
      <c r="K60" s="1949" t="s">
        <v>948</v>
      </c>
      <c r="L60" s="1794">
        <v>0</v>
      </c>
      <c r="M60" s="1802">
        <v>1</v>
      </c>
      <c r="N60" s="1794" t="s">
        <v>811</v>
      </c>
      <c r="O60" s="1799" t="s">
        <v>8638</v>
      </c>
      <c r="P60" s="1794">
        <v>1</v>
      </c>
      <c r="Q60" s="1794">
        <v>0</v>
      </c>
      <c r="R60" s="2100"/>
      <c r="S60" s="2248" t="s">
        <v>9198</v>
      </c>
      <c r="T60" s="1936" t="s">
        <v>7441</v>
      </c>
      <c r="U60" s="1794" t="s">
        <v>748</v>
      </c>
      <c r="V60" s="1927" t="s">
        <v>7845</v>
      </c>
      <c r="W60" s="1939" t="s">
        <v>811</v>
      </c>
      <c r="X60" s="1942" t="s">
        <v>8638</v>
      </c>
    </row>
    <row r="61" spans="1:78" ht="98.1" customHeight="1">
      <c r="A61" s="1899"/>
      <c r="B61" s="1807" t="s">
        <v>78</v>
      </c>
      <c r="C61" s="1829">
        <v>1</v>
      </c>
      <c r="D61" s="1829">
        <v>1</v>
      </c>
      <c r="E61" s="1846">
        <v>0.5</v>
      </c>
      <c r="F61" s="1837">
        <v>1</v>
      </c>
      <c r="G61" s="1846">
        <v>0.5</v>
      </c>
      <c r="H61" s="1808">
        <v>0.5</v>
      </c>
      <c r="I61" s="2086" t="s">
        <v>38</v>
      </c>
      <c r="J61" s="1949">
        <v>1</v>
      </c>
      <c r="K61" s="1949" t="s">
        <v>1134</v>
      </c>
      <c r="L61" s="1794">
        <v>0</v>
      </c>
      <c r="M61" s="1802">
        <v>1</v>
      </c>
      <c r="N61" s="1794" t="s">
        <v>8290</v>
      </c>
      <c r="O61" s="2304" t="s">
        <v>8639</v>
      </c>
      <c r="P61" s="1794">
        <v>1</v>
      </c>
      <c r="Q61" s="1794">
        <v>0</v>
      </c>
      <c r="R61" s="2100"/>
      <c r="S61" s="2248" t="s">
        <v>9199</v>
      </c>
      <c r="T61" s="1936" t="s">
        <v>7442</v>
      </c>
      <c r="U61" s="1794" t="s">
        <v>7193</v>
      </c>
      <c r="V61" s="1927" t="s">
        <v>6054</v>
      </c>
      <c r="W61" s="1794" t="s">
        <v>8312</v>
      </c>
      <c r="X61" s="1943" t="s">
        <v>8639</v>
      </c>
    </row>
    <row r="62" spans="1:78" ht="32.1" customHeight="1">
      <c r="A62" s="1899"/>
      <c r="B62" s="1807" t="s">
        <v>7106</v>
      </c>
      <c r="C62" s="1846">
        <v>1</v>
      </c>
      <c r="D62" s="1829">
        <v>1</v>
      </c>
      <c r="E62" s="1846">
        <v>0</v>
      </c>
      <c r="F62" s="1837">
        <v>1</v>
      </c>
      <c r="G62" s="1829">
        <v>1</v>
      </c>
      <c r="H62" s="1850">
        <v>1</v>
      </c>
      <c r="I62" s="2086" t="s">
        <v>38</v>
      </c>
      <c r="J62" s="1794">
        <v>1</v>
      </c>
      <c r="K62" s="1949" t="s">
        <v>948</v>
      </c>
      <c r="L62" s="1794">
        <v>0</v>
      </c>
      <c r="M62" s="1802">
        <v>1</v>
      </c>
      <c r="N62" s="1794" t="s">
        <v>811</v>
      </c>
      <c r="O62" s="1799" t="s">
        <v>8640</v>
      </c>
      <c r="P62" s="1794">
        <v>1</v>
      </c>
      <c r="Q62" s="1794">
        <v>0</v>
      </c>
      <c r="R62" s="2100"/>
      <c r="S62" s="2248" t="s">
        <v>9200</v>
      </c>
      <c r="T62" s="1936" t="s">
        <v>7443</v>
      </c>
      <c r="U62" s="1794" t="s">
        <v>748</v>
      </c>
      <c r="V62" s="1927" t="s">
        <v>932</v>
      </c>
      <c r="W62" s="1939" t="s">
        <v>811</v>
      </c>
      <c r="X62" s="1942" t="s">
        <v>8640</v>
      </c>
    </row>
    <row r="63" spans="1:78" ht="51.95" customHeight="1">
      <c r="A63" s="1899"/>
      <c r="B63" s="1807" t="s">
        <v>80</v>
      </c>
      <c r="C63" s="1829">
        <v>1</v>
      </c>
      <c r="D63" s="1829">
        <v>1</v>
      </c>
      <c r="E63" s="1846">
        <v>0</v>
      </c>
      <c r="F63" s="1837">
        <v>1</v>
      </c>
      <c r="G63" s="1829">
        <v>1</v>
      </c>
      <c r="H63" s="1850">
        <v>1</v>
      </c>
      <c r="I63" s="2086" t="s">
        <v>38</v>
      </c>
      <c r="J63" s="1794">
        <v>1</v>
      </c>
      <c r="K63" s="1794" t="s">
        <v>1134</v>
      </c>
      <c r="L63" s="1794">
        <v>0</v>
      </c>
      <c r="M63" s="1802">
        <v>1</v>
      </c>
      <c r="N63" s="1794" t="s">
        <v>811</v>
      </c>
      <c r="O63" s="2305" t="s">
        <v>8641</v>
      </c>
      <c r="P63" s="1794">
        <v>1</v>
      </c>
      <c r="Q63" s="1794">
        <v>0</v>
      </c>
      <c r="R63" s="2100"/>
      <c r="S63" s="2248" t="s">
        <v>9201</v>
      </c>
      <c r="T63" s="1936" t="s">
        <v>7444</v>
      </c>
      <c r="U63" s="1794" t="s">
        <v>748</v>
      </c>
      <c r="V63" s="1927" t="s">
        <v>935</v>
      </c>
      <c r="W63" s="1939" t="s">
        <v>811</v>
      </c>
      <c r="X63" s="1944" t="s">
        <v>8641</v>
      </c>
    </row>
    <row r="64" spans="1:78" ht="89.1" customHeight="1">
      <c r="A64" s="1899"/>
      <c r="B64" s="1807" t="s">
        <v>81</v>
      </c>
      <c r="C64" s="1829">
        <v>1</v>
      </c>
      <c r="D64" s="1829">
        <v>1</v>
      </c>
      <c r="E64" s="1846">
        <v>0</v>
      </c>
      <c r="F64" s="1837">
        <v>1</v>
      </c>
      <c r="G64" s="1829">
        <v>1</v>
      </c>
      <c r="H64" s="1808">
        <v>0</v>
      </c>
      <c r="I64" s="2086" t="s">
        <v>38</v>
      </c>
      <c r="J64" s="1949" t="s">
        <v>811</v>
      </c>
      <c r="K64" s="1949" t="s">
        <v>7375</v>
      </c>
      <c r="L64" s="1794">
        <v>0</v>
      </c>
      <c r="M64" s="1802">
        <v>1</v>
      </c>
      <c r="N64" s="1794" t="s">
        <v>811</v>
      </c>
      <c r="O64" s="2306" t="s">
        <v>8642</v>
      </c>
      <c r="P64" s="1794">
        <v>1</v>
      </c>
      <c r="Q64" s="1794">
        <v>0</v>
      </c>
      <c r="R64" s="2100"/>
      <c r="S64" s="2248" t="s">
        <v>9202</v>
      </c>
      <c r="T64" s="1936" t="s">
        <v>7445</v>
      </c>
      <c r="U64" s="1794" t="s">
        <v>748</v>
      </c>
      <c r="V64" s="1927" t="s">
        <v>7846</v>
      </c>
      <c r="W64" s="1939" t="s">
        <v>811</v>
      </c>
      <c r="X64" s="1945" t="s">
        <v>8642</v>
      </c>
    </row>
    <row r="65" spans="1:78" ht="48.95" customHeight="1">
      <c r="A65" s="1899"/>
      <c r="B65" s="1807" t="s">
        <v>7107</v>
      </c>
      <c r="C65" s="1829">
        <v>1</v>
      </c>
      <c r="D65" s="1829">
        <v>1</v>
      </c>
      <c r="E65" s="1846">
        <v>0</v>
      </c>
      <c r="F65" s="1837">
        <v>1</v>
      </c>
      <c r="G65" s="1829">
        <v>1</v>
      </c>
      <c r="H65" s="1850">
        <v>1</v>
      </c>
      <c r="I65" s="2086" t="s">
        <v>38</v>
      </c>
      <c r="J65" s="1794">
        <v>1</v>
      </c>
      <c r="K65" s="1794" t="s">
        <v>1134</v>
      </c>
      <c r="L65" s="1794">
        <v>0</v>
      </c>
      <c r="M65" s="1802">
        <v>1</v>
      </c>
      <c r="N65" s="1794" t="s">
        <v>811</v>
      </c>
      <c r="O65" s="1799" t="s">
        <v>8643</v>
      </c>
      <c r="P65" s="1794">
        <v>1</v>
      </c>
      <c r="Q65" s="1794">
        <v>0</v>
      </c>
      <c r="R65" s="2100"/>
      <c r="S65" s="2248" t="s">
        <v>9203</v>
      </c>
      <c r="T65" s="1936" t="s">
        <v>7446</v>
      </c>
      <c r="U65" s="1794" t="s">
        <v>748</v>
      </c>
      <c r="V65" s="1927" t="s">
        <v>946</v>
      </c>
      <c r="W65" s="1939" t="s">
        <v>811</v>
      </c>
      <c r="X65" s="1942" t="s">
        <v>8643</v>
      </c>
    </row>
    <row r="66" spans="1:78" ht="32.1" customHeight="1">
      <c r="A66" s="2501"/>
      <c r="B66" s="1807" t="s">
        <v>83</v>
      </c>
      <c r="C66" s="1829">
        <v>1</v>
      </c>
      <c r="D66" s="1829">
        <v>1</v>
      </c>
      <c r="E66" s="1846">
        <v>0</v>
      </c>
      <c r="F66" s="1837">
        <v>1</v>
      </c>
      <c r="G66" s="1846">
        <v>1</v>
      </c>
      <c r="H66" s="1808">
        <v>0.5</v>
      </c>
      <c r="I66" s="2086" t="s">
        <v>38</v>
      </c>
      <c r="J66" s="1794">
        <v>1</v>
      </c>
      <c r="K66" s="1949" t="s">
        <v>811</v>
      </c>
      <c r="L66" s="1794">
        <v>0</v>
      </c>
      <c r="M66" s="1802">
        <v>1</v>
      </c>
      <c r="N66" s="1794" t="s">
        <v>811</v>
      </c>
      <c r="O66" s="1799" t="s">
        <v>8644</v>
      </c>
      <c r="P66" s="1794">
        <v>1</v>
      </c>
      <c r="Q66" s="1794">
        <v>0</v>
      </c>
      <c r="R66" s="2100"/>
      <c r="S66" s="2248" t="s">
        <v>8082</v>
      </c>
      <c r="T66" s="1936" t="s">
        <v>7447</v>
      </c>
      <c r="U66" s="1794" t="s">
        <v>748</v>
      </c>
      <c r="V66" s="1927" t="s">
        <v>6056</v>
      </c>
      <c r="W66" s="1794" t="s">
        <v>8313</v>
      </c>
      <c r="X66" s="1942" t="s">
        <v>8644</v>
      </c>
    </row>
    <row r="67" spans="1:78" ht="32.1" customHeight="1">
      <c r="A67" s="2502" t="s">
        <v>5268</v>
      </c>
      <c r="B67" s="2080" t="s">
        <v>7108</v>
      </c>
      <c r="C67" s="2081">
        <f t="shared" ref="C67:H67" si="18">AVERAGE(C68,C108,C116,C125)</f>
        <v>0.84856102615295304</v>
      </c>
      <c r="D67" s="2081">
        <f t="shared" si="18"/>
        <v>0.7858685066006601</v>
      </c>
      <c r="E67" s="2081">
        <f t="shared" si="18"/>
        <v>0.28598055555555557</v>
      </c>
      <c r="F67" s="2081">
        <f t="shared" si="18"/>
        <v>0.86058952306779413</v>
      </c>
      <c r="G67" s="2081">
        <f t="shared" si="18"/>
        <v>0.71824600722311405</v>
      </c>
      <c r="H67" s="2081">
        <f t="shared" si="18"/>
        <v>0.34447916666666667</v>
      </c>
      <c r="I67" s="2076"/>
      <c r="J67" s="2082"/>
      <c r="K67" s="2077"/>
      <c r="L67" s="2101"/>
      <c r="M67" s="2077"/>
      <c r="N67" s="2077"/>
      <c r="O67" s="2077"/>
      <c r="P67" s="2077"/>
      <c r="Q67" s="2077"/>
      <c r="R67" s="2083"/>
      <c r="S67" s="2249"/>
      <c r="T67" s="2077"/>
      <c r="U67" s="2101"/>
      <c r="V67" s="2077"/>
      <c r="W67" s="2077"/>
      <c r="X67" s="2077"/>
    </row>
    <row r="68" spans="1:78" ht="32.1" customHeight="1">
      <c r="A68" s="2499" t="s">
        <v>85</v>
      </c>
      <c r="B68" s="2084" t="s">
        <v>86</v>
      </c>
      <c r="C68" s="2085">
        <f>AVERAGE(C69,C80,C87,C93,C100)</f>
        <v>0.71813299350070081</v>
      </c>
      <c r="D68" s="2085">
        <f t="shared" ref="D68:G68" si="19">AVERAGE(D69,D80,D87,D93,D100)</f>
        <v>0.87430735973597362</v>
      </c>
      <c r="E68" s="2085">
        <f t="shared" si="19"/>
        <v>0.34920000000000001</v>
      </c>
      <c r="F68" s="2085">
        <f t="shared" si="19"/>
        <v>0.76763587004895428</v>
      </c>
      <c r="G68" s="2085">
        <f t="shared" si="19"/>
        <v>0.67416736222578921</v>
      </c>
      <c r="H68" s="2085">
        <f>AVERAGE(H69,H80,H87,H93,H100)</f>
        <v>0.34333333333333332</v>
      </c>
      <c r="I68" s="2086"/>
      <c r="J68" s="2087"/>
      <c r="K68" s="2102"/>
      <c r="L68" s="2102"/>
      <c r="M68" s="2102"/>
      <c r="N68" s="2102"/>
      <c r="O68" s="2102"/>
      <c r="P68" s="2102"/>
      <c r="Q68" s="2102"/>
      <c r="R68" s="2103"/>
      <c r="S68" s="2249"/>
      <c r="T68" s="2102"/>
      <c r="U68" s="2102"/>
      <c r="V68" s="2102"/>
      <c r="W68" s="2102"/>
      <c r="X68" s="2102"/>
    </row>
    <row r="69" spans="1:78" ht="32.1" customHeight="1">
      <c r="A69" s="2499" t="s">
        <v>87</v>
      </c>
      <c r="B69" s="2084" t="s">
        <v>88</v>
      </c>
      <c r="C69" s="2085">
        <f>AVERAGE(C70:C71,C74,C77:C79)</f>
        <v>0.75</v>
      </c>
      <c r="D69" s="2085">
        <f t="shared" ref="D69:H69" si="20">AVERAGE(D70:D71,D74,D77:D79)</f>
        <v>0.875</v>
      </c>
      <c r="E69" s="2085">
        <f t="shared" si="20"/>
        <v>0.16666666666666666</v>
      </c>
      <c r="F69" s="2085">
        <f t="shared" si="20"/>
        <v>0.70833333333333337</v>
      </c>
      <c r="G69" s="2085">
        <f t="shared" si="20"/>
        <v>0.45833333333333331</v>
      </c>
      <c r="H69" s="2085">
        <f t="shared" si="20"/>
        <v>0.16666666666666666</v>
      </c>
      <c r="I69" s="2086"/>
      <c r="J69" s="2087"/>
      <c r="K69" s="2102"/>
      <c r="L69" s="2102"/>
      <c r="M69" s="2102"/>
      <c r="N69" s="2102"/>
      <c r="O69" s="2102"/>
      <c r="P69" s="2102"/>
      <c r="Q69" s="2102"/>
      <c r="R69" s="2103"/>
      <c r="S69" s="2249"/>
      <c r="T69" s="2102"/>
      <c r="U69" s="2102"/>
      <c r="V69" s="2102"/>
      <c r="W69" s="2102"/>
      <c r="X69" s="2102"/>
    </row>
    <row r="70" spans="1:78" ht="222.75" customHeight="1">
      <c r="A70" s="1899"/>
      <c r="B70" s="1807" t="s">
        <v>89</v>
      </c>
      <c r="C70" s="1829">
        <v>0.5</v>
      </c>
      <c r="D70" s="1829">
        <v>1</v>
      </c>
      <c r="E70" s="1829">
        <v>0</v>
      </c>
      <c r="F70" s="1829">
        <v>0.5</v>
      </c>
      <c r="G70" s="1829">
        <v>1</v>
      </c>
      <c r="H70" s="1850">
        <v>0</v>
      </c>
      <c r="I70" s="2086" t="s">
        <v>38</v>
      </c>
      <c r="J70" s="1915" t="s">
        <v>5427</v>
      </c>
      <c r="K70" s="1915" t="s">
        <v>1134</v>
      </c>
      <c r="L70" s="1794">
        <v>1</v>
      </c>
      <c r="M70" s="1794" t="s">
        <v>8567</v>
      </c>
      <c r="N70" s="1917">
        <v>1</v>
      </c>
      <c r="O70" s="1917" t="s">
        <v>8645</v>
      </c>
      <c r="P70" s="1915">
        <v>1</v>
      </c>
      <c r="Q70" s="1915">
        <v>0</v>
      </c>
      <c r="R70" s="2096"/>
      <c r="S70" s="2248" t="s">
        <v>8083</v>
      </c>
      <c r="T70" s="1915" t="s">
        <v>7448</v>
      </c>
      <c r="U70" s="1794" t="s">
        <v>7194</v>
      </c>
      <c r="V70" s="1916" t="s">
        <v>7847</v>
      </c>
      <c r="W70" s="1917" t="s">
        <v>5382</v>
      </c>
      <c r="X70" s="1917" t="s">
        <v>8645</v>
      </c>
    </row>
    <row r="71" spans="1:78" ht="27" customHeight="1">
      <c r="A71" s="2500"/>
      <c r="B71" s="2059" t="s">
        <v>6977</v>
      </c>
      <c r="C71" s="2060">
        <f>AVERAGE(C72:C73)</f>
        <v>0.25</v>
      </c>
      <c r="D71" s="2060">
        <f>AVERAGE(D72:D73)</f>
        <v>0.5</v>
      </c>
      <c r="E71" s="2060">
        <f t="shared" ref="E71:H71" si="21">AVERAGE(E72:E73)</f>
        <v>0</v>
      </c>
      <c r="F71" s="2060">
        <f t="shared" si="21"/>
        <v>0.5</v>
      </c>
      <c r="G71" s="2060">
        <f>AVERAGE(G72:G73)</f>
        <v>0.25</v>
      </c>
      <c r="H71" s="2060">
        <f t="shared" si="21"/>
        <v>0</v>
      </c>
      <c r="I71" s="2086"/>
      <c r="J71" s="1911"/>
      <c r="K71" s="1911"/>
      <c r="L71" s="1911"/>
      <c r="M71" s="1911"/>
      <c r="N71" s="1912"/>
      <c r="O71" s="1912"/>
      <c r="P71" s="1911"/>
      <c r="Q71" s="1911"/>
      <c r="R71" s="2096"/>
      <c r="S71" s="2250"/>
      <c r="T71" s="1911" t="s">
        <v>7449</v>
      </c>
      <c r="U71" s="1911"/>
      <c r="V71" s="1911"/>
      <c r="W71" s="1912"/>
      <c r="X71" s="1912"/>
    </row>
    <row r="72" spans="1:78" ht="53.1" customHeight="1">
      <c r="A72" s="1899"/>
      <c r="B72" s="1805" t="s">
        <v>7109</v>
      </c>
      <c r="C72" s="1829">
        <v>0.5</v>
      </c>
      <c r="D72" s="1829">
        <v>1</v>
      </c>
      <c r="E72" s="1829">
        <v>0</v>
      </c>
      <c r="F72" s="1829">
        <v>1</v>
      </c>
      <c r="G72" s="1829">
        <v>0.5</v>
      </c>
      <c r="H72" s="1850">
        <v>0</v>
      </c>
      <c r="I72" s="2086" t="s">
        <v>91</v>
      </c>
      <c r="J72" s="1794">
        <v>0.5</v>
      </c>
      <c r="K72" s="1794" t="s">
        <v>1134</v>
      </c>
      <c r="L72" s="1794">
        <v>0</v>
      </c>
      <c r="M72" s="1794">
        <v>1</v>
      </c>
      <c r="N72" s="1794">
        <v>0.5</v>
      </c>
      <c r="O72" s="1917" t="s">
        <v>8646</v>
      </c>
      <c r="P72" s="1915">
        <v>1</v>
      </c>
      <c r="Q72" s="1915">
        <v>0</v>
      </c>
      <c r="R72" s="2096"/>
      <c r="S72" s="2248" t="s">
        <v>8084</v>
      </c>
      <c r="T72" s="1915" t="s">
        <v>7449</v>
      </c>
      <c r="U72" s="1794" t="s">
        <v>7195</v>
      </c>
      <c r="V72" s="1915" t="s">
        <v>7848</v>
      </c>
      <c r="W72" s="1917" t="s">
        <v>8314</v>
      </c>
      <c r="X72" s="1917" t="s">
        <v>8646</v>
      </c>
    </row>
    <row r="73" spans="1:78" s="1812" customFormat="1" ht="225" customHeight="1">
      <c r="A73" s="1899"/>
      <c r="B73" s="1805" t="s">
        <v>6943</v>
      </c>
      <c r="C73" s="1829">
        <v>0</v>
      </c>
      <c r="D73" s="1829">
        <v>0</v>
      </c>
      <c r="E73" s="1829">
        <v>0</v>
      </c>
      <c r="F73" s="1829">
        <v>0</v>
      </c>
      <c r="G73" s="1829">
        <v>0</v>
      </c>
      <c r="H73" s="1850">
        <v>0</v>
      </c>
      <c r="I73" s="2086"/>
      <c r="J73" s="1794">
        <v>1</v>
      </c>
      <c r="K73" s="1794" t="s">
        <v>968</v>
      </c>
      <c r="L73" s="1794" t="s">
        <v>748</v>
      </c>
      <c r="M73" s="1794" t="s">
        <v>7849</v>
      </c>
      <c r="N73" s="1794">
        <v>0</v>
      </c>
      <c r="O73" s="1917" t="s">
        <v>8647</v>
      </c>
      <c r="P73" s="1915">
        <v>1</v>
      </c>
      <c r="Q73" s="1915">
        <v>0</v>
      </c>
      <c r="R73" s="2096"/>
      <c r="S73" s="2248" t="s">
        <v>8085</v>
      </c>
      <c r="T73" s="1915" t="s">
        <v>7450</v>
      </c>
      <c r="U73" s="1794" t="s">
        <v>4429</v>
      </c>
      <c r="V73" s="1915" t="s">
        <v>7849</v>
      </c>
      <c r="W73" s="1917" t="s">
        <v>8315</v>
      </c>
      <c r="X73" s="1917" t="s">
        <v>8647</v>
      </c>
      <c r="Y73" s="1748"/>
      <c r="Z73" s="1748"/>
      <c r="AA73" s="1748"/>
      <c r="AB73" s="1748"/>
      <c r="AC73" s="1748"/>
      <c r="AD73" s="1748"/>
      <c r="AE73" s="1748"/>
      <c r="AF73" s="1748"/>
      <c r="AG73" s="1748"/>
      <c r="AH73" s="1748"/>
      <c r="AI73" s="1748"/>
      <c r="AJ73" s="1748"/>
      <c r="AK73" s="1748"/>
      <c r="AL73" s="1748"/>
      <c r="AM73" s="1748"/>
      <c r="AN73" s="1748"/>
      <c r="AO73" s="1748"/>
      <c r="AP73" s="1748"/>
      <c r="AQ73" s="1748"/>
      <c r="AR73" s="1748"/>
      <c r="AS73" s="1748"/>
      <c r="AT73" s="1748"/>
      <c r="AU73" s="1748"/>
      <c r="AV73" s="1748"/>
      <c r="AW73" s="1748"/>
      <c r="AX73" s="1748"/>
      <c r="AY73" s="1748"/>
      <c r="AZ73" s="1748"/>
      <c r="BA73" s="1748"/>
      <c r="BB73" s="1748"/>
      <c r="BC73" s="1748"/>
      <c r="BD73" s="1748"/>
      <c r="BE73" s="1748"/>
      <c r="BF73" s="1748"/>
      <c r="BG73" s="1748"/>
      <c r="BH73" s="1748"/>
      <c r="BI73" s="1748"/>
      <c r="BJ73" s="1748"/>
      <c r="BK73" s="1748"/>
      <c r="BL73" s="1748"/>
      <c r="BM73" s="1748"/>
      <c r="BN73" s="1748"/>
      <c r="BO73" s="1748"/>
      <c r="BP73" s="1748"/>
      <c r="BQ73" s="1748"/>
      <c r="BR73" s="1748"/>
      <c r="BS73" s="1748"/>
      <c r="BT73" s="1748"/>
      <c r="BU73" s="1748"/>
      <c r="BV73" s="1748"/>
      <c r="BW73" s="1748"/>
      <c r="BX73" s="1748"/>
      <c r="BY73" s="1748"/>
      <c r="BZ73" s="1748"/>
    </row>
    <row r="74" spans="1:78" s="1812" customFormat="1" ht="32.1" customHeight="1">
      <c r="A74" s="2500"/>
      <c r="B74" s="2059" t="s">
        <v>6978</v>
      </c>
      <c r="C74" s="2060">
        <f>AVERAGE(C75:C76)</f>
        <v>0.75</v>
      </c>
      <c r="D74" s="2060">
        <f t="shared" ref="D74:H74" si="22">AVERAGE(D75:D76)</f>
        <v>0.75</v>
      </c>
      <c r="E74" s="2060">
        <f t="shared" si="22"/>
        <v>0</v>
      </c>
      <c r="F74" s="2060">
        <f t="shared" si="22"/>
        <v>0.25</v>
      </c>
      <c r="G74" s="2060">
        <f t="shared" si="22"/>
        <v>0.5</v>
      </c>
      <c r="H74" s="2060">
        <f t="shared" si="22"/>
        <v>0</v>
      </c>
      <c r="I74" s="2086"/>
      <c r="J74" s="1911"/>
      <c r="K74" s="1911"/>
      <c r="L74" s="1911"/>
      <c r="M74" s="1911"/>
      <c r="N74" s="1912"/>
      <c r="O74" s="1912"/>
      <c r="P74" s="1911"/>
      <c r="Q74" s="1911"/>
      <c r="R74" s="2096"/>
      <c r="S74" s="2250"/>
      <c r="T74" s="1911"/>
      <c r="U74" s="1911"/>
      <c r="V74" s="1911"/>
      <c r="W74" s="1912"/>
      <c r="X74" s="1912"/>
      <c r="Y74" s="1748"/>
      <c r="Z74" s="1748"/>
      <c r="AA74" s="1748"/>
      <c r="AB74" s="1748"/>
      <c r="AC74" s="1748"/>
      <c r="AD74" s="1748"/>
      <c r="AE74" s="1748"/>
      <c r="AF74" s="1748"/>
      <c r="AG74" s="1748"/>
      <c r="AH74" s="1748"/>
      <c r="AI74" s="1748"/>
      <c r="AJ74" s="1748"/>
      <c r="AK74" s="1748"/>
      <c r="AL74" s="1748"/>
      <c r="AM74" s="1748"/>
      <c r="AN74" s="1748"/>
      <c r="AO74" s="1748"/>
      <c r="AP74" s="1748"/>
      <c r="AQ74" s="1748"/>
      <c r="AR74" s="1748"/>
      <c r="AS74" s="1748"/>
      <c r="AT74" s="1748"/>
      <c r="AU74" s="1748"/>
      <c r="AV74" s="1748"/>
      <c r="AW74" s="1748"/>
      <c r="AX74" s="1748"/>
      <c r="AY74" s="1748"/>
      <c r="AZ74" s="1748"/>
      <c r="BA74" s="1748"/>
      <c r="BB74" s="1748"/>
      <c r="BC74" s="1748"/>
      <c r="BD74" s="1748"/>
      <c r="BE74" s="1748"/>
      <c r="BF74" s="1748"/>
      <c r="BG74" s="1748"/>
      <c r="BH74" s="1748"/>
      <c r="BI74" s="1748"/>
      <c r="BJ74" s="1748"/>
      <c r="BK74" s="1748"/>
      <c r="BL74" s="1748"/>
      <c r="BM74" s="1748"/>
      <c r="BN74" s="1748"/>
      <c r="BO74" s="1748"/>
      <c r="BP74" s="1748"/>
      <c r="BQ74" s="1748"/>
      <c r="BR74" s="1748"/>
      <c r="BS74" s="1748"/>
      <c r="BT74" s="1748"/>
      <c r="BU74" s="1748"/>
      <c r="BV74" s="1748"/>
      <c r="BW74" s="1748"/>
      <c r="BX74" s="1748"/>
      <c r="BY74" s="1748"/>
      <c r="BZ74" s="1748"/>
    </row>
    <row r="75" spans="1:78" ht="47.1" customHeight="1">
      <c r="A75" s="1874"/>
      <c r="B75" s="1805" t="s">
        <v>7110</v>
      </c>
      <c r="C75" s="1829">
        <v>1</v>
      </c>
      <c r="D75" s="1829">
        <v>1</v>
      </c>
      <c r="E75" s="1829">
        <v>0</v>
      </c>
      <c r="F75" s="1837">
        <v>0.5</v>
      </c>
      <c r="G75" s="1829">
        <v>0.5</v>
      </c>
      <c r="H75" s="1850">
        <v>0</v>
      </c>
      <c r="I75" s="2286" t="s">
        <v>93</v>
      </c>
      <c r="J75" s="1915">
        <v>1</v>
      </c>
      <c r="K75" s="1915" t="s">
        <v>1134</v>
      </c>
      <c r="L75" s="1794">
        <v>0</v>
      </c>
      <c r="M75" s="1914">
        <v>0.5</v>
      </c>
      <c r="N75" s="1917">
        <v>0.5</v>
      </c>
      <c r="O75" s="1794"/>
      <c r="P75" s="1915">
        <v>1</v>
      </c>
      <c r="Q75" s="1915">
        <v>0</v>
      </c>
      <c r="R75" s="2096"/>
      <c r="S75" s="2248" t="s">
        <v>8086</v>
      </c>
      <c r="T75" s="1915" t="s">
        <v>7451</v>
      </c>
      <c r="U75" s="1794" t="s">
        <v>7196</v>
      </c>
      <c r="V75" s="1802" t="s">
        <v>6786</v>
      </c>
      <c r="W75" s="1794" t="s">
        <v>8554</v>
      </c>
      <c r="X75" s="1794"/>
    </row>
    <row r="76" spans="1:78" ht="47.1" customHeight="1">
      <c r="A76" s="1874"/>
      <c r="B76" s="1805" t="s">
        <v>6944</v>
      </c>
      <c r="C76" s="1829">
        <v>0.5</v>
      </c>
      <c r="D76" s="1829">
        <v>0.5</v>
      </c>
      <c r="E76" s="1829">
        <v>0</v>
      </c>
      <c r="F76" s="1837">
        <v>0</v>
      </c>
      <c r="G76" s="1829">
        <v>0.5</v>
      </c>
      <c r="H76" s="1850">
        <v>0</v>
      </c>
      <c r="I76" s="2286"/>
      <c r="J76" s="1915">
        <v>0.5</v>
      </c>
      <c r="K76" s="1915" t="s">
        <v>5427</v>
      </c>
      <c r="L76" s="1794">
        <v>0</v>
      </c>
      <c r="M76" s="1914">
        <v>0</v>
      </c>
      <c r="N76" s="1917">
        <v>0.5</v>
      </c>
      <c r="O76" s="1917" t="s">
        <v>8648</v>
      </c>
      <c r="P76" s="1915">
        <v>1</v>
      </c>
      <c r="Q76" s="1915">
        <v>0</v>
      </c>
      <c r="R76" s="2096"/>
      <c r="S76" s="2248" t="s">
        <v>8087</v>
      </c>
      <c r="T76" s="1915" t="s">
        <v>7452</v>
      </c>
      <c r="U76" s="1794" t="s">
        <v>763</v>
      </c>
      <c r="V76" s="1802" t="s">
        <v>763</v>
      </c>
      <c r="W76" s="1794" t="s">
        <v>8316</v>
      </c>
      <c r="X76" s="1794" t="s">
        <v>8648</v>
      </c>
    </row>
    <row r="77" spans="1:78" ht="45.95" customHeight="1">
      <c r="A77" s="1874"/>
      <c r="B77" s="1807" t="s">
        <v>7111</v>
      </c>
      <c r="C77" s="1829">
        <v>1</v>
      </c>
      <c r="D77" s="1829">
        <v>1</v>
      </c>
      <c r="E77" s="1829">
        <v>0</v>
      </c>
      <c r="F77" s="1837">
        <v>1</v>
      </c>
      <c r="G77" s="1829">
        <v>0</v>
      </c>
      <c r="H77" s="1850">
        <v>0</v>
      </c>
      <c r="I77" s="2086" t="s">
        <v>95</v>
      </c>
      <c r="J77" s="1915">
        <v>1</v>
      </c>
      <c r="K77" s="1915" t="s">
        <v>1134</v>
      </c>
      <c r="L77" s="1794">
        <v>0</v>
      </c>
      <c r="M77" s="1914">
        <v>1</v>
      </c>
      <c r="N77" s="1917">
        <v>0</v>
      </c>
      <c r="O77" s="1914" t="s">
        <v>8649</v>
      </c>
      <c r="P77" s="1915">
        <v>1</v>
      </c>
      <c r="Q77" s="1915">
        <v>0</v>
      </c>
      <c r="R77" s="2096"/>
      <c r="S77" s="2248" t="s">
        <v>8088</v>
      </c>
      <c r="T77" s="1915" t="s">
        <v>7453</v>
      </c>
      <c r="U77" s="1794" t="s">
        <v>7197</v>
      </c>
      <c r="V77" s="1802" t="s">
        <v>1600</v>
      </c>
      <c r="W77" s="1794" t="s">
        <v>8317</v>
      </c>
      <c r="X77" s="1802" t="s">
        <v>8649</v>
      </c>
    </row>
    <row r="78" spans="1:78" ht="32.1" customHeight="1">
      <c r="A78" s="1874"/>
      <c r="B78" s="1807" t="s">
        <v>96</v>
      </c>
      <c r="C78" s="1829">
        <v>1</v>
      </c>
      <c r="D78" s="1829">
        <v>1</v>
      </c>
      <c r="E78" s="1829">
        <v>0</v>
      </c>
      <c r="F78" s="1837">
        <v>1</v>
      </c>
      <c r="G78" s="1829">
        <v>0</v>
      </c>
      <c r="H78" s="1850">
        <v>0</v>
      </c>
      <c r="I78" s="2086" t="s">
        <v>38</v>
      </c>
      <c r="J78" s="1915">
        <v>1</v>
      </c>
      <c r="K78" s="1915" t="s">
        <v>1134</v>
      </c>
      <c r="L78" s="1794">
        <v>0</v>
      </c>
      <c r="M78" s="1914">
        <v>1</v>
      </c>
      <c r="N78" s="1917">
        <v>0</v>
      </c>
      <c r="O78" s="1917" t="s">
        <v>8650</v>
      </c>
      <c r="P78" s="1915">
        <v>1</v>
      </c>
      <c r="Q78" s="1915">
        <v>0</v>
      </c>
      <c r="R78" s="2096"/>
      <c r="S78" s="2248" t="s">
        <v>8089</v>
      </c>
      <c r="T78" s="1915" t="s">
        <v>7454</v>
      </c>
      <c r="U78" s="1794" t="s">
        <v>7198</v>
      </c>
      <c r="V78" s="1802" t="s">
        <v>9190</v>
      </c>
      <c r="W78" s="1794" t="s">
        <v>5386</v>
      </c>
      <c r="X78" s="1794" t="s">
        <v>8650</v>
      </c>
    </row>
    <row r="79" spans="1:78" s="1891" customFormat="1" ht="32.1" customHeight="1">
      <c r="A79" s="1874"/>
      <c r="B79" s="1849" t="s">
        <v>97</v>
      </c>
      <c r="C79" s="1830">
        <v>1</v>
      </c>
      <c r="D79" s="1830">
        <v>1</v>
      </c>
      <c r="E79" s="1829">
        <v>1</v>
      </c>
      <c r="F79" s="1833">
        <v>1</v>
      </c>
      <c r="G79" s="1844">
        <v>1</v>
      </c>
      <c r="H79" s="1827">
        <v>1</v>
      </c>
      <c r="I79" s="2086" t="s">
        <v>38</v>
      </c>
      <c r="J79" s="1916">
        <v>1</v>
      </c>
      <c r="K79" s="1916" t="s">
        <v>1134</v>
      </c>
      <c r="L79" s="1794">
        <v>1</v>
      </c>
      <c r="M79" s="1914">
        <v>1</v>
      </c>
      <c r="N79" s="1935">
        <v>1</v>
      </c>
      <c r="O79" s="1935" t="s">
        <v>8651</v>
      </c>
      <c r="P79" s="1915">
        <v>1</v>
      </c>
      <c r="Q79" s="1915">
        <v>0</v>
      </c>
      <c r="R79" s="2096"/>
      <c r="S79" s="2248" t="s">
        <v>8090</v>
      </c>
      <c r="T79" s="1916" t="s">
        <v>7455</v>
      </c>
      <c r="U79" s="1794" t="s">
        <v>7199</v>
      </c>
      <c r="V79" s="1802" t="s">
        <v>6060</v>
      </c>
      <c r="W79" s="1794" t="s">
        <v>5387</v>
      </c>
      <c r="X79" s="1794" t="s">
        <v>8651</v>
      </c>
      <c r="Y79" s="1818"/>
      <c r="Z79" s="1818"/>
      <c r="AA79" s="1818"/>
      <c r="AB79" s="1818"/>
      <c r="AC79" s="1818"/>
      <c r="AD79" s="1818"/>
      <c r="AE79" s="1818"/>
      <c r="AF79" s="1818"/>
      <c r="AG79" s="1818"/>
      <c r="AH79" s="1818"/>
      <c r="AI79" s="1818"/>
      <c r="AJ79" s="1818"/>
      <c r="AK79" s="1818"/>
      <c r="AL79" s="1818"/>
      <c r="AM79" s="1818"/>
      <c r="AN79" s="1818"/>
      <c r="AO79" s="1818"/>
      <c r="AP79" s="1818"/>
      <c r="AQ79" s="1818"/>
      <c r="AR79" s="1818"/>
      <c r="AS79" s="1818"/>
      <c r="AT79" s="1818"/>
      <c r="AU79" s="1818"/>
      <c r="AV79" s="1818"/>
      <c r="AW79" s="1818"/>
      <c r="AX79" s="1818"/>
      <c r="AY79" s="1818"/>
      <c r="AZ79" s="1818"/>
      <c r="BA79" s="1818"/>
      <c r="BB79" s="1818"/>
      <c r="BC79" s="1818"/>
      <c r="BD79" s="1818"/>
      <c r="BE79" s="1818"/>
      <c r="BF79" s="1818"/>
      <c r="BG79" s="1818"/>
      <c r="BH79" s="1818"/>
      <c r="BI79" s="1818"/>
      <c r="BJ79" s="1818"/>
      <c r="BK79" s="1818"/>
      <c r="BL79" s="1818"/>
      <c r="BM79" s="1818"/>
      <c r="BN79" s="1818"/>
      <c r="BO79" s="1818"/>
      <c r="BP79" s="1818"/>
      <c r="BQ79" s="1818"/>
      <c r="BR79" s="1818"/>
      <c r="BS79" s="1818"/>
      <c r="BT79" s="1818"/>
      <c r="BU79" s="1818"/>
      <c r="BV79" s="1818"/>
      <c r="BW79" s="1818"/>
      <c r="BX79" s="1818"/>
      <c r="BY79" s="1818"/>
      <c r="BZ79" s="1818"/>
    </row>
    <row r="80" spans="1:78" ht="32.1" customHeight="1">
      <c r="A80" s="2499" t="s">
        <v>98</v>
      </c>
      <c r="B80" s="2084" t="s">
        <v>99</v>
      </c>
      <c r="C80" s="2104">
        <f t="shared" ref="C80:H80" si="23">AVERAGE(C81:C86)</f>
        <v>0.66666666666666663</v>
      </c>
      <c r="D80" s="2104">
        <f t="shared" si="23"/>
        <v>0.91666666666666663</v>
      </c>
      <c r="E80" s="2104">
        <f t="shared" si="23"/>
        <v>0.16666666666666666</v>
      </c>
      <c r="F80" s="2104">
        <f t="shared" si="23"/>
        <v>1</v>
      </c>
      <c r="G80" s="2104">
        <f t="shared" si="23"/>
        <v>0.91666666666666663</v>
      </c>
      <c r="H80" s="2104">
        <f t="shared" si="23"/>
        <v>0.5</v>
      </c>
      <c r="I80" s="2086"/>
      <c r="J80" s="2087"/>
      <c r="K80" s="2102"/>
      <c r="L80" s="2102"/>
      <c r="M80" s="2102"/>
      <c r="N80" s="2102"/>
      <c r="O80" s="2102"/>
      <c r="P80" s="2102"/>
      <c r="Q80" s="2102"/>
      <c r="R80" s="2103"/>
      <c r="S80" s="2087"/>
      <c r="T80" s="2102"/>
      <c r="U80" s="2102"/>
      <c r="V80" s="2102"/>
      <c r="W80" s="2102"/>
      <c r="X80" s="2102"/>
    </row>
    <row r="81" spans="1:78" s="1891" customFormat="1" ht="216.75" customHeight="1">
      <c r="A81" s="1899"/>
      <c r="B81" s="1807" t="s">
        <v>5330</v>
      </c>
      <c r="C81" s="1829">
        <v>1</v>
      </c>
      <c r="D81" s="1829">
        <v>0.5</v>
      </c>
      <c r="E81" s="1829">
        <v>0.5</v>
      </c>
      <c r="F81" s="1837">
        <v>1</v>
      </c>
      <c r="G81" s="1829">
        <v>0.5</v>
      </c>
      <c r="H81" s="1808">
        <v>0</v>
      </c>
      <c r="I81" s="2538" t="s">
        <v>9308</v>
      </c>
      <c r="J81" s="1794">
        <v>0.5</v>
      </c>
      <c r="K81" s="1794" t="s">
        <v>968</v>
      </c>
      <c r="L81" s="1794">
        <v>0.5</v>
      </c>
      <c r="M81" s="1802">
        <v>0</v>
      </c>
      <c r="N81" s="1794">
        <v>0</v>
      </c>
      <c r="O81" s="1935" t="s">
        <v>8652</v>
      </c>
      <c r="P81" s="1915">
        <v>1</v>
      </c>
      <c r="Q81" s="1915">
        <v>0</v>
      </c>
      <c r="R81" s="2096"/>
      <c r="S81" s="2248" t="s">
        <v>8091</v>
      </c>
      <c r="T81" s="1794" t="s">
        <v>7456</v>
      </c>
      <c r="U81" s="1794" t="s">
        <v>7200</v>
      </c>
      <c r="V81" s="1802" t="s">
        <v>8568</v>
      </c>
      <c r="W81" s="1794" t="s">
        <v>5388</v>
      </c>
      <c r="X81" s="1935" t="s">
        <v>8652</v>
      </c>
      <c r="Y81" s="1818"/>
      <c r="Z81" s="1818"/>
      <c r="AA81" s="1818"/>
      <c r="AB81" s="1818"/>
      <c r="AC81" s="1818"/>
      <c r="AD81" s="1818"/>
      <c r="AE81" s="1818"/>
      <c r="AF81" s="1818"/>
      <c r="AG81" s="1818"/>
      <c r="AH81" s="1818"/>
      <c r="AI81" s="1818"/>
      <c r="AJ81" s="1818"/>
      <c r="AK81" s="1818"/>
      <c r="AL81" s="1818"/>
      <c r="AM81" s="1818"/>
      <c r="AN81" s="1818"/>
      <c r="AO81" s="1818"/>
      <c r="AP81" s="1818"/>
      <c r="AQ81" s="1818"/>
      <c r="AR81" s="1818"/>
      <c r="AS81" s="1818"/>
      <c r="AT81" s="1818"/>
      <c r="AU81" s="1818"/>
      <c r="AV81" s="1818"/>
      <c r="AW81" s="1818"/>
      <c r="AX81" s="1818"/>
      <c r="AY81" s="1818"/>
      <c r="AZ81" s="1818"/>
      <c r="BA81" s="1818"/>
      <c r="BB81" s="1818"/>
      <c r="BC81" s="1818"/>
      <c r="BD81" s="1818"/>
      <c r="BE81" s="1818"/>
      <c r="BF81" s="1818"/>
      <c r="BG81" s="1818"/>
      <c r="BH81" s="1818"/>
      <c r="BI81" s="1818"/>
      <c r="BJ81" s="1818"/>
      <c r="BK81" s="1818"/>
      <c r="BL81" s="1818"/>
      <c r="BM81" s="1818"/>
      <c r="BN81" s="1818"/>
      <c r="BO81" s="1818"/>
      <c r="BP81" s="1818"/>
      <c r="BQ81" s="1818"/>
      <c r="BR81" s="1818"/>
      <c r="BS81" s="1818"/>
      <c r="BT81" s="1818"/>
      <c r="BU81" s="1818"/>
      <c r="BV81" s="1818"/>
      <c r="BW81" s="1818"/>
      <c r="BX81" s="1818"/>
      <c r="BY81" s="1818"/>
      <c r="BZ81" s="1818"/>
    </row>
    <row r="82" spans="1:78" ht="116.1" customHeight="1">
      <c r="A82" s="1899"/>
      <c r="B82" s="1807" t="s">
        <v>100</v>
      </c>
      <c r="C82" s="1829">
        <v>0</v>
      </c>
      <c r="D82" s="1829">
        <v>1</v>
      </c>
      <c r="E82" s="1829">
        <v>0</v>
      </c>
      <c r="F82" s="1837">
        <v>1</v>
      </c>
      <c r="G82" s="1829">
        <v>1</v>
      </c>
      <c r="H82" s="1808">
        <v>0</v>
      </c>
      <c r="I82" s="2538" t="s">
        <v>101</v>
      </c>
      <c r="J82" s="1794" t="s">
        <v>811</v>
      </c>
      <c r="K82" s="1794" t="s">
        <v>968</v>
      </c>
      <c r="L82" s="1794">
        <v>1</v>
      </c>
      <c r="M82" s="1802">
        <v>1</v>
      </c>
      <c r="N82" s="1794">
        <v>1</v>
      </c>
      <c r="O82" s="1935" t="s">
        <v>8653</v>
      </c>
      <c r="P82" s="1915">
        <v>1</v>
      </c>
      <c r="Q82" s="1915">
        <v>0</v>
      </c>
      <c r="R82" s="2096"/>
      <c r="S82" s="2248" t="s">
        <v>8092</v>
      </c>
      <c r="T82" s="1794" t="s">
        <v>7457</v>
      </c>
      <c r="U82" s="1794" t="s">
        <v>7201</v>
      </c>
      <c r="V82" s="1802" t="s">
        <v>6062</v>
      </c>
      <c r="W82" s="1794" t="s">
        <v>5389</v>
      </c>
      <c r="X82" s="1935" t="s">
        <v>8653</v>
      </c>
    </row>
    <row r="83" spans="1:78" ht="122.1" customHeight="1">
      <c r="A83" s="1899"/>
      <c r="B83" s="1807" t="s">
        <v>102</v>
      </c>
      <c r="C83" s="1829">
        <v>1</v>
      </c>
      <c r="D83" s="1829">
        <v>1</v>
      </c>
      <c r="E83" s="1829">
        <v>0.5</v>
      </c>
      <c r="F83" s="1837">
        <v>1</v>
      </c>
      <c r="G83" s="1829">
        <v>1</v>
      </c>
      <c r="H83" s="1808">
        <v>0.5</v>
      </c>
      <c r="I83" s="2538" t="s">
        <v>103</v>
      </c>
      <c r="J83" s="1794">
        <v>1</v>
      </c>
      <c r="K83" s="1794" t="s">
        <v>1134</v>
      </c>
      <c r="L83" s="1794">
        <v>1</v>
      </c>
      <c r="M83" s="1802">
        <v>0.5</v>
      </c>
      <c r="N83" s="1949">
        <v>1</v>
      </c>
      <c r="O83" s="1941" t="s">
        <v>8654</v>
      </c>
      <c r="P83" s="1915">
        <v>1</v>
      </c>
      <c r="Q83" s="1915">
        <v>0</v>
      </c>
      <c r="R83" s="2096"/>
      <c r="S83" s="2248" t="s">
        <v>8093</v>
      </c>
      <c r="T83" s="1794" t="s">
        <v>7458</v>
      </c>
      <c r="U83" s="1794" t="s">
        <v>7202</v>
      </c>
      <c r="V83" s="1802" t="s">
        <v>6063</v>
      </c>
      <c r="W83" s="1949" t="s">
        <v>1638</v>
      </c>
      <c r="X83" s="1941" t="s">
        <v>8654</v>
      </c>
    </row>
    <row r="84" spans="1:78" ht="32.1" customHeight="1">
      <c r="A84" s="1899"/>
      <c r="B84" s="1807" t="s">
        <v>104</v>
      </c>
      <c r="C84" s="1829">
        <v>0</v>
      </c>
      <c r="D84" s="1829">
        <v>1</v>
      </c>
      <c r="E84" s="1829">
        <v>0</v>
      </c>
      <c r="F84" s="1829">
        <v>1</v>
      </c>
      <c r="G84" s="1829">
        <v>1</v>
      </c>
      <c r="H84" s="1850">
        <v>0.5</v>
      </c>
      <c r="I84" s="2086" t="s">
        <v>38</v>
      </c>
      <c r="J84" s="1915">
        <v>0</v>
      </c>
      <c r="K84" s="1915" t="s">
        <v>1134</v>
      </c>
      <c r="L84" s="1794">
        <v>0</v>
      </c>
      <c r="M84" s="1916">
        <v>1</v>
      </c>
      <c r="N84" s="1915">
        <v>1</v>
      </c>
      <c r="O84" s="1915" t="s">
        <v>5606</v>
      </c>
      <c r="P84" s="1915">
        <v>1</v>
      </c>
      <c r="Q84" s="1915">
        <v>0</v>
      </c>
      <c r="R84" s="2096"/>
      <c r="S84" s="2248" t="s">
        <v>8094</v>
      </c>
      <c r="T84" s="1915" t="s">
        <v>7459</v>
      </c>
      <c r="U84" s="1795" t="s">
        <v>7203</v>
      </c>
      <c r="V84" s="1916" t="s">
        <v>7850</v>
      </c>
      <c r="W84" s="1915" t="s">
        <v>1642</v>
      </c>
      <c r="X84" s="1915" t="s">
        <v>5606</v>
      </c>
    </row>
    <row r="85" spans="1:78" ht="50.1" customHeight="1">
      <c r="A85" s="1874"/>
      <c r="B85" s="1807" t="s">
        <v>105</v>
      </c>
      <c r="C85" s="1829">
        <v>1</v>
      </c>
      <c r="D85" s="1829">
        <v>1</v>
      </c>
      <c r="E85" s="1829">
        <v>0</v>
      </c>
      <c r="F85" s="1837">
        <v>1</v>
      </c>
      <c r="G85" s="1829">
        <v>1</v>
      </c>
      <c r="H85" s="1850">
        <v>1</v>
      </c>
      <c r="I85" s="2086" t="s">
        <v>38</v>
      </c>
      <c r="J85" s="1915">
        <v>1</v>
      </c>
      <c r="K85" s="1915" t="s">
        <v>1134</v>
      </c>
      <c r="L85" s="1794">
        <v>0</v>
      </c>
      <c r="M85" s="1914">
        <v>1</v>
      </c>
      <c r="N85" s="1915">
        <v>1</v>
      </c>
      <c r="O85" s="1915" t="s">
        <v>8655</v>
      </c>
      <c r="P85" s="1915">
        <v>1</v>
      </c>
      <c r="Q85" s="1915">
        <v>0</v>
      </c>
      <c r="R85" s="2096"/>
      <c r="S85" s="2248" t="s">
        <v>8095</v>
      </c>
      <c r="T85" s="1915" t="s">
        <v>7460</v>
      </c>
      <c r="U85" s="1795" t="s">
        <v>7204</v>
      </c>
      <c r="V85" s="1914" t="s">
        <v>1646</v>
      </c>
      <c r="W85" s="1915" t="s">
        <v>5390</v>
      </c>
      <c r="X85" s="1915" t="s">
        <v>8655</v>
      </c>
    </row>
    <row r="86" spans="1:78" ht="32.1" customHeight="1">
      <c r="A86" s="1874"/>
      <c r="B86" s="1807" t="s">
        <v>106</v>
      </c>
      <c r="C86" s="1829">
        <v>1</v>
      </c>
      <c r="D86" s="1829">
        <v>1</v>
      </c>
      <c r="E86" s="1829">
        <v>0</v>
      </c>
      <c r="F86" s="1837">
        <v>1</v>
      </c>
      <c r="G86" s="1829">
        <v>1</v>
      </c>
      <c r="H86" s="1850">
        <v>1</v>
      </c>
      <c r="I86" s="2086" t="s">
        <v>38</v>
      </c>
      <c r="J86" s="1915">
        <v>1</v>
      </c>
      <c r="K86" s="1915" t="s">
        <v>1134</v>
      </c>
      <c r="L86" s="1794">
        <v>0</v>
      </c>
      <c r="M86" s="1914">
        <v>1</v>
      </c>
      <c r="N86" s="1917">
        <v>1</v>
      </c>
      <c r="O86" s="1917" t="s">
        <v>8656</v>
      </c>
      <c r="P86" s="1915">
        <v>1</v>
      </c>
      <c r="Q86" s="1915">
        <v>0</v>
      </c>
      <c r="R86" s="2096"/>
      <c r="S86" s="2248" t="s">
        <v>8096</v>
      </c>
      <c r="T86" s="1915" t="s">
        <v>7461</v>
      </c>
      <c r="U86" s="1794" t="s">
        <v>7205</v>
      </c>
      <c r="V86" s="1914" t="s">
        <v>6064</v>
      </c>
      <c r="W86" s="1917" t="s">
        <v>8318</v>
      </c>
      <c r="X86" s="1917" t="s">
        <v>8656</v>
      </c>
    </row>
    <row r="87" spans="1:78" ht="32.1" customHeight="1">
      <c r="A87" s="2499" t="s">
        <v>107</v>
      </c>
      <c r="B87" s="2084" t="s">
        <v>108</v>
      </c>
      <c r="C87" s="2085">
        <f t="shared" ref="C87:H87" si="24">AVERAGE(C88:C92)</f>
        <v>0.9</v>
      </c>
      <c r="D87" s="2085">
        <f t="shared" si="24"/>
        <v>0.9</v>
      </c>
      <c r="E87" s="2085">
        <f t="shared" si="24"/>
        <v>0.4</v>
      </c>
      <c r="F87" s="2085">
        <f t="shared" si="24"/>
        <v>1</v>
      </c>
      <c r="G87" s="2085">
        <f t="shared" si="24"/>
        <v>0.6</v>
      </c>
      <c r="H87" s="2085">
        <f t="shared" si="24"/>
        <v>0.3</v>
      </c>
      <c r="I87" s="2086"/>
      <c r="J87" s="2087"/>
      <c r="K87" s="2102"/>
      <c r="L87" s="2102"/>
      <c r="M87" s="2102"/>
      <c r="N87" s="2102"/>
      <c r="O87" s="2102"/>
      <c r="P87" s="2102"/>
      <c r="Q87" s="2102"/>
      <c r="R87" s="2103"/>
      <c r="S87" s="2087"/>
      <c r="T87" s="2102"/>
      <c r="U87" s="2102"/>
      <c r="V87" s="2102"/>
      <c r="W87" s="2102"/>
      <c r="X87" s="2102"/>
    </row>
    <row r="88" spans="1:78" s="1891" customFormat="1" ht="150.75" customHeight="1">
      <c r="A88" s="1899"/>
      <c r="B88" s="1807" t="s">
        <v>7112</v>
      </c>
      <c r="C88" s="1829">
        <v>0.5</v>
      </c>
      <c r="D88" s="1829">
        <v>0.5</v>
      </c>
      <c r="E88" s="1846">
        <v>0</v>
      </c>
      <c r="F88" s="1837">
        <v>1</v>
      </c>
      <c r="G88" s="1829">
        <v>0</v>
      </c>
      <c r="H88" s="1850">
        <v>0</v>
      </c>
      <c r="I88" s="2086" t="s">
        <v>1662</v>
      </c>
      <c r="J88" s="1916">
        <v>0.5</v>
      </c>
      <c r="K88" s="1916" t="s">
        <v>968</v>
      </c>
      <c r="L88" s="1794">
        <v>0</v>
      </c>
      <c r="M88" s="1914">
        <v>1</v>
      </c>
      <c r="N88" s="1948">
        <v>0</v>
      </c>
      <c r="O88" s="1948" t="s">
        <v>8657</v>
      </c>
      <c r="P88" s="1916"/>
      <c r="Q88" s="1916"/>
      <c r="R88" s="2096"/>
      <c r="S88" s="2248" t="s">
        <v>1663</v>
      </c>
      <c r="T88" s="1916" t="s">
        <v>7462</v>
      </c>
      <c r="U88" s="1794" t="s">
        <v>7206</v>
      </c>
      <c r="V88" s="1914" t="s">
        <v>6065</v>
      </c>
      <c r="W88" s="1948" t="s">
        <v>5392</v>
      </c>
      <c r="X88" s="1948" t="s">
        <v>8657</v>
      </c>
      <c r="Y88" s="1818"/>
      <c r="Z88" s="1818"/>
      <c r="AA88" s="1818"/>
      <c r="AB88" s="1818"/>
      <c r="AC88" s="1818"/>
      <c r="AD88" s="1818"/>
      <c r="AE88" s="1818"/>
      <c r="AF88" s="1818"/>
      <c r="AG88" s="1818"/>
      <c r="AH88" s="1818"/>
      <c r="AI88" s="1818"/>
      <c r="AJ88" s="1818"/>
      <c r="AK88" s="1818"/>
      <c r="AL88" s="1818"/>
      <c r="AM88" s="1818"/>
      <c r="AN88" s="1818"/>
      <c r="AO88" s="1818"/>
      <c r="AP88" s="1818"/>
      <c r="AQ88" s="1818"/>
      <c r="AR88" s="1818"/>
      <c r="AS88" s="1818"/>
      <c r="AT88" s="1818"/>
      <c r="AU88" s="1818"/>
      <c r="AV88" s="1818"/>
      <c r="AW88" s="1818"/>
      <c r="AX88" s="1818"/>
      <c r="AY88" s="1818"/>
      <c r="AZ88" s="1818"/>
      <c r="BA88" s="1818"/>
      <c r="BB88" s="1818"/>
      <c r="BC88" s="1818"/>
      <c r="BD88" s="1818"/>
      <c r="BE88" s="1818"/>
      <c r="BF88" s="1818"/>
      <c r="BG88" s="1818"/>
      <c r="BH88" s="1818"/>
      <c r="BI88" s="1818"/>
      <c r="BJ88" s="1818"/>
      <c r="BK88" s="1818"/>
      <c r="BL88" s="1818"/>
      <c r="BM88" s="1818"/>
      <c r="BN88" s="1818"/>
      <c r="BO88" s="1818"/>
      <c r="BP88" s="1818"/>
      <c r="BQ88" s="1818"/>
      <c r="BR88" s="1818"/>
      <c r="BS88" s="1818"/>
      <c r="BT88" s="1818"/>
      <c r="BU88" s="1818"/>
      <c r="BV88" s="1818"/>
      <c r="BW88" s="1818"/>
      <c r="BX88" s="1818"/>
      <c r="BY88" s="1818"/>
      <c r="BZ88" s="1818"/>
    </row>
    <row r="89" spans="1:78" s="1891" customFormat="1" ht="92.1" customHeight="1">
      <c r="A89" s="1899"/>
      <c r="B89" s="1807" t="s">
        <v>5348</v>
      </c>
      <c r="C89" s="1829">
        <v>1</v>
      </c>
      <c r="D89" s="1829">
        <v>1</v>
      </c>
      <c r="E89" s="1846">
        <v>0</v>
      </c>
      <c r="F89" s="1829">
        <v>1</v>
      </c>
      <c r="G89" s="1829">
        <v>0</v>
      </c>
      <c r="H89" s="1850">
        <v>0</v>
      </c>
      <c r="I89" s="2086" t="s">
        <v>38</v>
      </c>
      <c r="J89" s="1916">
        <v>1</v>
      </c>
      <c r="K89" s="1916" t="s">
        <v>1134</v>
      </c>
      <c r="L89" s="1794">
        <v>0</v>
      </c>
      <c r="M89" s="1794" t="s">
        <v>6066</v>
      </c>
      <c r="N89" s="1948">
        <v>0</v>
      </c>
      <c r="O89" s="1948" t="s">
        <v>5610</v>
      </c>
      <c r="P89" s="1915">
        <v>1</v>
      </c>
      <c r="Q89" s="1915">
        <v>0</v>
      </c>
      <c r="R89" s="2096"/>
      <c r="S89" s="2248" t="s">
        <v>8097</v>
      </c>
      <c r="T89" s="1916" t="s">
        <v>7463</v>
      </c>
      <c r="U89" s="1794" t="s">
        <v>748</v>
      </c>
      <c r="V89" s="1916" t="s">
        <v>6066</v>
      </c>
      <c r="W89" s="1948" t="s">
        <v>5393</v>
      </c>
      <c r="X89" s="1948" t="s">
        <v>5610</v>
      </c>
      <c r="Y89" s="1818"/>
      <c r="Z89" s="1818"/>
      <c r="AA89" s="1818"/>
      <c r="AB89" s="1818"/>
      <c r="AC89" s="1818"/>
      <c r="AD89" s="1818"/>
      <c r="AE89" s="1818"/>
      <c r="AF89" s="1818"/>
      <c r="AG89" s="1818"/>
      <c r="AH89" s="1818"/>
      <c r="AI89" s="1818"/>
      <c r="AJ89" s="1818"/>
      <c r="AK89" s="1818"/>
      <c r="AL89" s="1818"/>
      <c r="AM89" s="1818"/>
      <c r="AN89" s="1818"/>
      <c r="AO89" s="1818"/>
      <c r="AP89" s="1818"/>
      <c r="AQ89" s="1818"/>
      <c r="AR89" s="1818"/>
      <c r="AS89" s="1818"/>
      <c r="AT89" s="1818"/>
      <c r="AU89" s="1818"/>
      <c r="AV89" s="1818"/>
      <c r="AW89" s="1818"/>
      <c r="AX89" s="1818"/>
      <c r="AY89" s="1818"/>
      <c r="AZ89" s="1818"/>
      <c r="BA89" s="1818"/>
      <c r="BB89" s="1818"/>
      <c r="BC89" s="1818"/>
      <c r="BD89" s="1818"/>
      <c r="BE89" s="1818"/>
      <c r="BF89" s="1818"/>
      <c r="BG89" s="1818"/>
      <c r="BH89" s="1818"/>
      <c r="BI89" s="1818"/>
      <c r="BJ89" s="1818"/>
      <c r="BK89" s="1818"/>
      <c r="BL89" s="1818"/>
      <c r="BM89" s="1818"/>
      <c r="BN89" s="1818"/>
      <c r="BO89" s="1818"/>
      <c r="BP89" s="1818"/>
      <c r="BQ89" s="1818"/>
      <c r="BR89" s="1818"/>
      <c r="BS89" s="1818"/>
      <c r="BT89" s="1818"/>
      <c r="BU89" s="1818"/>
      <c r="BV89" s="1818"/>
      <c r="BW89" s="1818"/>
      <c r="BX89" s="1818"/>
      <c r="BY89" s="1818"/>
      <c r="BZ89" s="1818"/>
    </row>
    <row r="90" spans="1:78" ht="32.1" customHeight="1">
      <c r="A90" s="1899"/>
      <c r="B90" s="1807" t="s">
        <v>5287</v>
      </c>
      <c r="C90" s="1829">
        <v>1</v>
      </c>
      <c r="D90" s="1829">
        <v>1</v>
      </c>
      <c r="E90" s="1846">
        <v>1</v>
      </c>
      <c r="F90" s="1829">
        <v>1</v>
      </c>
      <c r="G90" s="1829">
        <v>1</v>
      </c>
      <c r="H90" s="1850">
        <v>1</v>
      </c>
      <c r="I90" s="2086" t="s">
        <v>38</v>
      </c>
      <c r="J90" s="1915">
        <v>1</v>
      </c>
      <c r="K90" s="1915" t="s">
        <v>1134</v>
      </c>
      <c r="L90" s="1794">
        <v>1</v>
      </c>
      <c r="M90" s="1794">
        <v>1</v>
      </c>
      <c r="N90" s="1941">
        <v>1</v>
      </c>
      <c r="O90" s="1941" t="s">
        <v>8658</v>
      </c>
      <c r="P90" s="1915">
        <v>1</v>
      </c>
      <c r="Q90" s="1915">
        <v>0</v>
      </c>
      <c r="R90" s="2096"/>
      <c r="S90" s="2248" t="s">
        <v>8098</v>
      </c>
      <c r="T90" s="1915" t="s">
        <v>7464</v>
      </c>
      <c r="U90" s="1794" t="s">
        <v>7207</v>
      </c>
      <c r="V90" s="1915" t="s">
        <v>811</v>
      </c>
      <c r="W90" s="1941" t="s">
        <v>5394</v>
      </c>
      <c r="X90" s="1941" t="s">
        <v>8658</v>
      </c>
    </row>
    <row r="91" spans="1:78" ht="84" customHeight="1">
      <c r="A91" s="1899"/>
      <c r="B91" s="1807" t="s">
        <v>5331</v>
      </c>
      <c r="C91" s="1829">
        <v>1</v>
      </c>
      <c r="D91" s="1829">
        <v>1</v>
      </c>
      <c r="E91" s="1846">
        <v>1</v>
      </c>
      <c r="F91" s="1829">
        <v>1</v>
      </c>
      <c r="G91" s="1829">
        <v>1</v>
      </c>
      <c r="H91" s="1850">
        <v>0</v>
      </c>
      <c r="I91" s="2086" t="s">
        <v>38</v>
      </c>
      <c r="J91" s="1915">
        <v>1</v>
      </c>
      <c r="K91" s="1915" t="s">
        <v>1134</v>
      </c>
      <c r="L91" s="1794">
        <v>1</v>
      </c>
      <c r="M91" s="1794">
        <v>0</v>
      </c>
      <c r="N91" s="1941">
        <v>1</v>
      </c>
      <c r="O91" s="1948" t="s">
        <v>8659</v>
      </c>
      <c r="P91" s="1915">
        <v>1</v>
      </c>
      <c r="Q91" s="1915">
        <v>0</v>
      </c>
      <c r="R91" s="2096"/>
      <c r="S91" s="2248" t="s">
        <v>8099</v>
      </c>
      <c r="T91" s="1915" t="s">
        <v>7464</v>
      </c>
      <c r="U91" s="1794" t="s">
        <v>7208</v>
      </c>
      <c r="V91" s="1915" t="s">
        <v>6067</v>
      </c>
      <c r="W91" s="1941" t="s">
        <v>8319</v>
      </c>
      <c r="X91" s="1948" t="s">
        <v>8659</v>
      </c>
    </row>
    <row r="92" spans="1:78" s="1891" customFormat="1" ht="239.1" customHeight="1">
      <c r="A92" s="1899"/>
      <c r="B92" s="1807" t="s">
        <v>113</v>
      </c>
      <c r="C92" s="1829">
        <v>1</v>
      </c>
      <c r="D92" s="1829">
        <v>1</v>
      </c>
      <c r="E92" s="1846">
        <v>0</v>
      </c>
      <c r="F92" s="1837">
        <v>1</v>
      </c>
      <c r="G92" s="1829">
        <v>1</v>
      </c>
      <c r="H92" s="1850">
        <v>0.5</v>
      </c>
      <c r="I92" s="2538" t="s">
        <v>1683</v>
      </c>
      <c r="J92" s="1916">
        <v>1</v>
      </c>
      <c r="K92" s="1916" t="s">
        <v>1134</v>
      </c>
      <c r="L92" s="1794">
        <v>0</v>
      </c>
      <c r="M92" s="1914">
        <v>1</v>
      </c>
      <c r="N92" s="1948">
        <v>1</v>
      </c>
      <c r="O92" s="1948" t="s">
        <v>8660</v>
      </c>
      <c r="P92" s="1915">
        <v>1</v>
      </c>
      <c r="Q92" s="1915">
        <v>0</v>
      </c>
      <c r="R92" s="2096"/>
      <c r="S92" s="2248" t="s">
        <v>8100</v>
      </c>
      <c r="T92" s="1916" t="s">
        <v>7465</v>
      </c>
      <c r="U92" s="1794" t="s">
        <v>7209</v>
      </c>
      <c r="V92" s="1914" t="s">
        <v>7851</v>
      </c>
      <c r="W92" s="1948" t="s">
        <v>8320</v>
      </c>
      <c r="X92" s="1948" t="s">
        <v>8660</v>
      </c>
      <c r="Y92" s="1818"/>
      <c r="Z92" s="1818"/>
      <c r="AA92" s="1818"/>
      <c r="AB92" s="1818"/>
      <c r="AC92" s="1818"/>
      <c r="AD92" s="1818"/>
      <c r="AE92" s="1818"/>
      <c r="AF92" s="1818"/>
      <c r="AG92" s="1818"/>
      <c r="AH92" s="1818"/>
      <c r="AI92" s="1818"/>
      <c r="AJ92" s="1818"/>
      <c r="AK92" s="1818"/>
      <c r="AL92" s="1818"/>
      <c r="AM92" s="1818"/>
      <c r="AN92" s="1818"/>
      <c r="AO92" s="1818"/>
      <c r="AP92" s="1818"/>
      <c r="AQ92" s="1818"/>
      <c r="AR92" s="1818"/>
      <c r="AS92" s="1818"/>
      <c r="AT92" s="1818"/>
      <c r="AU92" s="1818"/>
      <c r="AV92" s="1818"/>
      <c r="AW92" s="1818"/>
      <c r="AX92" s="1818"/>
      <c r="AY92" s="1818"/>
      <c r="AZ92" s="1818"/>
      <c r="BA92" s="1818"/>
      <c r="BB92" s="1818"/>
      <c r="BC92" s="1818"/>
      <c r="BD92" s="1818"/>
      <c r="BE92" s="1818"/>
      <c r="BF92" s="1818"/>
      <c r="BG92" s="1818"/>
      <c r="BH92" s="1818"/>
      <c r="BI92" s="1818"/>
      <c r="BJ92" s="1818"/>
      <c r="BK92" s="1818"/>
      <c r="BL92" s="1818"/>
      <c r="BM92" s="1818"/>
      <c r="BN92" s="1818"/>
      <c r="BO92" s="1818"/>
      <c r="BP92" s="1818"/>
      <c r="BQ92" s="1818"/>
      <c r="BR92" s="1818"/>
      <c r="BS92" s="1818"/>
      <c r="BT92" s="1818"/>
      <c r="BU92" s="1818"/>
      <c r="BV92" s="1818"/>
      <c r="BW92" s="1818"/>
      <c r="BX92" s="1818"/>
      <c r="BY92" s="1818"/>
      <c r="BZ92" s="1818"/>
    </row>
    <row r="93" spans="1:78" ht="32.1" customHeight="1">
      <c r="A93" s="2499" t="s">
        <v>114</v>
      </c>
      <c r="B93" s="2084" t="s">
        <v>115</v>
      </c>
      <c r="C93" s="2085">
        <f>AVERAGE(C94:C99)</f>
        <v>0.83333333333333337</v>
      </c>
      <c r="D93" s="2085">
        <f t="shared" ref="D93:H93" si="25">AVERAGE(D94:D99)</f>
        <v>0.83333333333333337</v>
      </c>
      <c r="E93" s="2085">
        <f t="shared" si="25"/>
        <v>1</v>
      </c>
      <c r="F93" s="2085">
        <f t="shared" si="25"/>
        <v>0.58333333333333337</v>
      </c>
      <c r="G93" s="2085">
        <f t="shared" si="25"/>
        <v>0.66666666666666663</v>
      </c>
      <c r="H93" s="2085">
        <f t="shared" si="25"/>
        <v>0.75</v>
      </c>
      <c r="I93" s="2086"/>
      <c r="J93" s="2087"/>
      <c r="K93" s="2102"/>
      <c r="L93" s="2102"/>
      <c r="M93" s="2102"/>
      <c r="N93" s="2102"/>
      <c r="O93" s="2102"/>
      <c r="P93" s="2102"/>
      <c r="Q93" s="2102"/>
      <c r="R93" s="2103"/>
      <c r="S93" s="2087"/>
      <c r="T93" s="2102"/>
      <c r="U93" s="2102"/>
      <c r="V93" s="2102"/>
      <c r="W93" s="2102"/>
      <c r="X93" s="2102"/>
    </row>
    <row r="94" spans="1:78" ht="32.1" customHeight="1">
      <c r="A94" s="1874"/>
      <c r="B94" s="1807" t="s">
        <v>7113</v>
      </c>
      <c r="C94" s="1837">
        <v>1</v>
      </c>
      <c r="D94" s="1846">
        <v>1</v>
      </c>
      <c r="E94" s="1846">
        <v>1</v>
      </c>
      <c r="F94" s="1837">
        <v>0</v>
      </c>
      <c r="G94" s="1829">
        <v>1</v>
      </c>
      <c r="H94" s="1850">
        <v>1</v>
      </c>
      <c r="I94" s="2086" t="s">
        <v>38</v>
      </c>
      <c r="J94" s="2217">
        <v>1</v>
      </c>
      <c r="K94" s="1915" t="s">
        <v>960</v>
      </c>
      <c r="L94" s="1794">
        <v>1</v>
      </c>
      <c r="M94" s="1914">
        <v>0</v>
      </c>
      <c r="N94" s="1941">
        <v>1</v>
      </c>
      <c r="O94" s="1941" t="s">
        <v>8661</v>
      </c>
      <c r="P94" s="1915">
        <v>1</v>
      </c>
      <c r="Q94" s="1915">
        <v>0</v>
      </c>
      <c r="R94" s="2096"/>
      <c r="S94" s="2248" t="s">
        <v>8101</v>
      </c>
      <c r="T94" s="1915" t="s">
        <v>7466</v>
      </c>
      <c r="U94" s="1794" t="s">
        <v>7210</v>
      </c>
      <c r="V94" s="1914" t="s">
        <v>7852</v>
      </c>
      <c r="W94" s="1941" t="s">
        <v>5397</v>
      </c>
      <c r="X94" s="1941" t="s">
        <v>8661</v>
      </c>
    </row>
    <row r="95" spans="1:78" ht="168.95" customHeight="1">
      <c r="A95" s="1899"/>
      <c r="B95" s="1807" t="s">
        <v>117</v>
      </c>
      <c r="C95" s="1837">
        <v>0</v>
      </c>
      <c r="D95" s="1846">
        <v>0</v>
      </c>
      <c r="E95" s="1846">
        <v>1</v>
      </c>
      <c r="F95" s="1837">
        <v>0</v>
      </c>
      <c r="G95" s="1829">
        <v>0</v>
      </c>
      <c r="H95" s="1850">
        <v>0</v>
      </c>
      <c r="I95" s="2086" t="s">
        <v>38</v>
      </c>
      <c r="J95" s="2217">
        <v>0</v>
      </c>
      <c r="K95" s="1915" t="s">
        <v>1060</v>
      </c>
      <c r="L95" s="1794">
        <v>1</v>
      </c>
      <c r="M95" s="1914">
        <v>0</v>
      </c>
      <c r="N95" s="1941" t="s">
        <v>811</v>
      </c>
      <c r="O95" s="1941" t="s">
        <v>8662</v>
      </c>
      <c r="P95" s="1915">
        <v>1</v>
      </c>
      <c r="Q95" s="1915">
        <v>0</v>
      </c>
      <c r="R95" s="2096"/>
      <c r="S95" s="2248" t="s">
        <v>8102</v>
      </c>
      <c r="T95" s="1915" t="s">
        <v>7467</v>
      </c>
      <c r="U95" s="1794" t="s">
        <v>7211</v>
      </c>
      <c r="V95" s="1914" t="s">
        <v>7853</v>
      </c>
      <c r="W95" s="1941" t="s">
        <v>5398</v>
      </c>
      <c r="X95" s="1941" t="s">
        <v>8662</v>
      </c>
    </row>
    <row r="96" spans="1:78" ht="44.25" customHeight="1">
      <c r="A96" s="1899"/>
      <c r="B96" s="1807" t="s">
        <v>6981</v>
      </c>
      <c r="C96" s="1837">
        <v>1</v>
      </c>
      <c r="D96" s="1829">
        <v>1</v>
      </c>
      <c r="E96" s="1846">
        <v>1</v>
      </c>
      <c r="F96" s="1837">
        <v>1</v>
      </c>
      <c r="G96" s="1829">
        <v>1</v>
      </c>
      <c r="H96" s="1850">
        <v>1</v>
      </c>
      <c r="I96" s="2086"/>
      <c r="J96" s="2217">
        <v>1</v>
      </c>
      <c r="K96" s="1915" t="s">
        <v>948</v>
      </c>
      <c r="L96" s="1794">
        <v>1</v>
      </c>
      <c r="M96" s="1914">
        <v>1</v>
      </c>
      <c r="N96" s="1949" t="s">
        <v>811</v>
      </c>
      <c r="O96" s="1941" t="s">
        <v>8663</v>
      </c>
      <c r="P96" s="1915">
        <v>1</v>
      </c>
      <c r="Q96" s="1915">
        <v>0</v>
      </c>
      <c r="R96" s="2096"/>
      <c r="S96" s="2248" t="s">
        <v>8103</v>
      </c>
      <c r="T96" s="1915" t="s">
        <v>7468</v>
      </c>
      <c r="U96" s="1794" t="s">
        <v>7212</v>
      </c>
      <c r="V96" s="1914" t="s">
        <v>811</v>
      </c>
      <c r="W96" s="1949" t="s">
        <v>811</v>
      </c>
      <c r="X96" s="1941" t="s">
        <v>8663</v>
      </c>
    </row>
    <row r="97" spans="1:78" s="1812" customFormat="1" ht="117.95" customHeight="1">
      <c r="A97" s="1899"/>
      <c r="B97" s="1807" t="s">
        <v>6945</v>
      </c>
      <c r="C97" s="1837">
        <v>1</v>
      </c>
      <c r="D97" s="1829">
        <v>1</v>
      </c>
      <c r="E97" s="1846">
        <v>1</v>
      </c>
      <c r="F97" s="1837">
        <v>1</v>
      </c>
      <c r="G97" s="1829">
        <v>0.5</v>
      </c>
      <c r="H97" s="1850">
        <v>1</v>
      </c>
      <c r="I97" s="2086"/>
      <c r="J97" s="2217">
        <v>1</v>
      </c>
      <c r="K97" s="1915" t="s">
        <v>1134</v>
      </c>
      <c r="L97" s="1794">
        <v>1</v>
      </c>
      <c r="M97" s="1914">
        <v>1</v>
      </c>
      <c r="N97" s="1949" t="s">
        <v>811</v>
      </c>
      <c r="O97" s="1941" t="s">
        <v>8664</v>
      </c>
      <c r="P97" s="1915">
        <v>1</v>
      </c>
      <c r="Q97" s="1915">
        <v>0</v>
      </c>
      <c r="R97" s="2096"/>
      <c r="S97" s="2248" t="s">
        <v>8104</v>
      </c>
      <c r="T97" s="1915" t="s">
        <v>7469</v>
      </c>
      <c r="U97" s="1794" t="s">
        <v>7213</v>
      </c>
      <c r="V97" s="1914" t="s">
        <v>7854</v>
      </c>
      <c r="W97" s="1949" t="s">
        <v>8555</v>
      </c>
      <c r="X97" s="1941" t="s">
        <v>8664</v>
      </c>
      <c r="Y97" s="1748"/>
      <c r="Z97" s="1748"/>
      <c r="AA97" s="1748"/>
      <c r="AB97" s="1748"/>
      <c r="AC97" s="1748"/>
      <c r="AD97" s="1748"/>
      <c r="AE97" s="1748"/>
      <c r="AF97" s="1748"/>
      <c r="AG97" s="1748"/>
      <c r="AH97" s="1748"/>
      <c r="AI97" s="1748"/>
      <c r="AJ97" s="1748"/>
      <c r="AK97" s="1748"/>
      <c r="AL97" s="1748"/>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c r="BG97" s="1748"/>
      <c r="BH97" s="1748"/>
      <c r="BI97" s="1748"/>
      <c r="BJ97" s="1748"/>
      <c r="BK97" s="1748"/>
      <c r="BL97" s="1748"/>
      <c r="BM97" s="1748"/>
      <c r="BN97" s="1748"/>
      <c r="BO97" s="1748"/>
      <c r="BP97" s="1748"/>
      <c r="BQ97" s="1748"/>
      <c r="BR97" s="1748"/>
      <c r="BS97" s="1748"/>
      <c r="BT97" s="1748"/>
      <c r="BU97" s="1748"/>
      <c r="BV97" s="1748"/>
      <c r="BW97" s="1748"/>
      <c r="BX97" s="1748"/>
      <c r="BY97" s="1748"/>
      <c r="BZ97" s="1748"/>
    </row>
    <row r="98" spans="1:78" s="1812" customFormat="1" ht="102" customHeight="1">
      <c r="A98" s="1899"/>
      <c r="B98" s="1807" t="s">
        <v>6980</v>
      </c>
      <c r="C98" s="1837">
        <v>1</v>
      </c>
      <c r="D98" s="1829">
        <v>1</v>
      </c>
      <c r="E98" s="1846">
        <v>1</v>
      </c>
      <c r="F98" s="1837">
        <v>0.5</v>
      </c>
      <c r="G98" s="1829">
        <v>0.5</v>
      </c>
      <c r="H98" s="1850">
        <v>0.5</v>
      </c>
      <c r="I98" s="2086"/>
      <c r="J98" s="2217">
        <v>1</v>
      </c>
      <c r="K98" s="1915" t="s">
        <v>1134</v>
      </c>
      <c r="L98" s="1794">
        <v>1</v>
      </c>
      <c r="M98" s="1802">
        <v>0.5</v>
      </c>
      <c r="N98" s="1949" t="s">
        <v>811</v>
      </c>
      <c r="O98" s="1941" t="s">
        <v>8665</v>
      </c>
      <c r="P98" s="1915">
        <v>1</v>
      </c>
      <c r="Q98" s="1915">
        <v>0</v>
      </c>
      <c r="R98" s="2096"/>
      <c r="S98" s="2248" t="s">
        <v>8105</v>
      </c>
      <c r="T98" s="1915" t="s">
        <v>7470</v>
      </c>
      <c r="U98" s="1794" t="s">
        <v>7214</v>
      </c>
      <c r="V98" s="1914" t="s">
        <v>7855</v>
      </c>
      <c r="W98" s="1949" t="s">
        <v>8556</v>
      </c>
      <c r="X98" s="1941" t="s">
        <v>8665</v>
      </c>
      <c r="Y98" s="1748"/>
      <c r="Z98" s="1748"/>
      <c r="AA98" s="1748"/>
      <c r="AB98" s="1748"/>
      <c r="AC98" s="1748"/>
      <c r="AD98" s="1748"/>
      <c r="AE98" s="1748"/>
      <c r="AF98" s="1748"/>
      <c r="AG98" s="1748"/>
      <c r="AH98" s="1748"/>
      <c r="AI98" s="1748"/>
      <c r="AJ98" s="1748"/>
      <c r="AK98" s="1748"/>
      <c r="AL98" s="1748"/>
      <c r="AM98" s="1748"/>
      <c r="AN98" s="1748"/>
      <c r="AO98" s="1748"/>
      <c r="AP98" s="1748"/>
      <c r="AQ98" s="1748"/>
      <c r="AR98" s="1748"/>
      <c r="AS98" s="1748"/>
      <c r="AT98" s="1748"/>
      <c r="AU98" s="1748"/>
      <c r="AV98" s="1748"/>
      <c r="AW98" s="1748"/>
      <c r="AX98" s="1748"/>
      <c r="AY98" s="1748"/>
      <c r="AZ98" s="1748"/>
      <c r="BA98" s="1748"/>
      <c r="BB98" s="1748"/>
      <c r="BC98" s="1748"/>
      <c r="BD98" s="1748"/>
      <c r="BE98" s="1748"/>
      <c r="BF98" s="1748"/>
      <c r="BG98" s="1748"/>
      <c r="BH98" s="1748"/>
      <c r="BI98" s="1748"/>
      <c r="BJ98" s="1748"/>
      <c r="BK98" s="1748"/>
      <c r="BL98" s="1748"/>
      <c r="BM98" s="1748"/>
      <c r="BN98" s="1748"/>
      <c r="BO98" s="1748"/>
      <c r="BP98" s="1748"/>
      <c r="BQ98" s="1748"/>
      <c r="BR98" s="1748"/>
      <c r="BS98" s="1748"/>
      <c r="BT98" s="1748"/>
      <c r="BU98" s="1748"/>
      <c r="BV98" s="1748"/>
      <c r="BW98" s="1748"/>
      <c r="BX98" s="1748"/>
      <c r="BY98" s="1748"/>
      <c r="BZ98" s="1748"/>
    </row>
    <row r="99" spans="1:78" s="1812" customFormat="1" ht="81" customHeight="1">
      <c r="A99" s="1899"/>
      <c r="B99" s="1807" t="s">
        <v>6979</v>
      </c>
      <c r="C99" s="1837">
        <v>1</v>
      </c>
      <c r="D99" s="1829">
        <v>1</v>
      </c>
      <c r="E99" s="1846">
        <v>1</v>
      </c>
      <c r="F99" s="1829">
        <v>1</v>
      </c>
      <c r="G99" s="1829">
        <v>1</v>
      </c>
      <c r="H99" s="1850">
        <v>1</v>
      </c>
      <c r="I99" s="2086"/>
      <c r="J99" s="2053">
        <v>1</v>
      </c>
      <c r="K99" s="1915" t="s">
        <v>1134</v>
      </c>
      <c r="L99" s="1794">
        <v>1</v>
      </c>
      <c r="M99" s="1916">
        <v>1</v>
      </c>
      <c r="N99" s="1949" t="s">
        <v>811</v>
      </c>
      <c r="O99" s="1941" t="s">
        <v>8666</v>
      </c>
      <c r="P99" s="1915">
        <v>1</v>
      </c>
      <c r="Q99" s="1915">
        <v>0</v>
      </c>
      <c r="R99" s="2096"/>
      <c r="S99" s="2248" t="s">
        <v>8106</v>
      </c>
      <c r="T99" s="1915" t="s">
        <v>7471</v>
      </c>
      <c r="U99" s="1794" t="s">
        <v>7215</v>
      </c>
      <c r="V99" s="1916" t="s">
        <v>7856</v>
      </c>
      <c r="W99" s="1949" t="s">
        <v>8556</v>
      </c>
      <c r="X99" s="1941" t="s">
        <v>8666</v>
      </c>
      <c r="Y99" s="1748"/>
      <c r="Z99" s="1748"/>
      <c r="AA99" s="1748"/>
      <c r="AB99" s="1748"/>
      <c r="AC99" s="1748"/>
      <c r="AD99" s="1748"/>
      <c r="AE99" s="1748"/>
      <c r="AF99" s="1748"/>
      <c r="AG99" s="1748"/>
      <c r="AH99" s="1748"/>
      <c r="AI99" s="1748"/>
      <c r="AJ99" s="1748"/>
      <c r="AK99" s="1748"/>
      <c r="AL99" s="1748"/>
      <c r="AM99" s="1748"/>
      <c r="AN99" s="1748"/>
      <c r="AO99" s="1748"/>
      <c r="AP99" s="1748"/>
      <c r="AQ99" s="1748"/>
      <c r="AR99" s="1748"/>
      <c r="AS99" s="1748"/>
      <c r="AT99" s="1748"/>
      <c r="AU99" s="1748"/>
      <c r="AV99" s="1748"/>
      <c r="AW99" s="1748"/>
      <c r="AX99" s="1748"/>
      <c r="AY99" s="1748"/>
      <c r="AZ99" s="1748"/>
      <c r="BA99" s="1748"/>
      <c r="BB99" s="1748"/>
      <c r="BC99" s="1748"/>
      <c r="BD99" s="1748"/>
      <c r="BE99" s="1748"/>
      <c r="BF99" s="1748"/>
      <c r="BG99" s="1748"/>
      <c r="BH99" s="1748"/>
      <c r="BI99" s="1748"/>
      <c r="BJ99" s="1748"/>
      <c r="BK99" s="1748"/>
      <c r="BL99" s="1748"/>
      <c r="BM99" s="1748"/>
      <c r="BN99" s="1748"/>
      <c r="BO99" s="1748"/>
      <c r="BP99" s="1748"/>
      <c r="BQ99" s="1748"/>
      <c r="BR99" s="1748"/>
      <c r="BS99" s="1748"/>
      <c r="BT99" s="1748"/>
      <c r="BU99" s="1748"/>
      <c r="BV99" s="1748"/>
      <c r="BW99" s="1748"/>
      <c r="BX99" s="1748"/>
      <c r="BY99" s="1748"/>
      <c r="BZ99" s="1748"/>
    </row>
    <row r="100" spans="1:78" ht="32.1" customHeight="1">
      <c r="A100" s="2499" t="s">
        <v>119</v>
      </c>
      <c r="B100" s="2084" t="s">
        <v>7114</v>
      </c>
      <c r="C100" s="2085">
        <f t="shared" ref="C100:G100" si="26">AVERAGE(C101:C107)</f>
        <v>0.44066496750350448</v>
      </c>
      <c r="D100" s="2085">
        <f t="shared" si="26"/>
        <v>0.84653679867986797</v>
      </c>
      <c r="E100" s="2085">
        <f t="shared" si="26"/>
        <v>1.2666666666666658E-2</v>
      </c>
      <c r="F100" s="2085">
        <f t="shared" si="26"/>
        <v>0.54651268357810412</v>
      </c>
      <c r="G100" s="2085">
        <f t="shared" si="26"/>
        <v>0.72917014446227935</v>
      </c>
      <c r="H100" s="2085">
        <f>AVERAGE(H101:H107)</f>
        <v>0</v>
      </c>
      <c r="I100" s="2105"/>
      <c r="J100" s="2089"/>
      <c r="K100" s="2106"/>
      <c r="L100" s="2106"/>
      <c r="M100" s="2106"/>
      <c r="N100" s="2106"/>
      <c r="O100" s="2106"/>
      <c r="P100" s="2107"/>
      <c r="Q100" s="2107"/>
      <c r="R100" s="2108"/>
      <c r="S100" s="2089"/>
      <c r="T100" s="2106"/>
      <c r="U100" s="2106"/>
      <c r="V100" s="2106"/>
      <c r="W100" s="2106"/>
      <c r="X100" s="2106"/>
    </row>
    <row r="101" spans="1:78" s="1891" customFormat="1" ht="153" customHeight="1">
      <c r="A101" s="1899"/>
      <c r="B101" s="1807" t="s">
        <v>7115</v>
      </c>
      <c r="C101" s="1829">
        <v>0</v>
      </c>
      <c r="D101" s="1829">
        <v>1</v>
      </c>
      <c r="E101" s="1846" t="s">
        <v>1073</v>
      </c>
      <c r="F101" s="1837">
        <v>0</v>
      </c>
      <c r="G101" s="1829">
        <v>0</v>
      </c>
      <c r="H101" s="1850" t="s">
        <v>1073</v>
      </c>
      <c r="I101" s="2086" t="s">
        <v>5332</v>
      </c>
      <c r="J101" s="1916">
        <v>0</v>
      </c>
      <c r="K101" s="1916" t="s">
        <v>811</v>
      </c>
      <c r="L101" s="1794">
        <v>0</v>
      </c>
      <c r="M101" s="1914">
        <v>0</v>
      </c>
      <c r="N101" s="1948" t="s">
        <v>748</v>
      </c>
      <c r="O101" s="1948" t="s">
        <v>5614</v>
      </c>
      <c r="P101" s="1916">
        <v>1</v>
      </c>
      <c r="Q101" s="1916">
        <v>0</v>
      </c>
      <c r="R101" s="2096"/>
      <c r="S101" s="2248" t="s">
        <v>1705</v>
      </c>
      <c r="T101" s="1916" t="s">
        <v>7472</v>
      </c>
      <c r="U101" s="1794" t="s">
        <v>7216</v>
      </c>
      <c r="V101" s="1914" t="s">
        <v>7857</v>
      </c>
      <c r="W101" s="1948" t="s">
        <v>5399</v>
      </c>
      <c r="X101" s="1948" t="s">
        <v>5614</v>
      </c>
      <c r="Y101" s="1818"/>
      <c r="Z101" s="1818"/>
      <c r="AA101" s="1818"/>
      <c r="AB101" s="1818"/>
      <c r="AC101" s="1818"/>
      <c r="AD101" s="1818"/>
      <c r="AE101" s="1818"/>
      <c r="AF101" s="1818"/>
      <c r="AG101" s="1818"/>
      <c r="AH101" s="1818"/>
      <c r="AI101" s="1818"/>
      <c r="AJ101" s="1818"/>
      <c r="AK101" s="1818"/>
      <c r="AL101" s="1818"/>
      <c r="AM101" s="1818"/>
      <c r="AN101" s="1818"/>
      <c r="AO101" s="1818"/>
      <c r="AP101" s="1818"/>
      <c r="AQ101" s="1818"/>
      <c r="AR101" s="1818"/>
      <c r="AS101" s="1818"/>
      <c r="AT101" s="1818"/>
      <c r="AU101" s="1818"/>
      <c r="AV101" s="1818"/>
      <c r="AW101" s="1818"/>
      <c r="AX101" s="1818"/>
      <c r="AY101" s="1818"/>
      <c r="AZ101" s="1818"/>
      <c r="BA101" s="1818"/>
      <c r="BB101" s="1818"/>
      <c r="BC101" s="1818"/>
      <c r="BD101" s="1818"/>
      <c r="BE101" s="1818"/>
      <c r="BF101" s="1818"/>
      <c r="BG101" s="1818"/>
      <c r="BH101" s="1818"/>
      <c r="BI101" s="1818"/>
      <c r="BJ101" s="1818"/>
      <c r="BK101" s="1818"/>
      <c r="BL101" s="1818"/>
      <c r="BM101" s="1818"/>
      <c r="BN101" s="1818"/>
      <c r="BO101" s="1818"/>
      <c r="BP101" s="1818"/>
      <c r="BQ101" s="1818"/>
      <c r="BR101" s="1818"/>
      <c r="BS101" s="1818"/>
      <c r="BT101" s="1818"/>
      <c r="BU101" s="1818"/>
      <c r="BV101" s="1818"/>
      <c r="BW101" s="1818"/>
      <c r="BX101" s="1818"/>
      <c r="BY101" s="1818"/>
      <c r="BZ101" s="1818"/>
    </row>
    <row r="102" spans="1:78" s="1891" customFormat="1" ht="152.1" customHeight="1">
      <c r="A102" s="1899"/>
      <c r="B102" s="1807" t="s">
        <v>7116</v>
      </c>
      <c r="C102" s="1829">
        <v>0</v>
      </c>
      <c r="D102" s="1829">
        <v>1</v>
      </c>
      <c r="E102" s="1846" t="s">
        <v>1073</v>
      </c>
      <c r="F102" s="1837">
        <v>1</v>
      </c>
      <c r="G102" s="1829">
        <v>1</v>
      </c>
      <c r="H102" s="1850" t="s">
        <v>1073</v>
      </c>
      <c r="I102" s="2086" t="s">
        <v>5333</v>
      </c>
      <c r="J102" s="1916">
        <v>0</v>
      </c>
      <c r="K102" s="1916" t="s">
        <v>1134</v>
      </c>
      <c r="L102" s="1794">
        <v>0</v>
      </c>
      <c r="M102" s="1914">
        <v>1</v>
      </c>
      <c r="N102" s="1948" t="s">
        <v>811</v>
      </c>
      <c r="O102" s="1948" t="s">
        <v>5615</v>
      </c>
      <c r="P102" s="1916">
        <v>1</v>
      </c>
      <c r="Q102" s="1916">
        <v>0</v>
      </c>
      <c r="R102" s="2096"/>
      <c r="S102" s="2248" t="s">
        <v>8107</v>
      </c>
      <c r="T102" s="1916" t="s">
        <v>7473</v>
      </c>
      <c r="U102" s="1794" t="s">
        <v>748</v>
      </c>
      <c r="V102" s="1914" t="s">
        <v>7858</v>
      </c>
      <c r="W102" s="1948" t="s">
        <v>1713</v>
      </c>
      <c r="X102" s="1948" t="s">
        <v>5615</v>
      </c>
      <c r="Y102" s="1818"/>
      <c r="Z102" s="1818"/>
      <c r="AA102" s="1818"/>
      <c r="AB102" s="1818"/>
      <c r="AC102" s="1818"/>
      <c r="AD102" s="1818"/>
      <c r="AE102" s="1818"/>
      <c r="AF102" s="1818"/>
      <c r="AG102" s="1818"/>
      <c r="AH102" s="1818"/>
      <c r="AI102" s="1818"/>
      <c r="AJ102" s="1818"/>
      <c r="AK102" s="1818"/>
      <c r="AL102" s="1818"/>
      <c r="AM102" s="1818"/>
      <c r="AN102" s="1818"/>
      <c r="AO102" s="1818"/>
      <c r="AP102" s="1818"/>
      <c r="AQ102" s="1818"/>
      <c r="AR102" s="1818"/>
      <c r="AS102" s="1818"/>
      <c r="AT102" s="1818"/>
      <c r="AU102" s="1818"/>
      <c r="AV102" s="1818"/>
      <c r="AW102" s="1818"/>
      <c r="AX102" s="1818"/>
      <c r="AY102" s="1818"/>
      <c r="AZ102" s="1818"/>
      <c r="BA102" s="1818"/>
      <c r="BB102" s="1818"/>
      <c r="BC102" s="1818"/>
      <c r="BD102" s="1818"/>
      <c r="BE102" s="1818"/>
      <c r="BF102" s="1818"/>
      <c r="BG102" s="1818"/>
      <c r="BH102" s="1818"/>
      <c r="BI102" s="1818"/>
      <c r="BJ102" s="1818"/>
      <c r="BK102" s="1818"/>
      <c r="BL102" s="1818"/>
      <c r="BM102" s="1818"/>
      <c r="BN102" s="1818"/>
      <c r="BO102" s="1818"/>
      <c r="BP102" s="1818"/>
      <c r="BQ102" s="1818"/>
      <c r="BR102" s="1818"/>
      <c r="BS102" s="1818"/>
      <c r="BT102" s="1818"/>
      <c r="BU102" s="1818"/>
      <c r="BV102" s="1818"/>
      <c r="BW102" s="1818"/>
      <c r="BX102" s="1818"/>
      <c r="BY102" s="1818"/>
      <c r="BZ102" s="1818"/>
    </row>
    <row r="103" spans="1:78" s="1891" customFormat="1" ht="153" customHeight="1">
      <c r="A103" s="1899"/>
      <c r="B103" s="1807" t="s">
        <v>7053</v>
      </c>
      <c r="C103" s="1829">
        <v>0</v>
      </c>
      <c r="D103" s="1829">
        <v>1</v>
      </c>
      <c r="E103" s="1846" t="s">
        <v>1073</v>
      </c>
      <c r="F103" s="1829">
        <v>1</v>
      </c>
      <c r="G103" s="1829">
        <v>1</v>
      </c>
      <c r="H103" s="2307" t="s">
        <v>1073</v>
      </c>
      <c r="I103" s="2086" t="s">
        <v>5332</v>
      </c>
      <c r="J103" s="1794">
        <v>0</v>
      </c>
      <c r="K103" s="1794" t="s">
        <v>811</v>
      </c>
      <c r="L103" s="1794">
        <v>0</v>
      </c>
      <c r="M103" s="1794">
        <v>1</v>
      </c>
      <c r="N103" s="1794" t="s">
        <v>811</v>
      </c>
      <c r="O103" s="1794" t="s">
        <v>5616</v>
      </c>
      <c r="P103" s="1794">
        <v>1</v>
      </c>
      <c r="Q103" s="1794">
        <v>0</v>
      </c>
      <c r="R103" s="2096"/>
      <c r="S103" s="2248" t="s">
        <v>1714</v>
      </c>
      <c r="T103" s="1794" t="s">
        <v>9092</v>
      </c>
      <c r="U103" s="1794" t="s">
        <v>7217</v>
      </c>
      <c r="V103" s="1794" t="s">
        <v>7859</v>
      </c>
      <c r="W103" s="1794" t="s">
        <v>5400</v>
      </c>
      <c r="X103" s="1794" t="s">
        <v>5616</v>
      </c>
      <c r="Y103" s="1818"/>
      <c r="Z103" s="1818"/>
      <c r="AA103" s="1818"/>
      <c r="AB103" s="1818"/>
      <c r="AC103" s="1818"/>
      <c r="AD103" s="1818"/>
      <c r="AE103" s="1818"/>
      <c r="AF103" s="1818"/>
      <c r="AG103" s="1818"/>
      <c r="AH103" s="1818"/>
      <c r="AI103" s="1818"/>
      <c r="AJ103" s="1818"/>
      <c r="AK103" s="1818"/>
      <c r="AL103" s="1818"/>
      <c r="AM103" s="1818"/>
      <c r="AN103" s="1818"/>
      <c r="AO103" s="1818"/>
      <c r="AP103" s="1818"/>
      <c r="AQ103" s="1818"/>
      <c r="AR103" s="1818"/>
      <c r="AS103" s="1818"/>
      <c r="AT103" s="1818"/>
      <c r="AU103" s="1818"/>
      <c r="AV103" s="1818"/>
      <c r="AW103" s="1818"/>
      <c r="AX103" s="1818"/>
      <c r="AY103" s="1818"/>
      <c r="AZ103" s="1818"/>
      <c r="BA103" s="1818"/>
      <c r="BB103" s="1818"/>
      <c r="BC103" s="1818"/>
      <c r="BD103" s="1818"/>
      <c r="BE103" s="1818"/>
      <c r="BF103" s="1818"/>
      <c r="BG103" s="1818"/>
      <c r="BH103" s="1818"/>
      <c r="BI103" s="1818"/>
      <c r="BJ103" s="1818"/>
      <c r="BK103" s="1818"/>
      <c r="BL103" s="1818"/>
      <c r="BM103" s="1818"/>
      <c r="BN103" s="1818"/>
      <c r="BO103" s="1818"/>
      <c r="BP103" s="1818"/>
      <c r="BQ103" s="1818"/>
      <c r="BR103" s="1818"/>
      <c r="BS103" s="1818"/>
      <c r="BT103" s="1818"/>
      <c r="BU103" s="1818"/>
      <c r="BV103" s="1818"/>
      <c r="BW103" s="1818"/>
      <c r="BX103" s="1818"/>
      <c r="BY103" s="1818"/>
      <c r="BZ103" s="1818"/>
    </row>
    <row r="104" spans="1:78" ht="105" customHeight="1">
      <c r="A104" s="1899"/>
      <c r="B104" s="1807" t="s">
        <v>6946</v>
      </c>
      <c r="C104" s="1850">
        <f>(J104-$Q104)/($P104-$Q104)</f>
        <v>0.61399999999999999</v>
      </c>
      <c r="D104" s="1850">
        <f t="shared" ref="D104:G104" si="27">(K104-$Q104)/($P104-$Q104)</f>
        <v>0.87129999999999996</v>
      </c>
      <c r="E104" s="1850">
        <f t="shared" si="27"/>
        <v>3.7999999999999971E-2</v>
      </c>
      <c r="F104" s="1850">
        <f t="shared" si="27"/>
        <v>0.41399999999999998</v>
      </c>
      <c r="G104" s="1850">
        <f t="shared" si="27"/>
        <v>0.85699999999999998</v>
      </c>
      <c r="H104" s="1850">
        <f>(O104-$Q104)/($P104-$Q104)</f>
        <v>0</v>
      </c>
      <c r="I104" s="2086" t="s">
        <v>64</v>
      </c>
      <c r="J104" s="1949">
        <v>38.6</v>
      </c>
      <c r="K104" s="1949">
        <v>12.87</v>
      </c>
      <c r="L104" s="1794">
        <v>96.2</v>
      </c>
      <c r="M104" s="1794">
        <v>58.6</v>
      </c>
      <c r="N104" s="1949">
        <v>14.3</v>
      </c>
      <c r="O104" s="1949">
        <v>100</v>
      </c>
      <c r="P104" s="1794">
        <v>0</v>
      </c>
      <c r="Q104" s="1794">
        <v>100</v>
      </c>
      <c r="R104" s="2096"/>
      <c r="S104" s="2248" t="s">
        <v>8108</v>
      </c>
      <c r="T104" s="1794" t="s">
        <v>7474</v>
      </c>
      <c r="U104" s="1794" t="s">
        <v>9086</v>
      </c>
      <c r="V104" s="1802" t="s">
        <v>7860</v>
      </c>
      <c r="W104" s="1949" t="s">
        <v>8321</v>
      </c>
      <c r="X104" s="1949" t="s">
        <v>5617</v>
      </c>
    </row>
    <row r="105" spans="1:78" s="1891" customFormat="1" ht="134.1" customHeight="1">
      <c r="A105" s="2506"/>
      <c r="B105" s="1807" t="s">
        <v>7117</v>
      </c>
      <c r="C105" s="1850">
        <f>IF(J105&gt;$P105,1,(J105-$Q105)/($P105-$Q105))</f>
        <v>0.58033898305084741</v>
      </c>
      <c r="D105" s="1850">
        <f>IF(K105&gt;$P105,1,(K105-$Q105)/($P105-$Q105))</f>
        <v>1</v>
      </c>
      <c r="E105" s="1850">
        <f>IF(L105&gt;$P105,1,(L105-$Q105)/($P105-$Q105))</f>
        <v>0</v>
      </c>
      <c r="F105" s="1850">
        <f t="shared" ref="E105:H106" si="28">IF(M105&gt;$P105,1,(M105-$Q105)/($P105-$Q105))</f>
        <v>0.69158878504672894</v>
      </c>
      <c r="G105" s="1850">
        <f t="shared" si="28"/>
        <v>0.24719101123595505</v>
      </c>
      <c r="H105" s="1850">
        <f t="shared" si="28"/>
        <v>0</v>
      </c>
      <c r="I105" s="2287" t="s">
        <v>5349</v>
      </c>
      <c r="J105" s="1806">
        <f>(428/1475)*100</f>
        <v>29.01694915254237</v>
      </c>
      <c r="K105" s="1949">
        <f>(56/109)*100</f>
        <v>51.37614678899083</v>
      </c>
      <c r="L105" s="1949">
        <v>0</v>
      </c>
      <c r="M105" s="1951">
        <f>(37/107)*100</f>
        <v>34.579439252336449</v>
      </c>
      <c r="N105" s="1949">
        <f>(55/445)*100</f>
        <v>12.359550561797752</v>
      </c>
      <c r="O105" s="1949">
        <v>0</v>
      </c>
      <c r="P105" s="1949">
        <v>50</v>
      </c>
      <c r="Q105" s="1794">
        <v>0</v>
      </c>
      <c r="R105" s="2292"/>
      <c r="S105" s="2248" t="s">
        <v>8109</v>
      </c>
      <c r="T105" s="1794" t="s">
        <v>7475</v>
      </c>
      <c r="U105" s="1794" t="s">
        <v>1073</v>
      </c>
      <c r="V105" s="1953" t="s">
        <v>8569</v>
      </c>
      <c r="W105" s="1949" t="s">
        <v>8322</v>
      </c>
      <c r="X105" s="1805">
        <v>0</v>
      </c>
      <c r="Y105" s="1818"/>
      <c r="Z105" s="1818"/>
      <c r="AA105" s="1818"/>
      <c r="AB105" s="1818"/>
      <c r="AC105" s="1818"/>
      <c r="AD105" s="1818"/>
      <c r="AE105" s="1818"/>
      <c r="AF105" s="1818"/>
      <c r="AG105" s="1818"/>
      <c r="AH105" s="1818"/>
      <c r="AI105" s="1818"/>
      <c r="AJ105" s="1818"/>
      <c r="AK105" s="1818"/>
      <c r="AL105" s="1818"/>
      <c r="AM105" s="1818"/>
      <c r="AN105" s="1818"/>
      <c r="AO105" s="1818"/>
      <c r="AP105" s="1818"/>
      <c r="AQ105" s="1818"/>
      <c r="AR105" s="1818"/>
      <c r="AS105" s="1818"/>
      <c r="AT105" s="1818"/>
      <c r="AU105" s="1818"/>
      <c r="AV105" s="1818"/>
      <c r="AW105" s="1818"/>
      <c r="AX105" s="1818"/>
      <c r="AY105" s="1818"/>
      <c r="AZ105" s="1818"/>
      <c r="BA105" s="1818"/>
      <c r="BB105" s="1818"/>
      <c r="BC105" s="1818"/>
      <c r="BD105" s="1818"/>
      <c r="BE105" s="1818"/>
      <c r="BF105" s="1818"/>
      <c r="BG105" s="1818"/>
      <c r="BH105" s="1818"/>
      <c r="BI105" s="1818"/>
      <c r="BJ105" s="1818"/>
      <c r="BK105" s="1818"/>
      <c r="BL105" s="1818"/>
      <c r="BM105" s="1818"/>
      <c r="BN105" s="1818"/>
      <c r="BO105" s="1818"/>
      <c r="BP105" s="1818"/>
      <c r="BQ105" s="1818"/>
      <c r="BR105" s="1818"/>
      <c r="BS105" s="1818"/>
      <c r="BT105" s="1818"/>
      <c r="BU105" s="1818"/>
      <c r="BV105" s="1818"/>
      <c r="BW105" s="1818"/>
      <c r="BX105" s="1818"/>
      <c r="BY105" s="1818"/>
      <c r="BZ105" s="1818"/>
    </row>
    <row r="106" spans="1:78" s="1891" customFormat="1" ht="227.1" customHeight="1">
      <c r="A106" s="1899"/>
      <c r="B106" s="1807" t="s">
        <v>6982</v>
      </c>
      <c r="C106" s="1850">
        <f>IF(J106&gt;$P106,1,(J106-$Q106)/($P106-$Q106))</f>
        <v>0.9263157894736842</v>
      </c>
      <c r="D106" s="1850" t="s">
        <v>1073</v>
      </c>
      <c r="E106" s="1850">
        <f t="shared" si="28"/>
        <v>0</v>
      </c>
      <c r="F106" s="1850">
        <f t="shared" si="28"/>
        <v>0</v>
      </c>
      <c r="G106" s="1850">
        <f t="shared" si="28"/>
        <v>1</v>
      </c>
      <c r="H106" s="1850">
        <f t="shared" si="28"/>
        <v>0</v>
      </c>
      <c r="I106" s="2539" t="s">
        <v>5349</v>
      </c>
      <c r="J106" s="1794">
        <v>0.88</v>
      </c>
      <c r="K106" s="1794">
        <v>0</v>
      </c>
      <c r="L106" s="1794">
        <v>0</v>
      </c>
      <c r="M106" s="1954">
        <v>0</v>
      </c>
      <c r="N106" s="1949">
        <v>0.95</v>
      </c>
      <c r="O106" s="1794">
        <v>0</v>
      </c>
      <c r="P106" s="1794">
        <v>0.95</v>
      </c>
      <c r="Q106" s="1794">
        <v>0</v>
      </c>
      <c r="R106" s="2292"/>
      <c r="S106" s="2248" t="s">
        <v>8110</v>
      </c>
      <c r="T106" s="1794" t="s">
        <v>7476</v>
      </c>
      <c r="U106" s="1794" t="s">
        <v>1073</v>
      </c>
      <c r="V106" s="1953" t="s">
        <v>8570</v>
      </c>
      <c r="W106" s="1949" t="s">
        <v>8323</v>
      </c>
      <c r="X106" s="1805"/>
      <c r="Y106" s="1818"/>
      <c r="Z106" s="1818"/>
      <c r="AA106" s="1818"/>
      <c r="AB106" s="1818"/>
      <c r="AC106" s="1818"/>
      <c r="AD106" s="1818"/>
      <c r="AE106" s="1818"/>
      <c r="AF106" s="1818"/>
      <c r="AG106" s="1818"/>
      <c r="AH106" s="1818"/>
      <c r="AI106" s="1818"/>
      <c r="AJ106" s="1818"/>
      <c r="AK106" s="1818"/>
      <c r="AL106" s="1818"/>
      <c r="AM106" s="1818"/>
      <c r="AN106" s="1818"/>
      <c r="AO106" s="1818"/>
      <c r="AP106" s="1818"/>
      <c r="AQ106" s="1818"/>
      <c r="AR106" s="1818"/>
      <c r="AS106" s="1818"/>
      <c r="AT106" s="1818"/>
      <c r="AU106" s="1818"/>
      <c r="AV106" s="1818"/>
      <c r="AW106" s="1818"/>
      <c r="AX106" s="1818"/>
      <c r="AY106" s="1818"/>
      <c r="AZ106" s="1818"/>
      <c r="BA106" s="1818"/>
      <c r="BB106" s="1818"/>
      <c r="BC106" s="1818"/>
      <c r="BD106" s="1818"/>
      <c r="BE106" s="1818"/>
      <c r="BF106" s="1818"/>
      <c r="BG106" s="1818"/>
      <c r="BH106" s="1818"/>
      <c r="BI106" s="1818"/>
      <c r="BJ106" s="1818"/>
      <c r="BK106" s="1818"/>
      <c r="BL106" s="1818"/>
      <c r="BM106" s="1818"/>
      <c r="BN106" s="1818"/>
      <c r="BO106" s="1818"/>
      <c r="BP106" s="1818"/>
      <c r="BQ106" s="1818"/>
      <c r="BR106" s="1818"/>
      <c r="BS106" s="1818"/>
      <c r="BT106" s="1818"/>
      <c r="BU106" s="1818"/>
      <c r="BV106" s="1818"/>
      <c r="BW106" s="1818"/>
      <c r="BX106" s="1818"/>
      <c r="BY106" s="1818"/>
      <c r="BZ106" s="1818"/>
    </row>
    <row r="107" spans="1:78" s="1891" customFormat="1" ht="234" customHeight="1">
      <c r="A107" s="1899"/>
      <c r="B107" s="1807" t="s">
        <v>7118</v>
      </c>
      <c r="C107" s="1850">
        <f>IF(J107&gt;50,0,(50-J107)/50)</f>
        <v>0.96400000000000008</v>
      </c>
      <c r="D107" s="1850">
        <f>IF(K107&gt;50,0,(50-K107)/50)</f>
        <v>0.20792079207920794</v>
      </c>
      <c r="E107" s="1850" t="s">
        <v>1073</v>
      </c>
      <c r="F107" s="1850">
        <f>IF(M107&gt;50,0,(50-M107)/50)</f>
        <v>0.72</v>
      </c>
      <c r="G107" s="1850">
        <f>IF(N107&gt;50,0,(50-N107)/50)</f>
        <v>1</v>
      </c>
      <c r="H107" s="1850" t="s">
        <v>1073</v>
      </c>
      <c r="I107" s="2288" t="s">
        <v>9124</v>
      </c>
      <c r="J107" s="1794">
        <v>1.8</v>
      </c>
      <c r="K107" s="1995">
        <f>40/101*100</f>
        <v>39.603960396039604</v>
      </c>
      <c r="L107" s="1794">
        <v>0</v>
      </c>
      <c r="M107" s="1794">
        <v>14</v>
      </c>
      <c r="N107" s="1949">
        <v>0</v>
      </c>
      <c r="O107" s="1794">
        <v>0</v>
      </c>
      <c r="P107" s="1794">
        <v>0</v>
      </c>
      <c r="Q107" s="1794">
        <v>50</v>
      </c>
      <c r="R107" s="2292"/>
      <c r="S107" s="2248" t="s">
        <v>8111</v>
      </c>
      <c r="T107" s="1794" t="s">
        <v>7477</v>
      </c>
      <c r="U107" s="1794" t="s">
        <v>1073</v>
      </c>
      <c r="V107" s="1794" t="s">
        <v>6074</v>
      </c>
      <c r="W107" s="1949" t="s">
        <v>8324</v>
      </c>
      <c r="X107" s="1805"/>
      <c r="Y107" s="1818"/>
      <c r="Z107" s="1818"/>
      <c r="AA107" s="1818"/>
      <c r="AB107" s="1818"/>
      <c r="AC107" s="1818"/>
      <c r="AD107" s="1818"/>
      <c r="AE107" s="1818"/>
      <c r="AF107" s="1818"/>
      <c r="AG107" s="1818"/>
      <c r="AH107" s="1818"/>
      <c r="AI107" s="1818"/>
      <c r="AJ107" s="1818"/>
      <c r="AK107" s="1818"/>
      <c r="AL107" s="1818"/>
      <c r="AM107" s="1818"/>
      <c r="AN107" s="1818"/>
      <c r="AO107" s="1818"/>
      <c r="AP107" s="1818"/>
      <c r="AQ107" s="1818"/>
      <c r="AR107" s="1818"/>
      <c r="AS107" s="1818"/>
      <c r="AT107" s="1818"/>
      <c r="AU107" s="1818"/>
      <c r="AV107" s="1818"/>
      <c r="AW107" s="1818"/>
      <c r="AX107" s="1818"/>
      <c r="AY107" s="1818"/>
      <c r="AZ107" s="1818"/>
      <c r="BA107" s="1818"/>
      <c r="BB107" s="1818"/>
      <c r="BC107" s="1818"/>
      <c r="BD107" s="1818"/>
      <c r="BE107" s="1818"/>
      <c r="BF107" s="1818"/>
      <c r="BG107" s="1818"/>
      <c r="BH107" s="1818"/>
      <c r="BI107" s="1818"/>
      <c r="BJ107" s="1818"/>
      <c r="BK107" s="1818"/>
      <c r="BL107" s="1818"/>
      <c r="BM107" s="1818"/>
      <c r="BN107" s="1818"/>
      <c r="BO107" s="1818"/>
      <c r="BP107" s="1818"/>
      <c r="BQ107" s="1818"/>
      <c r="BR107" s="1818"/>
      <c r="BS107" s="1818"/>
      <c r="BT107" s="1818"/>
      <c r="BU107" s="1818"/>
      <c r="BV107" s="1818"/>
      <c r="BW107" s="1818"/>
      <c r="BX107" s="1818"/>
      <c r="BY107" s="1818"/>
      <c r="BZ107" s="1818"/>
    </row>
    <row r="108" spans="1:78" ht="32.1" customHeight="1">
      <c r="A108" s="2499" t="s">
        <v>129</v>
      </c>
      <c r="B108" s="2084" t="s">
        <v>6990</v>
      </c>
      <c r="C108" s="2085">
        <f>AVERAGE(C109,C110,C113)</f>
        <v>0.91666666666666663</v>
      </c>
      <c r="D108" s="2085">
        <f t="shared" ref="D108:H108" si="29">AVERAGE(D109,D110,D113)</f>
        <v>0.66666666666666663</v>
      </c>
      <c r="E108" s="2085">
        <f t="shared" si="29"/>
        <v>0</v>
      </c>
      <c r="F108" s="2085">
        <f t="shared" si="29"/>
        <v>1</v>
      </c>
      <c r="G108" s="2085">
        <f t="shared" si="29"/>
        <v>0.75</v>
      </c>
      <c r="H108" s="2085">
        <f t="shared" si="29"/>
        <v>8.3333333333333329E-2</v>
      </c>
      <c r="I108" s="2086"/>
      <c r="J108" s="2087"/>
      <c r="K108" s="2102"/>
      <c r="L108" s="2102"/>
      <c r="M108" s="2102"/>
      <c r="N108" s="2102"/>
      <c r="O108" s="2102"/>
      <c r="P108" s="2109"/>
      <c r="Q108" s="2109"/>
      <c r="R108" s="2110"/>
      <c r="S108" s="2087"/>
      <c r="T108" s="2102"/>
      <c r="U108" s="2102"/>
      <c r="V108" s="2102"/>
      <c r="W108" s="2102"/>
      <c r="X108" s="2102"/>
    </row>
    <row r="109" spans="1:78" s="1891" customFormat="1" ht="66.95" customHeight="1">
      <c r="A109" s="2507"/>
      <c r="B109" s="2308" t="s">
        <v>6995</v>
      </c>
      <c r="C109" s="1850">
        <v>1</v>
      </c>
      <c r="D109" s="1850">
        <v>0.5</v>
      </c>
      <c r="E109" s="1850">
        <v>0</v>
      </c>
      <c r="F109" s="1850">
        <v>1</v>
      </c>
      <c r="G109" s="1850">
        <v>0.5</v>
      </c>
      <c r="H109" s="1850">
        <v>0</v>
      </c>
      <c r="I109" s="2289" t="s">
        <v>652</v>
      </c>
      <c r="J109" s="2217">
        <v>1</v>
      </c>
      <c r="K109" s="1955" t="s">
        <v>5427</v>
      </c>
      <c r="L109" s="1956">
        <v>0</v>
      </c>
      <c r="M109" s="1956">
        <v>1</v>
      </c>
      <c r="N109" s="1956" t="s">
        <v>2454</v>
      </c>
      <c r="O109" s="1956" t="s">
        <v>8668</v>
      </c>
      <c r="P109" s="1957"/>
      <c r="Q109" s="1957"/>
      <c r="R109" s="2110"/>
      <c r="S109" s="1802" t="s">
        <v>960</v>
      </c>
      <c r="T109" s="1916" t="s">
        <v>7478</v>
      </c>
      <c r="U109" s="1794" t="s">
        <v>7218</v>
      </c>
      <c r="V109" s="1956" t="s">
        <v>7861</v>
      </c>
      <c r="W109" s="1956" t="s">
        <v>8325</v>
      </c>
      <c r="X109" s="1956" t="s">
        <v>8668</v>
      </c>
      <c r="Y109" s="1818"/>
      <c r="Z109" s="1818"/>
      <c r="AA109" s="1818"/>
      <c r="AB109" s="1818"/>
      <c r="AC109" s="1818"/>
      <c r="AD109" s="1818"/>
      <c r="AE109" s="1818"/>
      <c r="AF109" s="1818"/>
      <c r="AG109" s="1818"/>
      <c r="AH109" s="1818"/>
      <c r="AI109" s="1818"/>
      <c r="AJ109" s="1818"/>
      <c r="AK109" s="1818"/>
      <c r="AL109" s="1818"/>
      <c r="AM109" s="1818"/>
      <c r="AN109" s="1818"/>
      <c r="AO109" s="1818"/>
      <c r="AP109" s="1818"/>
      <c r="AQ109" s="1818"/>
      <c r="AR109" s="1818"/>
      <c r="AS109" s="1818"/>
      <c r="AT109" s="1818"/>
    </row>
    <row r="110" spans="1:78" s="1891" customFormat="1" ht="32.1" customHeight="1">
      <c r="A110" s="2508"/>
      <c r="B110" s="2311" t="s">
        <v>24</v>
      </c>
      <c r="C110" s="2060">
        <f>AVERAGE(C111:C112)</f>
        <v>0.75</v>
      </c>
      <c r="D110" s="2060">
        <f>AVERAGE(D111:D112)</f>
        <v>0.5</v>
      </c>
      <c r="E110" s="2060">
        <f t="shared" ref="E110:H110" si="30">AVERAGE(E111:E112)</f>
        <v>0</v>
      </c>
      <c r="F110" s="2060">
        <f t="shared" si="30"/>
        <v>1</v>
      </c>
      <c r="G110" s="2060">
        <f>AVERAGE(G111:G112)</f>
        <v>0.75</v>
      </c>
      <c r="H110" s="2060">
        <f t="shared" si="30"/>
        <v>0.25</v>
      </c>
      <c r="I110" s="2289"/>
      <c r="J110" s="1910"/>
      <c r="K110" s="1958"/>
      <c r="L110" s="1958"/>
      <c r="M110" s="1958"/>
      <c r="N110" s="1958"/>
      <c r="O110" s="1958"/>
      <c r="P110" s="1959"/>
      <c r="Q110" s="1959"/>
      <c r="R110" s="2110"/>
      <c r="S110" s="1910"/>
      <c r="T110" s="1958"/>
      <c r="U110" s="1958"/>
      <c r="V110" s="1958"/>
      <c r="W110" s="1958"/>
      <c r="X110" s="1958" t="s">
        <v>8669</v>
      </c>
      <c r="Y110" s="1818"/>
      <c r="Z110" s="1818"/>
      <c r="AA110" s="1818"/>
      <c r="AB110" s="1818"/>
      <c r="AC110" s="1818"/>
      <c r="AD110" s="1818"/>
      <c r="AE110" s="1818"/>
      <c r="AF110" s="1818"/>
      <c r="AG110" s="1818"/>
      <c r="AH110" s="1818"/>
      <c r="AI110" s="1818"/>
      <c r="AJ110" s="1818"/>
      <c r="AK110" s="1818"/>
      <c r="AL110" s="1818"/>
      <c r="AM110" s="1818"/>
      <c r="AN110" s="1818"/>
      <c r="AO110" s="1818"/>
      <c r="AP110" s="1818"/>
      <c r="AQ110" s="1818"/>
      <c r="AR110" s="1818"/>
      <c r="AS110" s="1818"/>
      <c r="AT110" s="1818"/>
    </row>
    <row r="111" spans="1:78" s="1891" customFormat="1" ht="105.95" customHeight="1">
      <c r="A111" s="1899"/>
      <c r="B111" s="1822" t="s">
        <v>6993</v>
      </c>
      <c r="C111" s="1837">
        <v>1</v>
      </c>
      <c r="D111" s="2309">
        <v>0.5</v>
      </c>
      <c r="E111" s="1846">
        <v>0</v>
      </c>
      <c r="F111" s="1829">
        <v>1</v>
      </c>
      <c r="G111" s="1846">
        <v>1</v>
      </c>
      <c r="H111" s="1850">
        <v>0.5</v>
      </c>
      <c r="I111" s="2289" t="s">
        <v>652</v>
      </c>
      <c r="J111" s="2217">
        <v>1</v>
      </c>
      <c r="K111" s="1955" t="s">
        <v>748</v>
      </c>
      <c r="L111" s="1956">
        <v>0.5</v>
      </c>
      <c r="M111" s="1956">
        <v>1</v>
      </c>
      <c r="N111" s="1956" t="s">
        <v>811</v>
      </c>
      <c r="O111" s="1956" t="s">
        <v>8670</v>
      </c>
      <c r="P111" s="1957"/>
      <c r="Q111" s="1957"/>
      <c r="R111" s="2110"/>
      <c r="S111" s="2218" t="s">
        <v>9204</v>
      </c>
      <c r="T111" s="1916" t="s">
        <v>7479</v>
      </c>
      <c r="U111" s="1794" t="s">
        <v>7219</v>
      </c>
      <c r="V111" s="1956" t="s">
        <v>7862</v>
      </c>
      <c r="W111" s="1914" t="s">
        <v>8326</v>
      </c>
      <c r="X111" s="1956" t="s">
        <v>8670</v>
      </c>
      <c r="Y111" s="1818"/>
      <c r="Z111" s="1818"/>
      <c r="AA111" s="1818"/>
      <c r="AB111" s="1818"/>
      <c r="AC111" s="1818"/>
      <c r="AD111" s="1818"/>
      <c r="AE111" s="1818"/>
      <c r="AF111" s="1818"/>
      <c r="AG111" s="1818"/>
      <c r="AH111" s="1818"/>
      <c r="AI111" s="1818"/>
      <c r="AJ111" s="1818"/>
      <c r="AK111" s="1818"/>
      <c r="AL111" s="1818"/>
      <c r="AM111" s="1818"/>
      <c r="AN111" s="1818"/>
      <c r="AO111" s="1818"/>
      <c r="AP111" s="1818"/>
      <c r="AQ111" s="1818"/>
      <c r="AR111" s="1818"/>
      <c r="AS111" s="1818"/>
      <c r="AT111" s="1818"/>
    </row>
    <row r="112" spans="1:78" s="1891" customFormat="1" ht="210" customHeight="1">
      <c r="A112" s="1899"/>
      <c r="B112" s="2310" t="s">
        <v>6994</v>
      </c>
      <c r="C112" s="1837">
        <v>0.5</v>
      </c>
      <c r="D112" s="2309">
        <v>0.5</v>
      </c>
      <c r="E112" s="1846" t="s">
        <v>1073</v>
      </c>
      <c r="F112" s="1837">
        <v>1</v>
      </c>
      <c r="G112" s="1846">
        <v>0.5</v>
      </c>
      <c r="H112" s="1850">
        <v>0</v>
      </c>
      <c r="I112" s="2086" t="s">
        <v>8667</v>
      </c>
      <c r="J112" s="2218" t="s">
        <v>6225</v>
      </c>
      <c r="K112" s="1955" t="s">
        <v>5427</v>
      </c>
      <c r="L112" s="1956">
        <v>0.5</v>
      </c>
      <c r="M112" s="1914">
        <v>1</v>
      </c>
      <c r="N112" s="1956" t="s">
        <v>8291</v>
      </c>
      <c r="O112" s="1956" t="s">
        <v>8671</v>
      </c>
      <c r="P112" s="1957"/>
      <c r="Q112" s="1957"/>
      <c r="R112" s="2110"/>
      <c r="S112" s="2218" t="s">
        <v>8550</v>
      </c>
      <c r="T112" s="1916" t="s">
        <v>9144</v>
      </c>
      <c r="U112" s="1794" t="s">
        <v>7220</v>
      </c>
      <c r="V112" s="1914" t="s">
        <v>7863</v>
      </c>
      <c r="W112" s="1956" t="s">
        <v>5427</v>
      </c>
      <c r="X112" s="1956" t="s">
        <v>8671</v>
      </c>
      <c r="Y112" s="1818"/>
      <c r="Z112" s="1818"/>
      <c r="AA112" s="1818"/>
      <c r="AB112" s="1818"/>
      <c r="AC112" s="1818"/>
      <c r="AD112" s="1818"/>
      <c r="AE112" s="1818"/>
      <c r="AF112" s="1818"/>
      <c r="AG112" s="1818"/>
      <c r="AH112" s="1818"/>
      <c r="AI112" s="1818"/>
      <c r="AJ112" s="1818"/>
      <c r="AK112" s="1818"/>
      <c r="AL112" s="1818"/>
      <c r="AM112" s="1818"/>
      <c r="AN112" s="1818"/>
      <c r="AO112" s="1818"/>
      <c r="AP112" s="1818"/>
      <c r="AQ112" s="1818"/>
      <c r="AR112" s="1818"/>
      <c r="AS112" s="1818"/>
      <c r="AT112" s="1818"/>
    </row>
    <row r="113" spans="1:176" s="1891" customFormat="1" ht="35.1" customHeight="1">
      <c r="A113" s="2500"/>
      <c r="B113" s="2312" t="s">
        <v>6996</v>
      </c>
      <c r="C113" s="2060">
        <f>AVERAGE(C114:C115)</f>
        <v>1</v>
      </c>
      <c r="D113" s="2060">
        <f t="shared" ref="D113:G113" si="31">AVERAGE(D114:D115)</f>
        <v>1</v>
      </c>
      <c r="E113" s="2060">
        <f t="shared" si="31"/>
        <v>0</v>
      </c>
      <c r="F113" s="2060">
        <f t="shared" si="31"/>
        <v>1</v>
      </c>
      <c r="G113" s="2060">
        <f t="shared" si="31"/>
        <v>1</v>
      </c>
      <c r="H113" s="2060">
        <f>AVERAGE(H114:H115)</f>
        <v>0</v>
      </c>
      <c r="I113" s="2289"/>
      <c r="J113" s="1910"/>
      <c r="K113" s="1958"/>
      <c r="L113" s="1958"/>
      <c r="M113" s="1958"/>
      <c r="N113" s="1958"/>
      <c r="O113" s="1958"/>
      <c r="P113" s="1959"/>
      <c r="Q113" s="1959"/>
      <c r="R113" s="2110"/>
      <c r="S113" s="1910"/>
      <c r="T113" s="1911"/>
      <c r="U113" s="1958"/>
      <c r="V113" s="1958"/>
      <c r="W113" s="1958"/>
      <c r="X113" s="1958"/>
      <c r="Y113" s="1818"/>
      <c r="Z113" s="1818"/>
      <c r="AA113" s="1818"/>
      <c r="AB113" s="1818"/>
      <c r="AC113" s="1818"/>
      <c r="AD113" s="1818"/>
      <c r="AE113" s="1818"/>
      <c r="AF113" s="1818"/>
      <c r="AG113" s="1818"/>
      <c r="AH113" s="1818"/>
      <c r="AI113" s="1818"/>
      <c r="AJ113" s="1818"/>
      <c r="AK113" s="1818"/>
      <c r="AL113" s="1818"/>
      <c r="AM113" s="1818"/>
      <c r="AN113" s="1818"/>
      <c r="AO113" s="1818"/>
      <c r="AP113" s="1818"/>
      <c r="AQ113" s="1818"/>
      <c r="AR113" s="1818"/>
      <c r="AS113" s="1818"/>
      <c r="AT113" s="1818"/>
    </row>
    <row r="114" spans="1:176" s="1891" customFormat="1" ht="32.1" customHeight="1">
      <c r="A114" s="2507"/>
      <c r="B114" s="1855" t="s">
        <v>6991</v>
      </c>
      <c r="C114" s="1852">
        <v>1</v>
      </c>
      <c r="D114" s="1852">
        <v>1</v>
      </c>
      <c r="E114" s="1852">
        <v>0</v>
      </c>
      <c r="F114" s="1852">
        <v>1</v>
      </c>
      <c r="G114" s="1852">
        <v>1</v>
      </c>
      <c r="H114" s="1852">
        <v>0</v>
      </c>
      <c r="I114" s="2289"/>
      <c r="J114" s="2217">
        <v>1</v>
      </c>
      <c r="K114" s="1955" t="s">
        <v>811</v>
      </c>
      <c r="L114" s="1956">
        <v>0</v>
      </c>
      <c r="M114" s="1956">
        <v>1</v>
      </c>
      <c r="N114" s="1956" t="s">
        <v>8292</v>
      </c>
      <c r="O114" s="1956" t="s">
        <v>8672</v>
      </c>
      <c r="P114" s="1957"/>
      <c r="Q114" s="1957"/>
      <c r="R114" s="2110"/>
      <c r="S114" s="1802" t="s">
        <v>960</v>
      </c>
      <c r="T114" s="1916" t="s">
        <v>7480</v>
      </c>
      <c r="U114" s="1794" t="s">
        <v>7221</v>
      </c>
      <c r="V114" s="1956" t="s">
        <v>7864</v>
      </c>
      <c r="W114" s="1956" t="s">
        <v>8327</v>
      </c>
      <c r="X114" s="1956" t="s">
        <v>8672</v>
      </c>
      <c r="Y114" s="1818"/>
      <c r="Z114" s="1818"/>
      <c r="AA114" s="1818"/>
      <c r="AB114" s="1818"/>
      <c r="AC114" s="1818"/>
      <c r="AD114" s="1818"/>
      <c r="AE114" s="1818"/>
      <c r="AF114" s="1818"/>
      <c r="AG114" s="1818"/>
      <c r="AH114" s="1818"/>
      <c r="AI114" s="1818"/>
      <c r="AJ114" s="1818"/>
      <c r="AK114" s="1818"/>
      <c r="AL114" s="1818"/>
      <c r="AM114" s="1818"/>
      <c r="AN114" s="1818"/>
      <c r="AO114" s="1818"/>
      <c r="AP114" s="1818"/>
      <c r="AQ114" s="1818"/>
      <c r="AR114" s="1818"/>
      <c r="AS114" s="1818"/>
      <c r="AT114" s="1818"/>
    </row>
    <row r="115" spans="1:176" s="1891" customFormat="1" ht="32.1" customHeight="1">
      <c r="A115" s="2507"/>
      <c r="B115" s="1855" t="s">
        <v>6992</v>
      </c>
      <c r="C115" s="1852">
        <v>1</v>
      </c>
      <c r="D115" s="1852">
        <v>1</v>
      </c>
      <c r="E115" s="1852">
        <v>0</v>
      </c>
      <c r="F115" s="1852">
        <v>1</v>
      </c>
      <c r="G115" s="1852">
        <v>1</v>
      </c>
      <c r="H115" s="1852">
        <v>0</v>
      </c>
      <c r="I115" s="2289"/>
      <c r="J115" s="2217">
        <v>1</v>
      </c>
      <c r="K115" s="1955" t="s">
        <v>811</v>
      </c>
      <c r="L115" s="1956">
        <v>0</v>
      </c>
      <c r="M115" s="1956">
        <v>1</v>
      </c>
      <c r="N115" s="1956" t="s">
        <v>8292</v>
      </c>
      <c r="O115" s="1956" t="s">
        <v>8673</v>
      </c>
      <c r="P115" s="1957"/>
      <c r="Q115" s="1957"/>
      <c r="R115" s="2110"/>
      <c r="S115" s="2218" t="s">
        <v>9205</v>
      </c>
      <c r="T115" s="1916" t="s">
        <v>7481</v>
      </c>
      <c r="U115" s="1794" t="s">
        <v>7222</v>
      </c>
      <c r="V115" s="1956" t="s">
        <v>9095</v>
      </c>
      <c r="W115" s="1914" t="s">
        <v>8328</v>
      </c>
      <c r="X115" s="1956" t="s">
        <v>8673</v>
      </c>
      <c r="Y115" s="1818"/>
      <c r="Z115" s="1818"/>
      <c r="AA115" s="1818"/>
      <c r="AB115" s="1818"/>
      <c r="AC115" s="1818"/>
      <c r="AD115" s="1818"/>
      <c r="AE115" s="1818"/>
      <c r="AF115" s="1818"/>
      <c r="AG115" s="1818"/>
      <c r="AH115" s="1818"/>
      <c r="AI115" s="1818"/>
      <c r="AJ115" s="1818"/>
      <c r="AK115" s="1818"/>
      <c r="AL115" s="1818"/>
      <c r="AM115" s="1818"/>
      <c r="AN115" s="1818"/>
      <c r="AO115" s="1818"/>
      <c r="AP115" s="1818"/>
      <c r="AQ115" s="1818"/>
      <c r="AR115" s="1818"/>
      <c r="AS115" s="1818"/>
      <c r="AT115" s="1818"/>
    </row>
    <row r="116" spans="1:176" ht="32.1" customHeight="1">
      <c r="A116" s="2499" t="s">
        <v>137</v>
      </c>
      <c r="B116" s="2084" t="s">
        <v>130</v>
      </c>
      <c r="C116" s="2085">
        <f>AVERAGE(C117:C120)</f>
        <v>0.94</v>
      </c>
      <c r="D116" s="2085">
        <f t="shared" ref="D116:H116" si="32">AVERAGE(D117:D120)</f>
        <v>0.89833333333333332</v>
      </c>
      <c r="E116" s="2085">
        <f t="shared" si="32"/>
        <v>0.42666666666666664</v>
      </c>
      <c r="F116" s="2085">
        <f t="shared" si="32"/>
        <v>0.97333333333333338</v>
      </c>
      <c r="G116" s="2085">
        <f t="shared" si="32"/>
        <v>0.98423333333333329</v>
      </c>
      <c r="H116" s="2085">
        <f t="shared" si="32"/>
        <v>0.70750000000000002</v>
      </c>
      <c r="I116" s="2086"/>
      <c r="J116" s="2087"/>
      <c r="K116" s="2087"/>
      <c r="L116" s="2087"/>
      <c r="M116" s="2087"/>
      <c r="N116" s="2087"/>
      <c r="O116" s="2087"/>
      <c r="P116" s="2109"/>
      <c r="Q116" s="2109"/>
      <c r="R116" s="2110"/>
      <c r="S116" s="2087"/>
      <c r="T116" s="2102"/>
      <c r="U116" s="2102"/>
      <c r="V116" s="2102"/>
      <c r="W116" s="2102"/>
      <c r="X116" s="2102"/>
    </row>
    <row r="117" spans="1:176" s="1891" customFormat="1" ht="141" customHeight="1">
      <c r="A117" s="1899"/>
      <c r="B117" s="1851" t="s">
        <v>9126</v>
      </c>
      <c r="C117" s="1856">
        <f>IF(J117&gt;$Q117,0,(J117-$Q117)/($P117-$Q117))</f>
        <v>0.76</v>
      </c>
      <c r="D117" s="1856">
        <f t="shared" ref="D117:H117" si="33">IF(K117&gt;$Q117,0,(K117-$Q117)/($P117-$Q117))</f>
        <v>0.59333333333333338</v>
      </c>
      <c r="E117" s="1856">
        <f t="shared" si="33"/>
        <v>0.70666666666666667</v>
      </c>
      <c r="F117" s="1850">
        <f t="shared" si="33"/>
        <v>0.89333333333333331</v>
      </c>
      <c r="G117" s="1850">
        <f t="shared" si="33"/>
        <v>0.9369333333333334</v>
      </c>
      <c r="H117" s="1850">
        <f t="shared" si="33"/>
        <v>0.83</v>
      </c>
      <c r="I117" s="2287" t="s">
        <v>6919</v>
      </c>
      <c r="J117" s="2053">
        <v>3.6</v>
      </c>
      <c r="K117" s="1960">
        <v>6.1</v>
      </c>
      <c r="L117" s="1916">
        <v>4.4000000000000004</v>
      </c>
      <c r="M117" s="1961">
        <v>1.6</v>
      </c>
      <c r="N117" s="1950">
        <v>0.94599999999999995</v>
      </c>
      <c r="O117" s="1949">
        <v>2.5499999999999998</v>
      </c>
      <c r="P117" s="1952">
        <v>0</v>
      </c>
      <c r="Q117" s="1952">
        <v>15</v>
      </c>
      <c r="R117" s="2292"/>
      <c r="S117" s="2248" t="s">
        <v>9206</v>
      </c>
      <c r="T117" s="1952" t="s">
        <v>9005</v>
      </c>
      <c r="U117" s="1916" t="s">
        <v>8513</v>
      </c>
      <c r="V117" s="1961" t="s">
        <v>7865</v>
      </c>
      <c r="W117" s="1950" t="s">
        <v>9006</v>
      </c>
      <c r="X117" s="1950" t="s">
        <v>9125</v>
      </c>
      <c r="Y117" s="1818"/>
      <c r="Z117" s="1818"/>
      <c r="AA117" s="1818"/>
      <c r="AB117" s="1818"/>
      <c r="AC117" s="1818"/>
      <c r="AD117" s="1818"/>
      <c r="AE117" s="1818"/>
      <c r="AF117" s="1818"/>
      <c r="AG117" s="1818"/>
      <c r="AH117" s="1818"/>
      <c r="AI117" s="1818"/>
      <c r="AJ117" s="1818"/>
      <c r="AK117" s="1818"/>
      <c r="AL117" s="1818"/>
      <c r="AM117" s="1818"/>
      <c r="AN117" s="1818"/>
      <c r="AO117" s="1818"/>
      <c r="AP117" s="1818"/>
      <c r="AQ117" s="1818"/>
      <c r="AR117" s="1818"/>
      <c r="AS117" s="1818"/>
      <c r="AT117" s="1818"/>
      <c r="AU117" s="1818"/>
      <c r="AV117" s="1818"/>
      <c r="AW117" s="1818"/>
      <c r="AX117" s="1818"/>
      <c r="AY117" s="1818"/>
      <c r="AZ117" s="1818"/>
      <c r="BA117" s="1818"/>
      <c r="BB117" s="1818"/>
      <c r="BC117" s="1818"/>
      <c r="BD117" s="1818"/>
      <c r="BE117" s="1818"/>
      <c r="BF117" s="1818"/>
      <c r="BG117" s="1818"/>
      <c r="BH117" s="1818"/>
      <c r="BI117" s="1818"/>
      <c r="BJ117" s="1818"/>
      <c r="BK117" s="1818"/>
      <c r="BL117" s="1818"/>
      <c r="BM117" s="1818"/>
      <c r="BN117" s="1818"/>
      <c r="BO117" s="1818"/>
      <c r="BP117" s="1818"/>
      <c r="BQ117" s="1818"/>
      <c r="BR117" s="1818"/>
      <c r="BS117" s="1818"/>
      <c r="BT117" s="1818"/>
      <c r="BU117" s="1818"/>
      <c r="BV117" s="1818"/>
      <c r="BW117" s="1818"/>
      <c r="BX117" s="1818"/>
      <c r="BY117" s="1818"/>
      <c r="BZ117" s="1818"/>
    </row>
    <row r="118" spans="1:176" ht="60.95" customHeight="1">
      <c r="A118" s="1899"/>
      <c r="B118" s="1820" t="s">
        <v>6983</v>
      </c>
      <c r="C118" s="1837">
        <v>1</v>
      </c>
      <c r="D118" s="1857">
        <v>1</v>
      </c>
      <c r="E118" s="1858">
        <v>0</v>
      </c>
      <c r="F118" s="1837">
        <v>1</v>
      </c>
      <c r="G118" s="1829">
        <v>1</v>
      </c>
      <c r="H118" s="1850">
        <v>1</v>
      </c>
      <c r="I118" s="2086" t="s">
        <v>123</v>
      </c>
      <c r="J118" s="2217">
        <v>1</v>
      </c>
      <c r="K118" s="1955" t="s">
        <v>4392</v>
      </c>
      <c r="L118" s="1916">
        <v>0</v>
      </c>
      <c r="M118" s="1962" t="s">
        <v>960</v>
      </c>
      <c r="N118" s="1948" t="s">
        <v>811</v>
      </c>
      <c r="O118" s="1948" t="s">
        <v>8674</v>
      </c>
      <c r="P118" s="1935">
        <v>1</v>
      </c>
      <c r="Q118" s="1935">
        <v>0</v>
      </c>
      <c r="R118" s="2100"/>
      <c r="S118" s="2248" t="s">
        <v>8112</v>
      </c>
      <c r="T118" s="1916" t="s">
        <v>7485</v>
      </c>
      <c r="U118" s="1916" t="s">
        <v>748</v>
      </c>
      <c r="V118" s="1962" t="s">
        <v>1753</v>
      </c>
      <c r="W118" s="1941" t="s">
        <v>8329</v>
      </c>
      <c r="X118" s="1948" t="s">
        <v>8674</v>
      </c>
    </row>
    <row r="119" spans="1:176" ht="32.1" customHeight="1">
      <c r="A119" s="1899"/>
      <c r="B119" s="1820" t="s">
        <v>6984</v>
      </c>
      <c r="C119" s="1837">
        <v>1</v>
      </c>
      <c r="D119" s="1857">
        <v>1</v>
      </c>
      <c r="E119" s="1846">
        <v>0</v>
      </c>
      <c r="F119" s="1837">
        <v>1</v>
      </c>
      <c r="G119" s="1848">
        <v>1</v>
      </c>
      <c r="H119" s="1831">
        <v>0</v>
      </c>
      <c r="I119" s="2086" t="s">
        <v>123</v>
      </c>
      <c r="J119" s="2217">
        <v>1</v>
      </c>
      <c r="K119" s="1955" t="s">
        <v>7376</v>
      </c>
      <c r="L119" s="1794">
        <v>0</v>
      </c>
      <c r="M119" s="1802" t="s">
        <v>9015</v>
      </c>
      <c r="N119" s="1941" t="s">
        <v>811</v>
      </c>
      <c r="O119" s="1941" t="s">
        <v>8675</v>
      </c>
      <c r="P119" s="1917">
        <v>1</v>
      </c>
      <c r="Q119" s="1917">
        <v>0</v>
      </c>
      <c r="R119" s="2100"/>
      <c r="S119" s="2248" t="s">
        <v>8113</v>
      </c>
      <c r="T119" s="1916" t="s">
        <v>7482</v>
      </c>
      <c r="U119" s="1794" t="s">
        <v>748</v>
      </c>
      <c r="V119" s="1802"/>
      <c r="W119" s="1941" t="s">
        <v>8330</v>
      </c>
      <c r="X119" s="1941" t="s">
        <v>8675</v>
      </c>
    </row>
    <row r="120" spans="1:176" ht="41.1" customHeight="1">
      <c r="A120" s="2500"/>
      <c r="B120" s="2059" t="s">
        <v>132</v>
      </c>
      <c r="C120" s="2060">
        <f>AVERAGE(C121:C124)</f>
        <v>1</v>
      </c>
      <c r="D120" s="2060">
        <f t="shared" ref="D120:G120" si="34">AVERAGE(D121:D124)</f>
        <v>1</v>
      </c>
      <c r="E120" s="2060">
        <f t="shared" si="34"/>
        <v>1</v>
      </c>
      <c r="F120" s="2060">
        <f t="shared" si="34"/>
        <v>1</v>
      </c>
      <c r="G120" s="2060">
        <f t="shared" si="34"/>
        <v>1</v>
      </c>
      <c r="H120" s="2060">
        <f>AVERAGE(H121:H124)</f>
        <v>1</v>
      </c>
      <c r="I120" s="2086"/>
      <c r="J120" s="1910"/>
      <c r="K120" s="1963"/>
      <c r="L120" s="1911"/>
      <c r="M120" s="1911"/>
      <c r="N120" s="1912"/>
      <c r="O120" s="1912"/>
      <c r="P120" s="1912"/>
      <c r="Q120" s="1912"/>
      <c r="R120" s="2100"/>
      <c r="S120" s="2250"/>
      <c r="T120" s="1911"/>
      <c r="U120" s="1911"/>
      <c r="V120" s="1912"/>
      <c r="W120" s="1912"/>
      <c r="X120" s="1912"/>
    </row>
    <row r="121" spans="1:176" ht="75" customHeight="1">
      <c r="A121" s="2501"/>
      <c r="B121" s="1804" t="s">
        <v>133</v>
      </c>
      <c r="C121" s="1837">
        <v>1</v>
      </c>
      <c r="D121" s="1857">
        <v>1</v>
      </c>
      <c r="E121" s="1846">
        <v>1</v>
      </c>
      <c r="F121" s="1832">
        <v>1</v>
      </c>
      <c r="G121" s="1848">
        <v>1</v>
      </c>
      <c r="H121" s="1831">
        <v>1</v>
      </c>
      <c r="I121" s="2086" t="s">
        <v>123</v>
      </c>
      <c r="J121" s="2217">
        <v>1</v>
      </c>
      <c r="K121" s="1955">
        <v>1</v>
      </c>
      <c r="L121" s="1794">
        <v>1</v>
      </c>
      <c r="M121" s="1927">
        <v>1</v>
      </c>
      <c r="N121" s="1917">
        <v>1</v>
      </c>
      <c r="O121" s="1917" t="s">
        <v>8676</v>
      </c>
      <c r="P121" s="1917">
        <v>1</v>
      </c>
      <c r="Q121" s="1917">
        <v>0</v>
      </c>
      <c r="R121" s="2100"/>
      <c r="S121" s="2248" t="s">
        <v>9207</v>
      </c>
      <c r="T121" s="1916" t="s">
        <v>7483</v>
      </c>
      <c r="U121" s="1794" t="s">
        <v>811</v>
      </c>
      <c r="V121" s="1927" t="s">
        <v>7866</v>
      </c>
      <c r="W121" s="1917" t="s">
        <v>8331</v>
      </c>
      <c r="X121" s="1917" t="s">
        <v>8676</v>
      </c>
    </row>
    <row r="122" spans="1:176" ht="32.1" customHeight="1">
      <c r="A122" s="2501"/>
      <c r="B122" s="1804" t="s">
        <v>134</v>
      </c>
      <c r="C122" s="1837">
        <v>1</v>
      </c>
      <c r="D122" s="1857">
        <v>1</v>
      </c>
      <c r="E122" s="1846">
        <v>1</v>
      </c>
      <c r="F122" s="1832">
        <v>1</v>
      </c>
      <c r="G122" s="1848">
        <v>1</v>
      </c>
      <c r="H122" s="1831">
        <v>1</v>
      </c>
      <c r="I122" s="2086" t="s">
        <v>123</v>
      </c>
      <c r="J122" s="2217">
        <v>1</v>
      </c>
      <c r="K122" s="1955">
        <v>1</v>
      </c>
      <c r="L122" s="1794">
        <v>1</v>
      </c>
      <c r="M122" s="1927">
        <v>1</v>
      </c>
      <c r="N122" s="1917">
        <v>1</v>
      </c>
      <c r="O122" s="1917" t="s">
        <v>8677</v>
      </c>
      <c r="P122" s="1917">
        <v>1</v>
      </c>
      <c r="Q122" s="1917">
        <v>0</v>
      </c>
      <c r="R122" s="2100"/>
      <c r="S122" s="2248" t="s">
        <v>9208</v>
      </c>
      <c r="T122" s="2251" t="s">
        <v>7484</v>
      </c>
      <c r="U122" s="1794" t="s">
        <v>811</v>
      </c>
      <c r="V122" s="1927" t="s">
        <v>7867</v>
      </c>
      <c r="W122" s="1917" t="s">
        <v>8332</v>
      </c>
      <c r="X122" s="1917" t="s">
        <v>8677</v>
      </c>
    </row>
    <row r="123" spans="1:176" ht="32.1" customHeight="1">
      <c r="A123" s="2501"/>
      <c r="B123" s="1804" t="s">
        <v>135</v>
      </c>
      <c r="C123" s="1837">
        <v>1</v>
      </c>
      <c r="D123" s="1857">
        <v>1</v>
      </c>
      <c r="E123" s="1846">
        <v>1</v>
      </c>
      <c r="F123" s="1832">
        <v>1</v>
      </c>
      <c r="G123" s="1848">
        <v>1</v>
      </c>
      <c r="H123" s="1831">
        <v>1</v>
      </c>
      <c r="I123" s="2086" t="s">
        <v>123</v>
      </c>
      <c r="J123" s="2217">
        <v>1</v>
      </c>
      <c r="K123" s="1955">
        <v>1</v>
      </c>
      <c r="L123" s="1794">
        <v>1</v>
      </c>
      <c r="M123" s="1927">
        <v>1</v>
      </c>
      <c r="N123" s="1917">
        <v>1</v>
      </c>
      <c r="O123" s="1917" t="s">
        <v>8678</v>
      </c>
      <c r="P123" s="1917">
        <v>1</v>
      </c>
      <c r="Q123" s="1917">
        <v>0</v>
      </c>
      <c r="R123" s="2100"/>
      <c r="S123" s="2248" t="s">
        <v>9209</v>
      </c>
      <c r="T123" s="2251" t="s">
        <v>7485</v>
      </c>
      <c r="U123" s="1794" t="s">
        <v>811</v>
      </c>
      <c r="V123" s="1927" t="s">
        <v>1766</v>
      </c>
      <c r="W123" s="1917" t="s">
        <v>8333</v>
      </c>
      <c r="X123" s="1917" t="s">
        <v>8678</v>
      </c>
    </row>
    <row r="124" spans="1:176" ht="54" customHeight="1">
      <c r="A124" s="2501"/>
      <c r="B124" s="1804" t="s">
        <v>136</v>
      </c>
      <c r="C124" s="1837">
        <v>1</v>
      </c>
      <c r="D124" s="1857">
        <v>1</v>
      </c>
      <c r="E124" s="1846">
        <v>1</v>
      </c>
      <c r="F124" s="1832">
        <v>1</v>
      </c>
      <c r="G124" s="1848">
        <v>1</v>
      </c>
      <c r="H124" s="1831">
        <v>1</v>
      </c>
      <c r="I124" s="2086" t="s">
        <v>123</v>
      </c>
      <c r="J124" s="2217">
        <v>1</v>
      </c>
      <c r="K124" s="1955">
        <v>1</v>
      </c>
      <c r="L124" s="1794">
        <v>1</v>
      </c>
      <c r="M124" s="1927">
        <v>1</v>
      </c>
      <c r="N124" s="1917">
        <v>1</v>
      </c>
      <c r="O124" s="1917" t="s">
        <v>8679</v>
      </c>
      <c r="P124" s="1917">
        <v>1</v>
      </c>
      <c r="Q124" s="1917">
        <v>0</v>
      </c>
      <c r="R124" s="2100"/>
      <c r="S124" s="2248" t="s">
        <v>9210</v>
      </c>
      <c r="T124" s="1916" t="s">
        <v>7486</v>
      </c>
      <c r="U124" s="1794" t="s">
        <v>811</v>
      </c>
      <c r="V124" s="1927" t="s">
        <v>960</v>
      </c>
      <c r="W124" s="1917" t="s">
        <v>8334</v>
      </c>
      <c r="X124" s="1917" t="s">
        <v>8679</v>
      </c>
    </row>
    <row r="125" spans="1:176" ht="32.1" customHeight="1">
      <c r="A125" s="2502" t="s">
        <v>6985</v>
      </c>
      <c r="B125" s="2080" t="s">
        <v>138</v>
      </c>
      <c r="C125" s="2081">
        <f t="shared" ref="C125:H125" si="35">AVERAGE(C126,C137,C147,C165)</f>
        <v>0.81944444444444453</v>
      </c>
      <c r="D125" s="2081">
        <f t="shared" si="35"/>
        <v>0.70416666666666672</v>
      </c>
      <c r="E125" s="2081">
        <f t="shared" si="35"/>
        <v>0.36805555555555552</v>
      </c>
      <c r="F125" s="2081">
        <f t="shared" si="35"/>
        <v>0.70138888888888895</v>
      </c>
      <c r="G125" s="2081">
        <f t="shared" si="35"/>
        <v>0.46458333333333335</v>
      </c>
      <c r="H125" s="2081">
        <f t="shared" si="35"/>
        <v>0.24374999999999999</v>
      </c>
      <c r="I125" s="2111"/>
      <c r="J125" s="2082"/>
      <c r="K125" s="2077"/>
      <c r="L125" s="2077"/>
      <c r="M125" s="2077"/>
      <c r="N125" s="2077"/>
      <c r="O125" s="2077"/>
      <c r="P125" s="2078"/>
      <c r="Q125" s="2078"/>
      <c r="R125" s="2079"/>
      <c r="S125" s="2082"/>
      <c r="T125" s="2077"/>
      <c r="U125" s="2077"/>
      <c r="V125" s="2077"/>
      <c r="W125" s="2077"/>
      <c r="X125" s="2077"/>
    </row>
    <row r="126" spans="1:176" ht="32.1" customHeight="1">
      <c r="A126" s="2499" t="s">
        <v>6986</v>
      </c>
      <c r="B126" s="2084" t="s">
        <v>140</v>
      </c>
      <c r="C126" s="2085">
        <f t="shared" ref="C126:H126" si="36">AVERAGE(C127,C128,C129,C133)</f>
        <v>1</v>
      </c>
      <c r="D126" s="2085">
        <f t="shared" si="36"/>
        <v>0.83333333333333326</v>
      </c>
      <c r="E126" s="2085">
        <f t="shared" si="36"/>
        <v>0.5</v>
      </c>
      <c r="F126" s="2085">
        <f t="shared" si="36"/>
        <v>0.75</v>
      </c>
      <c r="G126" s="2085">
        <f t="shared" si="36"/>
        <v>0.375</v>
      </c>
      <c r="H126" s="2085">
        <f t="shared" si="36"/>
        <v>0.20833333333333334</v>
      </c>
      <c r="I126" s="2086"/>
      <c r="J126" s="2087"/>
      <c r="K126" s="2102"/>
      <c r="L126" s="2095"/>
      <c r="M126" s="2102"/>
      <c r="N126" s="2102"/>
      <c r="O126" s="2102"/>
      <c r="P126" s="2109"/>
      <c r="Q126" s="2109"/>
      <c r="R126" s="2110"/>
      <c r="S126" s="2087"/>
      <c r="T126" s="2102"/>
      <c r="U126" s="2095"/>
      <c r="V126" s="2102"/>
      <c r="W126" s="2102"/>
      <c r="X126" s="2102"/>
    </row>
    <row r="127" spans="1:176" s="1965" customFormat="1" ht="104.1" customHeight="1">
      <c r="A127" s="1874"/>
      <c r="B127" s="1843" t="s">
        <v>141</v>
      </c>
      <c r="C127" s="1829">
        <v>1</v>
      </c>
      <c r="D127" s="1829">
        <v>1</v>
      </c>
      <c r="E127" s="1846">
        <v>1</v>
      </c>
      <c r="F127" s="1837">
        <v>1</v>
      </c>
      <c r="G127" s="1850">
        <v>0.5</v>
      </c>
      <c r="H127" s="1850">
        <v>0</v>
      </c>
      <c r="I127" s="2086" t="s">
        <v>142</v>
      </c>
      <c r="J127" s="1915">
        <v>1</v>
      </c>
      <c r="K127" s="1915">
        <v>1</v>
      </c>
      <c r="L127" s="1794">
        <v>1</v>
      </c>
      <c r="M127" s="1964">
        <v>1</v>
      </c>
      <c r="N127" s="1915" t="s">
        <v>5427</v>
      </c>
      <c r="O127" s="1915" t="s">
        <v>5624</v>
      </c>
      <c r="P127" s="1915">
        <v>1</v>
      </c>
      <c r="Q127" s="1915">
        <v>0</v>
      </c>
      <c r="R127" s="2096"/>
      <c r="S127" s="2248" t="s">
        <v>9211</v>
      </c>
      <c r="T127" s="1914" t="s">
        <v>7487</v>
      </c>
      <c r="U127" s="1794" t="s">
        <v>7223</v>
      </c>
      <c r="V127" s="1964" t="s">
        <v>1773</v>
      </c>
      <c r="W127" s="1947" t="s">
        <v>8293</v>
      </c>
      <c r="X127" s="1915" t="s">
        <v>5624</v>
      </c>
      <c r="Y127" s="1818"/>
      <c r="Z127" s="1818"/>
      <c r="AA127" s="1818"/>
      <c r="AB127" s="1818"/>
      <c r="AC127" s="1818"/>
      <c r="AD127" s="1818"/>
      <c r="AE127" s="1818"/>
      <c r="AF127" s="1818"/>
      <c r="AG127" s="1818"/>
      <c r="AH127" s="1818"/>
      <c r="AI127" s="1818"/>
      <c r="AJ127" s="1818"/>
      <c r="AK127" s="1818"/>
      <c r="AL127" s="1818"/>
      <c r="AM127" s="1818"/>
      <c r="AN127" s="1818"/>
      <c r="AO127" s="1818"/>
      <c r="AP127" s="1818"/>
      <c r="AQ127" s="1818"/>
      <c r="AR127" s="1818"/>
      <c r="AS127" s="1818"/>
      <c r="AT127" s="1818"/>
      <c r="AU127" s="1818"/>
      <c r="AV127" s="1818"/>
      <c r="AW127" s="1818"/>
      <c r="AX127" s="1818"/>
      <c r="AY127" s="1818"/>
      <c r="AZ127" s="1818"/>
      <c r="BA127" s="1818"/>
      <c r="BB127" s="1818"/>
      <c r="BC127" s="1818"/>
      <c r="BD127" s="1818"/>
      <c r="BE127" s="1818"/>
      <c r="BF127" s="1818"/>
      <c r="BG127" s="1818"/>
      <c r="BH127" s="1818"/>
      <c r="BI127" s="1818"/>
      <c r="BJ127" s="1818"/>
      <c r="BK127" s="1818"/>
      <c r="BL127" s="1818"/>
      <c r="BM127" s="1818"/>
      <c r="BN127" s="1818"/>
      <c r="BO127" s="1818"/>
      <c r="BP127" s="1818"/>
      <c r="BQ127" s="1818"/>
      <c r="BR127" s="1818"/>
      <c r="BS127" s="1818"/>
      <c r="BT127" s="1818"/>
      <c r="BU127" s="1818"/>
      <c r="BV127" s="1818"/>
      <c r="BW127" s="1818"/>
      <c r="BX127" s="1818"/>
      <c r="BY127" s="1818"/>
      <c r="BZ127" s="1818"/>
      <c r="CA127" s="1890"/>
      <c r="CB127" s="1890"/>
      <c r="CC127" s="1890"/>
      <c r="CD127" s="1890"/>
      <c r="CE127" s="1890"/>
      <c r="CF127" s="1890"/>
      <c r="CG127" s="1890"/>
      <c r="CH127" s="1890"/>
      <c r="CI127" s="1890"/>
      <c r="CJ127" s="1890"/>
      <c r="CK127" s="1890"/>
      <c r="CL127" s="1890"/>
      <c r="CM127" s="1890"/>
      <c r="CN127" s="1890"/>
      <c r="CO127" s="1890"/>
      <c r="CP127" s="1890"/>
      <c r="CQ127" s="1890"/>
      <c r="CR127" s="1890"/>
      <c r="CS127" s="1890"/>
      <c r="CT127" s="1890"/>
      <c r="CU127" s="1890"/>
      <c r="CV127" s="1890"/>
      <c r="CW127" s="1890"/>
      <c r="CX127" s="1890"/>
      <c r="CY127" s="1890"/>
      <c r="CZ127" s="1890"/>
      <c r="DA127" s="1890"/>
      <c r="DB127" s="1890"/>
      <c r="DC127" s="1890"/>
      <c r="DD127" s="1890"/>
      <c r="DE127" s="1890"/>
      <c r="DF127" s="1890"/>
      <c r="DG127" s="1890"/>
      <c r="DH127" s="1890"/>
      <c r="DI127" s="1890"/>
      <c r="DJ127" s="1890"/>
      <c r="DK127" s="1890"/>
      <c r="DL127" s="1890"/>
      <c r="DM127" s="1890"/>
      <c r="DN127" s="1890"/>
      <c r="DO127" s="1890"/>
      <c r="DP127" s="1890"/>
      <c r="DQ127" s="1890"/>
      <c r="DR127" s="1890"/>
      <c r="DS127" s="1890"/>
      <c r="DT127" s="1890"/>
      <c r="DU127" s="1890"/>
      <c r="DV127" s="1890"/>
      <c r="DW127" s="1890"/>
      <c r="DX127" s="1890"/>
      <c r="DY127" s="1890"/>
      <c r="DZ127" s="1890"/>
      <c r="EA127" s="1890"/>
      <c r="EB127" s="1890"/>
      <c r="EC127" s="1890"/>
      <c r="ED127" s="1890"/>
      <c r="EE127" s="1890"/>
      <c r="EF127" s="1890"/>
      <c r="EG127" s="1890"/>
      <c r="EH127" s="1890"/>
      <c r="EI127" s="1890"/>
      <c r="EJ127" s="1890"/>
      <c r="EK127" s="1890"/>
      <c r="EL127" s="1890"/>
      <c r="EM127" s="1890"/>
      <c r="EN127" s="1890"/>
      <c r="EO127" s="1890"/>
      <c r="EP127" s="1890"/>
      <c r="EQ127" s="1890"/>
      <c r="ER127" s="1890"/>
      <c r="ES127" s="1890"/>
      <c r="ET127" s="1890"/>
      <c r="EU127" s="1890"/>
      <c r="EV127" s="1890"/>
      <c r="EW127" s="1890"/>
      <c r="EX127" s="1890"/>
      <c r="EY127" s="1890"/>
      <c r="EZ127" s="1890"/>
      <c r="FA127" s="1890"/>
      <c r="FB127" s="1890"/>
      <c r="FC127" s="1890"/>
      <c r="FD127" s="1890"/>
      <c r="FE127" s="1890"/>
      <c r="FF127" s="1890"/>
      <c r="FG127" s="1890"/>
      <c r="FH127" s="1890"/>
      <c r="FI127" s="1890"/>
      <c r="FJ127" s="1890"/>
      <c r="FK127" s="1890"/>
      <c r="FL127" s="1890"/>
      <c r="FM127" s="1890"/>
      <c r="FN127" s="1890"/>
      <c r="FO127" s="1890"/>
      <c r="FP127" s="1890"/>
      <c r="FQ127" s="1890"/>
      <c r="FR127" s="1890"/>
      <c r="FS127" s="1890"/>
      <c r="FT127" s="1890"/>
    </row>
    <row r="128" spans="1:176" s="1965" customFormat="1" ht="76.5" customHeight="1">
      <c r="A128" s="1899"/>
      <c r="B128" s="1843" t="s">
        <v>143</v>
      </c>
      <c r="C128" s="1829">
        <v>1</v>
      </c>
      <c r="D128" s="1829">
        <v>1</v>
      </c>
      <c r="E128" s="1846">
        <v>0</v>
      </c>
      <c r="F128" s="1829">
        <v>1</v>
      </c>
      <c r="G128" s="1850">
        <v>0</v>
      </c>
      <c r="H128" s="1850">
        <v>0</v>
      </c>
      <c r="I128" s="2540" t="s">
        <v>144</v>
      </c>
      <c r="J128" s="1915" t="s">
        <v>1060</v>
      </c>
      <c r="K128" s="1794" t="s">
        <v>748</v>
      </c>
      <c r="L128" s="1794" t="s">
        <v>960</v>
      </c>
      <c r="M128" s="1915" t="s">
        <v>1060</v>
      </c>
      <c r="N128" s="1915" t="s">
        <v>811</v>
      </c>
      <c r="O128" s="1915" t="s">
        <v>8680</v>
      </c>
      <c r="P128" s="1915">
        <v>0</v>
      </c>
      <c r="Q128" s="1915">
        <v>1</v>
      </c>
      <c r="R128" s="2096"/>
      <c r="S128" s="2248" t="s">
        <v>8114</v>
      </c>
      <c r="T128" s="1794" t="s">
        <v>9304</v>
      </c>
      <c r="U128" s="1794" t="s">
        <v>811</v>
      </c>
      <c r="V128" s="1915"/>
      <c r="W128" s="1947" t="s">
        <v>8294</v>
      </c>
      <c r="X128" s="1915" t="s">
        <v>8680</v>
      </c>
      <c r="Y128" s="1818"/>
      <c r="Z128" s="1818"/>
      <c r="AA128" s="1818"/>
      <c r="AB128" s="1818"/>
      <c r="AC128" s="1818"/>
      <c r="AD128" s="1818"/>
      <c r="AE128" s="1818"/>
      <c r="AF128" s="1818"/>
      <c r="AG128" s="1818"/>
      <c r="AH128" s="1818"/>
      <c r="AI128" s="1818"/>
      <c r="AJ128" s="1818"/>
      <c r="AK128" s="1818"/>
      <c r="AL128" s="1818"/>
      <c r="AM128" s="1818"/>
      <c r="AN128" s="1818"/>
      <c r="AO128" s="1818"/>
      <c r="AP128" s="1818"/>
      <c r="AQ128" s="1818"/>
      <c r="AR128" s="1818"/>
      <c r="AS128" s="1818"/>
      <c r="AT128" s="1818"/>
      <c r="AU128" s="1818"/>
      <c r="AV128" s="1818"/>
      <c r="AW128" s="1818"/>
      <c r="AX128" s="1818"/>
      <c r="AY128" s="1818"/>
      <c r="AZ128" s="1818"/>
      <c r="BA128" s="1818"/>
      <c r="BB128" s="1818"/>
      <c r="BC128" s="1818"/>
      <c r="BD128" s="1818"/>
      <c r="BE128" s="1818"/>
      <c r="BF128" s="1818"/>
      <c r="BG128" s="1818"/>
      <c r="BH128" s="1818"/>
      <c r="BI128" s="1818"/>
      <c r="BJ128" s="1818"/>
      <c r="BK128" s="1818"/>
      <c r="BL128" s="1818"/>
      <c r="BM128" s="1818"/>
      <c r="BN128" s="1818"/>
      <c r="BO128" s="1818"/>
      <c r="BP128" s="1818"/>
      <c r="BQ128" s="1818"/>
      <c r="BR128" s="1818"/>
      <c r="BS128" s="1818"/>
      <c r="BT128" s="1818"/>
      <c r="BU128" s="1818"/>
      <c r="BV128" s="1818"/>
      <c r="BW128" s="1818"/>
      <c r="BX128" s="1818"/>
      <c r="BY128" s="1818"/>
      <c r="BZ128" s="1818"/>
      <c r="CA128" s="1890"/>
      <c r="CB128" s="1890"/>
      <c r="CC128" s="1890"/>
      <c r="CD128" s="1890"/>
      <c r="CE128" s="1890"/>
      <c r="CF128" s="1890"/>
      <c r="CG128" s="1890"/>
      <c r="CH128" s="1890"/>
      <c r="CI128" s="1890"/>
      <c r="CJ128" s="1890"/>
      <c r="CK128" s="1890"/>
      <c r="CL128" s="1890"/>
      <c r="CM128" s="1890"/>
      <c r="CN128" s="1890"/>
      <c r="CO128" s="1890"/>
      <c r="CP128" s="1890"/>
      <c r="CQ128" s="1890"/>
      <c r="CR128" s="1890"/>
      <c r="CS128" s="1890"/>
      <c r="CT128" s="1890"/>
      <c r="CU128" s="1890"/>
      <c r="CV128" s="1890"/>
      <c r="CW128" s="1890"/>
      <c r="CX128" s="1890"/>
      <c r="CY128" s="1890"/>
      <c r="CZ128" s="1890"/>
      <c r="DA128" s="1890"/>
      <c r="DB128" s="1890"/>
      <c r="DC128" s="1890"/>
      <c r="DD128" s="1890"/>
      <c r="DE128" s="1890"/>
      <c r="DF128" s="1890"/>
      <c r="DG128" s="1890"/>
      <c r="DH128" s="1890"/>
      <c r="DI128" s="1890"/>
      <c r="DJ128" s="1890"/>
      <c r="DK128" s="1890"/>
      <c r="DL128" s="1890"/>
      <c r="DM128" s="1890"/>
      <c r="DN128" s="1890"/>
      <c r="DO128" s="1890"/>
      <c r="DP128" s="1890"/>
      <c r="DQ128" s="1890"/>
      <c r="DR128" s="1890"/>
      <c r="DS128" s="1890"/>
      <c r="DT128" s="1890"/>
      <c r="DU128" s="1890"/>
      <c r="DV128" s="1890"/>
      <c r="DW128" s="1890"/>
      <c r="DX128" s="1890"/>
      <c r="DY128" s="1890"/>
      <c r="DZ128" s="1890"/>
      <c r="EA128" s="1890"/>
      <c r="EB128" s="1890"/>
      <c r="EC128" s="1890"/>
      <c r="ED128" s="1890"/>
      <c r="EE128" s="1890"/>
      <c r="EF128" s="1890"/>
      <c r="EG128" s="1890"/>
      <c r="EH128" s="1890"/>
      <c r="EI128" s="1890"/>
      <c r="EJ128" s="1890"/>
      <c r="EK128" s="1890"/>
      <c r="EL128" s="1890"/>
      <c r="EM128" s="1890"/>
      <c r="EN128" s="1890"/>
      <c r="EO128" s="1890"/>
      <c r="EP128" s="1890"/>
      <c r="EQ128" s="1890"/>
      <c r="ER128" s="1890"/>
      <c r="ES128" s="1890"/>
      <c r="ET128" s="1890"/>
      <c r="EU128" s="1890"/>
      <c r="EV128" s="1890"/>
      <c r="EW128" s="1890"/>
      <c r="EX128" s="1890"/>
      <c r="EY128" s="1890"/>
      <c r="EZ128" s="1890"/>
      <c r="FA128" s="1890"/>
      <c r="FB128" s="1890"/>
      <c r="FC128" s="1890"/>
      <c r="FD128" s="1890"/>
      <c r="FE128" s="1890"/>
      <c r="FF128" s="1890"/>
      <c r="FG128" s="1890"/>
      <c r="FH128" s="1890"/>
      <c r="FI128" s="1890"/>
      <c r="FJ128" s="1890"/>
      <c r="FK128" s="1890"/>
      <c r="FL128" s="1890"/>
      <c r="FM128" s="1890"/>
      <c r="FN128" s="1890"/>
      <c r="FO128" s="1890"/>
      <c r="FP128" s="1890"/>
      <c r="FQ128" s="1890"/>
      <c r="FR128" s="1890"/>
      <c r="FS128" s="1890"/>
      <c r="FT128" s="1890"/>
    </row>
    <row r="129" spans="1:176" s="1965" customFormat="1" ht="98.1" customHeight="1">
      <c r="A129" s="2500"/>
      <c r="B129" s="2059" t="s">
        <v>145</v>
      </c>
      <c r="C129" s="2060">
        <f t="shared" ref="C129:G129" si="37">AVERAGE(C130:C132)</f>
        <v>1</v>
      </c>
      <c r="D129" s="2060">
        <f t="shared" si="37"/>
        <v>0.66666666666666663</v>
      </c>
      <c r="E129" s="2060">
        <f t="shared" si="37"/>
        <v>0.5</v>
      </c>
      <c r="F129" s="2060">
        <f>AVERAGE(F130:F132)</f>
        <v>0.5</v>
      </c>
      <c r="G129" s="2060">
        <f t="shared" si="37"/>
        <v>1</v>
      </c>
      <c r="H129" s="2060">
        <f>AVERAGE(H130:H132)</f>
        <v>0.83333333333333337</v>
      </c>
      <c r="I129" s="2086"/>
      <c r="J129" s="1911"/>
      <c r="K129" s="1966" t="s">
        <v>5427</v>
      </c>
      <c r="L129" s="1911"/>
      <c r="M129" s="1966"/>
      <c r="N129" s="1911" t="s">
        <v>8295</v>
      </c>
      <c r="O129" s="1911"/>
      <c r="P129" s="1911"/>
      <c r="Q129" s="1911"/>
      <c r="R129" s="2096"/>
      <c r="S129" s="2250"/>
      <c r="T129" s="1966" t="s">
        <v>9122</v>
      </c>
      <c r="U129" s="1911" t="s">
        <v>7224</v>
      </c>
      <c r="V129" s="1966"/>
      <c r="W129" s="1967" t="s">
        <v>8295</v>
      </c>
      <c r="X129" s="1911"/>
      <c r="Y129" s="1818"/>
      <c r="Z129" s="1818"/>
      <c r="AA129" s="1818"/>
      <c r="AB129" s="1818"/>
      <c r="AC129" s="1818"/>
      <c r="AD129" s="1818"/>
      <c r="AE129" s="1818"/>
      <c r="AF129" s="1818"/>
      <c r="AG129" s="1818"/>
      <c r="AH129" s="1818"/>
      <c r="AI129" s="1818"/>
      <c r="AJ129" s="1818"/>
      <c r="AK129" s="1818"/>
      <c r="AL129" s="1818"/>
      <c r="AM129" s="1818"/>
      <c r="AN129" s="1818"/>
      <c r="AO129" s="1818"/>
      <c r="AP129" s="1818"/>
      <c r="AQ129" s="1818"/>
      <c r="AR129" s="1818"/>
      <c r="AS129" s="1818"/>
      <c r="AT129" s="1818"/>
      <c r="AU129" s="1818"/>
      <c r="AV129" s="1818"/>
      <c r="AW129" s="1818"/>
      <c r="AX129" s="1818"/>
      <c r="AY129" s="1818"/>
      <c r="AZ129" s="1818"/>
      <c r="BA129" s="1818"/>
      <c r="BB129" s="1818"/>
      <c r="BC129" s="1818"/>
      <c r="BD129" s="1818"/>
      <c r="BE129" s="1818"/>
      <c r="BF129" s="1818"/>
      <c r="BG129" s="1818"/>
      <c r="BH129" s="1818"/>
      <c r="BI129" s="1818"/>
      <c r="BJ129" s="1818"/>
      <c r="BK129" s="1818"/>
      <c r="BL129" s="1818"/>
      <c r="BM129" s="1818"/>
      <c r="BN129" s="1818"/>
      <c r="BO129" s="1818"/>
      <c r="BP129" s="1818"/>
      <c r="BQ129" s="1818"/>
      <c r="BR129" s="1818"/>
      <c r="BS129" s="1818"/>
      <c r="BT129" s="1818"/>
      <c r="BU129" s="1818"/>
      <c r="BV129" s="1818"/>
      <c r="BW129" s="1818"/>
      <c r="BX129" s="1818"/>
      <c r="BY129" s="1818"/>
      <c r="BZ129" s="1818"/>
      <c r="CA129" s="1890"/>
      <c r="CB129" s="1890"/>
      <c r="CC129" s="1890"/>
      <c r="CD129" s="1890"/>
      <c r="CE129" s="1890"/>
      <c r="CF129" s="1890"/>
      <c r="CG129" s="1890"/>
      <c r="CH129" s="1890"/>
      <c r="CI129" s="1890"/>
      <c r="CJ129" s="1890"/>
      <c r="CK129" s="1890"/>
      <c r="CL129" s="1890"/>
      <c r="CM129" s="1890"/>
      <c r="CN129" s="1890"/>
      <c r="CO129" s="1890"/>
      <c r="CP129" s="1890"/>
      <c r="CQ129" s="1890"/>
      <c r="CR129" s="1890"/>
      <c r="CS129" s="1890"/>
      <c r="CT129" s="1890"/>
      <c r="CU129" s="1890"/>
      <c r="CV129" s="1890"/>
      <c r="CW129" s="1890"/>
      <c r="CX129" s="1890"/>
      <c r="CY129" s="1890"/>
      <c r="CZ129" s="1890"/>
      <c r="DA129" s="1890"/>
      <c r="DB129" s="1890"/>
      <c r="DC129" s="1890"/>
      <c r="DD129" s="1890"/>
      <c r="DE129" s="1890"/>
      <c r="DF129" s="1890"/>
      <c r="DG129" s="1890"/>
      <c r="DH129" s="1890"/>
      <c r="DI129" s="1890"/>
      <c r="DJ129" s="1890"/>
      <c r="DK129" s="1890"/>
      <c r="DL129" s="1890"/>
      <c r="DM129" s="1890"/>
      <c r="DN129" s="1890"/>
      <c r="DO129" s="1890"/>
      <c r="DP129" s="1890"/>
      <c r="DQ129" s="1890"/>
      <c r="DR129" s="1890"/>
      <c r="DS129" s="1890"/>
      <c r="DT129" s="1890"/>
      <c r="DU129" s="1890"/>
      <c r="DV129" s="1890"/>
      <c r="DW129" s="1890"/>
      <c r="DX129" s="1890"/>
      <c r="DY129" s="1890"/>
      <c r="DZ129" s="1890"/>
      <c r="EA129" s="1890"/>
      <c r="EB129" s="1890"/>
      <c r="EC129" s="1890"/>
      <c r="ED129" s="1890"/>
      <c r="EE129" s="1890"/>
      <c r="EF129" s="1890"/>
      <c r="EG129" s="1890"/>
      <c r="EH129" s="1890"/>
      <c r="EI129" s="1890"/>
      <c r="EJ129" s="1890"/>
      <c r="EK129" s="1890"/>
      <c r="EL129" s="1890"/>
      <c r="EM129" s="1890"/>
      <c r="EN129" s="1890"/>
      <c r="EO129" s="1890"/>
      <c r="EP129" s="1890"/>
      <c r="EQ129" s="1890"/>
      <c r="ER129" s="1890"/>
      <c r="ES129" s="1890"/>
      <c r="ET129" s="1890"/>
      <c r="EU129" s="1890"/>
      <c r="EV129" s="1890"/>
      <c r="EW129" s="1890"/>
      <c r="EX129" s="1890"/>
      <c r="EY129" s="1890"/>
      <c r="EZ129" s="1890"/>
      <c r="FA129" s="1890"/>
      <c r="FB129" s="1890"/>
      <c r="FC129" s="1890"/>
      <c r="FD129" s="1890"/>
      <c r="FE129" s="1890"/>
      <c r="FF129" s="1890"/>
      <c r="FG129" s="1890"/>
      <c r="FH129" s="1890"/>
      <c r="FI129" s="1890"/>
      <c r="FJ129" s="1890"/>
      <c r="FK129" s="1890"/>
      <c r="FL129" s="1890"/>
      <c r="FM129" s="1890"/>
      <c r="FN129" s="1890"/>
      <c r="FO129" s="1890"/>
      <c r="FP129" s="1890"/>
      <c r="FQ129" s="1890"/>
      <c r="FR129" s="1890"/>
      <c r="FS129" s="1890"/>
      <c r="FT129" s="1890"/>
    </row>
    <row r="130" spans="1:176" s="1965" customFormat="1" ht="177.95" customHeight="1">
      <c r="A130" s="1899"/>
      <c r="B130" s="1797" t="s">
        <v>146</v>
      </c>
      <c r="C130" s="1829">
        <v>1</v>
      </c>
      <c r="D130" s="1829">
        <v>1</v>
      </c>
      <c r="E130" s="1846">
        <v>1</v>
      </c>
      <c r="F130" s="1829">
        <v>0.5</v>
      </c>
      <c r="G130" s="1829">
        <v>1</v>
      </c>
      <c r="H130" s="1850">
        <v>0.5</v>
      </c>
      <c r="I130" s="2086" t="s">
        <v>147</v>
      </c>
      <c r="J130" s="1915">
        <v>1</v>
      </c>
      <c r="K130" s="1925">
        <v>1</v>
      </c>
      <c r="L130" s="1794">
        <v>1</v>
      </c>
      <c r="M130" s="1794" t="s">
        <v>8571</v>
      </c>
      <c r="N130" s="1915" t="s">
        <v>8296</v>
      </c>
      <c r="O130" s="1921" t="s">
        <v>8681</v>
      </c>
      <c r="P130" s="1915">
        <v>1</v>
      </c>
      <c r="Q130" s="1915">
        <v>0</v>
      </c>
      <c r="R130" s="2096"/>
      <c r="S130" s="2248" t="s">
        <v>9212</v>
      </c>
      <c r="T130" s="1968" t="s">
        <v>7488</v>
      </c>
      <c r="U130" s="1794" t="s">
        <v>9168</v>
      </c>
      <c r="V130" s="1925" t="s">
        <v>7868</v>
      </c>
      <c r="W130" s="1947" t="s">
        <v>8296</v>
      </c>
      <c r="X130" s="1921" t="s">
        <v>8681</v>
      </c>
      <c r="Y130" s="1818"/>
      <c r="Z130" s="1818"/>
      <c r="AA130" s="1818"/>
      <c r="AB130" s="1818"/>
      <c r="AC130" s="1818"/>
      <c r="AD130" s="1818"/>
      <c r="AE130" s="1818"/>
      <c r="AF130" s="1818"/>
      <c r="AG130" s="1818"/>
      <c r="AH130" s="1818"/>
      <c r="AI130" s="1818"/>
      <c r="AJ130" s="1818"/>
      <c r="AK130" s="1818"/>
      <c r="AL130" s="1818"/>
      <c r="AM130" s="1818"/>
      <c r="AN130" s="1818"/>
      <c r="AO130" s="1818"/>
      <c r="AP130" s="1818"/>
      <c r="AQ130" s="1818"/>
      <c r="AR130" s="1818"/>
      <c r="AS130" s="1818"/>
      <c r="AT130" s="1818"/>
      <c r="AU130" s="1818"/>
      <c r="AV130" s="1818"/>
      <c r="AW130" s="1818"/>
      <c r="AX130" s="1818"/>
      <c r="AY130" s="1818"/>
      <c r="AZ130" s="1818"/>
      <c r="BA130" s="1818"/>
      <c r="BB130" s="1818"/>
      <c r="BC130" s="1818"/>
      <c r="BD130" s="1818"/>
      <c r="BE130" s="1818"/>
      <c r="BF130" s="1818"/>
      <c r="BG130" s="1818"/>
      <c r="BH130" s="1818"/>
      <c r="BI130" s="1818"/>
      <c r="BJ130" s="1818"/>
      <c r="BK130" s="1818"/>
      <c r="BL130" s="1818"/>
      <c r="BM130" s="1818"/>
      <c r="BN130" s="1818"/>
      <c r="BO130" s="1818"/>
      <c r="BP130" s="1818"/>
      <c r="BQ130" s="1818"/>
      <c r="BR130" s="1818"/>
      <c r="BS130" s="1818"/>
      <c r="BT130" s="1818"/>
      <c r="BU130" s="1818"/>
      <c r="BV130" s="1818"/>
      <c r="BW130" s="1818"/>
      <c r="BX130" s="1818"/>
      <c r="BY130" s="1818"/>
      <c r="BZ130" s="1818"/>
      <c r="CA130" s="1890"/>
      <c r="CB130" s="1890"/>
      <c r="CC130" s="1890"/>
      <c r="CD130" s="1890"/>
      <c r="CE130" s="1890"/>
      <c r="CF130" s="1890"/>
      <c r="CG130" s="1890"/>
      <c r="CH130" s="1890"/>
      <c r="CI130" s="1890"/>
      <c r="CJ130" s="1890"/>
      <c r="CK130" s="1890"/>
      <c r="CL130" s="1890"/>
      <c r="CM130" s="1890"/>
      <c r="CN130" s="1890"/>
      <c r="CO130" s="1890"/>
      <c r="CP130" s="1890"/>
      <c r="CQ130" s="1890"/>
      <c r="CR130" s="1890"/>
      <c r="CS130" s="1890"/>
      <c r="CT130" s="1890"/>
      <c r="CU130" s="1890"/>
      <c r="CV130" s="1890"/>
      <c r="CW130" s="1890"/>
      <c r="CX130" s="1890"/>
      <c r="CY130" s="1890"/>
      <c r="CZ130" s="1890"/>
      <c r="DA130" s="1890"/>
      <c r="DB130" s="1890"/>
      <c r="DC130" s="1890"/>
      <c r="DD130" s="1890"/>
      <c r="DE130" s="1890"/>
      <c r="DF130" s="1890"/>
      <c r="DG130" s="1890"/>
      <c r="DH130" s="1890"/>
      <c r="DI130" s="1890"/>
      <c r="DJ130" s="1890"/>
      <c r="DK130" s="1890"/>
      <c r="DL130" s="1890"/>
      <c r="DM130" s="1890"/>
      <c r="DN130" s="1890"/>
      <c r="DO130" s="1890"/>
      <c r="DP130" s="1890"/>
      <c r="DQ130" s="1890"/>
      <c r="DR130" s="1890"/>
      <c r="DS130" s="1890"/>
      <c r="DT130" s="1890"/>
      <c r="DU130" s="1890"/>
      <c r="DV130" s="1890"/>
      <c r="DW130" s="1890"/>
      <c r="DX130" s="1890"/>
      <c r="DY130" s="1890"/>
      <c r="DZ130" s="1890"/>
      <c r="EA130" s="1890"/>
      <c r="EB130" s="1890"/>
      <c r="EC130" s="1890"/>
      <c r="ED130" s="1890"/>
      <c r="EE130" s="1890"/>
      <c r="EF130" s="1890"/>
      <c r="EG130" s="1890"/>
      <c r="EH130" s="1890"/>
      <c r="EI130" s="1890"/>
      <c r="EJ130" s="1890"/>
      <c r="EK130" s="1890"/>
      <c r="EL130" s="1890"/>
      <c r="EM130" s="1890"/>
      <c r="EN130" s="1890"/>
      <c r="EO130" s="1890"/>
      <c r="EP130" s="1890"/>
      <c r="EQ130" s="1890"/>
      <c r="ER130" s="1890"/>
      <c r="ES130" s="1890"/>
      <c r="ET130" s="1890"/>
      <c r="EU130" s="1890"/>
      <c r="EV130" s="1890"/>
      <c r="EW130" s="1890"/>
      <c r="EX130" s="1890"/>
      <c r="EY130" s="1890"/>
      <c r="EZ130" s="1890"/>
      <c r="FA130" s="1890"/>
      <c r="FB130" s="1890"/>
      <c r="FC130" s="1890"/>
      <c r="FD130" s="1890"/>
      <c r="FE130" s="1890"/>
      <c r="FF130" s="1890"/>
      <c r="FG130" s="1890"/>
      <c r="FH130" s="1890"/>
      <c r="FI130" s="1890"/>
      <c r="FJ130" s="1890"/>
      <c r="FK130" s="1890"/>
      <c r="FL130" s="1890"/>
      <c r="FM130" s="1890"/>
      <c r="FN130" s="1890"/>
      <c r="FO130" s="1890"/>
      <c r="FP130" s="1890"/>
      <c r="FQ130" s="1890"/>
      <c r="FR130" s="1890"/>
      <c r="FS130" s="1890"/>
      <c r="FT130" s="1890"/>
    </row>
    <row r="131" spans="1:176" s="1965" customFormat="1" ht="141.75" customHeight="1">
      <c r="A131" s="1899"/>
      <c r="B131" s="1797" t="s">
        <v>148</v>
      </c>
      <c r="C131" s="1829">
        <v>1</v>
      </c>
      <c r="D131" s="1829">
        <v>1</v>
      </c>
      <c r="E131" s="1846">
        <v>0.5</v>
      </c>
      <c r="F131" s="1837">
        <v>0.5</v>
      </c>
      <c r="G131" s="1829">
        <v>1</v>
      </c>
      <c r="H131" s="1850">
        <v>1</v>
      </c>
      <c r="I131" s="2086" t="s">
        <v>147</v>
      </c>
      <c r="J131" s="1915">
        <v>1</v>
      </c>
      <c r="K131" s="1915" t="s">
        <v>5427</v>
      </c>
      <c r="L131" s="1794">
        <v>1</v>
      </c>
      <c r="M131" s="1914">
        <v>0</v>
      </c>
      <c r="N131" s="1915" t="s">
        <v>811</v>
      </c>
      <c r="O131" s="1915" t="s">
        <v>8682</v>
      </c>
      <c r="P131" s="1915">
        <v>1</v>
      </c>
      <c r="Q131" s="1915">
        <v>0</v>
      </c>
      <c r="R131" s="2096"/>
      <c r="S131" s="2248" t="s">
        <v>9213</v>
      </c>
      <c r="T131" s="1826" t="s">
        <v>7489</v>
      </c>
      <c r="U131" s="1794" t="s">
        <v>7225</v>
      </c>
      <c r="V131" s="1914" t="s">
        <v>6076</v>
      </c>
      <c r="W131" s="1947" t="s">
        <v>811</v>
      </c>
      <c r="X131" s="1915" t="s">
        <v>8682</v>
      </c>
      <c r="Y131" s="1818"/>
      <c r="Z131" s="1818"/>
      <c r="AA131" s="1818"/>
      <c r="AB131" s="1818"/>
      <c r="AC131" s="1818"/>
      <c r="AD131" s="1818"/>
      <c r="AE131" s="1818"/>
      <c r="AF131" s="1818"/>
      <c r="AG131" s="1818"/>
      <c r="AH131" s="1818"/>
      <c r="AI131" s="1818"/>
      <c r="AJ131" s="1818"/>
      <c r="AK131" s="1818"/>
      <c r="AL131" s="1818"/>
      <c r="AM131" s="1818"/>
      <c r="AN131" s="1818"/>
      <c r="AO131" s="1818"/>
      <c r="AP131" s="1818"/>
      <c r="AQ131" s="1818"/>
      <c r="AR131" s="1818"/>
      <c r="AS131" s="1818"/>
      <c r="AT131" s="1818"/>
      <c r="AU131" s="1818"/>
      <c r="AV131" s="1818"/>
      <c r="AW131" s="1818"/>
      <c r="AX131" s="1818"/>
      <c r="AY131" s="1818"/>
      <c r="AZ131" s="1818"/>
      <c r="BA131" s="1818"/>
      <c r="BB131" s="1818"/>
      <c r="BC131" s="1818"/>
      <c r="BD131" s="1818"/>
      <c r="BE131" s="1818"/>
      <c r="BF131" s="1818"/>
      <c r="BG131" s="1818"/>
      <c r="BH131" s="1818"/>
      <c r="BI131" s="1818"/>
      <c r="BJ131" s="1818"/>
      <c r="BK131" s="1818"/>
      <c r="BL131" s="1818"/>
      <c r="BM131" s="1818"/>
      <c r="BN131" s="1818"/>
      <c r="BO131" s="1818"/>
      <c r="BP131" s="1818"/>
      <c r="BQ131" s="1818"/>
      <c r="BR131" s="1818"/>
      <c r="BS131" s="1818"/>
      <c r="BT131" s="1818"/>
      <c r="BU131" s="1818"/>
      <c r="BV131" s="1818"/>
      <c r="BW131" s="1818"/>
      <c r="BX131" s="1818"/>
      <c r="BY131" s="1818"/>
      <c r="BZ131" s="1818"/>
      <c r="CA131" s="1890"/>
      <c r="CB131" s="1890"/>
      <c r="CC131" s="1890"/>
      <c r="CD131" s="1890"/>
      <c r="CE131" s="1890"/>
      <c r="CF131" s="1890"/>
      <c r="CG131" s="1890"/>
      <c r="CH131" s="1890"/>
      <c r="CI131" s="1890"/>
      <c r="CJ131" s="1890"/>
      <c r="CK131" s="1890"/>
      <c r="CL131" s="1890"/>
      <c r="CM131" s="1890"/>
      <c r="CN131" s="1890"/>
      <c r="CO131" s="1890"/>
      <c r="CP131" s="1890"/>
      <c r="CQ131" s="1890"/>
      <c r="CR131" s="1890"/>
      <c r="CS131" s="1890"/>
      <c r="CT131" s="1890"/>
      <c r="CU131" s="1890"/>
      <c r="CV131" s="1890"/>
      <c r="CW131" s="1890"/>
      <c r="CX131" s="1890"/>
      <c r="CY131" s="1890"/>
      <c r="CZ131" s="1890"/>
      <c r="DA131" s="1890"/>
      <c r="DB131" s="1890"/>
      <c r="DC131" s="1890"/>
      <c r="DD131" s="1890"/>
      <c r="DE131" s="1890"/>
      <c r="DF131" s="1890"/>
      <c r="DG131" s="1890"/>
      <c r="DH131" s="1890"/>
      <c r="DI131" s="1890"/>
      <c r="DJ131" s="1890"/>
      <c r="DK131" s="1890"/>
      <c r="DL131" s="1890"/>
      <c r="DM131" s="1890"/>
      <c r="DN131" s="1890"/>
      <c r="DO131" s="1890"/>
      <c r="DP131" s="1890"/>
      <c r="DQ131" s="1890"/>
      <c r="DR131" s="1890"/>
      <c r="DS131" s="1890"/>
      <c r="DT131" s="1890"/>
      <c r="DU131" s="1890"/>
      <c r="DV131" s="1890"/>
      <c r="DW131" s="1890"/>
      <c r="DX131" s="1890"/>
      <c r="DY131" s="1890"/>
      <c r="DZ131" s="1890"/>
      <c r="EA131" s="1890"/>
      <c r="EB131" s="1890"/>
      <c r="EC131" s="1890"/>
      <c r="ED131" s="1890"/>
      <c r="EE131" s="1890"/>
      <c r="EF131" s="1890"/>
      <c r="EG131" s="1890"/>
      <c r="EH131" s="1890"/>
      <c r="EI131" s="1890"/>
      <c r="EJ131" s="1890"/>
      <c r="EK131" s="1890"/>
      <c r="EL131" s="1890"/>
      <c r="EM131" s="1890"/>
      <c r="EN131" s="1890"/>
      <c r="EO131" s="1890"/>
      <c r="EP131" s="1890"/>
      <c r="EQ131" s="1890"/>
      <c r="ER131" s="1890"/>
      <c r="ES131" s="1890"/>
      <c r="ET131" s="1890"/>
      <c r="EU131" s="1890"/>
      <c r="EV131" s="1890"/>
      <c r="EW131" s="1890"/>
      <c r="EX131" s="1890"/>
      <c r="EY131" s="1890"/>
      <c r="EZ131" s="1890"/>
      <c r="FA131" s="1890"/>
      <c r="FB131" s="1890"/>
      <c r="FC131" s="1890"/>
      <c r="FD131" s="1890"/>
      <c r="FE131" s="1890"/>
      <c r="FF131" s="1890"/>
      <c r="FG131" s="1890"/>
      <c r="FH131" s="1890"/>
      <c r="FI131" s="1890"/>
      <c r="FJ131" s="1890"/>
      <c r="FK131" s="1890"/>
      <c r="FL131" s="1890"/>
      <c r="FM131" s="1890"/>
      <c r="FN131" s="1890"/>
      <c r="FO131" s="1890"/>
      <c r="FP131" s="1890"/>
      <c r="FQ131" s="1890"/>
      <c r="FR131" s="1890"/>
      <c r="FS131" s="1890"/>
      <c r="FT131" s="1890"/>
    </row>
    <row r="132" spans="1:176" s="1965" customFormat="1" ht="72" customHeight="1">
      <c r="A132" s="1899"/>
      <c r="B132" s="1797" t="s">
        <v>149</v>
      </c>
      <c r="C132" s="1829">
        <v>1</v>
      </c>
      <c r="D132" s="1829">
        <v>0</v>
      </c>
      <c r="E132" s="1846">
        <v>0</v>
      </c>
      <c r="F132" s="1837">
        <v>0.5</v>
      </c>
      <c r="G132" s="1829">
        <v>1</v>
      </c>
      <c r="H132" s="1850">
        <v>1</v>
      </c>
      <c r="I132" s="2086" t="s">
        <v>38</v>
      </c>
      <c r="J132" s="1915">
        <v>1</v>
      </c>
      <c r="K132" s="1915">
        <v>0</v>
      </c>
      <c r="L132" s="1794">
        <v>1</v>
      </c>
      <c r="M132" s="1794" t="s">
        <v>8572</v>
      </c>
      <c r="N132" s="1915" t="s">
        <v>811</v>
      </c>
      <c r="O132" s="1915" t="s">
        <v>8683</v>
      </c>
      <c r="P132" s="1915">
        <v>1</v>
      </c>
      <c r="Q132" s="1915">
        <v>0</v>
      </c>
      <c r="R132" s="2096"/>
      <c r="S132" s="2248" t="s">
        <v>9214</v>
      </c>
      <c r="T132" s="2252" t="s">
        <v>7490</v>
      </c>
      <c r="U132" s="1794" t="s">
        <v>7226</v>
      </c>
      <c r="V132" s="1914" t="s">
        <v>7869</v>
      </c>
      <c r="W132" s="1947" t="s">
        <v>811</v>
      </c>
      <c r="X132" s="1915" t="s">
        <v>8683</v>
      </c>
      <c r="Y132" s="1818"/>
      <c r="Z132" s="1818"/>
      <c r="AA132" s="1818"/>
      <c r="AB132" s="1818"/>
      <c r="AC132" s="1818"/>
      <c r="AD132" s="1818"/>
      <c r="AE132" s="1818"/>
      <c r="AF132" s="1818"/>
      <c r="AG132" s="1818"/>
      <c r="AH132" s="1818"/>
      <c r="AI132" s="1818"/>
      <c r="AJ132" s="1818"/>
      <c r="AK132" s="1818"/>
      <c r="AL132" s="1818"/>
      <c r="AM132" s="1818"/>
      <c r="AN132" s="1818"/>
      <c r="AO132" s="1818"/>
      <c r="AP132" s="1818"/>
      <c r="AQ132" s="1818"/>
      <c r="AR132" s="1818"/>
      <c r="AS132" s="1818"/>
      <c r="AT132" s="1818"/>
      <c r="AU132" s="1818"/>
      <c r="AV132" s="1818"/>
      <c r="AW132" s="1818"/>
      <c r="AX132" s="1818"/>
      <c r="AY132" s="1818"/>
      <c r="AZ132" s="1818"/>
      <c r="BA132" s="1818"/>
      <c r="BB132" s="1818"/>
      <c r="BC132" s="1818"/>
      <c r="BD132" s="1818"/>
      <c r="BE132" s="1818"/>
      <c r="BF132" s="1818"/>
      <c r="BG132" s="1818"/>
      <c r="BH132" s="1818"/>
      <c r="BI132" s="1818"/>
      <c r="BJ132" s="1818"/>
      <c r="BK132" s="1818"/>
      <c r="BL132" s="1818"/>
      <c r="BM132" s="1818"/>
      <c r="BN132" s="1818"/>
      <c r="BO132" s="1818"/>
      <c r="BP132" s="1818"/>
      <c r="BQ132" s="1818"/>
      <c r="BR132" s="1818"/>
      <c r="BS132" s="1818"/>
      <c r="BT132" s="1818"/>
      <c r="BU132" s="1818"/>
      <c r="BV132" s="1818"/>
      <c r="BW132" s="1818"/>
      <c r="BX132" s="1818"/>
      <c r="BY132" s="1818"/>
      <c r="BZ132" s="1818"/>
      <c r="CA132" s="1890"/>
      <c r="CB132" s="1890"/>
      <c r="CC132" s="1890"/>
      <c r="CD132" s="1890"/>
      <c r="CE132" s="1890"/>
      <c r="CF132" s="1890"/>
      <c r="CG132" s="1890"/>
      <c r="CH132" s="1890"/>
      <c r="CI132" s="1890"/>
      <c r="CJ132" s="1890"/>
      <c r="CK132" s="1890"/>
      <c r="CL132" s="1890"/>
      <c r="CM132" s="1890"/>
      <c r="CN132" s="1890"/>
      <c r="CO132" s="1890"/>
      <c r="CP132" s="1890"/>
      <c r="CQ132" s="1890"/>
      <c r="CR132" s="1890"/>
      <c r="CS132" s="1890"/>
      <c r="CT132" s="1890"/>
      <c r="CU132" s="1890"/>
      <c r="CV132" s="1890"/>
      <c r="CW132" s="1890"/>
      <c r="CX132" s="1890"/>
      <c r="CY132" s="1890"/>
      <c r="CZ132" s="1890"/>
      <c r="DA132" s="1890"/>
      <c r="DB132" s="1890"/>
      <c r="DC132" s="1890"/>
      <c r="DD132" s="1890"/>
      <c r="DE132" s="1890"/>
      <c r="DF132" s="1890"/>
      <c r="DG132" s="1890"/>
      <c r="DH132" s="1890"/>
      <c r="DI132" s="1890"/>
      <c r="DJ132" s="1890"/>
      <c r="DK132" s="1890"/>
      <c r="DL132" s="1890"/>
      <c r="DM132" s="1890"/>
      <c r="DN132" s="1890"/>
      <c r="DO132" s="1890"/>
      <c r="DP132" s="1890"/>
      <c r="DQ132" s="1890"/>
      <c r="DR132" s="1890"/>
      <c r="DS132" s="1890"/>
      <c r="DT132" s="1890"/>
      <c r="DU132" s="1890"/>
      <c r="DV132" s="1890"/>
      <c r="DW132" s="1890"/>
      <c r="DX132" s="1890"/>
      <c r="DY132" s="1890"/>
      <c r="DZ132" s="1890"/>
      <c r="EA132" s="1890"/>
      <c r="EB132" s="1890"/>
      <c r="EC132" s="1890"/>
      <c r="ED132" s="1890"/>
      <c r="EE132" s="1890"/>
      <c r="EF132" s="1890"/>
      <c r="EG132" s="1890"/>
      <c r="EH132" s="1890"/>
      <c r="EI132" s="1890"/>
      <c r="EJ132" s="1890"/>
      <c r="EK132" s="1890"/>
      <c r="EL132" s="1890"/>
      <c r="EM132" s="1890"/>
      <c r="EN132" s="1890"/>
      <c r="EO132" s="1890"/>
      <c r="EP132" s="1890"/>
      <c r="EQ132" s="1890"/>
      <c r="ER132" s="1890"/>
      <c r="ES132" s="1890"/>
      <c r="ET132" s="1890"/>
      <c r="EU132" s="1890"/>
      <c r="EV132" s="1890"/>
      <c r="EW132" s="1890"/>
      <c r="EX132" s="1890"/>
      <c r="EY132" s="1890"/>
      <c r="EZ132" s="1890"/>
      <c r="FA132" s="1890"/>
      <c r="FB132" s="1890"/>
      <c r="FC132" s="1890"/>
      <c r="FD132" s="1890"/>
      <c r="FE132" s="1890"/>
      <c r="FF132" s="1890"/>
      <c r="FG132" s="1890"/>
      <c r="FH132" s="1890"/>
      <c r="FI132" s="1890"/>
      <c r="FJ132" s="1890"/>
      <c r="FK132" s="1890"/>
      <c r="FL132" s="1890"/>
      <c r="FM132" s="1890"/>
      <c r="FN132" s="1890"/>
      <c r="FO132" s="1890"/>
      <c r="FP132" s="1890"/>
      <c r="FQ132" s="1890"/>
      <c r="FR132" s="1890"/>
      <c r="FS132" s="1890"/>
      <c r="FT132" s="1890"/>
    </row>
    <row r="133" spans="1:176" s="1965" customFormat="1" ht="143.1" customHeight="1">
      <c r="A133" s="2500"/>
      <c r="B133" s="2059" t="s">
        <v>150</v>
      </c>
      <c r="C133" s="2060">
        <f t="shared" ref="C133:G133" si="38">AVERAGE(C134:C136)</f>
        <v>1</v>
      </c>
      <c r="D133" s="2060">
        <f t="shared" si="38"/>
        <v>0.66666666666666663</v>
      </c>
      <c r="E133" s="2060">
        <f t="shared" si="38"/>
        <v>0.5</v>
      </c>
      <c r="F133" s="2060">
        <f t="shared" si="38"/>
        <v>0.5</v>
      </c>
      <c r="G133" s="2060">
        <f t="shared" si="38"/>
        <v>0</v>
      </c>
      <c r="H133" s="2060">
        <f>AVERAGE(H134:H136)</f>
        <v>0</v>
      </c>
      <c r="I133" s="2086"/>
      <c r="J133" s="1911"/>
      <c r="K133" s="1966"/>
      <c r="L133" s="1911"/>
      <c r="M133" s="1966"/>
      <c r="N133" s="1911"/>
      <c r="O133" s="1966"/>
      <c r="P133" s="1911"/>
      <c r="Q133" s="1911"/>
      <c r="R133" s="2096"/>
      <c r="S133" s="2250"/>
      <c r="T133" s="1966"/>
      <c r="U133" s="1911" t="s">
        <v>7227</v>
      </c>
      <c r="V133" s="1967" t="s">
        <v>2425</v>
      </c>
      <c r="W133" s="1967" t="s">
        <v>5410</v>
      </c>
      <c r="X133" s="1966"/>
      <c r="Y133" s="1818"/>
      <c r="Z133" s="1818"/>
      <c r="AA133" s="1818"/>
      <c r="AB133" s="1818"/>
      <c r="AC133" s="1818"/>
      <c r="AD133" s="1818"/>
      <c r="AE133" s="1818"/>
      <c r="AF133" s="1818"/>
      <c r="AG133" s="1818"/>
      <c r="AH133" s="1818"/>
      <c r="AI133" s="1818"/>
      <c r="AJ133" s="1818"/>
      <c r="AK133" s="1818"/>
      <c r="AL133" s="1818"/>
      <c r="AM133" s="1818"/>
      <c r="AN133" s="1818"/>
      <c r="AO133" s="1818"/>
      <c r="AP133" s="1818"/>
      <c r="AQ133" s="1818"/>
      <c r="AR133" s="1818"/>
      <c r="AS133" s="1818"/>
      <c r="AT133" s="1818"/>
      <c r="AU133" s="1818"/>
      <c r="AV133" s="1818"/>
      <c r="AW133" s="1818"/>
      <c r="AX133" s="1818"/>
      <c r="AY133" s="1818"/>
      <c r="AZ133" s="1818"/>
      <c r="BA133" s="1818"/>
      <c r="BB133" s="1818"/>
      <c r="BC133" s="1818"/>
      <c r="BD133" s="1818"/>
      <c r="BE133" s="1818"/>
      <c r="BF133" s="1818"/>
      <c r="BG133" s="1818"/>
      <c r="BH133" s="1818"/>
      <c r="BI133" s="1818"/>
      <c r="BJ133" s="1818"/>
      <c r="BK133" s="1818"/>
      <c r="BL133" s="1818"/>
      <c r="BM133" s="1818"/>
      <c r="BN133" s="1818"/>
      <c r="BO133" s="1818"/>
      <c r="BP133" s="1818"/>
      <c r="BQ133" s="1818"/>
      <c r="BR133" s="1818"/>
      <c r="BS133" s="1818"/>
      <c r="BT133" s="1818"/>
      <c r="BU133" s="1818"/>
      <c r="BV133" s="1818"/>
      <c r="BW133" s="1818"/>
      <c r="BX133" s="1818"/>
      <c r="BY133" s="1818"/>
      <c r="BZ133" s="1818"/>
      <c r="CA133" s="1890"/>
      <c r="CB133" s="1890"/>
      <c r="CC133" s="1890"/>
      <c r="CD133" s="1890"/>
      <c r="CE133" s="1890"/>
      <c r="CF133" s="1890"/>
      <c r="CG133" s="1890"/>
      <c r="CH133" s="1890"/>
      <c r="CI133" s="1890"/>
      <c r="CJ133" s="1890"/>
      <c r="CK133" s="1890"/>
      <c r="CL133" s="1890"/>
      <c r="CM133" s="1890"/>
      <c r="CN133" s="1890"/>
      <c r="CO133" s="1890"/>
      <c r="CP133" s="1890"/>
      <c r="CQ133" s="1890"/>
      <c r="CR133" s="1890"/>
      <c r="CS133" s="1890"/>
      <c r="CT133" s="1890"/>
      <c r="CU133" s="1890"/>
      <c r="CV133" s="1890"/>
      <c r="CW133" s="1890"/>
      <c r="CX133" s="1890"/>
      <c r="CY133" s="1890"/>
      <c r="CZ133" s="1890"/>
      <c r="DA133" s="1890"/>
      <c r="DB133" s="1890"/>
      <c r="DC133" s="1890"/>
      <c r="DD133" s="1890"/>
      <c r="DE133" s="1890"/>
      <c r="DF133" s="1890"/>
      <c r="DG133" s="1890"/>
      <c r="DH133" s="1890"/>
      <c r="DI133" s="1890"/>
      <c r="DJ133" s="1890"/>
      <c r="DK133" s="1890"/>
      <c r="DL133" s="1890"/>
      <c r="DM133" s="1890"/>
      <c r="DN133" s="1890"/>
      <c r="DO133" s="1890"/>
      <c r="DP133" s="1890"/>
      <c r="DQ133" s="1890"/>
      <c r="DR133" s="1890"/>
      <c r="DS133" s="1890"/>
      <c r="DT133" s="1890"/>
      <c r="DU133" s="1890"/>
      <c r="DV133" s="1890"/>
      <c r="DW133" s="1890"/>
      <c r="DX133" s="1890"/>
      <c r="DY133" s="1890"/>
      <c r="DZ133" s="1890"/>
      <c r="EA133" s="1890"/>
      <c r="EB133" s="1890"/>
      <c r="EC133" s="1890"/>
      <c r="ED133" s="1890"/>
      <c r="EE133" s="1890"/>
      <c r="EF133" s="1890"/>
      <c r="EG133" s="1890"/>
      <c r="EH133" s="1890"/>
      <c r="EI133" s="1890"/>
      <c r="EJ133" s="1890"/>
      <c r="EK133" s="1890"/>
      <c r="EL133" s="1890"/>
      <c r="EM133" s="1890"/>
      <c r="EN133" s="1890"/>
      <c r="EO133" s="1890"/>
      <c r="EP133" s="1890"/>
      <c r="EQ133" s="1890"/>
      <c r="ER133" s="1890"/>
      <c r="ES133" s="1890"/>
      <c r="ET133" s="1890"/>
      <c r="EU133" s="1890"/>
      <c r="EV133" s="1890"/>
      <c r="EW133" s="1890"/>
      <c r="EX133" s="1890"/>
      <c r="EY133" s="1890"/>
      <c r="EZ133" s="1890"/>
      <c r="FA133" s="1890"/>
      <c r="FB133" s="1890"/>
      <c r="FC133" s="1890"/>
      <c r="FD133" s="1890"/>
      <c r="FE133" s="1890"/>
      <c r="FF133" s="1890"/>
      <c r="FG133" s="1890"/>
      <c r="FH133" s="1890"/>
      <c r="FI133" s="1890"/>
      <c r="FJ133" s="1890"/>
      <c r="FK133" s="1890"/>
      <c r="FL133" s="1890"/>
      <c r="FM133" s="1890"/>
      <c r="FN133" s="1890"/>
      <c r="FO133" s="1890"/>
      <c r="FP133" s="1890"/>
      <c r="FQ133" s="1890"/>
      <c r="FR133" s="1890"/>
      <c r="FS133" s="1890"/>
      <c r="FT133" s="1890"/>
    </row>
    <row r="134" spans="1:176" s="1965" customFormat="1" ht="150" customHeight="1">
      <c r="A134" s="1899"/>
      <c r="B134" s="1797" t="s">
        <v>146</v>
      </c>
      <c r="C134" s="1829">
        <v>1</v>
      </c>
      <c r="D134" s="1829">
        <v>1</v>
      </c>
      <c r="E134" s="1846">
        <v>0.5</v>
      </c>
      <c r="F134" s="1837">
        <v>0.5</v>
      </c>
      <c r="G134" s="1829">
        <v>0</v>
      </c>
      <c r="H134" s="1808">
        <v>0</v>
      </c>
      <c r="I134" s="2086" t="s">
        <v>147</v>
      </c>
      <c r="J134" s="1915">
        <v>1</v>
      </c>
      <c r="K134" s="1925">
        <v>1</v>
      </c>
      <c r="L134" s="1794">
        <v>1</v>
      </c>
      <c r="M134" s="1802">
        <v>0.5</v>
      </c>
      <c r="N134" s="1915" t="s">
        <v>2425</v>
      </c>
      <c r="O134" s="1915" t="s">
        <v>748</v>
      </c>
      <c r="P134" s="1915">
        <v>1</v>
      </c>
      <c r="Q134" s="1915">
        <v>0</v>
      </c>
      <c r="R134" s="2096"/>
      <c r="S134" s="2248" t="s">
        <v>9215</v>
      </c>
      <c r="T134" s="1925" t="s">
        <v>7491</v>
      </c>
      <c r="U134" s="1794" t="s">
        <v>7228</v>
      </c>
      <c r="V134" s="1802" t="s">
        <v>8573</v>
      </c>
      <c r="W134" s="1947" t="s">
        <v>2425</v>
      </c>
      <c r="X134" s="1915" t="s">
        <v>748</v>
      </c>
      <c r="Y134" s="1818"/>
      <c r="Z134" s="1818"/>
      <c r="AA134" s="1818"/>
      <c r="AB134" s="1818"/>
      <c r="AC134" s="1818"/>
      <c r="AD134" s="1818"/>
      <c r="AE134" s="1818"/>
      <c r="AF134" s="1818"/>
      <c r="AG134" s="1818"/>
      <c r="AH134" s="1818"/>
      <c r="AI134" s="1818"/>
      <c r="AJ134" s="1818"/>
      <c r="AK134" s="1818"/>
      <c r="AL134" s="1818"/>
      <c r="AM134" s="1818"/>
      <c r="AN134" s="1818"/>
      <c r="AO134" s="1818"/>
      <c r="AP134" s="1818"/>
      <c r="AQ134" s="1818"/>
      <c r="AR134" s="1818"/>
      <c r="AS134" s="1818"/>
      <c r="AT134" s="1818"/>
      <c r="AU134" s="1818"/>
      <c r="AV134" s="1818"/>
      <c r="AW134" s="1818"/>
      <c r="AX134" s="1818"/>
      <c r="AY134" s="1818"/>
      <c r="AZ134" s="1818"/>
      <c r="BA134" s="1818"/>
      <c r="BB134" s="1818"/>
      <c r="BC134" s="1818"/>
      <c r="BD134" s="1818"/>
      <c r="BE134" s="1818"/>
      <c r="BF134" s="1818"/>
      <c r="BG134" s="1818"/>
      <c r="BH134" s="1818"/>
      <c r="BI134" s="1818"/>
      <c r="BJ134" s="1818"/>
      <c r="BK134" s="1818"/>
      <c r="BL134" s="1818"/>
      <c r="BM134" s="1818"/>
      <c r="BN134" s="1818"/>
      <c r="BO134" s="1818"/>
      <c r="BP134" s="1818"/>
      <c r="BQ134" s="1818"/>
      <c r="BR134" s="1818"/>
      <c r="BS134" s="1818"/>
      <c r="BT134" s="1818"/>
      <c r="BU134" s="1818"/>
      <c r="BV134" s="1818"/>
      <c r="BW134" s="1818"/>
      <c r="BX134" s="1818"/>
      <c r="BY134" s="1818"/>
      <c r="BZ134" s="1818"/>
      <c r="CA134" s="1890"/>
      <c r="CB134" s="1890"/>
      <c r="CC134" s="1890"/>
      <c r="CD134" s="1890"/>
      <c r="CE134" s="1890"/>
      <c r="CF134" s="1890"/>
      <c r="CG134" s="1890"/>
      <c r="CH134" s="1890"/>
      <c r="CI134" s="1890"/>
      <c r="CJ134" s="1890"/>
      <c r="CK134" s="1890"/>
      <c r="CL134" s="1890"/>
      <c r="CM134" s="1890"/>
      <c r="CN134" s="1890"/>
      <c r="CO134" s="1890"/>
      <c r="CP134" s="1890"/>
      <c r="CQ134" s="1890"/>
      <c r="CR134" s="1890"/>
      <c r="CS134" s="1890"/>
      <c r="CT134" s="1890"/>
      <c r="CU134" s="1890"/>
      <c r="CV134" s="1890"/>
      <c r="CW134" s="1890"/>
      <c r="CX134" s="1890"/>
      <c r="CY134" s="1890"/>
      <c r="CZ134" s="1890"/>
      <c r="DA134" s="1890"/>
      <c r="DB134" s="1890"/>
      <c r="DC134" s="1890"/>
      <c r="DD134" s="1890"/>
      <c r="DE134" s="1890"/>
      <c r="DF134" s="1890"/>
      <c r="DG134" s="1890"/>
      <c r="DH134" s="1890"/>
      <c r="DI134" s="1890"/>
      <c r="DJ134" s="1890"/>
      <c r="DK134" s="1890"/>
      <c r="DL134" s="1890"/>
      <c r="DM134" s="1890"/>
      <c r="DN134" s="1890"/>
      <c r="DO134" s="1890"/>
      <c r="DP134" s="1890"/>
      <c r="DQ134" s="1890"/>
      <c r="DR134" s="1890"/>
      <c r="DS134" s="1890"/>
      <c r="DT134" s="1890"/>
      <c r="DU134" s="1890"/>
      <c r="DV134" s="1890"/>
      <c r="DW134" s="1890"/>
      <c r="DX134" s="1890"/>
      <c r="DY134" s="1890"/>
      <c r="DZ134" s="1890"/>
      <c r="EA134" s="1890"/>
      <c r="EB134" s="1890"/>
      <c r="EC134" s="1890"/>
      <c r="ED134" s="1890"/>
      <c r="EE134" s="1890"/>
      <c r="EF134" s="1890"/>
      <c r="EG134" s="1890"/>
      <c r="EH134" s="1890"/>
      <c r="EI134" s="1890"/>
      <c r="EJ134" s="1890"/>
      <c r="EK134" s="1890"/>
      <c r="EL134" s="1890"/>
      <c r="EM134" s="1890"/>
      <c r="EN134" s="1890"/>
      <c r="EO134" s="1890"/>
      <c r="EP134" s="1890"/>
      <c r="EQ134" s="1890"/>
      <c r="ER134" s="1890"/>
      <c r="ES134" s="1890"/>
      <c r="ET134" s="1890"/>
      <c r="EU134" s="1890"/>
      <c r="EV134" s="1890"/>
      <c r="EW134" s="1890"/>
      <c r="EX134" s="1890"/>
      <c r="EY134" s="1890"/>
      <c r="EZ134" s="1890"/>
      <c r="FA134" s="1890"/>
      <c r="FB134" s="1890"/>
      <c r="FC134" s="1890"/>
      <c r="FD134" s="1890"/>
      <c r="FE134" s="1890"/>
      <c r="FF134" s="1890"/>
      <c r="FG134" s="1890"/>
      <c r="FH134" s="1890"/>
      <c r="FI134" s="1890"/>
      <c r="FJ134" s="1890"/>
      <c r="FK134" s="1890"/>
      <c r="FL134" s="1890"/>
      <c r="FM134" s="1890"/>
      <c r="FN134" s="1890"/>
      <c r="FO134" s="1890"/>
      <c r="FP134" s="1890"/>
      <c r="FQ134" s="1890"/>
      <c r="FR134" s="1890"/>
      <c r="FS134" s="1890"/>
      <c r="FT134" s="1890"/>
    </row>
    <row r="135" spans="1:176" s="1965" customFormat="1" ht="182.1" customHeight="1">
      <c r="A135" s="1899"/>
      <c r="B135" s="1797" t="s">
        <v>148</v>
      </c>
      <c r="C135" s="1829">
        <v>1</v>
      </c>
      <c r="D135" s="1829">
        <v>1</v>
      </c>
      <c r="E135" s="1846">
        <v>0.5</v>
      </c>
      <c r="F135" s="1837">
        <v>1</v>
      </c>
      <c r="G135" s="1829">
        <v>0</v>
      </c>
      <c r="H135" s="1850">
        <v>0</v>
      </c>
      <c r="I135" s="2086" t="s">
        <v>147</v>
      </c>
      <c r="J135" s="1915">
        <v>1</v>
      </c>
      <c r="K135" s="1925" t="s">
        <v>5427</v>
      </c>
      <c r="L135" s="1794">
        <v>1</v>
      </c>
      <c r="M135" s="1802">
        <v>1</v>
      </c>
      <c r="N135" s="1915" t="s">
        <v>2425</v>
      </c>
      <c r="O135" s="1915" t="s">
        <v>748</v>
      </c>
      <c r="P135" s="1915">
        <v>1</v>
      </c>
      <c r="Q135" s="1915">
        <v>0</v>
      </c>
      <c r="R135" s="2096"/>
      <c r="S135" s="2248" t="s">
        <v>9216</v>
      </c>
      <c r="T135" s="1925" t="s">
        <v>7492</v>
      </c>
      <c r="U135" s="1794" t="s">
        <v>7228</v>
      </c>
      <c r="V135" s="2253" t="s">
        <v>7870</v>
      </c>
      <c r="W135" s="1947" t="s">
        <v>2425</v>
      </c>
      <c r="X135" s="1915" t="s">
        <v>748</v>
      </c>
      <c r="Y135" s="1818"/>
      <c r="Z135" s="1818"/>
      <c r="AA135" s="1818"/>
      <c r="AB135" s="1818"/>
      <c r="AC135" s="1818"/>
      <c r="AD135" s="1818"/>
      <c r="AE135" s="1818"/>
      <c r="AF135" s="1818"/>
      <c r="AG135" s="1818"/>
      <c r="AH135" s="1818"/>
      <c r="AI135" s="1818"/>
      <c r="AJ135" s="1818"/>
      <c r="AK135" s="1818"/>
      <c r="AL135" s="1818"/>
      <c r="AM135" s="1818"/>
      <c r="AN135" s="1818"/>
      <c r="AO135" s="1818"/>
      <c r="AP135" s="1818"/>
      <c r="AQ135" s="1818"/>
      <c r="AR135" s="1818"/>
      <c r="AS135" s="1818"/>
      <c r="AT135" s="1818"/>
      <c r="AU135" s="1818"/>
      <c r="AV135" s="1818"/>
      <c r="AW135" s="1818"/>
      <c r="AX135" s="1818"/>
      <c r="AY135" s="1818"/>
      <c r="AZ135" s="1818"/>
      <c r="BA135" s="1818"/>
      <c r="BB135" s="1818"/>
      <c r="BC135" s="1818"/>
      <c r="BD135" s="1818"/>
      <c r="BE135" s="1818"/>
      <c r="BF135" s="1818"/>
      <c r="BG135" s="1818"/>
      <c r="BH135" s="1818"/>
      <c r="BI135" s="1818"/>
      <c r="BJ135" s="1818"/>
      <c r="BK135" s="1818"/>
      <c r="BL135" s="1818"/>
      <c r="BM135" s="1818"/>
      <c r="BN135" s="1818"/>
      <c r="BO135" s="1818"/>
      <c r="BP135" s="1818"/>
      <c r="BQ135" s="1818"/>
      <c r="BR135" s="1818"/>
      <c r="BS135" s="1818"/>
      <c r="BT135" s="1818"/>
      <c r="BU135" s="1818"/>
      <c r="BV135" s="1818"/>
      <c r="BW135" s="1818"/>
      <c r="BX135" s="1818"/>
      <c r="BY135" s="1818"/>
      <c r="BZ135" s="1818"/>
      <c r="CA135" s="1890"/>
      <c r="CB135" s="1890"/>
      <c r="CC135" s="1890"/>
      <c r="CD135" s="1890"/>
      <c r="CE135" s="1890"/>
      <c r="CF135" s="1890"/>
      <c r="CG135" s="1890"/>
      <c r="CH135" s="1890"/>
      <c r="CI135" s="1890"/>
      <c r="CJ135" s="1890"/>
      <c r="CK135" s="1890"/>
      <c r="CL135" s="1890"/>
      <c r="CM135" s="1890"/>
      <c r="CN135" s="1890"/>
      <c r="CO135" s="1890"/>
      <c r="CP135" s="1890"/>
      <c r="CQ135" s="1890"/>
      <c r="CR135" s="1890"/>
      <c r="CS135" s="1890"/>
      <c r="CT135" s="1890"/>
      <c r="CU135" s="1890"/>
      <c r="CV135" s="1890"/>
      <c r="CW135" s="1890"/>
      <c r="CX135" s="1890"/>
      <c r="CY135" s="1890"/>
      <c r="CZ135" s="1890"/>
      <c r="DA135" s="1890"/>
      <c r="DB135" s="1890"/>
      <c r="DC135" s="1890"/>
      <c r="DD135" s="1890"/>
      <c r="DE135" s="1890"/>
      <c r="DF135" s="1890"/>
      <c r="DG135" s="1890"/>
      <c r="DH135" s="1890"/>
      <c r="DI135" s="1890"/>
      <c r="DJ135" s="1890"/>
      <c r="DK135" s="1890"/>
      <c r="DL135" s="1890"/>
      <c r="DM135" s="1890"/>
      <c r="DN135" s="1890"/>
      <c r="DO135" s="1890"/>
      <c r="DP135" s="1890"/>
      <c r="DQ135" s="1890"/>
      <c r="DR135" s="1890"/>
      <c r="DS135" s="1890"/>
      <c r="DT135" s="1890"/>
      <c r="DU135" s="1890"/>
      <c r="DV135" s="1890"/>
      <c r="DW135" s="1890"/>
      <c r="DX135" s="1890"/>
      <c r="DY135" s="1890"/>
      <c r="DZ135" s="1890"/>
      <c r="EA135" s="1890"/>
      <c r="EB135" s="1890"/>
      <c r="EC135" s="1890"/>
      <c r="ED135" s="1890"/>
      <c r="EE135" s="1890"/>
      <c r="EF135" s="1890"/>
      <c r="EG135" s="1890"/>
      <c r="EH135" s="1890"/>
      <c r="EI135" s="1890"/>
      <c r="EJ135" s="1890"/>
      <c r="EK135" s="1890"/>
      <c r="EL135" s="1890"/>
      <c r="EM135" s="1890"/>
      <c r="EN135" s="1890"/>
      <c r="EO135" s="1890"/>
      <c r="EP135" s="1890"/>
      <c r="EQ135" s="1890"/>
      <c r="ER135" s="1890"/>
      <c r="ES135" s="1890"/>
      <c r="ET135" s="1890"/>
      <c r="EU135" s="1890"/>
      <c r="EV135" s="1890"/>
      <c r="EW135" s="1890"/>
      <c r="EX135" s="1890"/>
      <c r="EY135" s="1890"/>
      <c r="EZ135" s="1890"/>
      <c r="FA135" s="1890"/>
      <c r="FB135" s="1890"/>
      <c r="FC135" s="1890"/>
      <c r="FD135" s="1890"/>
      <c r="FE135" s="1890"/>
      <c r="FF135" s="1890"/>
      <c r="FG135" s="1890"/>
      <c r="FH135" s="1890"/>
      <c r="FI135" s="1890"/>
      <c r="FJ135" s="1890"/>
      <c r="FK135" s="1890"/>
      <c r="FL135" s="1890"/>
      <c r="FM135" s="1890"/>
      <c r="FN135" s="1890"/>
      <c r="FO135" s="1890"/>
      <c r="FP135" s="1890"/>
      <c r="FQ135" s="1890"/>
      <c r="FR135" s="1890"/>
      <c r="FS135" s="1890"/>
      <c r="FT135" s="1890"/>
    </row>
    <row r="136" spans="1:176" s="1965" customFormat="1" ht="32.1" customHeight="1">
      <c r="A136" s="1874"/>
      <c r="B136" s="1797" t="s">
        <v>149</v>
      </c>
      <c r="C136" s="1829">
        <v>1</v>
      </c>
      <c r="D136" s="1829">
        <v>0</v>
      </c>
      <c r="E136" s="1846">
        <v>0.5</v>
      </c>
      <c r="F136" s="1829">
        <v>0</v>
      </c>
      <c r="G136" s="1829">
        <v>0</v>
      </c>
      <c r="H136" s="1850" t="s">
        <v>877</v>
      </c>
      <c r="I136" s="2086" t="s">
        <v>147</v>
      </c>
      <c r="J136" s="1915">
        <v>1</v>
      </c>
      <c r="K136" s="1925">
        <v>0</v>
      </c>
      <c r="L136" s="1794">
        <v>1</v>
      </c>
      <c r="M136" s="1949">
        <v>0</v>
      </c>
      <c r="N136" s="1915" t="s">
        <v>2425</v>
      </c>
      <c r="O136" s="1915" t="s">
        <v>8684</v>
      </c>
      <c r="P136" s="1915">
        <v>1</v>
      </c>
      <c r="Q136" s="1915">
        <v>0</v>
      </c>
      <c r="R136" s="2096"/>
      <c r="S136" s="2248" t="s">
        <v>9217</v>
      </c>
      <c r="T136" s="1925" t="s">
        <v>7493</v>
      </c>
      <c r="U136" s="1794" t="s">
        <v>7228</v>
      </c>
      <c r="V136" s="1949" t="s">
        <v>8574</v>
      </c>
      <c r="W136" s="1947" t="s">
        <v>2425</v>
      </c>
      <c r="X136" s="1915" t="s">
        <v>8684</v>
      </c>
      <c r="Y136" s="1818"/>
      <c r="Z136" s="1818"/>
      <c r="AA136" s="1818"/>
      <c r="AB136" s="1818"/>
      <c r="AC136" s="1818"/>
      <c r="AD136" s="1818"/>
      <c r="AE136" s="1818"/>
      <c r="AF136" s="1818"/>
      <c r="AG136" s="1818"/>
      <c r="AH136" s="1818"/>
      <c r="AI136" s="1818"/>
      <c r="AJ136" s="1818"/>
      <c r="AK136" s="1818"/>
      <c r="AL136" s="1818"/>
      <c r="AM136" s="1818"/>
      <c r="AN136" s="1818"/>
      <c r="AO136" s="1818"/>
      <c r="AP136" s="1818"/>
      <c r="AQ136" s="1818"/>
      <c r="AR136" s="1818"/>
      <c r="AS136" s="1818"/>
      <c r="AT136" s="1818"/>
      <c r="AU136" s="1818"/>
      <c r="AV136" s="1818"/>
      <c r="AW136" s="1818"/>
      <c r="AX136" s="1818"/>
      <c r="AY136" s="1818"/>
      <c r="AZ136" s="1818"/>
      <c r="BA136" s="1818"/>
      <c r="BB136" s="1818"/>
      <c r="BC136" s="1818"/>
      <c r="BD136" s="1818"/>
      <c r="BE136" s="1818"/>
      <c r="BF136" s="1818"/>
      <c r="BG136" s="1818"/>
      <c r="BH136" s="1818"/>
      <c r="BI136" s="1818"/>
      <c r="BJ136" s="1818"/>
      <c r="BK136" s="1818"/>
      <c r="BL136" s="1818"/>
      <c r="BM136" s="1818"/>
      <c r="BN136" s="1818"/>
      <c r="BO136" s="1818"/>
      <c r="BP136" s="1818"/>
      <c r="BQ136" s="1818"/>
      <c r="BR136" s="1818"/>
      <c r="BS136" s="1818"/>
      <c r="BT136" s="1818"/>
      <c r="BU136" s="1818"/>
      <c r="BV136" s="1818"/>
      <c r="BW136" s="1818"/>
      <c r="BX136" s="1818"/>
      <c r="BY136" s="1818"/>
      <c r="BZ136" s="1818"/>
      <c r="CA136" s="1890"/>
      <c r="CB136" s="1890"/>
      <c r="CC136" s="1890"/>
      <c r="CD136" s="1890"/>
      <c r="CE136" s="1890"/>
      <c r="CF136" s="1890"/>
      <c r="CG136" s="1890"/>
      <c r="CH136" s="1890"/>
      <c r="CI136" s="1890"/>
      <c r="CJ136" s="1890"/>
      <c r="CK136" s="1890"/>
      <c r="CL136" s="1890"/>
      <c r="CM136" s="1890"/>
      <c r="CN136" s="1890"/>
      <c r="CO136" s="1890"/>
      <c r="CP136" s="1890"/>
      <c r="CQ136" s="1890"/>
      <c r="CR136" s="1890"/>
      <c r="CS136" s="1890"/>
      <c r="CT136" s="1890"/>
      <c r="CU136" s="1890"/>
      <c r="CV136" s="1890"/>
      <c r="CW136" s="1890"/>
      <c r="CX136" s="1890"/>
      <c r="CY136" s="1890"/>
      <c r="CZ136" s="1890"/>
      <c r="DA136" s="1890"/>
      <c r="DB136" s="1890"/>
      <c r="DC136" s="1890"/>
      <c r="DD136" s="1890"/>
      <c r="DE136" s="1890"/>
      <c r="DF136" s="1890"/>
      <c r="DG136" s="1890"/>
      <c r="DH136" s="1890"/>
      <c r="DI136" s="1890"/>
      <c r="DJ136" s="1890"/>
      <c r="DK136" s="1890"/>
      <c r="DL136" s="1890"/>
      <c r="DM136" s="1890"/>
      <c r="DN136" s="1890"/>
      <c r="DO136" s="1890"/>
      <c r="DP136" s="1890"/>
      <c r="DQ136" s="1890"/>
      <c r="DR136" s="1890"/>
      <c r="DS136" s="1890"/>
      <c r="DT136" s="1890"/>
      <c r="DU136" s="1890"/>
      <c r="DV136" s="1890"/>
      <c r="DW136" s="1890"/>
      <c r="DX136" s="1890"/>
      <c r="DY136" s="1890"/>
      <c r="DZ136" s="1890"/>
      <c r="EA136" s="1890"/>
      <c r="EB136" s="1890"/>
      <c r="EC136" s="1890"/>
      <c r="ED136" s="1890"/>
      <c r="EE136" s="1890"/>
      <c r="EF136" s="1890"/>
      <c r="EG136" s="1890"/>
      <c r="EH136" s="1890"/>
      <c r="EI136" s="1890"/>
      <c r="EJ136" s="1890"/>
      <c r="EK136" s="1890"/>
      <c r="EL136" s="1890"/>
      <c r="EM136" s="1890"/>
      <c r="EN136" s="1890"/>
      <c r="EO136" s="1890"/>
      <c r="EP136" s="1890"/>
      <c r="EQ136" s="1890"/>
      <c r="ER136" s="1890"/>
      <c r="ES136" s="1890"/>
      <c r="ET136" s="1890"/>
      <c r="EU136" s="1890"/>
      <c r="EV136" s="1890"/>
      <c r="EW136" s="1890"/>
      <c r="EX136" s="1890"/>
      <c r="EY136" s="1890"/>
      <c r="EZ136" s="1890"/>
      <c r="FA136" s="1890"/>
      <c r="FB136" s="1890"/>
      <c r="FC136" s="1890"/>
      <c r="FD136" s="1890"/>
      <c r="FE136" s="1890"/>
      <c r="FF136" s="1890"/>
      <c r="FG136" s="1890"/>
      <c r="FH136" s="1890"/>
      <c r="FI136" s="1890"/>
      <c r="FJ136" s="1890"/>
      <c r="FK136" s="1890"/>
      <c r="FL136" s="1890"/>
      <c r="FM136" s="1890"/>
      <c r="FN136" s="1890"/>
      <c r="FO136" s="1890"/>
      <c r="FP136" s="1890"/>
      <c r="FQ136" s="1890"/>
      <c r="FR136" s="1890"/>
      <c r="FS136" s="1890"/>
      <c r="FT136" s="1890"/>
    </row>
    <row r="137" spans="1:176" s="1965" customFormat="1" ht="32.1" customHeight="1">
      <c r="A137" s="2499" t="s">
        <v>6987</v>
      </c>
      <c r="B137" s="2084" t="s">
        <v>152</v>
      </c>
      <c r="C137" s="2093">
        <f t="shared" ref="C137:H137" si="39">AVERAGE(C138:C146)</f>
        <v>0.83333333333333337</v>
      </c>
      <c r="D137" s="2093">
        <f t="shared" si="39"/>
        <v>0.77777777777777779</v>
      </c>
      <c r="E137" s="2093">
        <f t="shared" si="39"/>
        <v>0.3888888888888889</v>
      </c>
      <c r="F137" s="2093">
        <f t="shared" si="39"/>
        <v>0.72222222222222221</v>
      </c>
      <c r="G137" s="2093">
        <f t="shared" si="39"/>
        <v>0.61111111111111116</v>
      </c>
      <c r="H137" s="2093">
        <f t="shared" si="39"/>
        <v>0.33333333333333331</v>
      </c>
      <c r="I137" s="2086"/>
      <c r="J137" s="2089"/>
      <c r="K137" s="2089"/>
      <c r="L137" s="2089"/>
      <c r="M137" s="2089"/>
      <c r="N137" s="2089"/>
      <c r="O137" s="2089"/>
      <c r="P137" s="2109"/>
      <c r="Q137" s="2109"/>
      <c r="R137" s="2110"/>
      <c r="S137" s="2089"/>
      <c r="T137" s="2089"/>
      <c r="U137" s="2089"/>
      <c r="V137" s="2089"/>
      <c r="W137" s="2092"/>
      <c r="X137" s="2089"/>
      <c r="Y137" s="1818"/>
      <c r="Z137" s="1818"/>
      <c r="AA137" s="1818"/>
      <c r="AB137" s="1818"/>
      <c r="AC137" s="1818"/>
      <c r="AD137" s="1818"/>
      <c r="AE137" s="1818"/>
      <c r="AF137" s="1818"/>
      <c r="AG137" s="1818"/>
      <c r="AH137" s="1818"/>
      <c r="AI137" s="1818"/>
      <c r="AJ137" s="1818"/>
      <c r="AK137" s="1818"/>
      <c r="AL137" s="1818"/>
      <c r="AM137" s="1818"/>
      <c r="AN137" s="1818"/>
      <c r="AO137" s="1818"/>
      <c r="AP137" s="1818"/>
      <c r="AQ137" s="1818"/>
      <c r="AR137" s="1818"/>
      <c r="AS137" s="1818"/>
      <c r="AT137" s="1818"/>
      <c r="AU137" s="1818"/>
      <c r="AV137" s="1818"/>
      <c r="AW137" s="1818"/>
      <c r="AX137" s="1818"/>
      <c r="AY137" s="1818"/>
      <c r="AZ137" s="1818"/>
      <c r="BA137" s="1818"/>
      <c r="BB137" s="1818"/>
      <c r="BC137" s="1818"/>
      <c r="BD137" s="1818"/>
      <c r="BE137" s="1818"/>
      <c r="BF137" s="1818"/>
      <c r="BG137" s="1818"/>
      <c r="BH137" s="1818"/>
      <c r="BI137" s="1818"/>
      <c r="BJ137" s="1818"/>
      <c r="BK137" s="1818"/>
      <c r="BL137" s="1818"/>
      <c r="BM137" s="1818"/>
      <c r="BN137" s="1818"/>
      <c r="BO137" s="1818"/>
      <c r="BP137" s="1818"/>
      <c r="BQ137" s="1818"/>
      <c r="BR137" s="1818"/>
      <c r="BS137" s="1818"/>
      <c r="BT137" s="1818"/>
      <c r="BU137" s="1818"/>
      <c r="BV137" s="1818"/>
      <c r="BW137" s="1818"/>
      <c r="BX137" s="1818"/>
      <c r="BY137" s="1818"/>
      <c r="BZ137" s="1818"/>
      <c r="CA137" s="1890"/>
      <c r="CB137" s="1890"/>
      <c r="CC137" s="1890"/>
      <c r="CD137" s="1890"/>
      <c r="CE137" s="1890"/>
      <c r="CF137" s="1890"/>
      <c r="CG137" s="1890"/>
      <c r="CH137" s="1890"/>
      <c r="CI137" s="1890"/>
      <c r="CJ137" s="1890"/>
      <c r="CK137" s="1890"/>
      <c r="CL137" s="1890"/>
      <c r="CM137" s="1890"/>
      <c r="CN137" s="1890"/>
      <c r="CO137" s="1890"/>
      <c r="CP137" s="1890"/>
      <c r="CQ137" s="1890"/>
      <c r="CR137" s="1890"/>
      <c r="CS137" s="1890"/>
      <c r="CT137" s="1890"/>
      <c r="CU137" s="1890"/>
      <c r="CV137" s="1890"/>
      <c r="CW137" s="1890"/>
      <c r="CX137" s="1890"/>
      <c r="CY137" s="1890"/>
      <c r="CZ137" s="1890"/>
      <c r="DA137" s="1890"/>
      <c r="DB137" s="1890"/>
      <c r="DC137" s="1890"/>
      <c r="DD137" s="1890"/>
      <c r="DE137" s="1890"/>
      <c r="DF137" s="1890"/>
      <c r="DG137" s="1890"/>
      <c r="DH137" s="1890"/>
      <c r="DI137" s="1890"/>
      <c r="DJ137" s="1890"/>
      <c r="DK137" s="1890"/>
      <c r="DL137" s="1890"/>
      <c r="DM137" s="1890"/>
      <c r="DN137" s="1890"/>
      <c r="DO137" s="1890"/>
      <c r="DP137" s="1890"/>
      <c r="DQ137" s="1890"/>
      <c r="DR137" s="1890"/>
      <c r="DS137" s="1890"/>
      <c r="DT137" s="1890"/>
      <c r="DU137" s="1890"/>
      <c r="DV137" s="1890"/>
      <c r="DW137" s="1890"/>
      <c r="DX137" s="1890"/>
      <c r="DY137" s="1890"/>
      <c r="DZ137" s="1890"/>
      <c r="EA137" s="1890"/>
      <c r="EB137" s="1890"/>
      <c r="EC137" s="1890"/>
      <c r="ED137" s="1890"/>
      <c r="EE137" s="1890"/>
      <c r="EF137" s="1890"/>
      <c r="EG137" s="1890"/>
      <c r="EH137" s="1890"/>
      <c r="EI137" s="1890"/>
      <c r="EJ137" s="1890"/>
      <c r="EK137" s="1890"/>
      <c r="EL137" s="1890"/>
      <c r="EM137" s="1890"/>
      <c r="EN137" s="1890"/>
      <c r="EO137" s="1890"/>
      <c r="EP137" s="1890"/>
      <c r="EQ137" s="1890"/>
      <c r="ER137" s="1890"/>
      <c r="ES137" s="1890"/>
      <c r="ET137" s="1890"/>
      <c r="EU137" s="1890"/>
      <c r="EV137" s="1890"/>
      <c r="EW137" s="1890"/>
      <c r="EX137" s="1890"/>
      <c r="EY137" s="1890"/>
      <c r="EZ137" s="1890"/>
      <c r="FA137" s="1890"/>
      <c r="FB137" s="1890"/>
      <c r="FC137" s="1890"/>
      <c r="FD137" s="1890"/>
      <c r="FE137" s="1890"/>
      <c r="FF137" s="1890"/>
      <c r="FG137" s="1890"/>
      <c r="FH137" s="1890"/>
      <c r="FI137" s="1890"/>
      <c r="FJ137" s="1890"/>
      <c r="FK137" s="1890"/>
      <c r="FL137" s="1890"/>
      <c r="FM137" s="1890"/>
      <c r="FN137" s="1890"/>
      <c r="FO137" s="1890"/>
      <c r="FP137" s="1890"/>
      <c r="FQ137" s="1890"/>
      <c r="FR137" s="1890"/>
      <c r="FS137" s="1890"/>
      <c r="FT137" s="1890"/>
    </row>
    <row r="138" spans="1:176" s="1965" customFormat="1" ht="171" customHeight="1">
      <c r="A138" s="1899"/>
      <c r="B138" s="1807" t="s">
        <v>153</v>
      </c>
      <c r="C138" s="1837">
        <v>1</v>
      </c>
      <c r="D138" s="1829">
        <v>1</v>
      </c>
      <c r="E138" s="1846">
        <v>0.5</v>
      </c>
      <c r="F138" s="1837">
        <v>1</v>
      </c>
      <c r="G138" s="1829">
        <v>0.5</v>
      </c>
      <c r="H138" s="1850">
        <v>0</v>
      </c>
      <c r="I138" s="2086" t="s">
        <v>154</v>
      </c>
      <c r="J138" s="2217">
        <v>1</v>
      </c>
      <c r="K138" s="1915" t="s">
        <v>948</v>
      </c>
      <c r="L138" s="1794">
        <v>0.5</v>
      </c>
      <c r="M138" s="1802" t="s">
        <v>8566</v>
      </c>
      <c r="N138" s="1915" t="s">
        <v>5411</v>
      </c>
      <c r="O138" s="1915" t="s">
        <v>9012</v>
      </c>
      <c r="P138" s="1915">
        <v>1</v>
      </c>
      <c r="Q138" s="1915">
        <v>0</v>
      </c>
      <c r="R138" s="2096"/>
      <c r="S138" s="2248" t="s">
        <v>9218</v>
      </c>
      <c r="T138" s="1915" t="s">
        <v>7494</v>
      </c>
      <c r="U138" s="1794" t="s">
        <v>7229</v>
      </c>
      <c r="V138" s="1914" t="s">
        <v>8575</v>
      </c>
      <c r="W138" s="1947" t="s">
        <v>5411</v>
      </c>
      <c r="X138" s="1947" t="s">
        <v>9012</v>
      </c>
      <c r="Y138" s="1818"/>
      <c r="Z138" s="1818"/>
      <c r="AA138" s="1818"/>
      <c r="AB138" s="1818"/>
      <c r="AC138" s="1818"/>
      <c r="AD138" s="1818"/>
      <c r="AE138" s="1818"/>
      <c r="AF138" s="1818"/>
      <c r="AG138" s="1818"/>
      <c r="AH138" s="1818"/>
      <c r="AI138" s="1818"/>
      <c r="AJ138" s="1818"/>
      <c r="AK138" s="1818"/>
      <c r="AL138" s="1818"/>
      <c r="AM138" s="1818"/>
      <c r="AN138" s="1818"/>
      <c r="AO138" s="1818"/>
      <c r="AP138" s="1818"/>
      <c r="AQ138" s="1818"/>
      <c r="AR138" s="1818"/>
      <c r="AS138" s="1818"/>
      <c r="AT138" s="1818"/>
      <c r="AU138" s="1818"/>
      <c r="AV138" s="1818"/>
      <c r="AW138" s="1818"/>
      <c r="AX138" s="1818"/>
      <c r="AY138" s="1818"/>
      <c r="AZ138" s="1818"/>
      <c r="BA138" s="1818"/>
      <c r="BB138" s="1818"/>
      <c r="BC138" s="1818"/>
      <c r="BD138" s="1818"/>
      <c r="BE138" s="1818"/>
      <c r="BF138" s="1818"/>
      <c r="BG138" s="1818"/>
      <c r="BH138" s="1818"/>
      <c r="BI138" s="1818"/>
      <c r="BJ138" s="1818"/>
      <c r="BK138" s="1818"/>
      <c r="BL138" s="1818"/>
      <c r="BM138" s="1818"/>
      <c r="BN138" s="1818"/>
      <c r="BO138" s="1818"/>
      <c r="BP138" s="1818"/>
      <c r="BQ138" s="1818"/>
      <c r="BR138" s="1818"/>
      <c r="BS138" s="1818"/>
      <c r="BT138" s="1818"/>
      <c r="BU138" s="1818"/>
      <c r="BV138" s="1818"/>
      <c r="BW138" s="1818"/>
      <c r="BX138" s="1818"/>
      <c r="BY138" s="1818"/>
      <c r="BZ138" s="1818"/>
      <c r="CA138" s="1890"/>
      <c r="CB138" s="1890"/>
      <c r="CC138" s="1890"/>
      <c r="CD138" s="1890"/>
      <c r="CE138" s="1890"/>
      <c r="CF138" s="1890"/>
      <c r="CG138" s="1890"/>
      <c r="CH138" s="1890"/>
      <c r="CI138" s="1890"/>
      <c r="CJ138" s="1890"/>
      <c r="CK138" s="1890"/>
      <c r="CL138" s="1890"/>
      <c r="CM138" s="1890"/>
      <c r="CN138" s="1890"/>
      <c r="CO138" s="1890"/>
      <c r="CP138" s="1890"/>
      <c r="CQ138" s="1890"/>
      <c r="CR138" s="1890"/>
      <c r="CS138" s="1890"/>
      <c r="CT138" s="1890"/>
      <c r="CU138" s="1890"/>
      <c r="CV138" s="1890"/>
      <c r="CW138" s="1890"/>
      <c r="CX138" s="1890"/>
      <c r="CY138" s="1890"/>
      <c r="CZ138" s="1890"/>
      <c r="DA138" s="1890"/>
      <c r="DB138" s="1890"/>
      <c r="DC138" s="1890"/>
      <c r="DD138" s="1890"/>
      <c r="DE138" s="1890"/>
      <c r="DF138" s="1890"/>
      <c r="DG138" s="1890"/>
      <c r="DH138" s="1890"/>
      <c r="DI138" s="1890"/>
      <c r="DJ138" s="1890"/>
      <c r="DK138" s="1890"/>
      <c r="DL138" s="1890"/>
      <c r="DM138" s="1890"/>
      <c r="DN138" s="1890"/>
      <c r="DO138" s="1890"/>
      <c r="DP138" s="1890"/>
      <c r="DQ138" s="1890"/>
      <c r="DR138" s="1890"/>
      <c r="DS138" s="1890"/>
      <c r="DT138" s="1890"/>
      <c r="DU138" s="1890"/>
      <c r="DV138" s="1890"/>
      <c r="DW138" s="1890"/>
      <c r="DX138" s="1890"/>
      <c r="DY138" s="1890"/>
      <c r="DZ138" s="1890"/>
      <c r="EA138" s="1890"/>
      <c r="EB138" s="1890"/>
      <c r="EC138" s="1890"/>
      <c r="ED138" s="1890"/>
      <c r="EE138" s="1890"/>
      <c r="EF138" s="1890"/>
      <c r="EG138" s="1890"/>
      <c r="EH138" s="1890"/>
      <c r="EI138" s="1890"/>
      <c r="EJ138" s="1890"/>
      <c r="EK138" s="1890"/>
      <c r="EL138" s="1890"/>
      <c r="EM138" s="1890"/>
      <c r="EN138" s="1890"/>
      <c r="EO138" s="1890"/>
      <c r="EP138" s="1890"/>
      <c r="EQ138" s="1890"/>
      <c r="ER138" s="1890"/>
      <c r="ES138" s="1890"/>
      <c r="ET138" s="1890"/>
      <c r="EU138" s="1890"/>
      <c r="EV138" s="1890"/>
      <c r="EW138" s="1890"/>
      <c r="EX138" s="1890"/>
      <c r="EY138" s="1890"/>
      <c r="EZ138" s="1890"/>
      <c r="FA138" s="1890"/>
      <c r="FB138" s="1890"/>
      <c r="FC138" s="1890"/>
      <c r="FD138" s="1890"/>
      <c r="FE138" s="1890"/>
      <c r="FF138" s="1890"/>
      <c r="FG138" s="1890"/>
      <c r="FH138" s="1890"/>
      <c r="FI138" s="1890"/>
      <c r="FJ138" s="1890"/>
      <c r="FK138" s="1890"/>
      <c r="FL138" s="1890"/>
      <c r="FM138" s="1890"/>
      <c r="FN138" s="1890"/>
      <c r="FO138" s="1890"/>
      <c r="FP138" s="1890"/>
      <c r="FQ138" s="1890"/>
      <c r="FR138" s="1890"/>
      <c r="FS138" s="1890"/>
      <c r="FT138" s="1890"/>
    </row>
    <row r="139" spans="1:176" s="1965" customFormat="1" ht="167.1" customHeight="1">
      <c r="A139" s="1899"/>
      <c r="B139" s="1807" t="s">
        <v>155</v>
      </c>
      <c r="C139" s="1837">
        <v>1</v>
      </c>
      <c r="D139" s="1829">
        <v>1</v>
      </c>
      <c r="E139" s="1829">
        <v>1</v>
      </c>
      <c r="F139" s="1837">
        <v>1</v>
      </c>
      <c r="G139" s="1829">
        <v>0</v>
      </c>
      <c r="H139" s="1827">
        <v>1</v>
      </c>
      <c r="I139" s="2086" t="s">
        <v>156</v>
      </c>
      <c r="J139" s="2217">
        <v>1</v>
      </c>
      <c r="K139" s="1925" t="s">
        <v>948</v>
      </c>
      <c r="L139" s="1794">
        <v>1</v>
      </c>
      <c r="M139" s="1802">
        <v>1</v>
      </c>
      <c r="N139" s="1915" t="s">
        <v>8297</v>
      </c>
      <c r="O139" s="1925" t="s">
        <v>8685</v>
      </c>
      <c r="P139" s="1915">
        <v>1</v>
      </c>
      <c r="Q139" s="1915">
        <v>0</v>
      </c>
      <c r="R139" s="2096"/>
      <c r="S139" s="2248" t="s">
        <v>8115</v>
      </c>
      <c r="T139" s="1925" t="s">
        <v>7495</v>
      </c>
      <c r="U139" s="1794" t="s">
        <v>7230</v>
      </c>
      <c r="V139" s="1914" t="s">
        <v>6082</v>
      </c>
      <c r="W139" s="1947" t="s">
        <v>8297</v>
      </c>
      <c r="X139" s="1925" t="s">
        <v>8685</v>
      </c>
      <c r="Y139" s="1818"/>
      <c r="Z139" s="1818"/>
      <c r="AA139" s="1818"/>
      <c r="AB139" s="1818"/>
      <c r="AC139" s="1818"/>
      <c r="AD139" s="1818"/>
      <c r="AE139" s="1818"/>
      <c r="AF139" s="1818"/>
      <c r="AG139" s="1818"/>
      <c r="AH139" s="1818"/>
      <c r="AI139" s="1818"/>
      <c r="AJ139" s="1818"/>
      <c r="AK139" s="1818"/>
      <c r="AL139" s="1818"/>
      <c r="AM139" s="1818"/>
      <c r="AN139" s="1818"/>
      <c r="AO139" s="1818"/>
      <c r="AP139" s="1818"/>
      <c r="AQ139" s="1818"/>
      <c r="AR139" s="1818"/>
      <c r="AS139" s="1818"/>
      <c r="AT139" s="1818"/>
      <c r="AU139" s="1818"/>
      <c r="AV139" s="1818"/>
      <c r="AW139" s="1818"/>
      <c r="AX139" s="1818"/>
      <c r="AY139" s="1818"/>
      <c r="AZ139" s="1818"/>
      <c r="BA139" s="1818"/>
      <c r="BB139" s="1818"/>
      <c r="BC139" s="1818"/>
      <c r="BD139" s="1818"/>
      <c r="BE139" s="1818"/>
      <c r="BF139" s="1818"/>
      <c r="BG139" s="1818"/>
      <c r="BH139" s="1818"/>
      <c r="BI139" s="1818"/>
      <c r="BJ139" s="1818"/>
      <c r="BK139" s="1818"/>
      <c r="BL139" s="1818"/>
      <c r="BM139" s="1818"/>
      <c r="BN139" s="1818"/>
      <c r="BO139" s="1818"/>
      <c r="BP139" s="1818"/>
      <c r="BQ139" s="1818"/>
      <c r="BR139" s="1818"/>
      <c r="BS139" s="1818"/>
      <c r="BT139" s="1818"/>
      <c r="BU139" s="1818"/>
      <c r="BV139" s="1818"/>
      <c r="BW139" s="1818"/>
      <c r="BX139" s="1818"/>
      <c r="BY139" s="1818"/>
      <c r="BZ139" s="1818"/>
      <c r="CA139" s="1890"/>
      <c r="CB139" s="1890"/>
      <c r="CC139" s="1890"/>
      <c r="CD139" s="1890"/>
      <c r="CE139" s="1890"/>
      <c r="CF139" s="1890"/>
      <c r="CG139" s="1890"/>
      <c r="CH139" s="1890"/>
      <c r="CI139" s="1890"/>
      <c r="CJ139" s="1890"/>
      <c r="CK139" s="1890"/>
      <c r="CL139" s="1890"/>
      <c r="CM139" s="1890"/>
      <c r="CN139" s="1890"/>
      <c r="CO139" s="1890"/>
      <c r="CP139" s="1890"/>
      <c r="CQ139" s="1890"/>
      <c r="CR139" s="1890"/>
      <c r="CS139" s="1890"/>
      <c r="CT139" s="1890"/>
      <c r="CU139" s="1890"/>
      <c r="CV139" s="1890"/>
      <c r="CW139" s="1890"/>
      <c r="CX139" s="1890"/>
      <c r="CY139" s="1890"/>
      <c r="CZ139" s="1890"/>
      <c r="DA139" s="1890"/>
      <c r="DB139" s="1890"/>
      <c r="DC139" s="1890"/>
      <c r="DD139" s="1890"/>
      <c r="DE139" s="1890"/>
      <c r="DF139" s="1890"/>
      <c r="DG139" s="1890"/>
      <c r="DH139" s="1890"/>
      <c r="DI139" s="1890"/>
      <c r="DJ139" s="1890"/>
      <c r="DK139" s="1890"/>
      <c r="DL139" s="1890"/>
      <c r="DM139" s="1890"/>
      <c r="DN139" s="1890"/>
      <c r="DO139" s="1890"/>
      <c r="DP139" s="1890"/>
      <c r="DQ139" s="1890"/>
      <c r="DR139" s="1890"/>
      <c r="DS139" s="1890"/>
      <c r="DT139" s="1890"/>
      <c r="DU139" s="1890"/>
      <c r="DV139" s="1890"/>
      <c r="DW139" s="1890"/>
      <c r="DX139" s="1890"/>
      <c r="DY139" s="1890"/>
      <c r="DZ139" s="1890"/>
      <c r="EA139" s="1890"/>
      <c r="EB139" s="1890"/>
      <c r="EC139" s="1890"/>
      <c r="ED139" s="1890"/>
      <c r="EE139" s="1890"/>
      <c r="EF139" s="1890"/>
      <c r="EG139" s="1890"/>
      <c r="EH139" s="1890"/>
      <c r="EI139" s="1890"/>
      <c r="EJ139" s="1890"/>
      <c r="EK139" s="1890"/>
      <c r="EL139" s="1890"/>
      <c r="EM139" s="1890"/>
      <c r="EN139" s="1890"/>
      <c r="EO139" s="1890"/>
      <c r="EP139" s="1890"/>
      <c r="EQ139" s="1890"/>
      <c r="ER139" s="1890"/>
      <c r="ES139" s="1890"/>
      <c r="ET139" s="1890"/>
      <c r="EU139" s="1890"/>
      <c r="EV139" s="1890"/>
      <c r="EW139" s="1890"/>
      <c r="EX139" s="1890"/>
      <c r="EY139" s="1890"/>
      <c r="EZ139" s="1890"/>
      <c r="FA139" s="1890"/>
      <c r="FB139" s="1890"/>
      <c r="FC139" s="1890"/>
      <c r="FD139" s="1890"/>
      <c r="FE139" s="1890"/>
      <c r="FF139" s="1890"/>
      <c r="FG139" s="1890"/>
      <c r="FH139" s="1890"/>
      <c r="FI139" s="1890"/>
      <c r="FJ139" s="1890"/>
      <c r="FK139" s="1890"/>
      <c r="FL139" s="1890"/>
      <c r="FM139" s="1890"/>
      <c r="FN139" s="1890"/>
      <c r="FO139" s="1890"/>
      <c r="FP139" s="1890"/>
      <c r="FQ139" s="1890"/>
      <c r="FR139" s="1890"/>
      <c r="FS139" s="1890"/>
      <c r="FT139" s="1890"/>
    </row>
    <row r="140" spans="1:176" s="1965" customFormat="1" ht="132" customHeight="1">
      <c r="A140" s="1899"/>
      <c r="B140" s="1807" t="s">
        <v>157</v>
      </c>
      <c r="C140" s="1837">
        <v>0</v>
      </c>
      <c r="D140" s="1837">
        <v>0</v>
      </c>
      <c r="E140" s="1846">
        <v>0</v>
      </c>
      <c r="F140" s="1837">
        <v>0</v>
      </c>
      <c r="G140" s="1829">
        <v>0</v>
      </c>
      <c r="H140" s="1827">
        <v>0</v>
      </c>
      <c r="I140" s="2086" t="s">
        <v>38</v>
      </c>
      <c r="J140" s="2217">
        <v>0</v>
      </c>
      <c r="K140" s="1914" t="s">
        <v>748</v>
      </c>
      <c r="L140" s="1794">
        <v>1</v>
      </c>
      <c r="M140" s="1802">
        <v>0</v>
      </c>
      <c r="N140" s="1915" t="s">
        <v>8298</v>
      </c>
      <c r="O140" s="1915" t="s">
        <v>8686</v>
      </c>
      <c r="P140" s="1915">
        <v>1</v>
      </c>
      <c r="Q140" s="1915">
        <v>0</v>
      </c>
      <c r="R140" s="2096"/>
      <c r="S140" s="2248" t="s">
        <v>9219</v>
      </c>
      <c r="T140" s="1930" t="s">
        <v>748</v>
      </c>
      <c r="U140" s="1794" t="s">
        <v>811</v>
      </c>
      <c r="V140" s="1914" t="s">
        <v>6083</v>
      </c>
      <c r="W140" s="1947" t="s">
        <v>8298</v>
      </c>
      <c r="X140" s="1915" t="s">
        <v>8686</v>
      </c>
      <c r="Y140" s="1818"/>
      <c r="Z140" s="1818"/>
      <c r="AA140" s="1818"/>
      <c r="AB140" s="1818"/>
      <c r="AC140" s="1818"/>
      <c r="AD140" s="1818"/>
      <c r="AE140" s="1818"/>
      <c r="AF140" s="1818"/>
      <c r="AG140" s="1818"/>
      <c r="AH140" s="1818"/>
      <c r="AI140" s="1818"/>
      <c r="AJ140" s="1818"/>
      <c r="AK140" s="1818"/>
      <c r="AL140" s="1818"/>
      <c r="AM140" s="1818"/>
      <c r="AN140" s="1818"/>
      <c r="AO140" s="1818"/>
      <c r="AP140" s="1818"/>
      <c r="AQ140" s="1818"/>
      <c r="AR140" s="1818"/>
      <c r="AS140" s="1818"/>
      <c r="AT140" s="1818"/>
      <c r="AU140" s="1818"/>
      <c r="AV140" s="1818"/>
      <c r="AW140" s="1818"/>
      <c r="AX140" s="1818"/>
      <c r="AY140" s="1818"/>
      <c r="AZ140" s="1818"/>
      <c r="BA140" s="1818"/>
      <c r="BB140" s="1818"/>
      <c r="BC140" s="1818"/>
      <c r="BD140" s="1818"/>
      <c r="BE140" s="1818"/>
      <c r="BF140" s="1818"/>
      <c r="BG140" s="1818"/>
      <c r="BH140" s="1818"/>
      <c r="BI140" s="1818"/>
      <c r="BJ140" s="1818"/>
      <c r="BK140" s="1818"/>
      <c r="BL140" s="1818"/>
      <c r="BM140" s="1818"/>
      <c r="BN140" s="1818"/>
      <c r="BO140" s="1818"/>
      <c r="BP140" s="1818"/>
      <c r="BQ140" s="1818"/>
      <c r="BR140" s="1818"/>
      <c r="BS140" s="1818"/>
      <c r="BT140" s="1818"/>
      <c r="BU140" s="1818"/>
      <c r="BV140" s="1818"/>
      <c r="BW140" s="1818"/>
      <c r="BX140" s="1818"/>
      <c r="BY140" s="1818"/>
      <c r="BZ140" s="1818"/>
      <c r="CA140" s="1890"/>
      <c r="CB140" s="1890"/>
      <c r="CC140" s="1890"/>
      <c r="CD140" s="1890"/>
      <c r="CE140" s="1890"/>
      <c r="CF140" s="1890"/>
      <c r="CG140" s="1890"/>
      <c r="CH140" s="1890"/>
      <c r="CI140" s="1890"/>
      <c r="CJ140" s="1890"/>
      <c r="CK140" s="1890"/>
      <c r="CL140" s="1890"/>
      <c r="CM140" s="1890"/>
      <c r="CN140" s="1890"/>
      <c r="CO140" s="1890"/>
      <c r="CP140" s="1890"/>
      <c r="CQ140" s="1890"/>
      <c r="CR140" s="1890"/>
      <c r="CS140" s="1890"/>
      <c r="CT140" s="1890"/>
      <c r="CU140" s="1890"/>
      <c r="CV140" s="1890"/>
      <c r="CW140" s="1890"/>
      <c r="CX140" s="1890"/>
      <c r="CY140" s="1890"/>
      <c r="CZ140" s="1890"/>
      <c r="DA140" s="1890"/>
      <c r="DB140" s="1890"/>
      <c r="DC140" s="1890"/>
      <c r="DD140" s="1890"/>
      <c r="DE140" s="1890"/>
      <c r="DF140" s="1890"/>
      <c r="DG140" s="1890"/>
      <c r="DH140" s="1890"/>
      <c r="DI140" s="1890"/>
      <c r="DJ140" s="1890"/>
      <c r="DK140" s="1890"/>
      <c r="DL140" s="1890"/>
      <c r="DM140" s="1890"/>
      <c r="DN140" s="1890"/>
      <c r="DO140" s="1890"/>
      <c r="DP140" s="1890"/>
      <c r="DQ140" s="1890"/>
      <c r="DR140" s="1890"/>
      <c r="DS140" s="1890"/>
      <c r="DT140" s="1890"/>
      <c r="DU140" s="1890"/>
      <c r="DV140" s="1890"/>
      <c r="DW140" s="1890"/>
      <c r="DX140" s="1890"/>
      <c r="DY140" s="1890"/>
      <c r="DZ140" s="1890"/>
      <c r="EA140" s="1890"/>
      <c r="EB140" s="1890"/>
      <c r="EC140" s="1890"/>
      <c r="ED140" s="1890"/>
      <c r="EE140" s="1890"/>
      <c r="EF140" s="1890"/>
      <c r="EG140" s="1890"/>
      <c r="EH140" s="1890"/>
      <c r="EI140" s="1890"/>
      <c r="EJ140" s="1890"/>
      <c r="EK140" s="1890"/>
      <c r="EL140" s="1890"/>
      <c r="EM140" s="1890"/>
      <c r="EN140" s="1890"/>
      <c r="EO140" s="1890"/>
      <c r="EP140" s="1890"/>
      <c r="EQ140" s="1890"/>
      <c r="ER140" s="1890"/>
      <c r="ES140" s="1890"/>
      <c r="ET140" s="1890"/>
      <c r="EU140" s="1890"/>
      <c r="EV140" s="1890"/>
      <c r="EW140" s="1890"/>
      <c r="EX140" s="1890"/>
      <c r="EY140" s="1890"/>
      <c r="EZ140" s="1890"/>
      <c r="FA140" s="1890"/>
      <c r="FB140" s="1890"/>
      <c r="FC140" s="1890"/>
      <c r="FD140" s="1890"/>
      <c r="FE140" s="1890"/>
      <c r="FF140" s="1890"/>
      <c r="FG140" s="1890"/>
      <c r="FH140" s="1890"/>
      <c r="FI140" s="1890"/>
      <c r="FJ140" s="1890"/>
      <c r="FK140" s="1890"/>
      <c r="FL140" s="1890"/>
      <c r="FM140" s="1890"/>
      <c r="FN140" s="1890"/>
      <c r="FO140" s="1890"/>
      <c r="FP140" s="1890"/>
      <c r="FQ140" s="1890"/>
      <c r="FR140" s="1890"/>
      <c r="FS140" s="1890"/>
      <c r="FT140" s="1890"/>
    </row>
    <row r="141" spans="1:176" s="1965" customFormat="1" ht="155.1" customHeight="1">
      <c r="A141" s="1899"/>
      <c r="B141" s="1807" t="s">
        <v>158</v>
      </c>
      <c r="C141" s="1837">
        <v>1</v>
      </c>
      <c r="D141" s="1829">
        <v>1</v>
      </c>
      <c r="E141" s="1846">
        <v>1</v>
      </c>
      <c r="F141" s="1837">
        <v>1</v>
      </c>
      <c r="G141" s="1829">
        <v>1</v>
      </c>
      <c r="H141" s="1827">
        <v>1</v>
      </c>
      <c r="I141" s="2086" t="s">
        <v>147</v>
      </c>
      <c r="J141" s="2217">
        <v>1</v>
      </c>
      <c r="K141" s="1925" t="s">
        <v>1134</v>
      </c>
      <c r="L141" s="1794">
        <v>1</v>
      </c>
      <c r="M141" s="1802">
        <v>0</v>
      </c>
      <c r="N141" s="1915" t="s">
        <v>8299</v>
      </c>
      <c r="O141" s="1915" t="s">
        <v>8687</v>
      </c>
      <c r="P141" s="1915">
        <v>1</v>
      </c>
      <c r="Q141" s="1915">
        <v>0</v>
      </c>
      <c r="R141" s="2096"/>
      <c r="S141" s="2248" t="s">
        <v>8116</v>
      </c>
      <c r="T141" s="1925" t="s">
        <v>7496</v>
      </c>
      <c r="U141" s="1794" t="s">
        <v>7231</v>
      </c>
      <c r="V141" s="1914" t="s">
        <v>7871</v>
      </c>
      <c r="W141" s="1947" t="s">
        <v>8299</v>
      </c>
      <c r="X141" s="1915" t="s">
        <v>8687</v>
      </c>
      <c r="Y141" s="1818"/>
      <c r="Z141" s="1818"/>
      <c r="AA141" s="1818"/>
      <c r="AB141" s="1818"/>
      <c r="AC141" s="1818"/>
      <c r="AD141" s="1818"/>
      <c r="AE141" s="1818"/>
      <c r="AF141" s="1818"/>
      <c r="AG141" s="1818"/>
      <c r="AH141" s="1818"/>
      <c r="AI141" s="1818"/>
      <c r="AJ141" s="1818"/>
      <c r="AK141" s="1818"/>
      <c r="AL141" s="1818"/>
      <c r="AM141" s="1818"/>
      <c r="AN141" s="1818"/>
      <c r="AO141" s="1818"/>
      <c r="AP141" s="1818"/>
      <c r="AQ141" s="1818"/>
      <c r="AR141" s="1818"/>
      <c r="AS141" s="1818"/>
      <c r="AT141" s="1818"/>
      <c r="AU141" s="1818"/>
      <c r="AV141" s="1818"/>
      <c r="AW141" s="1818"/>
      <c r="AX141" s="1818"/>
      <c r="AY141" s="1818"/>
      <c r="AZ141" s="1818"/>
      <c r="BA141" s="1818"/>
      <c r="BB141" s="1818"/>
      <c r="BC141" s="1818"/>
      <c r="BD141" s="1818"/>
      <c r="BE141" s="1818"/>
      <c r="BF141" s="1818"/>
      <c r="BG141" s="1818"/>
      <c r="BH141" s="1818"/>
      <c r="BI141" s="1818"/>
      <c r="BJ141" s="1818"/>
      <c r="BK141" s="1818"/>
      <c r="BL141" s="1818"/>
      <c r="BM141" s="1818"/>
      <c r="BN141" s="1818"/>
      <c r="BO141" s="1818"/>
      <c r="BP141" s="1818"/>
      <c r="BQ141" s="1818"/>
      <c r="BR141" s="1818"/>
      <c r="BS141" s="1818"/>
      <c r="BT141" s="1818"/>
      <c r="BU141" s="1818"/>
      <c r="BV141" s="1818"/>
      <c r="BW141" s="1818"/>
      <c r="BX141" s="1818"/>
      <c r="BY141" s="1818"/>
      <c r="BZ141" s="1818"/>
      <c r="CA141" s="1890"/>
      <c r="CB141" s="1890"/>
      <c r="CC141" s="1890"/>
      <c r="CD141" s="1890"/>
      <c r="CE141" s="1890"/>
      <c r="CF141" s="1890"/>
      <c r="CG141" s="1890"/>
      <c r="CH141" s="1890"/>
      <c r="CI141" s="1890"/>
      <c r="CJ141" s="1890"/>
      <c r="CK141" s="1890"/>
      <c r="CL141" s="1890"/>
      <c r="CM141" s="1890"/>
      <c r="CN141" s="1890"/>
      <c r="CO141" s="1890"/>
      <c r="CP141" s="1890"/>
      <c r="CQ141" s="1890"/>
      <c r="CR141" s="1890"/>
      <c r="CS141" s="1890"/>
      <c r="CT141" s="1890"/>
      <c r="CU141" s="1890"/>
      <c r="CV141" s="1890"/>
      <c r="CW141" s="1890"/>
      <c r="CX141" s="1890"/>
      <c r="CY141" s="1890"/>
      <c r="CZ141" s="1890"/>
      <c r="DA141" s="1890"/>
      <c r="DB141" s="1890"/>
      <c r="DC141" s="1890"/>
      <c r="DD141" s="1890"/>
      <c r="DE141" s="1890"/>
      <c r="DF141" s="1890"/>
      <c r="DG141" s="1890"/>
      <c r="DH141" s="1890"/>
      <c r="DI141" s="1890"/>
      <c r="DJ141" s="1890"/>
      <c r="DK141" s="1890"/>
      <c r="DL141" s="1890"/>
      <c r="DM141" s="1890"/>
      <c r="DN141" s="1890"/>
      <c r="DO141" s="1890"/>
      <c r="DP141" s="1890"/>
      <c r="DQ141" s="1890"/>
      <c r="DR141" s="1890"/>
      <c r="DS141" s="1890"/>
      <c r="DT141" s="1890"/>
      <c r="DU141" s="1890"/>
      <c r="DV141" s="1890"/>
      <c r="DW141" s="1890"/>
      <c r="DX141" s="1890"/>
      <c r="DY141" s="1890"/>
      <c r="DZ141" s="1890"/>
      <c r="EA141" s="1890"/>
      <c r="EB141" s="1890"/>
      <c r="EC141" s="1890"/>
      <c r="ED141" s="1890"/>
      <c r="EE141" s="1890"/>
      <c r="EF141" s="1890"/>
      <c r="EG141" s="1890"/>
      <c r="EH141" s="1890"/>
      <c r="EI141" s="1890"/>
      <c r="EJ141" s="1890"/>
      <c r="EK141" s="1890"/>
      <c r="EL141" s="1890"/>
      <c r="EM141" s="1890"/>
      <c r="EN141" s="1890"/>
      <c r="EO141" s="1890"/>
      <c r="EP141" s="1890"/>
      <c r="EQ141" s="1890"/>
      <c r="ER141" s="1890"/>
      <c r="ES141" s="1890"/>
      <c r="ET141" s="1890"/>
      <c r="EU141" s="1890"/>
      <c r="EV141" s="1890"/>
      <c r="EW141" s="1890"/>
      <c r="EX141" s="1890"/>
      <c r="EY141" s="1890"/>
      <c r="EZ141" s="1890"/>
      <c r="FA141" s="1890"/>
      <c r="FB141" s="1890"/>
      <c r="FC141" s="1890"/>
      <c r="FD141" s="1890"/>
      <c r="FE141" s="1890"/>
      <c r="FF141" s="1890"/>
      <c r="FG141" s="1890"/>
      <c r="FH141" s="1890"/>
      <c r="FI141" s="1890"/>
      <c r="FJ141" s="1890"/>
      <c r="FK141" s="1890"/>
      <c r="FL141" s="1890"/>
      <c r="FM141" s="1890"/>
      <c r="FN141" s="1890"/>
      <c r="FO141" s="1890"/>
      <c r="FP141" s="1890"/>
      <c r="FQ141" s="1890"/>
      <c r="FR141" s="1890"/>
      <c r="FS141" s="1890"/>
      <c r="FT141" s="1890"/>
    </row>
    <row r="142" spans="1:176" s="1965" customFormat="1" ht="59.1" customHeight="1">
      <c r="A142" s="1899"/>
      <c r="B142" s="1807" t="s">
        <v>159</v>
      </c>
      <c r="C142" s="1837">
        <v>0.5</v>
      </c>
      <c r="D142" s="1829">
        <v>0</v>
      </c>
      <c r="E142" s="1846">
        <v>0</v>
      </c>
      <c r="F142" s="1837">
        <v>0</v>
      </c>
      <c r="G142" s="1829">
        <v>0</v>
      </c>
      <c r="H142" s="1827">
        <v>0</v>
      </c>
      <c r="I142" s="2086" t="s">
        <v>147</v>
      </c>
      <c r="J142" s="2217">
        <v>0.5</v>
      </c>
      <c r="K142" s="1915" t="s">
        <v>968</v>
      </c>
      <c r="L142" s="1794">
        <v>0</v>
      </c>
      <c r="M142" s="1802">
        <v>0</v>
      </c>
      <c r="N142" s="1915" t="s">
        <v>5415</v>
      </c>
      <c r="O142" s="1915" t="s">
        <v>8688</v>
      </c>
      <c r="P142" s="1915">
        <v>1</v>
      </c>
      <c r="Q142" s="1915">
        <v>0</v>
      </c>
      <c r="R142" s="2096"/>
      <c r="S142" s="2248" t="s">
        <v>8117</v>
      </c>
      <c r="T142" s="1915" t="s">
        <v>7497</v>
      </c>
      <c r="U142" s="1794" t="s">
        <v>748</v>
      </c>
      <c r="V142" s="1914" t="s">
        <v>7872</v>
      </c>
      <c r="W142" s="1947" t="s">
        <v>5415</v>
      </c>
      <c r="X142" s="1915" t="s">
        <v>8688</v>
      </c>
      <c r="Y142" s="1818"/>
      <c r="Z142" s="1818"/>
      <c r="AA142" s="1818"/>
      <c r="AB142" s="1818"/>
      <c r="AC142" s="1818"/>
      <c r="AD142" s="1818"/>
      <c r="AE142" s="1818"/>
      <c r="AF142" s="1818"/>
      <c r="AG142" s="1818"/>
      <c r="AH142" s="1818"/>
      <c r="AI142" s="1818"/>
      <c r="AJ142" s="1818"/>
      <c r="AK142" s="1818"/>
      <c r="AL142" s="1818"/>
      <c r="AM142" s="1818"/>
      <c r="AN142" s="1818"/>
      <c r="AO142" s="1818"/>
      <c r="AP142" s="1818"/>
      <c r="AQ142" s="1818"/>
      <c r="AR142" s="1818"/>
      <c r="AS142" s="1818"/>
      <c r="AT142" s="1818"/>
      <c r="AU142" s="1818"/>
      <c r="AV142" s="1818"/>
      <c r="AW142" s="1818"/>
      <c r="AX142" s="1818"/>
      <c r="AY142" s="1818"/>
      <c r="AZ142" s="1818"/>
      <c r="BA142" s="1818"/>
      <c r="BB142" s="1818"/>
      <c r="BC142" s="1818"/>
      <c r="BD142" s="1818"/>
      <c r="BE142" s="1818"/>
      <c r="BF142" s="1818"/>
      <c r="BG142" s="1818"/>
      <c r="BH142" s="1818"/>
      <c r="BI142" s="1818"/>
      <c r="BJ142" s="1818"/>
      <c r="BK142" s="1818"/>
      <c r="BL142" s="1818"/>
      <c r="BM142" s="1818"/>
      <c r="BN142" s="1818"/>
      <c r="BO142" s="1818"/>
      <c r="BP142" s="1818"/>
      <c r="BQ142" s="1818"/>
      <c r="BR142" s="1818"/>
      <c r="BS142" s="1818"/>
      <c r="BT142" s="1818"/>
      <c r="BU142" s="1818"/>
      <c r="BV142" s="1818"/>
      <c r="BW142" s="1818"/>
      <c r="BX142" s="1818"/>
      <c r="BY142" s="1818"/>
      <c r="BZ142" s="1818"/>
      <c r="CA142" s="1890"/>
      <c r="CB142" s="1890"/>
      <c r="CC142" s="1890"/>
      <c r="CD142" s="1890"/>
      <c r="CE142" s="1890"/>
      <c r="CF142" s="1890"/>
      <c r="CG142" s="1890"/>
      <c r="CH142" s="1890"/>
      <c r="CI142" s="1890"/>
      <c r="CJ142" s="1890"/>
      <c r="CK142" s="1890"/>
      <c r="CL142" s="1890"/>
      <c r="CM142" s="1890"/>
      <c r="CN142" s="1890"/>
      <c r="CO142" s="1890"/>
      <c r="CP142" s="1890"/>
      <c r="CQ142" s="1890"/>
      <c r="CR142" s="1890"/>
      <c r="CS142" s="1890"/>
      <c r="CT142" s="1890"/>
      <c r="CU142" s="1890"/>
      <c r="CV142" s="1890"/>
      <c r="CW142" s="1890"/>
      <c r="CX142" s="1890"/>
      <c r="CY142" s="1890"/>
      <c r="CZ142" s="1890"/>
      <c r="DA142" s="1890"/>
      <c r="DB142" s="1890"/>
      <c r="DC142" s="1890"/>
      <c r="DD142" s="1890"/>
      <c r="DE142" s="1890"/>
      <c r="DF142" s="1890"/>
      <c r="DG142" s="1890"/>
      <c r="DH142" s="1890"/>
      <c r="DI142" s="1890"/>
      <c r="DJ142" s="1890"/>
      <c r="DK142" s="1890"/>
      <c r="DL142" s="1890"/>
      <c r="DM142" s="1890"/>
      <c r="DN142" s="1890"/>
      <c r="DO142" s="1890"/>
      <c r="DP142" s="1890"/>
      <c r="DQ142" s="1890"/>
      <c r="DR142" s="1890"/>
      <c r="DS142" s="1890"/>
      <c r="DT142" s="1890"/>
      <c r="DU142" s="1890"/>
      <c r="DV142" s="1890"/>
      <c r="DW142" s="1890"/>
      <c r="DX142" s="1890"/>
      <c r="DY142" s="1890"/>
      <c r="DZ142" s="1890"/>
      <c r="EA142" s="1890"/>
      <c r="EB142" s="1890"/>
      <c r="EC142" s="1890"/>
      <c r="ED142" s="1890"/>
      <c r="EE142" s="1890"/>
      <c r="EF142" s="1890"/>
      <c r="EG142" s="1890"/>
      <c r="EH142" s="1890"/>
      <c r="EI142" s="1890"/>
      <c r="EJ142" s="1890"/>
      <c r="EK142" s="1890"/>
      <c r="EL142" s="1890"/>
      <c r="EM142" s="1890"/>
      <c r="EN142" s="1890"/>
      <c r="EO142" s="1890"/>
      <c r="EP142" s="1890"/>
      <c r="EQ142" s="1890"/>
      <c r="ER142" s="1890"/>
      <c r="ES142" s="1890"/>
      <c r="ET142" s="1890"/>
      <c r="EU142" s="1890"/>
      <c r="EV142" s="1890"/>
      <c r="EW142" s="1890"/>
      <c r="EX142" s="1890"/>
      <c r="EY142" s="1890"/>
      <c r="EZ142" s="1890"/>
      <c r="FA142" s="1890"/>
      <c r="FB142" s="1890"/>
      <c r="FC142" s="1890"/>
      <c r="FD142" s="1890"/>
      <c r="FE142" s="1890"/>
      <c r="FF142" s="1890"/>
      <c r="FG142" s="1890"/>
      <c r="FH142" s="1890"/>
      <c r="FI142" s="1890"/>
      <c r="FJ142" s="1890"/>
      <c r="FK142" s="1890"/>
      <c r="FL142" s="1890"/>
      <c r="FM142" s="1890"/>
      <c r="FN142" s="1890"/>
      <c r="FO142" s="1890"/>
      <c r="FP142" s="1890"/>
      <c r="FQ142" s="1890"/>
      <c r="FR142" s="1890"/>
      <c r="FS142" s="1890"/>
      <c r="FT142" s="1890"/>
    </row>
    <row r="143" spans="1:176" s="1891" customFormat="1" ht="191.1" customHeight="1">
      <c r="A143" s="1899"/>
      <c r="B143" s="1807" t="s">
        <v>160</v>
      </c>
      <c r="C143" s="1837">
        <v>1</v>
      </c>
      <c r="D143" s="1829">
        <v>1</v>
      </c>
      <c r="E143" s="1846">
        <v>0.5</v>
      </c>
      <c r="F143" s="1837">
        <v>1</v>
      </c>
      <c r="G143" s="1829">
        <v>1</v>
      </c>
      <c r="H143" s="1827">
        <v>0</v>
      </c>
      <c r="I143" s="2086" t="s">
        <v>6747</v>
      </c>
      <c r="J143" s="2217">
        <v>1</v>
      </c>
      <c r="K143" s="1929" t="s">
        <v>948</v>
      </c>
      <c r="L143" s="1794">
        <v>1</v>
      </c>
      <c r="M143" s="1802">
        <v>1</v>
      </c>
      <c r="N143" s="1915" t="s">
        <v>5416</v>
      </c>
      <c r="O143" s="1916" t="s">
        <v>8689</v>
      </c>
      <c r="P143" s="1916"/>
      <c r="Q143" s="1916"/>
      <c r="R143" s="2096"/>
      <c r="S143" s="2248" t="s">
        <v>9220</v>
      </c>
      <c r="T143" s="1929" t="s">
        <v>7498</v>
      </c>
      <c r="U143" s="1794" t="s">
        <v>7232</v>
      </c>
      <c r="V143" s="1916" t="s">
        <v>6086</v>
      </c>
      <c r="W143" s="1947" t="s">
        <v>5416</v>
      </c>
      <c r="X143" s="1916" t="s">
        <v>8689</v>
      </c>
      <c r="Y143" s="1818"/>
      <c r="Z143" s="1818"/>
      <c r="AA143" s="1818"/>
      <c r="AB143" s="1818"/>
      <c r="AC143" s="1818"/>
      <c r="AD143" s="1818"/>
      <c r="AE143" s="1818"/>
      <c r="AF143" s="1818"/>
      <c r="AG143" s="1818"/>
      <c r="AH143" s="1818"/>
      <c r="AI143" s="1818"/>
      <c r="AJ143" s="1818"/>
      <c r="AK143" s="1818"/>
      <c r="AL143" s="1818"/>
      <c r="AM143" s="1818"/>
      <c r="AN143" s="1818"/>
      <c r="AO143" s="1818"/>
      <c r="AP143" s="1818"/>
      <c r="AQ143" s="1818"/>
      <c r="AR143" s="1818"/>
      <c r="AS143" s="1818"/>
      <c r="AT143" s="1818"/>
      <c r="AU143" s="1818"/>
      <c r="AV143" s="1818"/>
      <c r="AW143" s="1818"/>
      <c r="AX143" s="1818"/>
      <c r="AY143" s="1818"/>
      <c r="AZ143" s="1818"/>
      <c r="BA143" s="1818"/>
      <c r="BB143" s="1818"/>
      <c r="BC143" s="1818"/>
      <c r="BD143" s="1818"/>
      <c r="BE143" s="1818"/>
      <c r="BF143" s="1818"/>
      <c r="BG143" s="1818"/>
      <c r="BH143" s="1818"/>
      <c r="BI143" s="1818"/>
      <c r="BJ143" s="1818"/>
      <c r="BK143" s="1818"/>
      <c r="BL143" s="1818"/>
      <c r="BM143" s="1818"/>
      <c r="BN143" s="1818"/>
      <c r="BO143" s="1818"/>
      <c r="BP143" s="1818"/>
      <c r="BQ143" s="1818"/>
      <c r="BR143" s="1818"/>
      <c r="BS143" s="1818"/>
      <c r="BT143" s="1818"/>
      <c r="BU143" s="1818"/>
      <c r="BV143" s="1818"/>
      <c r="BW143" s="1818"/>
      <c r="BX143" s="1818"/>
      <c r="BY143" s="1818"/>
      <c r="BZ143" s="1818"/>
    </row>
    <row r="144" spans="1:176" ht="108.95" customHeight="1">
      <c r="A144" s="1899"/>
      <c r="B144" s="1807" t="s">
        <v>161</v>
      </c>
      <c r="C144" s="1837">
        <v>1</v>
      </c>
      <c r="D144" s="1829">
        <v>1</v>
      </c>
      <c r="E144" s="1846">
        <v>0.5</v>
      </c>
      <c r="F144" s="1829">
        <v>1</v>
      </c>
      <c r="G144" s="1829">
        <v>1</v>
      </c>
      <c r="H144" s="1827">
        <v>0</v>
      </c>
      <c r="I144" s="2086" t="s">
        <v>147</v>
      </c>
      <c r="J144" s="2217">
        <v>1</v>
      </c>
      <c r="K144" s="1915" t="s">
        <v>811</v>
      </c>
      <c r="L144" s="1794">
        <v>0.5</v>
      </c>
      <c r="M144" s="1794" t="s">
        <v>8566</v>
      </c>
      <c r="N144" s="1915" t="s">
        <v>8300</v>
      </c>
      <c r="O144" s="1915" t="s">
        <v>8690</v>
      </c>
      <c r="P144" s="1915">
        <v>1</v>
      </c>
      <c r="Q144" s="1915">
        <v>0</v>
      </c>
      <c r="R144" s="2096"/>
      <c r="S144" s="2248" t="s">
        <v>8118</v>
      </c>
      <c r="T144" s="1915" t="s">
        <v>7499</v>
      </c>
      <c r="U144" s="1794" t="s">
        <v>7233</v>
      </c>
      <c r="V144" s="1927" t="s">
        <v>6087</v>
      </c>
      <c r="W144" s="1947" t="s">
        <v>8300</v>
      </c>
      <c r="X144" s="1915" t="s">
        <v>8690</v>
      </c>
    </row>
    <row r="145" spans="1:24" ht="74.099999999999994" customHeight="1">
      <c r="A145" s="1899"/>
      <c r="B145" s="1807" t="s">
        <v>162</v>
      </c>
      <c r="C145" s="1837">
        <v>1</v>
      </c>
      <c r="D145" s="1829">
        <v>1</v>
      </c>
      <c r="E145" s="1846">
        <v>0</v>
      </c>
      <c r="F145" s="1837">
        <v>0.5</v>
      </c>
      <c r="G145" s="1829">
        <v>1</v>
      </c>
      <c r="H145" s="1831">
        <v>0.5</v>
      </c>
      <c r="I145" s="2086" t="s">
        <v>147</v>
      </c>
      <c r="J145" s="2217">
        <v>1</v>
      </c>
      <c r="K145" s="1915" t="s">
        <v>948</v>
      </c>
      <c r="L145" s="1794" t="s">
        <v>1073</v>
      </c>
      <c r="M145" s="1802">
        <v>0.5</v>
      </c>
      <c r="N145" s="1915" t="s">
        <v>8301</v>
      </c>
      <c r="O145" s="1915" t="s">
        <v>8691</v>
      </c>
      <c r="P145" s="1915">
        <v>1</v>
      </c>
      <c r="Q145" s="1915">
        <v>0</v>
      </c>
      <c r="R145" s="2096"/>
      <c r="S145" s="2248" t="s">
        <v>9221</v>
      </c>
      <c r="T145" s="1915" t="s">
        <v>7500</v>
      </c>
      <c r="U145" s="1794" t="s">
        <v>7234</v>
      </c>
      <c r="V145" s="1915" t="s">
        <v>8576</v>
      </c>
      <c r="W145" s="1947" t="s">
        <v>8301</v>
      </c>
      <c r="X145" s="1915" t="s">
        <v>8691</v>
      </c>
    </row>
    <row r="146" spans="1:24" ht="108.95" customHeight="1">
      <c r="A146" s="1899"/>
      <c r="B146" s="1807" t="s">
        <v>163</v>
      </c>
      <c r="C146" s="1837">
        <v>1</v>
      </c>
      <c r="D146" s="1829">
        <v>1</v>
      </c>
      <c r="E146" s="1846">
        <v>0</v>
      </c>
      <c r="F146" s="1837">
        <v>1</v>
      </c>
      <c r="G146" s="1829">
        <v>1</v>
      </c>
      <c r="H146" s="1831">
        <v>0.5</v>
      </c>
      <c r="I146" s="2086" t="s">
        <v>147</v>
      </c>
      <c r="J146" s="2217">
        <v>1</v>
      </c>
      <c r="K146" s="1925" t="s">
        <v>1134</v>
      </c>
      <c r="L146" s="1794" t="s">
        <v>1073</v>
      </c>
      <c r="M146" s="1802">
        <v>1</v>
      </c>
      <c r="N146" s="1915" t="s">
        <v>8302</v>
      </c>
      <c r="O146" s="1925" t="s">
        <v>8692</v>
      </c>
      <c r="P146" s="1915">
        <v>1</v>
      </c>
      <c r="Q146" s="1915">
        <v>0</v>
      </c>
      <c r="R146" s="2096"/>
      <c r="S146" s="2248" t="s">
        <v>9222</v>
      </c>
      <c r="T146" s="1925" t="s">
        <v>7501</v>
      </c>
      <c r="U146" s="1939" t="s">
        <v>1073</v>
      </c>
      <c r="V146" s="1914" t="s">
        <v>6089</v>
      </c>
      <c r="W146" s="1947" t="s">
        <v>8302</v>
      </c>
      <c r="X146" s="1925" t="s">
        <v>8692</v>
      </c>
    </row>
    <row r="147" spans="1:24" ht="32.1" customHeight="1">
      <c r="A147" s="2499" t="s">
        <v>6988</v>
      </c>
      <c r="B147" s="2084" t="s">
        <v>165</v>
      </c>
      <c r="C147" s="2093">
        <f t="shared" ref="C147:H147" si="40">AVERAGE(C148,C152,C156,C157,C161)</f>
        <v>0.83333333333333337</v>
      </c>
      <c r="D147" s="2093">
        <f t="shared" si="40"/>
        <v>0.56666666666666665</v>
      </c>
      <c r="E147" s="2093">
        <f t="shared" si="40"/>
        <v>0.5</v>
      </c>
      <c r="F147" s="2093">
        <f t="shared" si="40"/>
        <v>0.66666666666666674</v>
      </c>
      <c r="G147" s="2093">
        <f t="shared" si="40"/>
        <v>0.23333333333333334</v>
      </c>
      <c r="H147" s="2093">
        <f t="shared" si="40"/>
        <v>0.26666666666666672</v>
      </c>
      <c r="I147" s="2086"/>
      <c r="J147" s="2087"/>
      <c r="K147" s="2089"/>
      <c r="L147" s="2089"/>
      <c r="M147" s="2089"/>
      <c r="N147" s="2089"/>
      <c r="O147" s="2089"/>
      <c r="P147" s="2109"/>
      <c r="Q147" s="2109"/>
      <c r="R147" s="2110"/>
      <c r="S147" s="2087"/>
      <c r="T147" s="2089"/>
      <c r="U147" s="2089"/>
      <c r="V147" s="2089"/>
      <c r="W147" s="2092"/>
      <c r="X147" s="2089"/>
    </row>
    <row r="148" spans="1:24" ht="129" customHeight="1">
      <c r="A148" s="2500"/>
      <c r="B148" s="2059" t="s">
        <v>166</v>
      </c>
      <c r="C148" s="2060">
        <f t="shared" ref="C148:G148" si="41">AVERAGE(C149:C151)</f>
        <v>1</v>
      </c>
      <c r="D148" s="2060">
        <f t="shared" si="41"/>
        <v>1</v>
      </c>
      <c r="E148" s="2060">
        <f t="shared" si="41"/>
        <v>1</v>
      </c>
      <c r="F148" s="2060">
        <f t="shared" si="41"/>
        <v>1</v>
      </c>
      <c r="G148" s="2060">
        <f t="shared" si="41"/>
        <v>1</v>
      </c>
      <c r="H148" s="2060">
        <f>AVERAGE(H149:H151)</f>
        <v>1</v>
      </c>
      <c r="I148" s="2086"/>
      <c r="J148" s="1910"/>
      <c r="K148" s="1966"/>
      <c r="L148" s="1911"/>
      <c r="M148" s="1966"/>
      <c r="N148" s="1911" t="s">
        <v>5419</v>
      </c>
      <c r="O148" s="1966" t="s">
        <v>8693</v>
      </c>
      <c r="P148" s="1969"/>
      <c r="Q148" s="1969"/>
      <c r="R148" s="2293"/>
      <c r="S148" s="2250"/>
      <c r="T148" s="1971"/>
      <c r="U148" s="1911" t="s">
        <v>7235</v>
      </c>
      <c r="V148" s="1966"/>
      <c r="W148" s="1967" t="s">
        <v>5419</v>
      </c>
      <c r="X148" s="1966" t="s">
        <v>8693</v>
      </c>
    </row>
    <row r="149" spans="1:24" ht="32.1" customHeight="1">
      <c r="A149" s="2501"/>
      <c r="B149" s="1804" t="s">
        <v>167</v>
      </c>
      <c r="C149" s="1837">
        <v>1</v>
      </c>
      <c r="D149" s="1828">
        <v>1</v>
      </c>
      <c r="E149" s="1846">
        <v>1</v>
      </c>
      <c r="F149" s="1833">
        <v>1</v>
      </c>
      <c r="G149" s="1828">
        <v>1</v>
      </c>
      <c r="H149" s="1831">
        <v>1</v>
      </c>
      <c r="I149" s="2086" t="s">
        <v>147</v>
      </c>
      <c r="J149" s="2217">
        <v>1</v>
      </c>
      <c r="K149" s="1915">
        <v>1</v>
      </c>
      <c r="L149" s="1794">
        <v>0.5</v>
      </c>
      <c r="M149" s="1964">
        <v>1</v>
      </c>
      <c r="N149" s="1915">
        <v>1</v>
      </c>
      <c r="O149" s="1915" t="s">
        <v>811</v>
      </c>
      <c r="P149" s="1915">
        <v>1</v>
      </c>
      <c r="Q149" s="1915">
        <v>0</v>
      </c>
      <c r="R149" s="2096"/>
      <c r="S149" s="2248" t="s">
        <v>9223</v>
      </c>
      <c r="T149" s="1947">
        <v>1</v>
      </c>
      <c r="U149" s="1794" t="s">
        <v>2454</v>
      </c>
      <c r="V149" s="1964" t="s">
        <v>6090</v>
      </c>
      <c r="W149" s="1947" t="s">
        <v>4392</v>
      </c>
      <c r="X149" s="1915" t="s">
        <v>811</v>
      </c>
    </row>
    <row r="150" spans="1:24" ht="32.1" customHeight="1">
      <c r="A150" s="2501"/>
      <c r="B150" s="1804" t="s">
        <v>168</v>
      </c>
      <c r="C150" s="1837">
        <v>1</v>
      </c>
      <c r="D150" s="1828">
        <v>1</v>
      </c>
      <c r="E150" s="1846">
        <v>1</v>
      </c>
      <c r="F150" s="1833">
        <v>1</v>
      </c>
      <c r="G150" s="1828">
        <v>1</v>
      </c>
      <c r="H150" s="1831">
        <v>1</v>
      </c>
      <c r="I150" s="2086" t="s">
        <v>38</v>
      </c>
      <c r="J150" s="2217">
        <v>1</v>
      </c>
      <c r="K150" s="1915">
        <v>1</v>
      </c>
      <c r="L150" s="1794">
        <v>0.5</v>
      </c>
      <c r="M150" s="1964">
        <v>1</v>
      </c>
      <c r="N150" s="1915">
        <v>1</v>
      </c>
      <c r="O150" s="1915" t="s">
        <v>811</v>
      </c>
      <c r="P150" s="1915">
        <v>1</v>
      </c>
      <c r="Q150" s="1915">
        <v>0</v>
      </c>
      <c r="R150" s="2096"/>
      <c r="S150" s="2248" t="s">
        <v>9224</v>
      </c>
      <c r="T150" s="1947">
        <v>1</v>
      </c>
      <c r="U150" s="1794" t="s">
        <v>2454</v>
      </c>
      <c r="V150" s="1964" t="s">
        <v>6091</v>
      </c>
      <c r="W150" s="1947" t="s">
        <v>4392</v>
      </c>
      <c r="X150" s="1915" t="s">
        <v>811</v>
      </c>
    </row>
    <row r="151" spans="1:24" ht="32.1" customHeight="1">
      <c r="A151" s="1874"/>
      <c r="B151" s="1804" t="s">
        <v>169</v>
      </c>
      <c r="C151" s="1837">
        <v>1</v>
      </c>
      <c r="D151" s="1828">
        <v>1</v>
      </c>
      <c r="E151" s="1846">
        <v>1</v>
      </c>
      <c r="F151" s="1833">
        <v>1</v>
      </c>
      <c r="G151" s="1828">
        <v>1</v>
      </c>
      <c r="H151" s="1831">
        <v>1</v>
      </c>
      <c r="I151" s="2086" t="s">
        <v>38</v>
      </c>
      <c r="J151" s="2217">
        <v>1</v>
      </c>
      <c r="K151" s="1915">
        <v>1</v>
      </c>
      <c r="L151" s="1794">
        <v>0.5</v>
      </c>
      <c r="M151" s="1914">
        <v>1</v>
      </c>
      <c r="N151" s="1915">
        <v>1</v>
      </c>
      <c r="O151" s="1915" t="s">
        <v>811</v>
      </c>
      <c r="P151" s="1915">
        <v>1</v>
      </c>
      <c r="Q151" s="1915">
        <v>0</v>
      </c>
      <c r="R151" s="2096"/>
      <c r="S151" s="2248" t="s">
        <v>9225</v>
      </c>
      <c r="T151" s="1947">
        <v>1</v>
      </c>
      <c r="U151" s="1794" t="s">
        <v>2454</v>
      </c>
      <c r="V151" s="1914" t="s">
        <v>6092</v>
      </c>
      <c r="W151" s="1947" t="s">
        <v>4392</v>
      </c>
      <c r="X151" s="1915" t="s">
        <v>811</v>
      </c>
    </row>
    <row r="152" spans="1:24" ht="54" customHeight="1">
      <c r="A152" s="2500"/>
      <c r="B152" s="2059" t="s">
        <v>170</v>
      </c>
      <c r="C152" s="2060">
        <f t="shared" ref="C152:G152" si="42">AVERAGE(C153:C155)</f>
        <v>1</v>
      </c>
      <c r="D152" s="2060">
        <f t="shared" si="42"/>
        <v>0.66666666666666663</v>
      </c>
      <c r="E152" s="2060">
        <f t="shared" si="42"/>
        <v>0.5</v>
      </c>
      <c r="F152" s="2060">
        <f t="shared" si="42"/>
        <v>1</v>
      </c>
      <c r="G152" s="2060">
        <f t="shared" si="42"/>
        <v>0.16666666666666666</v>
      </c>
      <c r="H152" s="2060">
        <f>AVERAGE(H153:H155)</f>
        <v>0</v>
      </c>
      <c r="I152" s="2086"/>
      <c r="J152" s="1910"/>
      <c r="K152" s="1966"/>
      <c r="L152" s="1911"/>
      <c r="M152" s="1966"/>
      <c r="N152" s="1911" t="s">
        <v>8303</v>
      </c>
      <c r="O152" s="1911" t="s">
        <v>8694</v>
      </c>
      <c r="P152" s="1911"/>
      <c r="Q152" s="1911"/>
      <c r="R152" s="2096"/>
      <c r="S152" s="2250"/>
      <c r="T152" s="1971"/>
      <c r="U152" s="1911" t="s">
        <v>7236</v>
      </c>
      <c r="V152" s="1966"/>
      <c r="W152" s="1967" t="s">
        <v>8303</v>
      </c>
      <c r="X152" s="1911" t="s">
        <v>8694</v>
      </c>
    </row>
    <row r="153" spans="1:24" ht="32.1" customHeight="1">
      <c r="A153" s="2501"/>
      <c r="B153" s="1804" t="s">
        <v>167</v>
      </c>
      <c r="C153" s="1837">
        <v>1</v>
      </c>
      <c r="D153" s="1833">
        <v>1</v>
      </c>
      <c r="E153" s="1846">
        <v>0.5</v>
      </c>
      <c r="F153" s="1828">
        <v>1</v>
      </c>
      <c r="G153" s="1828">
        <v>0</v>
      </c>
      <c r="H153" s="1831">
        <v>0</v>
      </c>
      <c r="I153" s="2086" t="s">
        <v>147</v>
      </c>
      <c r="J153" s="2236">
        <v>1</v>
      </c>
      <c r="K153" s="1964" t="s">
        <v>811</v>
      </c>
      <c r="L153" s="1794">
        <v>0.5</v>
      </c>
      <c r="M153" s="1925">
        <v>1</v>
      </c>
      <c r="N153" s="1915" t="s">
        <v>8304</v>
      </c>
      <c r="O153" s="1915" t="s">
        <v>763</v>
      </c>
      <c r="P153" s="1915">
        <v>1</v>
      </c>
      <c r="Q153" s="1915">
        <v>0</v>
      </c>
      <c r="R153" s="2096"/>
      <c r="S153" s="2248" t="s">
        <v>8119</v>
      </c>
      <c r="T153" s="1833" t="s">
        <v>811</v>
      </c>
      <c r="U153" s="1794" t="s">
        <v>2454</v>
      </c>
      <c r="V153" s="1925" t="s">
        <v>6093</v>
      </c>
      <c r="W153" s="1947" t="s">
        <v>8304</v>
      </c>
      <c r="X153" s="1915" t="s">
        <v>763</v>
      </c>
    </row>
    <row r="154" spans="1:24" ht="32.1" customHeight="1">
      <c r="A154" s="2501"/>
      <c r="B154" s="1804" t="s">
        <v>168</v>
      </c>
      <c r="C154" s="1837">
        <v>1</v>
      </c>
      <c r="D154" s="1833">
        <v>1</v>
      </c>
      <c r="E154" s="1846">
        <v>0.5</v>
      </c>
      <c r="F154" s="1829">
        <v>1</v>
      </c>
      <c r="G154" s="1828">
        <v>0.5</v>
      </c>
      <c r="H154" s="1831">
        <v>0</v>
      </c>
      <c r="I154" s="2086" t="s">
        <v>147</v>
      </c>
      <c r="J154" s="2217">
        <v>1</v>
      </c>
      <c r="K154" s="1964" t="s">
        <v>811</v>
      </c>
      <c r="L154" s="1794">
        <v>0.5</v>
      </c>
      <c r="M154" s="1925">
        <v>1</v>
      </c>
      <c r="N154" s="1915" t="s">
        <v>5422</v>
      </c>
      <c r="O154" s="1915" t="s">
        <v>763</v>
      </c>
      <c r="P154" s="1915">
        <v>1</v>
      </c>
      <c r="Q154" s="1915">
        <v>0</v>
      </c>
      <c r="R154" s="2096"/>
      <c r="S154" s="2248" t="s">
        <v>9226</v>
      </c>
      <c r="T154" s="1833" t="s">
        <v>811</v>
      </c>
      <c r="U154" s="1794" t="s">
        <v>2454</v>
      </c>
      <c r="V154" s="1925" t="s">
        <v>6094</v>
      </c>
      <c r="W154" s="1947" t="s">
        <v>5422</v>
      </c>
      <c r="X154" s="1915" t="s">
        <v>763</v>
      </c>
    </row>
    <row r="155" spans="1:24" ht="32.1" customHeight="1">
      <c r="A155" s="2501"/>
      <c r="B155" s="1804" t="s">
        <v>169</v>
      </c>
      <c r="C155" s="1837">
        <v>1</v>
      </c>
      <c r="D155" s="1828">
        <v>0</v>
      </c>
      <c r="E155" s="1846">
        <v>0.5</v>
      </c>
      <c r="F155" s="1837">
        <v>1</v>
      </c>
      <c r="G155" s="1828">
        <v>0</v>
      </c>
      <c r="H155" s="2210">
        <v>0</v>
      </c>
      <c r="I155" s="2086" t="s">
        <v>147</v>
      </c>
      <c r="J155" s="2217">
        <v>1</v>
      </c>
      <c r="K155" s="1925" t="s">
        <v>748</v>
      </c>
      <c r="L155" s="1794">
        <v>0.5</v>
      </c>
      <c r="M155" s="1802">
        <v>1</v>
      </c>
      <c r="N155" s="1915" t="s">
        <v>8304</v>
      </c>
      <c r="O155" s="1915" t="s">
        <v>8695</v>
      </c>
      <c r="P155" s="1915">
        <v>1</v>
      </c>
      <c r="Q155" s="1915">
        <v>0</v>
      </c>
      <c r="R155" s="2096"/>
      <c r="S155" s="2248" t="s">
        <v>9227</v>
      </c>
      <c r="T155" s="1828" t="s">
        <v>748</v>
      </c>
      <c r="U155" s="1794" t="s">
        <v>2454</v>
      </c>
      <c r="V155" s="1914" t="s">
        <v>6095</v>
      </c>
      <c r="W155" s="1947" t="s">
        <v>8304</v>
      </c>
      <c r="X155" s="1947" t="s">
        <v>748</v>
      </c>
    </row>
    <row r="156" spans="1:24" ht="32.1" customHeight="1">
      <c r="A156" s="2501"/>
      <c r="B156" s="1820" t="s">
        <v>171</v>
      </c>
      <c r="C156" s="1837">
        <v>1</v>
      </c>
      <c r="D156" s="1828">
        <v>0.5</v>
      </c>
      <c r="E156" s="1846">
        <v>0.5</v>
      </c>
      <c r="F156" s="1837">
        <v>1</v>
      </c>
      <c r="G156" s="1828">
        <v>0</v>
      </c>
      <c r="H156" s="1831">
        <v>0</v>
      </c>
      <c r="I156" s="2086" t="s">
        <v>147</v>
      </c>
      <c r="J156" s="2217">
        <v>1</v>
      </c>
      <c r="K156" s="1915" t="s">
        <v>5427</v>
      </c>
      <c r="L156" s="1794">
        <v>0.5</v>
      </c>
      <c r="M156" s="1802">
        <v>1</v>
      </c>
      <c r="N156" s="1915" t="s">
        <v>8304</v>
      </c>
      <c r="O156" s="1915" t="s">
        <v>8696</v>
      </c>
      <c r="P156" s="1915"/>
      <c r="Q156" s="1915"/>
      <c r="R156" s="2096"/>
      <c r="S156" s="2248" t="s">
        <v>9228</v>
      </c>
      <c r="T156" s="1947" t="s">
        <v>5427</v>
      </c>
      <c r="U156" s="1915" t="s">
        <v>7237</v>
      </c>
      <c r="V156" s="1914" t="s">
        <v>6096</v>
      </c>
      <c r="W156" s="1947" t="s">
        <v>8304</v>
      </c>
      <c r="X156" s="1915" t="s">
        <v>8696</v>
      </c>
    </row>
    <row r="157" spans="1:24" ht="47.1" customHeight="1">
      <c r="A157" s="2500"/>
      <c r="B157" s="2059" t="s">
        <v>172</v>
      </c>
      <c r="C157" s="2060">
        <f t="shared" ref="C157:G157" si="43">AVERAGE(C158:C160)</f>
        <v>1</v>
      </c>
      <c r="D157" s="2060">
        <f t="shared" si="43"/>
        <v>0.66666666666666663</v>
      </c>
      <c r="E157" s="2060">
        <f t="shared" si="43"/>
        <v>0.5</v>
      </c>
      <c r="F157" s="2060">
        <f t="shared" si="43"/>
        <v>0.33333333333333331</v>
      </c>
      <c r="G157" s="2060">
        <f t="shared" si="43"/>
        <v>0</v>
      </c>
      <c r="H157" s="2060">
        <f>AVERAGE(H158:H160)</f>
        <v>0.16666666666666666</v>
      </c>
      <c r="I157" s="2086"/>
      <c r="J157" s="1910"/>
      <c r="K157" s="1966"/>
      <c r="L157" s="1911"/>
      <c r="M157" s="1966"/>
      <c r="N157" s="1911" t="s">
        <v>5424</v>
      </c>
      <c r="O157" s="1911" t="s">
        <v>748</v>
      </c>
      <c r="P157" s="1911"/>
      <c r="Q157" s="1911"/>
      <c r="R157" s="2096"/>
      <c r="S157" s="2250"/>
      <c r="T157" s="1971"/>
      <c r="U157" s="1911"/>
      <c r="V157" s="1966"/>
      <c r="W157" s="1967" t="s">
        <v>5424</v>
      </c>
      <c r="X157" s="1911" t="s">
        <v>748</v>
      </c>
    </row>
    <row r="158" spans="1:24" ht="32.1" customHeight="1">
      <c r="A158" s="2501"/>
      <c r="B158" s="1804" t="s">
        <v>167</v>
      </c>
      <c r="C158" s="1837">
        <v>1</v>
      </c>
      <c r="D158" s="1828">
        <v>1</v>
      </c>
      <c r="E158" s="1846">
        <v>0.5</v>
      </c>
      <c r="F158" s="1833">
        <v>0.5</v>
      </c>
      <c r="G158" s="1828">
        <v>0</v>
      </c>
      <c r="H158" s="1831">
        <v>0</v>
      </c>
      <c r="I158" s="2086" t="s">
        <v>147</v>
      </c>
      <c r="J158" s="2217">
        <v>1</v>
      </c>
      <c r="K158" s="1915" t="s">
        <v>811</v>
      </c>
      <c r="L158" s="1794">
        <v>0.5</v>
      </c>
      <c r="M158" s="1914">
        <v>0.5</v>
      </c>
      <c r="N158" s="1915" t="s">
        <v>2425</v>
      </c>
      <c r="O158" s="1915" t="s">
        <v>748</v>
      </c>
      <c r="P158" s="1915">
        <v>1</v>
      </c>
      <c r="Q158" s="1915">
        <v>0</v>
      </c>
      <c r="R158" s="2096"/>
      <c r="S158" s="2248" t="s">
        <v>8120</v>
      </c>
      <c r="T158" s="1947" t="s">
        <v>811</v>
      </c>
      <c r="U158" s="1794" t="s">
        <v>7238</v>
      </c>
      <c r="V158" s="1914" t="s">
        <v>7873</v>
      </c>
      <c r="W158" s="1947" t="s">
        <v>2425</v>
      </c>
      <c r="X158" s="1915" t="s">
        <v>748</v>
      </c>
    </row>
    <row r="159" spans="1:24" ht="32.1" customHeight="1">
      <c r="A159" s="2501"/>
      <c r="B159" s="1804" t="s">
        <v>168</v>
      </c>
      <c r="C159" s="1837">
        <v>1</v>
      </c>
      <c r="D159" s="1828">
        <v>1</v>
      </c>
      <c r="E159" s="1846">
        <v>1</v>
      </c>
      <c r="F159" s="1828">
        <v>0.5</v>
      </c>
      <c r="G159" s="1828">
        <v>0</v>
      </c>
      <c r="H159" s="1831">
        <v>0.5</v>
      </c>
      <c r="I159" s="2086" t="s">
        <v>147</v>
      </c>
      <c r="J159" s="2217">
        <v>1</v>
      </c>
      <c r="K159" s="1915" t="s">
        <v>811</v>
      </c>
      <c r="L159" s="1794">
        <v>1</v>
      </c>
      <c r="M159" s="1925">
        <v>0.5</v>
      </c>
      <c r="N159" s="1915" t="s">
        <v>2425</v>
      </c>
      <c r="O159" s="1915" t="s">
        <v>8697</v>
      </c>
      <c r="P159" s="1915">
        <v>1</v>
      </c>
      <c r="Q159" s="1915">
        <v>0</v>
      </c>
      <c r="R159" s="2096"/>
      <c r="S159" s="2248" t="s">
        <v>9229</v>
      </c>
      <c r="T159" s="1947" t="s">
        <v>811</v>
      </c>
      <c r="U159" s="1794" t="s">
        <v>7239</v>
      </c>
      <c r="V159" s="1925" t="s">
        <v>8577</v>
      </c>
      <c r="W159" s="1947" t="s">
        <v>2425</v>
      </c>
      <c r="X159" s="1915" t="s">
        <v>8697</v>
      </c>
    </row>
    <row r="160" spans="1:24" ht="32.1" customHeight="1">
      <c r="A160" s="2501"/>
      <c r="B160" s="1804" t="s">
        <v>169</v>
      </c>
      <c r="C160" s="1837">
        <v>1</v>
      </c>
      <c r="D160" s="1828">
        <v>0</v>
      </c>
      <c r="E160" s="1846">
        <v>0</v>
      </c>
      <c r="F160" s="1828">
        <v>0</v>
      </c>
      <c r="G160" s="1828">
        <v>0</v>
      </c>
      <c r="H160" s="1831">
        <v>0</v>
      </c>
      <c r="I160" s="2086" t="s">
        <v>147</v>
      </c>
      <c r="J160" s="2217">
        <v>1</v>
      </c>
      <c r="K160" s="1915" t="s">
        <v>748</v>
      </c>
      <c r="L160" s="1794">
        <v>0</v>
      </c>
      <c r="M160" s="1925">
        <v>0</v>
      </c>
      <c r="N160" s="1915" t="s">
        <v>2425</v>
      </c>
      <c r="O160" s="1915" t="s">
        <v>1060</v>
      </c>
      <c r="P160" s="1915">
        <v>1</v>
      </c>
      <c r="Q160" s="1915">
        <v>0</v>
      </c>
      <c r="R160" s="2096"/>
      <c r="S160" s="2248" t="s">
        <v>9230</v>
      </c>
      <c r="T160" s="1947" t="s">
        <v>748</v>
      </c>
      <c r="U160" s="1794" t="s">
        <v>748</v>
      </c>
      <c r="V160" s="1925" t="s">
        <v>763</v>
      </c>
      <c r="W160" s="1947" t="s">
        <v>2425</v>
      </c>
      <c r="X160" s="1915" t="s">
        <v>1060</v>
      </c>
    </row>
    <row r="161" spans="1:78" ht="50.1" customHeight="1">
      <c r="A161" s="2500"/>
      <c r="B161" s="2059" t="s">
        <v>173</v>
      </c>
      <c r="C161" s="2060">
        <f t="shared" ref="C161:G161" si="44">AVERAGE(C162:C164)</f>
        <v>0.16666666666666666</v>
      </c>
      <c r="D161" s="2060">
        <f t="shared" si="44"/>
        <v>0</v>
      </c>
      <c r="E161" s="2060">
        <f t="shared" si="44"/>
        <v>0</v>
      </c>
      <c r="F161" s="2060">
        <f t="shared" si="44"/>
        <v>0</v>
      </c>
      <c r="G161" s="2060">
        <f t="shared" si="44"/>
        <v>0</v>
      </c>
      <c r="H161" s="2060">
        <f>AVERAGE(H162:H164)</f>
        <v>0.16666666666666666</v>
      </c>
      <c r="I161" s="2086"/>
      <c r="J161" s="1910"/>
      <c r="K161" s="1966"/>
      <c r="L161" s="1911"/>
      <c r="M161" s="1966"/>
      <c r="N161" s="1911" t="s">
        <v>8305</v>
      </c>
      <c r="O161" s="1911" t="s">
        <v>748</v>
      </c>
      <c r="P161" s="1911"/>
      <c r="Q161" s="1911"/>
      <c r="R161" s="2096"/>
      <c r="S161" s="2250"/>
      <c r="T161" s="1971"/>
      <c r="U161" s="1911"/>
      <c r="V161" s="1966"/>
      <c r="W161" s="1967" t="s">
        <v>8305</v>
      </c>
      <c r="X161" s="1911" t="s">
        <v>748</v>
      </c>
    </row>
    <row r="162" spans="1:78" ht="32.1" customHeight="1">
      <c r="A162" s="2501"/>
      <c r="B162" s="1804" t="s">
        <v>167</v>
      </c>
      <c r="C162" s="1837">
        <v>0</v>
      </c>
      <c r="D162" s="1828">
        <v>0</v>
      </c>
      <c r="E162" s="1846">
        <v>0</v>
      </c>
      <c r="F162" s="1830">
        <v>0</v>
      </c>
      <c r="G162" s="1828">
        <v>0</v>
      </c>
      <c r="H162" s="1831">
        <v>0</v>
      </c>
      <c r="I162" s="2086" t="s">
        <v>38</v>
      </c>
      <c r="J162" s="2217">
        <v>0</v>
      </c>
      <c r="K162" s="1915" t="s">
        <v>748</v>
      </c>
      <c r="L162" s="1794">
        <v>0</v>
      </c>
      <c r="M162" s="1929">
        <v>0</v>
      </c>
      <c r="N162" s="1915" t="s">
        <v>2425</v>
      </c>
      <c r="O162" s="1915" t="s">
        <v>1060</v>
      </c>
      <c r="P162" s="1915">
        <v>1</v>
      </c>
      <c r="Q162" s="1915">
        <v>0</v>
      </c>
      <c r="R162" s="2096"/>
      <c r="S162" s="2248" t="s">
        <v>8121</v>
      </c>
      <c r="T162" s="1947" t="s">
        <v>748</v>
      </c>
      <c r="U162" s="1794" t="s">
        <v>748</v>
      </c>
      <c r="V162" s="1929" t="s">
        <v>763</v>
      </c>
      <c r="W162" s="1947" t="s">
        <v>2425</v>
      </c>
      <c r="X162" s="1915" t="s">
        <v>1060</v>
      </c>
    </row>
    <row r="163" spans="1:78" ht="69" customHeight="1">
      <c r="A163" s="1899"/>
      <c r="B163" s="1804" t="s">
        <v>168</v>
      </c>
      <c r="C163" s="1837">
        <v>0.5</v>
      </c>
      <c r="D163" s="1828">
        <v>0</v>
      </c>
      <c r="E163" s="1846">
        <v>0</v>
      </c>
      <c r="F163" s="1829">
        <v>0</v>
      </c>
      <c r="G163" s="1828">
        <v>0</v>
      </c>
      <c r="H163" s="1831">
        <v>0.5</v>
      </c>
      <c r="I163" s="2086" t="s">
        <v>147</v>
      </c>
      <c r="J163" s="2218" t="s">
        <v>6225</v>
      </c>
      <c r="K163" s="1915" t="s">
        <v>748</v>
      </c>
      <c r="L163" s="1794">
        <v>0</v>
      </c>
      <c r="M163" s="1949">
        <v>0</v>
      </c>
      <c r="N163" s="1915" t="s">
        <v>2425</v>
      </c>
      <c r="O163" s="1925" t="s">
        <v>8697</v>
      </c>
      <c r="P163" s="1915">
        <v>1</v>
      </c>
      <c r="Q163" s="1915">
        <v>0</v>
      </c>
      <c r="R163" s="2096"/>
      <c r="S163" s="2248" t="s">
        <v>9231</v>
      </c>
      <c r="T163" s="1947" t="s">
        <v>748</v>
      </c>
      <c r="U163" s="1794" t="s">
        <v>748</v>
      </c>
      <c r="V163" s="1949" t="s">
        <v>8578</v>
      </c>
      <c r="W163" s="1947" t="s">
        <v>2425</v>
      </c>
      <c r="X163" s="1925" t="s">
        <v>8697</v>
      </c>
    </row>
    <row r="164" spans="1:78" ht="32.1" customHeight="1">
      <c r="A164" s="2501"/>
      <c r="B164" s="1804" t="s">
        <v>169</v>
      </c>
      <c r="C164" s="1837">
        <v>0</v>
      </c>
      <c r="D164" s="1828">
        <v>0</v>
      </c>
      <c r="E164" s="1846">
        <v>0</v>
      </c>
      <c r="F164" s="1830">
        <v>0</v>
      </c>
      <c r="G164" s="1828">
        <v>0</v>
      </c>
      <c r="H164" s="1831">
        <v>0</v>
      </c>
      <c r="I164" s="2086" t="s">
        <v>38</v>
      </c>
      <c r="J164" s="2217">
        <v>0</v>
      </c>
      <c r="K164" s="1915" t="s">
        <v>748</v>
      </c>
      <c r="L164" s="1794">
        <v>0</v>
      </c>
      <c r="M164" s="1929">
        <v>0</v>
      </c>
      <c r="N164" s="1915" t="s">
        <v>2425</v>
      </c>
      <c r="O164" s="1925" t="s">
        <v>763</v>
      </c>
      <c r="P164" s="1915">
        <v>1</v>
      </c>
      <c r="Q164" s="1915">
        <v>0</v>
      </c>
      <c r="R164" s="2096"/>
      <c r="S164" s="2248" t="s">
        <v>8122</v>
      </c>
      <c r="T164" s="1947" t="s">
        <v>748</v>
      </c>
      <c r="U164" s="1794" t="s">
        <v>748</v>
      </c>
      <c r="V164" s="1929" t="s">
        <v>763</v>
      </c>
      <c r="W164" s="1947" t="s">
        <v>2425</v>
      </c>
      <c r="X164" s="1925" t="s">
        <v>763</v>
      </c>
    </row>
    <row r="165" spans="1:78" ht="32.1" customHeight="1">
      <c r="A165" s="2499" t="s">
        <v>6989</v>
      </c>
      <c r="B165" s="2084" t="s">
        <v>175</v>
      </c>
      <c r="C165" s="2085">
        <f t="shared" ref="C165:H165" si="45">AVERAGE(C166,C170,C171,C175,C176,C177)</f>
        <v>0.61111111111111105</v>
      </c>
      <c r="D165" s="2085">
        <f t="shared" si="45"/>
        <v>0.63888888888888884</v>
      </c>
      <c r="E165" s="2085">
        <f t="shared" si="45"/>
        <v>8.3333333333333329E-2</v>
      </c>
      <c r="F165" s="2085">
        <f t="shared" si="45"/>
        <v>0.66666666666666663</v>
      </c>
      <c r="G165" s="2085">
        <f t="shared" si="45"/>
        <v>0.63888888888888884</v>
      </c>
      <c r="H165" s="2085">
        <f t="shared" si="45"/>
        <v>0.16666666666666666</v>
      </c>
      <c r="I165" s="2086"/>
      <c r="J165" s="2112"/>
      <c r="K165" s="2112"/>
      <c r="L165" s="2112"/>
      <c r="M165" s="2112"/>
      <c r="N165" s="2112"/>
      <c r="O165" s="2112"/>
      <c r="P165" s="2113"/>
      <c r="Q165" s="2113"/>
      <c r="R165" s="2114"/>
      <c r="S165" s="2086"/>
      <c r="T165" s="2086"/>
      <c r="U165" s="2086"/>
      <c r="V165" s="2086"/>
      <c r="W165" s="2115"/>
      <c r="X165" s="2086"/>
    </row>
    <row r="166" spans="1:78" s="1891" customFormat="1" ht="69.95" customHeight="1">
      <c r="A166" s="2500"/>
      <c r="B166" s="2059" t="s">
        <v>176</v>
      </c>
      <c r="C166" s="2156">
        <f t="shared" ref="C166:H166" si="46">AVERAGE(C167:C169)</f>
        <v>0.5</v>
      </c>
      <c r="D166" s="2156">
        <f t="shared" si="46"/>
        <v>0.5</v>
      </c>
      <c r="E166" s="2156">
        <f t="shared" si="46"/>
        <v>0.5</v>
      </c>
      <c r="F166" s="2156">
        <f t="shared" si="46"/>
        <v>0.83333333333333337</v>
      </c>
      <c r="G166" s="2156">
        <f t="shared" si="46"/>
        <v>0.5</v>
      </c>
      <c r="H166" s="2156">
        <f t="shared" si="46"/>
        <v>0</v>
      </c>
      <c r="I166" s="2086" t="s">
        <v>38</v>
      </c>
      <c r="J166" s="1910"/>
      <c r="K166" s="1911"/>
      <c r="L166" s="1911"/>
      <c r="M166" s="1910"/>
      <c r="N166" s="1911" t="s">
        <v>5426</v>
      </c>
      <c r="O166" s="1911" t="s">
        <v>8698</v>
      </c>
      <c r="P166" s="1969"/>
      <c r="Q166" s="1969"/>
      <c r="R166" s="2293"/>
      <c r="S166" s="2250"/>
      <c r="T166" s="1911"/>
      <c r="U166" s="1911"/>
      <c r="V166" s="1910"/>
      <c r="W166" s="1967" t="s">
        <v>5426</v>
      </c>
      <c r="X166" s="1911" t="s">
        <v>8698</v>
      </c>
      <c r="Y166" s="1818"/>
      <c r="Z166" s="1818"/>
      <c r="AA166" s="1818"/>
      <c r="AB166" s="1818"/>
      <c r="AC166" s="1818"/>
      <c r="AD166" s="1818"/>
      <c r="AE166" s="1818"/>
      <c r="AF166" s="1818"/>
      <c r="AG166" s="1818"/>
      <c r="AH166" s="1818"/>
      <c r="AI166" s="1818"/>
      <c r="AJ166" s="1818"/>
      <c r="AK166" s="1818"/>
      <c r="AL166" s="1818"/>
      <c r="AM166" s="1818"/>
      <c r="AN166" s="1818"/>
      <c r="AO166" s="1818"/>
      <c r="AP166" s="1818"/>
      <c r="AQ166" s="1818"/>
      <c r="AR166" s="1818"/>
      <c r="AS166" s="1818"/>
      <c r="AT166" s="1818"/>
      <c r="AU166" s="1818"/>
      <c r="AV166" s="1818"/>
      <c r="AW166" s="1818"/>
      <c r="AX166" s="1818"/>
      <c r="AY166" s="1818"/>
      <c r="AZ166" s="1818"/>
      <c r="BA166" s="1818"/>
      <c r="BB166" s="1818"/>
      <c r="BC166" s="1818"/>
      <c r="BD166" s="1818"/>
      <c r="BE166" s="1818"/>
      <c r="BF166" s="1818"/>
      <c r="BG166" s="1818"/>
      <c r="BH166" s="1818"/>
      <c r="BI166" s="1818"/>
      <c r="BJ166" s="1818"/>
      <c r="BK166" s="1818"/>
      <c r="BL166" s="1818"/>
      <c r="BM166" s="1818"/>
      <c r="BN166" s="1818"/>
      <c r="BO166" s="1818"/>
      <c r="BP166" s="1818"/>
      <c r="BQ166" s="1818"/>
      <c r="BR166" s="1818"/>
      <c r="BS166" s="1818"/>
      <c r="BT166" s="1818"/>
      <c r="BU166" s="1818"/>
      <c r="BV166" s="1818"/>
      <c r="BW166" s="1818"/>
      <c r="BX166" s="1818"/>
      <c r="BY166" s="1818"/>
      <c r="BZ166" s="1818"/>
    </row>
    <row r="167" spans="1:78" ht="90.95" customHeight="1">
      <c r="A167" s="1899"/>
      <c r="B167" s="1804" t="s">
        <v>167</v>
      </c>
      <c r="C167" s="1837">
        <v>0.5</v>
      </c>
      <c r="D167" s="1829">
        <v>0.5</v>
      </c>
      <c r="E167" s="1846">
        <v>0.5</v>
      </c>
      <c r="F167" s="1837">
        <v>1</v>
      </c>
      <c r="G167" s="1829">
        <v>0.5</v>
      </c>
      <c r="H167" s="1831">
        <v>0</v>
      </c>
      <c r="I167" s="2086" t="s">
        <v>154</v>
      </c>
      <c r="J167" s="2218" t="s">
        <v>6225</v>
      </c>
      <c r="K167" s="1915" t="s">
        <v>7373</v>
      </c>
      <c r="L167" s="1794">
        <v>1</v>
      </c>
      <c r="M167" s="1914">
        <v>1</v>
      </c>
      <c r="N167" s="1915" t="s">
        <v>5427</v>
      </c>
      <c r="O167" s="1915" t="s">
        <v>748</v>
      </c>
      <c r="P167" s="1915">
        <v>1</v>
      </c>
      <c r="Q167" s="1915">
        <v>0</v>
      </c>
      <c r="R167" s="2096"/>
      <c r="S167" s="2248" t="s">
        <v>9232</v>
      </c>
      <c r="T167" s="1915" t="s">
        <v>7502</v>
      </c>
      <c r="U167" s="1915" t="s">
        <v>7240</v>
      </c>
      <c r="V167" s="1914" t="s">
        <v>7874</v>
      </c>
      <c r="W167" s="1947" t="s">
        <v>5427</v>
      </c>
      <c r="X167" s="1915" t="s">
        <v>748</v>
      </c>
    </row>
    <row r="168" spans="1:78" ht="32.1" customHeight="1">
      <c r="A168" s="2501"/>
      <c r="B168" s="1804" t="s">
        <v>168</v>
      </c>
      <c r="C168" s="1837">
        <v>0.5</v>
      </c>
      <c r="D168" s="1829">
        <v>0.5</v>
      </c>
      <c r="E168" s="1846">
        <v>0.5</v>
      </c>
      <c r="F168" s="1837">
        <v>1</v>
      </c>
      <c r="G168" s="1829">
        <v>0.5</v>
      </c>
      <c r="H168" s="1831">
        <v>0</v>
      </c>
      <c r="I168" s="2086" t="s">
        <v>154</v>
      </c>
      <c r="J168" s="2218" t="s">
        <v>6225</v>
      </c>
      <c r="K168" s="1915" t="s">
        <v>7373</v>
      </c>
      <c r="L168" s="1794">
        <v>1</v>
      </c>
      <c r="M168" s="1914">
        <v>1</v>
      </c>
      <c r="N168" s="1915" t="s">
        <v>5427</v>
      </c>
      <c r="O168" s="1915" t="s">
        <v>748</v>
      </c>
      <c r="P168" s="1915">
        <v>1</v>
      </c>
      <c r="Q168" s="1915">
        <v>0</v>
      </c>
      <c r="R168" s="2096"/>
      <c r="S168" s="2248" t="s">
        <v>9233</v>
      </c>
      <c r="T168" s="1915" t="s">
        <v>7502</v>
      </c>
      <c r="U168" s="1915" t="s">
        <v>7240</v>
      </c>
      <c r="V168" s="1914" t="s">
        <v>7875</v>
      </c>
      <c r="W168" s="1947" t="s">
        <v>5427</v>
      </c>
      <c r="X168" s="1915" t="s">
        <v>748</v>
      </c>
    </row>
    <row r="169" spans="1:78" ht="32.1" customHeight="1">
      <c r="A169" s="2501"/>
      <c r="B169" s="1804" t="s">
        <v>169</v>
      </c>
      <c r="C169" s="1837">
        <v>0.5</v>
      </c>
      <c r="D169" s="1829">
        <v>0.5</v>
      </c>
      <c r="E169" s="1846">
        <v>0.5</v>
      </c>
      <c r="F169" s="1837">
        <v>0.5</v>
      </c>
      <c r="G169" s="1829">
        <v>0.5</v>
      </c>
      <c r="H169" s="1831">
        <v>0</v>
      </c>
      <c r="I169" s="2086" t="s">
        <v>154</v>
      </c>
      <c r="J169" s="2218" t="s">
        <v>6225</v>
      </c>
      <c r="K169" s="1915" t="s">
        <v>7373</v>
      </c>
      <c r="L169" s="1794">
        <v>1</v>
      </c>
      <c r="M169" s="1928">
        <v>0.5</v>
      </c>
      <c r="N169" s="1915" t="s">
        <v>5427</v>
      </c>
      <c r="O169" s="1915" t="s">
        <v>748</v>
      </c>
      <c r="P169" s="1915">
        <v>1</v>
      </c>
      <c r="Q169" s="1915">
        <v>0</v>
      </c>
      <c r="R169" s="2096"/>
      <c r="S169" s="2248" t="s">
        <v>9234</v>
      </c>
      <c r="T169" s="1915" t="s">
        <v>7503</v>
      </c>
      <c r="U169" s="1915" t="s">
        <v>7241</v>
      </c>
      <c r="V169" s="1928" t="s">
        <v>7876</v>
      </c>
      <c r="W169" s="1947" t="s">
        <v>5427</v>
      </c>
      <c r="X169" s="1915" t="s">
        <v>748</v>
      </c>
    </row>
    <row r="170" spans="1:78" ht="105" customHeight="1">
      <c r="A170" s="2501"/>
      <c r="B170" s="1820" t="s">
        <v>177</v>
      </c>
      <c r="C170" s="1837">
        <v>0</v>
      </c>
      <c r="D170" s="1829">
        <v>1</v>
      </c>
      <c r="E170" s="1846">
        <v>0</v>
      </c>
      <c r="F170" s="1837">
        <v>0</v>
      </c>
      <c r="G170" s="1829">
        <v>0</v>
      </c>
      <c r="H170" s="1831">
        <v>0</v>
      </c>
      <c r="I170" s="2538" t="s">
        <v>9305</v>
      </c>
      <c r="J170" s="2217" t="s">
        <v>811</v>
      </c>
      <c r="K170" s="1915" t="s">
        <v>748</v>
      </c>
      <c r="L170" s="1794" t="s">
        <v>811</v>
      </c>
      <c r="M170" s="1914" t="s">
        <v>811</v>
      </c>
      <c r="N170" s="1915" t="s">
        <v>8306</v>
      </c>
      <c r="O170" s="1915" t="s">
        <v>8699</v>
      </c>
      <c r="P170" s="1915"/>
      <c r="Q170" s="1915"/>
      <c r="R170" s="2096"/>
      <c r="S170" s="2248" t="s">
        <v>9143</v>
      </c>
      <c r="T170" s="1915"/>
      <c r="U170" s="1794" t="s">
        <v>7242</v>
      </c>
      <c r="V170" s="1914" t="s">
        <v>7877</v>
      </c>
      <c r="W170" s="1947" t="s">
        <v>8306</v>
      </c>
      <c r="X170" s="1915" t="s">
        <v>8699</v>
      </c>
    </row>
    <row r="171" spans="1:78" ht="68.099999999999994" customHeight="1">
      <c r="A171" s="2500"/>
      <c r="B171" s="2059" t="s">
        <v>179</v>
      </c>
      <c r="C171" s="2060">
        <f t="shared" ref="C171:H171" si="47">AVERAGE(C172:C174)</f>
        <v>0.66666666666666663</v>
      </c>
      <c r="D171" s="2060">
        <f t="shared" si="47"/>
        <v>0.33333333333333331</v>
      </c>
      <c r="E171" s="2060">
        <f t="shared" si="47"/>
        <v>0</v>
      </c>
      <c r="F171" s="2060">
        <f t="shared" si="47"/>
        <v>0.16666666666666666</v>
      </c>
      <c r="G171" s="2060">
        <f t="shared" si="47"/>
        <v>0.33333333333333331</v>
      </c>
      <c r="H171" s="2060">
        <f t="shared" si="47"/>
        <v>0</v>
      </c>
      <c r="I171" s="2086"/>
      <c r="J171" s="1910"/>
      <c r="K171" s="1911"/>
      <c r="L171" s="1911"/>
      <c r="M171" s="1966"/>
      <c r="N171" s="1911" t="s">
        <v>8307</v>
      </c>
      <c r="O171" s="1966" t="s">
        <v>8700</v>
      </c>
      <c r="P171" s="1911"/>
      <c r="Q171" s="1911"/>
      <c r="R171" s="2096"/>
      <c r="S171" s="2250"/>
      <c r="T171" s="1911"/>
      <c r="U171" s="1911"/>
      <c r="V171" s="1966"/>
      <c r="W171" s="1966" t="s">
        <v>8557</v>
      </c>
      <c r="X171" s="1966" t="s">
        <v>8700</v>
      </c>
    </row>
    <row r="172" spans="1:78" ht="32.1" customHeight="1">
      <c r="A172" s="2501"/>
      <c r="B172" s="1804" t="s">
        <v>167</v>
      </c>
      <c r="C172" s="1837">
        <v>1</v>
      </c>
      <c r="D172" s="1828">
        <v>0</v>
      </c>
      <c r="E172" s="1846">
        <v>0</v>
      </c>
      <c r="F172" s="1833">
        <v>0</v>
      </c>
      <c r="G172" s="1828">
        <v>0</v>
      </c>
      <c r="H172" s="1831">
        <v>0</v>
      </c>
      <c r="I172" s="2086" t="s">
        <v>147</v>
      </c>
      <c r="J172" s="2217">
        <v>1</v>
      </c>
      <c r="K172" s="1915" t="s">
        <v>748</v>
      </c>
      <c r="L172" s="1794">
        <v>0</v>
      </c>
      <c r="M172" s="1964">
        <v>0</v>
      </c>
      <c r="N172" s="1915" t="s">
        <v>2425</v>
      </c>
      <c r="O172" s="1915" t="s">
        <v>8701</v>
      </c>
      <c r="P172" s="1915">
        <v>1</v>
      </c>
      <c r="Q172" s="1915">
        <v>0</v>
      </c>
      <c r="R172" s="2096"/>
      <c r="S172" s="2248" t="s">
        <v>9235</v>
      </c>
      <c r="T172" s="1915"/>
      <c r="U172" s="1794"/>
      <c r="V172" s="1964" t="s">
        <v>7878</v>
      </c>
      <c r="W172" s="1947" t="s">
        <v>2425</v>
      </c>
      <c r="X172" s="1915" t="s">
        <v>8701</v>
      </c>
    </row>
    <row r="173" spans="1:78" ht="32.1" customHeight="1">
      <c r="A173" s="2501"/>
      <c r="B173" s="1804" t="s">
        <v>168</v>
      </c>
      <c r="C173" s="1837">
        <v>1</v>
      </c>
      <c r="D173" s="1828">
        <v>1</v>
      </c>
      <c r="E173" s="1846">
        <v>0</v>
      </c>
      <c r="F173" s="1833">
        <v>0.5</v>
      </c>
      <c r="G173" s="1828">
        <v>1</v>
      </c>
      <c r="H173" s="1831">
        <v>0</v>
      </c>
      <c r="I173" s="2086" t="s">
        <v>147</v>
      </c>
      <c r="J173" s="2217">
        <v>1</v>
      </c>
      <c r="K173" s="1925" t="s">
        <v>1134</v>
      </c>
      <c r="L173" s="1794">
        <v>0</v>
      </c>
      <c r="M173" s="1964">
        <v>0.5</v>
      </c>
      <c r="N173" s="1915" t="s">
        <v>5430</v>
      </c>
      <c r="O173" s="1915" t="s">
        <v>1060</v>
      </c>
      <c r="P173" s="1915">
        <v>1</v>
      </c>
      <c r="Q173" s="1915">
        <v>0</v>
      </c>
      <c r="R173" s="2096"/>
      <c r="S173" s="2248" t="s">
        <v>9236</v>
      </c>
      <c r="T173" s="1925" t="s">
        <v>7504</v>
      </c>
      <c r="U173" s="1794"/>
      <c r="V173" s="1964" t="s">
        <v>6104</v>
      </c>
      <c r="W173" s="1947" t="s">
        <v>5430</v>
      </c>
      <c r="X173" s="1915" t="s">
        <v>1060</v>
      </c>
    </row>
    <row r="174" spans="1:78" ht="32.1" customHeight="1">
      <c r="A174" s="2501"/>
      <c r="B174" s="1804" t="s">
        <v>180</v>
      </c>
      <c r="C174" s="1837">
        <v>0</v>
      </c>
      <c r="D174" s="1828">
        <v>0</v>
      </c>
      <c r="E174" s="1846">
        <v>0</v>
      </c>
      <c r="F174" s="1830">
        <v>0</v>
      </c>
      <c r="G174" s="1828">
        <v>0</v>
      </c>
      <c r="H174" s="1831">
        <v>0</v>
      </c>
      <c r="I174" s="2086" t="s">
        <v>38</v>
      </c>
      <c r="J174" s="2217">
        <v>0</v>
      </c>
      <c r="K174" s="1925" t="s">
        <v>748</v>
      </c>
      <c r="L174" s="1794">
        <v>0</v>
      </c>
      <c r="M174" s="1929">
        <v>0</v>
      </c>
      <c r="N174" s="1915" t="s">
        <v>2425</v>
      </c>
      <c r="O174" s="1915" t="s">
        <v>1060</v>
      </c>
      <c r="P174" s="1915">
        <v>1</v>
      </c>
      <c r="Q174" s="1915">
        <v>0</v>
      </c>
      <c r="R174" s="2096"/>
      <c r="S174" s="2248" t="s">
        <v>9237</v>
      </c>
      <c r="T174" s="1925"/>
      <c r="U174" s="1794"/>
      <c r="V174" s="1929" t="s">
        <v>748</v>
      </c>
      <c r="W174" s="1947" t="s">
        <v>2425</v>
      </c>
      <c r="X174" s="1915" t="s">
        <v>1060</v>
      </c>
    </row>
    <row r="175" spans="1:78" ht="138" customHeight="1">
      <c r="A175" s="2509"/>
      <c r="B175" s="1820" t="s">
        <v>181</v>
      </c>
      <c r="C175" s="1837">
        <v>1</v>
      </c>
      <c r="D175" s="1828">
        <v>0</v>
      </c>
      <c r="E175" s="1846">
        <v>0</v>
      </c>
      <c r="F175" s="1837">
        <v>1</v>
      </c>
      <c r="G175" s="1829">
        <v>1</v>
      </c>
      <c r="H175" s="1850">
        <v>0</v>
      </c>
      <c r="I175" s="2086" t="s">
        <v>147</v>
      </c>
      <c r="J175" s="2217">
        <v>1</v>
      </c>
      <c r="K175" s="1925" t="s">
        <v>943</v>
      </c>
      <c r="L175" s="1794">
        <v>0</v>
      </c>
      <c r="M175" s="2053">
        <v>0.5</v>
      </c>
      <c r="N175" s="1915" t="s">
        <v>5431</v>
      </c>
      <c r="O175" s="1925" t="s">
        <v>8702</v>
      </c>
      <c r="P175" s="1915">
        <v>1</v>
      </c>
      <c r="Q175" s="1915">
        <v>0</v>
      </c>
      <c r="R175" s="2096"/>
      <c r="S175" s="2248" t="s">
        <v>9238</v>
      </c>
      <c r="T175" s="1925" t="s">
        <v>7505</v>
      </c>
      <c r="U175" s="1794" t="s">
        <v>7243</v>
      </c>
      <c r="V175" s="1964" t="s">
        <v>6105</v>
      </c>
      <c r="W175" s="1947" t="s">
        <v>5431</v>
      </c>
      <c r="X175" s="1925" t="s">
        <v>8702</v>
      </c>
    </row>
    <row r="176" spans="1:78" ht="111.95" customHeight="1">
      <c r="A176" s="1899"/>
      <c r="B176" s="1820" t="s">
        <v>182</v>
      </c>
      <c r="C176" s="1837">
        <v>0.5</v>
      </c>
      <c r="D176" s="1828">
        <v>1</v>
      </c>
      <c r="E176" s="1846">
        <v>0</v>
      </c>
      <c r="F176" s="1829">
        <v>1</v>
      </c>
      <c r="G176" s="1829">
        <v>1</v>
      </c>
      <c r="H176" s="1850">
        <v>1</v>
      </c>
      <c r="I176" s="2086" t="s">
        <v>147</v>
      </c>
      <c r="J176" s="2218" t="s">
        <v>6225</v>
      </c>
      <c r="K176" s="1925" t="s">
        <v>948</v>
      </c>
      <c r="L176" s="1794">
        <v>0</v>
      </c>
      <c r="M176" s="1925">
        <v>1</v>
      </c>
      <c r="N176" s="1915" t="s">
        <v>5432</v>
      </c>
      <c r="O176" s="1915" t="s">
        <v>8703</v>
      </c>
      <c r="P176" s="1915">
        <v>1</v>
      </c>
      <c r="Q176" s="1915">
        <v>0</v>
      </c>
      <c r="R176" s="2096"/>
      <c r="S176" s="2248" t="s">
        <v>8123</v>
      </c>
      <c r="T176" s="1925" t="s">
        <v>7506</v>
      </c>
      <c r="U176" s="1794"/>
      <c r="V176" s="1925" t="s">
        <v>6106</v>
      </c>
      <c r="W176" s="1947" t="s">
        <v>5432</v>
      </c>
      <c r="X176" s="1915" t="s">
        <v>8703</v>
      </c>
    </row>
    <row r="177" spans="1:78" ht="32.1" customHeight="1">
      <c r="A177" s="2501"/>
      <c r="B177" s="1820" t="s">
        <v>183</v>
      </c>
      <c r="C177" s="1837">
        <v>1</v>
      </c>
      <c r="D177" s="1828">
        <v>1</v>
      </c>
      <c r="E177" s="1846">
        <v>0</v>
      </c>
      <c r="F177" s="1833">
        <v>1</v>
      </c>
      <c r="G177" s="1828">
        <v>1</v>
      </c>
      <c r="H177" s="1831">
        <v>0</v>
      </c>
      <c r="I177" s="2086" t="s">
        <v>147</v>
      </c>
      <c r="J177" s="2217">
        <v>1</v>
      </c>
      <c r="K177" s="1925" t="s">
        <v>7375</v>
      </c>
      <c r="L177" s="1794">
        <v>0</v>
      </c>
      <c r="M177" s="1964">
        <v>1</v>
      </c>
      <c r="N177" s="1915" t="s">
        <v>5433</v>
      </c>
      <c r="O177" s="1915" t="s">
        <v>8704</v>
      </c>
      <c r="P177" s="1915">
        <v>1</v>
      </c>
      <c r="Q177" s="1915">
        <v>0</v>
      </c>
      <c r="R177" s="2096"/>
      <c r="S177" s="2248" t="s">
        <v>8124</v>
      </c>
      <c r="T177" s="1925" t="s">
        <v>7507</v>
      </c>
      <c r="U177" s="1794"/>
      <c r="V177" s="1964" t="s">
        <v>7879</v>
      </c>
      <c r="W177" s="1947" t="s">
        <v>5433</v>
      </c>
      <c r="X177" s="1915" t="s">
        <v>8704</v>
      </c>
    </row>
    <row r="178" spans="1:78" ht="32.1" customHeight="1">
      <c r="A178" s="2502" t="s">
        <v>184</v>
      </c>
      <c r="B178" s="2080" t="s">
        <v>185</v>
      </c>
      <c r="C178" s="2116">
        <f t="shared" ref="C178:H178" si="48">AVERAGE(C179,C186)</f>
        <v>0.56806656453231696</v>
      </c>
      <c r="D178" s="2116">
        <f t="shared" si="48"/>
        <v>0.6097627284395607</v>
      </c>
      <c r="E178" s="2116">
        <f t="shared" si="48"/>
        <v>0.20831668701238359</v>
      </c>
      <c r="F178" s="2116">
        <f t="shared" si="48"/>
        <v>0.61927501978236033</v>
      </c>
      <c r="G178" s="2116">
        <f t="shared" si="48"/>
        <v>0.54932657258558037</v>
      </c>
      <c r="H178" s="2116">
        <f t="shared" si="48"/>
        <v>0.1285386832678847</v>
      </c>
      <c r="I178" s="2076"/>
      <c r="J178" s="2077"/>
      <c r="K178" s="2077"/>
      <c r="L178" s="2077"/>
      <c r="M178" s="2077"/>
      <c r="N178" s="2077"/>
      <c r="O178" s="2077"/>
      <c r="P178" s="2077"/>
      <c r="Q178" s="2077"/>
      <c r="R178" s="2083"/>
      <c r="S178" s="2077"/>
      <c r="T178" s="2077"/>
      <c r="U178" s="2077"/>
      <c r="V178" s="2077"/>
      <c r="W178" s="2077"/>
      <c r="X178" s="2077"/>
    </row>
    <row r="179" spans="1:78" ht="32.1" customHeight="1">
      <c r="A179" s="2499" t="s">
        <v>186</v>
      </c>
      <c r="B179" s="2084" t="s">
        <v>187</v>
      </c>
      <c r="C179" s="2085">
        <f>AVERAGE(C180:C185)</f>
        <v>0.51711318068290735</v>
      </c>
      <c r="D179" s="2085">
        <f t="shared" ref="D179:H179" si="49">AVERAGE(D180:D185)</f>
        <v>0.45842964966916638</v>
      </c>
      <c r="E179" s="2085">
        <f t="shared" si="49"/>
        <v>5.3453940891742997E-2</v>
      </c>
      <c r="F179" s="2085">
        <f t="shared" si="49"/>
        <v>0.4809717474401512</v>
      </c>
      <c r="G179" s="2085">
        <f t="shared" si="49"/>
        <v>0.26204355763999948</v>
      </c>
      <c r="H179" s="2085">
        <f t="shared" si="49"/>
        <v>7.246376811594203E-3</v>
      </c>
      <c r="I179" s="2086"/>
      <c r="J179" s="2087"/>
      <c r="K179" s="2087"/>
      <c r="L179" s="2087"/>
      <c r="M179" s="2087"/>
      <c r="N179" s="2087"/>
      <c r="O179" s="2087"/>
      <c r="P179" s="2087"/>
      <c r="Q179" s="2087"/>
      <c r="R179" s="2088"/>
      <c r="S179" s="2087"/>
      <c r="T179" s="2087"/>
      <c r="U179" s="2087"/>
      <c r="V179" s="2087"/>
      <c r="W179" s="2087"/>
      <c r="X179" s="2087"/>
    </row>
    <row r="180" spans="1:78" s="1893" customFormat="1" ht="51.95" customHeight="1">
      <c r="A180" s="2504" t="s">
        <v>7140</v>
      </c>
      <c r="B180" s="2057" t="s">
        <v>7125</v>
      </c>
      <c r="C180" s="2058">
        <f t="shared" ref="C180:H182" si="50">IF(J180&lt;$P180,1,IF(J180&gt;$Q180,0,(J180-$Q180)/($P180-$Q180)))</f>
        <v>0.57971014492753625</v>
      </c>
      <c r="D180" s="2058">
        <f t="shared" si="50"/>
        <v>0.53623188405797106</v>
      </c>
      <c r="E180" s="2058">
        <f t="shared" si="50"/>
        <v>0.14492753623188406</v>
      </c>
      <c r="F180" s="2058">
        <f t="shared" si="50"/>
        <v>0.62318840579710144</v>
      </c>
      <c r="G180" s="2058">
        <f t="shared" si="50"/>
        <v>0.43478260869565216</v>
      </c>
      <c r="H180" s="2058">
        <f t="shared" si="50"/>
        <v>4.3478260869565216E-2</v>
      </c>
      <c r="I180" s="2086" t="s">
        <v>6836</v>
      </c>
      <c r="J180" s="2315">
        <v>53</v>
      </c>
      <c r="K180" s="2315">
        <v>56</v>
      </c>
      <c r="L180" s="2315">
        <v>83</v>
      </c>
      <c r="M180" s="2315">
        <v>50</v>
      </c>
      <c r="N180" s="2315">
        <v>63</v>
      </c>
      <c r="O180" s="2315">
        <v>90</v>
      </c>
      <c r="P180" s="2316">
        <v>24</v>
      </c>
      <c r="Q180" s="2316">
        <v>93</v>
      </c>
      <c r="R180" s="2294"/>
      <c r="S180" s="2315"/>
      <c r="T180" s="2315"/>
      <c r="U180" s="2315"/>
      <c r="V180" s="2315"/>
      <c r="W180" s="2315"/>
      <c r="X180" s="2315">
        <v>90</v>
      </c>
      <c r="Y180" s="1818"/>
      <c r="Z180" s="1818"/>
      <c r="AA180" s="1818"/>
      <c r="AB180" s="1818"/>
      <c r="AC180" s="1818"/>
      <c r="AD180" s="1818"/>
      <c r="AE180" s="1818"/>
      <c r="AF180" s="1818"/>
      <c r="AG180" s="1818"/>
      <c r="AH180" s="1818"/>
      <c r="AI180" s="1818"/>
      <c r="AJ180" s="1818"/>
      <c r="AK180" s="1818"/>
      <c r="AL180" s="1818"/>
      <c r="AM180" s="1818"/>
      <c r="AN180" s="1818"/>
      <c r="AO180" s="1818"/>
      <c r="AP180" s="1818"/>
      <c r="AQ180" s="1818"/>
      <c r="AR180" s="1818"/>
      <c r="AS180" s="1818"/>
      <c r="AT180" s="1818"/>
      <c r="AU180" s="1818"/>
      <c r="AV180" s="1818"/>
      <c r="AW180" s="1818"/>
      <c r="AX180" s="1818"/>
      <c r="AY180" s="1818"/>
      <c r="AZ180" s="1818"/>
      <c r="BA180" s="1818"/>
      <c r="BB180" s="1818"/>
      <c r="BC180" s="1818"/>
      <c r="BD180" s="1818"/>
      <c r="BE180" s="1818"/>
      <c r="BF180" s="1818"/>
      <c r="BG180" s="1818"/>
      <c r="BH180" s="1818"/>
      <c r="BI180" s="1818"/>
      <c r="BJ180" s="1818"/>
      <c r="BK180" s="1818"/>
      <c r="BL180" s="1818"/>
      <c r="BM180" s="1818"/>
      <c r="BN180" s="1818"/>
      <c r="BO180" s="1818"/>
      <c r="BP180" s="1818"/>
      <c r="BQ180" s="1818"/>
      <c r="BR180" s="1818"/>
      <c r="BS180" s="1818"/>
      <c r="BT180" s="1818"/>
      <c r="BU180" s="1818"/>
      <c r="BV180" s="1818"/>
      <c r="BW180" s="1818"/>
      <c r="BX180" s="1818"/>
      <c r="BY180" s="1818"/>
      <c r="BZ180" s="1818"/>
    </row>
    <row r="181" spans="1:78" s="1815" customFormat="1" ht="140.25" customHeight="1">
      <c r="A181" s="2504" t="s">
        <v>9127</v>
      </c>
      <c r="B181" s="2057" t="s">
        <v>6947</v>
      </c>
      <c r="C181" s="2058">
        <f>IF(J181&gt;$P181,1,IF(J181&lt;$Q181,0,(J181-$Q181)/($P181-$Q181)))</f>
        <v>0.3294573643410853</v>
      </c>
      <c r="D181" s="2058">
        <f>IF(K181&gt;$P181,1,IF(K181&lt;$Q181,0,(K181-$Q181)/($P181-$Q181)))</f>
        <v>0.4689922480620155</v>
      </c>
      <c r="E181" s="2058">
        <f t="shared" ref="E181:H181" si="51">IF(L181&gt;$P181,1,IF(L181&lt;$Q181,0,(L181-$Q181)/($P181-$Q181)))</f>
        <v>0.16666666666666671</v>
      </c>
      <c r="F181" s="2058">
        <f t="shared" si="51"/>
        <v>0.43023255813953482</v>
      </c>
      <c r="G181" s="2058">
        <f t="shared" si="51"/>
        <v>0.39147286821705435</v>
      </c>
      <c r="H181" s="2058">
        <f t="shared" si="51"/>
        <v>0</v>
      </c>
      <c r="I181" s="2086"/>
      <c r="J181" s="2317">
        <v>2.27</v>
      </c>
      <c r="K181" s="2317">
        <v>2.63</v>
      </c>
      <c r="L181" s="2317">
        <v>1.85</v>
      </c>
      <c r="M181" s="2317">
        <v>2.5299999999999998</v>
      </c>
      <c r="N181" s="2317">
        <v>2.4300000000000002</v>
      </c>
      <c r="O181" s="2317">
        <v>1.08</v>
      </c>
      <c r="P181" s="2316">
        <v>4</v>
      </c>
      <c r="Q181" s="2318">
        <v>1.42</v>
      </c>
      <c r="R181" s="2294"/>
      <c r="S181" s="2315"/>
      <c r="T181" s="2315"/>
      <c r="U181" s="2315"/>
      <c r="V181" s="2315"/>
      <c r="W181" s="2315"/>
      <c r="X181" s="2315">
        <v>1.08</v>
      </c>
      <c r="Y181" s="1748"/>
      <c r="Z181" s="1748"/>
      <c r="AA181" s="1748"/>
      <c r="AB181" s="1748"/>
      <c r="AC181" s="1748"/>
      <c r="AD181" s="1748"/>
      <c r="AE181" s="1748"/>
      <c r="AF181" s="1748"/>
      <c r="AG181" s="1748"/>
      <c r="AH181" s="1748"/>
      <c r="AI181" s="1748"/>
      <c r="AJ181" s="1748"/>
      <c r="AK181" s="1748"/>
      <c r="AL181" s="1748"/>
      <c r="AM181" s="1748"/>
      <c r="AN181" s="1748"/>
      <c r="AO181" s="1748"/>
      <c r="AP181" s="1748"/>
      <c r="AQ181" s="1748"/>
      <c r="AR181" s="1748"/>
      <c r="AS181" s="1748"/>
      <c r="AT181" s="1748"/>
      <c r="AU181" s="1748"/>
      <c r="AV181" s="1748"/>
      <c r="AW181" s="1748"/>
      <c r="AX181" s="1748"/>
      <c r="AY181" s="1748"/>
      <c r="AZ181" s="1748"/>
      <c r="BA181" s="1748"/>
      <c r="BB181" s="1748"/>
      <c r="BC181" s="1748"/>
      <c r="BD181" s="1748"/>
      <c r="BE181" s="1748"/>
      <c r="BF181" s="1748"/>
      <c r="BG181" s="1748"/>
      <c r="BH181" s="1748"/>
      <c r="BI181" s="1748"/>
      <c r="BJ181" s="1748"/>
      <c r="BK181" s="1748"/>
      <c r="BL181" s="1748"/>
      <c r="BM181" s="1748"/>
      <c r="BN181" s="1748"/>
      <c r="BO181" s="1748"/>
      <c r="BP181" s="1748"/>
      <c r="BQ181" s="1748"/>
      <c r="BR181" s="1748"/>
      <c r="BS181" s="1748"/>
      <c r="BT181" s="1748"/>
      <c r="BU181" s="1748"/>
      <c r="BV181" s="1748"/>
      <c r="BW181" s="1748"/>
      <c r="BX181" s="1748"/>
      <c r="BY181" s="1748"/>
      <c r="BZ181" s="1748"/>
    </row>
    <row r="182" spans="1:78" s="1893" customFormat="1" ht="42.95" customHeight="1">
      <c r="A182" s="2504"/>
      <c r="B182" s="2057" t="s">
        <v>7126</v>
      </c>
      <c r="C182" s="2058">
        <f t="shared" si="50"/>
        <v>0.69351157482882286</v>
      </c>
      <c r="D182" s="2058">
        <f t="shared" si="50"/>
        <v>0.74535376589501134</v>
      </c>
      <c r="E182" s="2058">
        <f t="shared" si="50"/>
        <v>9.1294424519072076E-3</v>
      </c>
      <c r="F182" s="2058">
        <f t="shared" si="50"/>
        <v>0.83240952070427121</v>
      </c>
      <c r="G182" s="2058">
        <f t="shared" si="50"/>
        <v>0.74600586892729048</v>
      </c>
      <c r="H182" s="2058">
        <f t="shared" si="50"/>
        <v>0</v>
      </c>
      <c r="I182" s="2086" t="s">
        <v>6729</v>
      </c>
      <c r="J182" s="2317">
        <v>31.6</v>
      </c>
      <c r="K182" s="2317">
        <v>30.01</v>
      </c>
      <c r="L182" s="2317">
        <v>52.59</v>
      </c>
      <c r="M182" s="2317">
        <v>27.34</v>
      </c>
      <c r="N182" s="2317">
        <v>29.99</v>
      </c>
      <c r="O182" s="2317">
        <v>59.73</v>
      </c>
      <c r="P182" s="2318">
        <v>22.2</v>
      </c>
      <c r="Q182" s="2318">
        <v>52.87</v>
      </c>
      <c r="R182" s="2295"/>
      <c r="S182" s="2317"/>
      <c r="T182" s="2317"/>
      <c r="U182" s="2317"/>
      <c r="V182" s="2317"/>
      <c r="W182" s="2317"/>
      <c r="X182" s="2317">
        <v>59.73</v>
      </c>
      <c r="Y182" s="1818"/>
      <c r="Z182" s="1818"/>
      <c r="AA182" s="1818"/>
      <c r="AB182" s="1818"/>
      <c r="AC182" s="1818"/>
      <c r="AD182" s="1818"/>
      <c r="AE182" s="1818"/>
      <c r="AF182" s="1818"/>
      <c r="AG182" s="1818"/>
      <c r="AH182" s="1818"/>
      <c r="AI182" s="1818"/>
      <c r="AJ182" s="1818"/>
      <c r="AK182" s="1818"/>
      <c r="AL182" s="1818"/>
      <c r="AM182" s="1818"/>
      <c r="AN182" s="1818"/>
      <c r="AO182" s="1818"/>
      <c r="AP182" s="1818"/>
      <c r="AQ182" s="1818"/>
      <c r="AR182" s="1818"/>
      <c r="AS182" s="1818"/>
      <c r="AT182" s="1818"/>
      <c r="AU182" s="1818"/>
      <c r="AV182" s="1818"/>
      <c r="AW182" s="1818"/>
      <c r="AX182" s="1818"/>
      <c r="AY182" s="1818"/>
      <c r="AZ182" s="1818"/>
      <c r="BA182" s="1818"/>
      <c r="BB182" s="1818"/>
      <c r="BC182" s="1818"/>
      <c r="BD182" s="1818"/>
      <c r="BE182" s="1818"/>
      <c r="BF182" s="1818"/>
      <c r="BG182" s="1818"/>
      <c r="BH182" s="1818"/>
      <c r="BI182" s="1818"/>
      <c r="BJ182" s="1818"/>
      <c r="BK182" s="1818"/>
      <c r="BL182" s="1818"/>
      <c r="BM182" s="1818"/>
      <c r="BN182" s="1818"/>
      <c r="BO182" s="1818"/>
      <c r="BP182" s="1818"/>
      <c r="BQ182" s="1818"/>
      <c r="BR182" s="1818"/>
      <c r="BS182" s="1818"/>
      <c r="BT182" s="1818"/>
      <c r="BU182" s="1818"/>
      <c r="BV182" s="1818"/>
      <c r="BW182" s="1818"/>
      <c r="BX182" s="1818"/>
      <c r="BY182" s="1818"/>
      <c r="BZ182" s="1818"/>
    </row>
    <row r="183" spans="1:78" s="1893" customFormat="1" ht="162" customHeight="1">
      <c r="A183" s="1843"/>
      <c r="B183" s="1843" t="s">
        <v>9318</v>
      </c>
      <c r="C183" s="1837">
        <v>0.5</v>
      </c>
      <c r="D183" s="1844">
        <v>0</v>
      </c>
      <c r="E183" s="1860">
        <v>0</v>
      </c>
      <c r="F183" s="1844">
        <v>0</v>
      </c>
      <c r="G183" s="1860">
        <v>0</v>
      </c>
      <c r="H183" s="1827">
        <v>0</v>
      </c>
      <c r="I183" s="2538" t="s">
        <v>9314</v>
      </c>
      <c r="J183" s="2218" t="s">
        <v>6225</v>
      </c>
      <c r="K183" s="1948" t="s">
        <v>7377</v>
      </c>
      <c r="L183" s="1948">
        <v>0</v>
      </c>
      <c r="M183" s="1948">
        <v>1</v>
      </c>
      <c r="N183" s="1948"/>
      <c r="O183" s="1948" t="s">
        <v>8705</v>
      </c>
      <c r="P183" s="1972">
        <v>1</v>
      </c>
      <c r="Q183" s="1972"/>
      <c r="R183" s="2295"/>
      <c r="S183" s="2248" t="s">
        <v>8125</v>
      </c>
      <c r="T183" s="1948" t="s">
        <v>7508</v>
      </c>
      <c r="U183" s="1794" t="s">
        <v>7244</v>
      </c>
      <c r="V183" s="1948" t="s">
        <v>7880</v>
      </c>
      <c r="W183" s="1948" t="s">
        <v>9320</v>
      </c>
      <c r="X183" s="1948" t="s">
        <v>8705</v>
      </c>
      <c r="Y183" s="1818"/>
      <c r="Z183" s="1818"/>
      <c r="AA183" s="1818"/>
      <c r="AB183" s="1818"/>
      <c r="AC183" s="1818"/>
      <c r="AD183" s="1818"/>
      <c r="AE183" s="1818"/>
      <c r="AF183" s="1818"/>
      <c r="AG183" s="1818"/>
      <c r="AH183" s="1818"/>
      <c r="AI183" s="1818"/>
      <c r="AJ183" s="1818"/>
      <c r="AK183" s="1818"/>
      <c r="AL183" s="1818"/>
      <c r="AM183" s="1818"/>
      <c r="AN183" s="1818"/>
      <c r="AO183" s="1818"/>
      <c r="AP183" s="1818"/>
      <c r="AQ183" s="1818"/>
      <c r="AR183" s="1818"/>
      <c r="AS183" s="1818"/>
      <c r="AT183" s="1818"/>
      <c r="AU183" s="1818"/>
      <c r="AV183" s="1818"/>
      <c r="AW183" s="1818"/>
      <c r="AX183" s="1818"/>
      <c r="AY183" s="1818"/>
      <c r="AZ183" s="1818"/>
      <c r="BA183" s="1818"/>
      <c r="BB183" s="1818"/>
      <c r="BC183" s="1818"/>
      <c r="BD183" s="1818"/>
      <c r="BE183" s="1818"/>
      <c r="BF183" s="1818"/>
      <c r="BG183" s="1818"/>
      <c r="BH183" s="1818"/>
      <c r="BI183" s="1818"/>
      <c r="BJ183" s="1818"/>
      <c r="BK183" s="1818"/>
      <c r="BL183" s="1818"/>
      <c r="BM183" s="1818"/>
      <c r="BN183" s="1818"/>
      <c r="BO183" s="1818"/>
      <c r="BP183" s="1818"/>
      <c r="BQ183" s="1818"/>
      <c r="BR183" s="1818"/>
      <c r="BS183" s="1818"/>
      <c r="BT183" s="1818"/>
      <c r="BU183" s="1818"/>
      <c r="BV183" s="1818"/>
      <c r="BW183" s="1818"/>
      <c r="BX183" s="1818"/>
      <c r="BY183" s="1818"/>
      <c r="BZ183" s="1818"/>
    </row>
    <row r="184" spans="1:78" s="1893" customFormat="1" ht="120.75" customHeight="1">
      <c r="A184" s="1899"/>
      <c r="B184" s="1843" t="s">
        <v>9319</v>
      </c>
      <c r="C184" s="1837">
        <v>0.5</v>
      </c>
      <c r="D184" s="1860">
        <v>1</v>
      </c>
      <c r="E184" s="1860">
        <v>0</v>
      </c>
      <c r="F184" s="1844">
        <v>0.5</v>
      </c>
      <c r="G184" s="1860">
        <v>0</v>
      </c>
      <c r="H184" s="1850">
        <v>0</v>
      </c>
      <c r="I184" s="2538" t="s">
        <v>9315</v>
      </c>
      <c r="J184" s="2218" t="s">
        <v>6225</v>
      </c>
      <c r="K184" s="1948" t="s">
        <v>968</v>
      </c>
      <c r="L184" s="1948">
        <v>0</v>
      </c>
      <c r="M184" s="1948">
        <v>0.5</v>
      </c>
      <c r="N184" s="1948" t="s">
        <v>748</v>
      </c>
      <c r="O184" s="1948" t="s">
        <v>8706</v>
      </c>
      <c r="P184" s="1972">
        <v>1</v>
      </c>
      <c r="Q184" s="1972"/>
      <c r="R184" s="2295"/>
      <c r="S184" s="2248" t="s">
        <v>8126</v>
      </c>
      <c r="T184" s="1948" t="s">
        <v>7509</v>
      </c>
      <c r="U184" s="1794" t="s">
        <v>7245</v>
      </c>
      <c r="V184" s="1973" t="s">
        <v>8580</v>
      </c>
      <c r="W184" s="1948" t="s">
        <v>9321</v>
      </c>
      <c r="X184" s="1948" t="s">
        <v>8706</v>
      </c>
      <c r="Y184" s="1818"/>
      <c r="Z184" s="1818"/>
      <c r="AA184" s="1818"/>
      <c r="AB184" s="1818"/>
      <c r="AC184" s="1818"/>
      <c r="AD184" s="1818"/>
      <c r="AE184" s="1818"/>
      <c r="AF184" s="1818"/>
      <c r="AG184" s="1818"/>
      <c r="AH184" s="1818"/>
      <c r="AI184" s="1818"/>
      <c r="AJ184" s="1818"/>
      <c r="AK184" s="1818"/>
      <c r="AL184" s="1818"/>
      <c r="AM184" s="1818"/>
      <c r="AN184" s="1818"/>
      <c r="AO184" s="1818"/>
      <c r="AP184" s="1818"/>
      <c r="AQ184" s="1818"/>
      <c r="AR184" s="1818"/>
      <c r="AS184" s="1818"/>
      <c r="AT184" s="1818"/>
      <c r="AU184" s="1818"/>
      <c r="AV184" s="1818"/>
      <c r="AW184" s="1818"/>
      <c r="AX184" s="1818"/>
      <c r="AY184" s="1818"/>
      <c r="AZ184" s="1818"/>
      <c r="BA184" s="1818"/>
      <c r="BB184" s="1818"/>
      <c r="BC184" s="1818"/>
      <c r="BD184" s="1818"/>
      <c r="BE184" s="1818"/>
      <c r="BF184" s="1818"/>
      <c r="BG184" s="1818"/>
      <c r="BH184" s="1818"/>
      <c r="BI184" s="1818"/>
      <c r="BJ184" s="1818"/>
      <c r="BK184" s="1818"/>
      <c r="BL184" s="1818"/>
      <c r="BM184" s="1818"/>
      <c r="BN184" s="1818"/>
      <c r="BO184" s="1818"/>
      <c r="BP184" s="1818"/>
      <c r="BQ184" s="1818"/>
      <c r="BR184" s="1818"/>
      <c r="BS184" s="1818"/>
      <c r="BT184" s="1818"/>
      <c r="BU184" s="1818"/>
      <c r="BV184" s="1818"/>
      <c r="BW184" s="1818"/>
      <c r="BX184" s="1818"/>
      <c r="BY184" s="1818"/>
      <c r="BZ184" s="1818"/>
    </row>
    <row r="185" spans="1:78" s="1893" customFormat="1" ht="138" customHeight="1">
      <c r="A185" s="1899"/>
      <c r="B185" s="1843" t="s">
        <v>9316</v>
      </c>
      <c r="C185" s="1837">
        <v>0.5</v>
      </c>
      <c r="D185" s="1844">
        <v>0</v>
      </c>
      <c r="E185" s="1860">
        <v>0</v>
      </c>
      <c r="F185" s="1844">
        <v>0.5</v>
      </c>
      <c r="G185" s="1860">
        <v>0</v>
      </c>
      <c r="H185" s="1850">
        <v>0</v>
      </c>
      <c r="I185" s="2538" t="s">
        <v>9317</v>
      </c>
      <c r="J185" s="2218" t="s">
        <v>6225</v>
      </c>
      <c r="K185" s="1948" t="s">
        <v>7377</v>
      </c>
      <c r="L185" s="1948">
        <v>0</v>
      </c>
      <c r="M185" s="1948">
        <v>1</v>
      </c>
      <c r="N185" s="1948" t="s">
        <v>811</v>
      </c>
      <c r="O185" s="1948" t="s">
        <v>8707</v>
      </c>
      <c r="P185" s="1972">
        <v>1</v>
      </c>
      <c r="Q185" s="1972"/>
      <c r="R185" s="2295"/>
      <c r="S185" s="2248" t="s">
        <v>8127</v>
      </c>
      <c r="T185" s="1948" t="s">
        <v>7510</v>
      </c>
      <c r="U185" s="1794" t="s">
        <v>7246</v>
      </c>
      <c r="V185" s="1973" t="s">
        <v>8579</v>
      </c>
      <c r="W185" s="1948" t="s">
        <v>8335</v>
      </c>
      <c r="X185" s="1948" t="s">
        <v>8707</v>
      </c>
      <c r="Y185" s="1818"/>
      <c r="Z185" s="1818"/>
      <c r="AA185" s="1818"/>
      <c r="AB185" s="1818"/>
      <c r="AC185" s="1818"/>
      <c r="AD185" s="1818"/>
      <c r="AE185" s="1818"/>
      <c r="AF185" s="1818"/>
      <c r="AG185" s="1818"/>
      <c r="AH185" s="1818"/>
      <c r="AI185" s="1818"/>
      <c r="AJ185" s="1818"/>
      <c r="AK185" s="1818"/>
      <c r="AL185" s="1818"/>
      <c r="AM185" s="1818"/>
      <c r="AN185" s="1818"/>
      <c r="AO185" s="1818"/>
      <c r="AP185" s="1818"/>
      <c r="AQ185" s="1818"/>
      <c r="AR185" s="1818"/>
      <c r="AS185" s="1818"/>
      <c r="AT185" s="1818"/>
      <c r="AU185" s="1818"/>
      <c r="AV185" s="1818"/>
      <c r="AW185" s="1818"/>
      <c r="AX185" s="1818"/>
      <c r="AY185" s="1818"/>
      <c r="AZ185" s="1818"/>
      <c r="BA185" s="1818"/>
      <c r="BB185" s="1818"/>
      <c r="BC185" s="1818"/>
      <c r="BD185" s="1818"/>
      <c r="BE185" s="1818"/>
      <c r="BF185" s="1818"/>
      <c r="BG185" s="1818"/>
      <c r="BH185" s="1818"/>
      <c r="BI185" s="1818"/>
      <c r="BJ185" s="1818"/>
      <c r="BK185" s="1818"/>
      <c r="BL185" s="1818"/>
      <c r="BM185" s="1818"/>
      <c r="BN185" s="1818"/>
      <c r="BO185" s="1818"/>
      <c r="BP185" s="1818"/>
      <c r="BQ185" s="1818"/>
      <c r="BR185" s="1818"/>
      <c r="BS185" s="1818"/>
      <c r="BT185" s="1818"/>
      <c r="BU185" s="1818"/>
      <c r="BV185" s="1818"/>
      <c r="BW185" s="1818"/>
      <c r="BX185" s="1818"/>
      <c r="BY185" s="1818"/>
      <c r="BZ185" s="1818"/>
    </row>
    <row r="186" spans="1:78" ht="32.1" customHeight="1">
      <c r="A186" s="2499" t="s">
        <v>190</v>
      </c>
      <c r="B186" s="2084" t="s">
        <v>191</v>
      </c>
      <c r="C186" s="2093">
        <f t="shared" ref="C186:H186" si="52">AVERAGE(C187:C194)</f>
        <v>0.61901994838172658</v>
      </c>
      <c r="D186" s="2093">
        <f t="shared" si="52"/>
        <v>0.76109580720995496</v>
      </c>
      <c r="E186" s="2093">
        <f t="shared" si="52"/>
        <v>0.3631794331330242</v>
      </c>
      <c r="F186" s="2093">
        <f t="shared" si="52"/>
        <v>0.7575782921245694</v>
      </c>
      <c r="G186" s="2093">
        <f t="shared" si="52"/>
        <v>0.83660958753116121</v>
      </c>
      <c r="H186" s="2093">
        <f t="shared" si="52"/>
        <v>0.24983098972417522</v>
      </c>
      <c r="I186" s="2086"/>
      <c r="J186" s="2087"/>
      <c r="K186" s="2102"/>
      <c r="L186" s="2102"/>
      <c r="M186" s="2102"/>
      <c r="N186" s="2102"/>
      <c r="O186" s="2102"/>
      <c r="P186" s="2102"/>
      <c r="Q186" s="2102"/>
      <c r="R186" s="2103"/>
      <c r="S186" s="2087"/>
      <c r="T186" s="2102"/>
      <c r="U186" s="2102"/>
      <c r="V186" s="2102"/>
      <c r="W186" s="2102"/>
      <c r="X186" s="2102"/>
    </row>
    <row r="187" spans="1:78" s="1893" customFormat="1" ht="70.349999999999994" customHeight="1">
      <c r="A187" s="2510"/>
      <c r="B187" s="2319" t="s">
        <v>9107</v>
      </c>
      <c r="C187" s="2058">
        <f>IF(J187&gt;$P187,1,IF(J187&lt;$Q187,0,(J187-$Q187)/($P187-$Q187)))</f>
        <v>0.1844240129799892</v>
      </c>
      <c r="D187" s="2058">
        <f t="shared" ref="D187:H188" si="53">IF(K187&gt;$P187,1,IF(K187&lt;$Q187,0,(K187-$Q187)/($P187-$Q187)))</f>
        <v>0.28555976203353162</v>
      </c>
      <c r="E187" s="2058">
        <f t="shared" si="53"/>
        <v>1</v>
      </c>
      <c r="F187" s="2058">
        <f t="shared" si="53"/>
        <v>0.57003785830178477</v>
      </c>
      <c r="G187" s="2058">
        <f t="shared" si="53"/>
        <v>8.7614926987560807E-2</v>
      </c>
      <c r="H187" s="2058">
        <f t="shared" si="53"/>
        <v>0.49864791779340184</v>
      </c>
      <c r="I187" s="2086" t="s">
        <v>6730</v>
      </c>
      <c r="J187" s="2320">
        <v>12.55</v>
      </c>
      <c r="K187" s="2320">
        <v>14.42</v>
      </c>
      <c r="L187" s="2320">
        <v>33.4</v>
      </c>
      <c r="M187" s="2320">
        <v>19.68</v>
      </c>
      <c r="N187" s="2320">
        <v>10.76</v>
      </c>
      <c r="O187" s="2320">
        <v>18.36</v>
      </c>
      <c r="P187" s="2320">
        <v>27.63</v>
      </c>
      <c r="Q187" s="2320">
        <v>9.14</v>
      </c>
      <c r="R187" s="2296"/>
      <c r="S187" s="2322"/>
      <c r="T187" s="2322"/>
      <c r="U187" s="2322"/>
      <c r="V187" s="2322"/>
      <c r="W187" s="2322"/>
      <c r="X187" s="2322">
        <v>19.760000000000002</v>
      </c>
      <c r="Y187" s="1818"/>
      <c r="Z187" s="1818"/>
      <c r="AA187" s="1818"/>
      <c r="AB187" s="1818"/>
      <c r="AC187" s="1818"/>
      <c r="AD187" s="1818"/>
      <c r="AE187" s="1818"/>
      <c r="AF187" s="1818"/>
      <c r="AG187" s="1818"/>
      <c r="AH187" s="1818"/>
      <c r="AI187" s="1818"/>
      <c r="AJ187" s="1818"/>
      <c r="AK187" s="1818"/>
      <c r="AL187" s="1818"/>
      <c r="AM187" s="1818"/>
      <c r="AN187" s="1818"/>
      <c r="AO187" s="1818"/>
      <c r="AP187" s="1818"/>
      <c r="AQ187" s="1818"/>
      <c r="AR187" s="1818"/>
      <c r="AS187" s="1818"/>
      <c r="AT187" s="1818"/>
      <c r="AU187" s="1818"/>
      <c r="AV187" s="1818"/>
      <c r="AW187" s="1818"/>
      <c r="AX187" s="1818"/>
      <c r="AY187" s="1818"/>
      <c r="AZ187" s="1818"/>
      <c r="BA187" s="1818"/>
      <c r="BB187" s="1818"/>
      <c r="BC187" s="1818"/>
      <c r="BD187" s="1818"/>
      <c r="BE187" s="1818"/>
      <c r="BF187" s="1818"/>
      <c r="BG187" s="1818"/>
      <c r="BH187" s="1818"/>
      <c r="BI187" s="1818"/>
      <c r="BJ187" s="1818"/>
      <c r="BK187" s="1818"/>
      <c r="BL187" s="1818"/>
      <c r="BM187" s="1818"/>
      <c r="BN187" s="1818"/>
      <c r="BO187" s="1818"/>
      <c r="BP187" s="1818"/>
      <c r="BQ187" s="1818"/>
      <c r="BR187" s="1818"/>
      <c r="BS187" s="1818"/>
      <c r="BT187" s="1818"/>
      <c r="BU187" s="1818"/>
      <c r="BV187" s="1818"/>
      <c r="BW187" s="1818"/>
      <c r="BX187" s="1818"/>
      <c r="BY187" s="1818"/>
      <c r="BZ187" s="1818"/>
    </row>
    <row r="188" spans="1:78" s="1893" customFormat="1" ht="63" customHeight="1">
      <c r="A188" s="2510"/>
      <c r="B188" s="2319" t="s">
        <v>9108</v>
      </c>
      <c r="C188" s="2058">
        <f>IF(J188&gt;$P188,1,IF(J188&lt;$Q188,0,(J188-$Q188)/($P188-$Q188)))</f>
        <v>0.26773557407382326</v>
      </c>
      <c r="D188" s="2058">
        <f t="shared" si="53"/>
        <v>0.80320669564610803</v>
      </c>
      <c r="E188" s="2058">
        <f t="shared" si="53"/>
        <v>0.90543546506419359</v>
      </c>
      <c r="F188" s="2058">
        <f t="shared" si="53"/>
        <v>0.49058847869477024</v>
      </c>
      <c r="G188" s="2058">
        <f t="shared" si="53"/>
        <v>0.60526177326172848</v>
      </c>
      <c r="H188" s="2058">
        <f t="shared" si="53"/>
        <v>1</v>
      </c>
      <c r="I188" s="2086" t="s">
        <v>6731</v>
      </c>
      <c r="J188" s="2321">
        <v>53</v>
      </c>
      <c r="K188" s="2321">
        <v>70.999999106662401</v>
      </c>
      <c r="L188" s="2321">
        <v>74.436445413603593</v>
      </c>
      <c r="M188" s="2321">
        <v>60.491257553377999</v>
      </c>
      <c r="N188" s="2321">
        <v>64.346029765374197</v>
      </c>
      <c r="O188" s="2321">
        <v>79</v>
      </c>
      <c r="P188" s="2322">
        <v>77.615256512451396</v>
      </c>
      <c r="Q188" s="2322">
        <v>44</v>
      </c>
      <c r="R188" s="2296"/>
      <c r="S188" s="2321"/>
      <c r="T188" s="2321"/>
      <c r="U188" s="2321"/>
      <c r="V188" s="2321"/>
      <c r="W188" s="2321"/>
      <c r="X188" s="2321">
        <v>77</v>
      </c>
      <c r="Y188" s="1818"/>
      <c r="Z188" s="1818"/>
      <c r="AA188" s="1818"/>
      <c r="AB188" s="1818"/>
      <c r="AC188" s="1818"/>
      <c r="AD188" s="1818"/>
      <c r="AE188" s="1818"/>
      <c r="AF188" s="1818"/>
      <c r="AG188" s="1818"/>
      <c r="AH188" s="1818"/>
      <c r="AI188" s="1818"/>
      <c r="AJ188" s="1818"/>
      <c r="AK188" s="1818"/>
      <c r="AL188" s="1818"/>
      <c r="AM188" s="1818"/>
      <c r="AN188" s="1818"/>
      <c r="AO188" s="1818"/>
      <c r="AP188" s="1818"/>
      <c r="AQ188" s="1818"/>
      <c r="AR188" s="1818"/>
      <c r="AS188" s="1818"/>
      <c r="AT188" s="1818"/>
      <c r="AU188" s="1818"/>
      <c r="AV188" s="1818"/>
      <c r="AW188" s="1818"/>
      <c r="AX188" s="1818"/>
      <c r="AY188" s="1818"/>
      <c r="AZ188" s="1818"/>
      <c r="BA188" s="1818"/>
      <c r="BB188" s="1818"/>
      <c r="BC188" s="1818"/>
      <c r="BD188" s="1818"/>
      <c r="BE188" s="1818"/>
      <c r="BF188" s="1818"/>
      <c r="BG188" s="1818"/>
      <c r="BH188" s="1818"/>
      <c r="BI188" s="1818"/>
      <c r="BJ188" s="1818"/>
      <c r="BK188" s="1818"/>
      <c r="BL188" s="1818"/>
      <c r="BM188" s="1818"/>
      <c r="BN188" s="1818"/>
      <c r="BO188" s="1818"/>
      <c r="BP188" s="1818"/>
      <c r="BQ188" s="1818"/>
      <c r="BR188" s="1818"/>
      <c r="BS188" s="1818"/>
      <c r="BT188" s="1818"/>
      <c r="BU188" s="1818"/>
      <c r="BV188" s="1818"/>
      <c r="BW188" s="1818"/>
      <c r="BX188" s="1818"/>
      <c r="BY188" s="1818"/>
      <c r="BZ188" s="1818"/>
    </row>
    <row r="189" spans="1:78" s="1891" customFormat="1" ht="81" customHeight="1">
      <c r="A189" s="1899"/>
      <c r="B189" s="1861" t="s">
        <v>194</v>
      </c>
      <c r="C189" s="1850">
        <v>1</v>
      </c>
      <c r="D189" s="1850">
        <v>1</v>
      </c>
      <c r="E189" s="1850">
        <v>0</v>
      </c>
      <c r="F189" s="1850">
        <v>1</v>
      </c>
      <c r="G189" s="1850">
        <v>1</v>
      </c>
      <c r="H189" s="1850">
        <v>0</v>
      </c>
      <c r="I189" s="2538" t="s">
        <v>8599</v>
      </c>
      <c r="J189" s="2217" t="s">
        <v>811</v>
      </c>
      <c r="K189" s="1974" t="s">
        <v>968</v>
      </c>
      <c r="L189" s="1794" t="s">
        <v>811</v>
      </c>
      <c r="M189" s="1974" t="s">
        <v>748</v>
      </c>
      <c r="N189" s="1914" t="s">
        <v>748</v>
      </c>
      <c r="O189" s="1974" t="s">
        <v>8708</v>
      </c>
      <c r="P189" s="1974"/>
      <c r="Q189" s="1974"/>
      <c r="R189" s="2296"/>
      <c r="S189" s="2248" t="s">
        <v>8129</v>
      </c>
      <c r="T189" s="1974" t="s">
        <v>7511</v>
      </c>
      <c r="U189" s="1794" t="s">
        <v>7247</v>
      </c>
      <c r="V189" s="1974"/>
      <c r="W189" s="1914" t="s">
        <v>5434</v>
      </c>
      <c r="X189" s="1974" t="s">
        <v>8708</v>
      </c>
      <c r="Y189" s="1818"/>
      <c r="Z189" s="1818"/>
      <c r="AA189" s="1818"/>
      <c r="AB189" s="1818"/>
      <c r="AC189" s="1818"/>
      <c r="AD189" s="1818"/>
      <c r="AE189" s="1818"/>
      <c r="AF189" s="1818"/>
      <c r="AG189" s="1818"/>
      <c r="AH189" s="1818"/>
      <c r="AI189" s="1818"/>
      <c r="AJ189" s="1818"/>
      <c r="AK189" s="1818"/>
      <c r="AL189" s="1818"/>
      <c r="AM189" s="1818"/>
      <c r="AN189" s="1818"/>
      <c r="AO189" s="1818"/>
      <c r="AP189" s="1818"/>
      <c r="AQ189" s="1818"/>
      <c r="AR189" s="1818"/>
      <c r="AS189" s="1818"/>
      <c r="AT189" s="1818"/>
      <c r="AU189" s="1818"/>
      <c r="AV189" s="1818"/>
      <c r="AW189" s="1818"/>
      <c r="AX189" s="1818"/>
      <c r="AY189" s="1818"/>
      <c r="AZ189" s="1818"/>
      <c r="BA189" s="1818"/>
      <c r="BB189" s="1818"/>
      <c r="BC189" s="1818"/>
      <c r="BD189" s="1818"/>
      <c r="BE189" s="1818"/>
      <c r="BF189" s="1818"/>
      <c r="BG189" s="1818"/>
      <c r="BH189" s="1818"/>
      <c r="BI189" s="1818"/>
      <c r="BJ189" s="1818"/>
      <c r="BK189" s="1818"/>
      <c r="BL189" s="1818"/>
      <c r="BM189" s="1818"/>
      <c r="BN189" s="1818"/>
      <c r="BO189" s="1818"/>
      <c r="BP189" s="1818"/>
      <c r="BQ189" s="1818"/>
      <c r="BR189" s="1818"/>
      <c r="BS189" s="1818"/>
      <c r="BT189" s="1818"/>
      <c r="BU189" s="1818"/>
      <c r="BV189" s="1818"/>
      <c r="BW189" s="1818"/>
      <c r="BX189" s="1818"/>
      <c r="BY189" s="1818"/>
      <c r="BZ189" s="1818"/>
    </row>
    <row r="190" spans="1:78" s="1891" customFormat="1" ht="89.1" customHeight="1">
      <c r="A190" s="2511"/>
      <c r="B190" s="1861" t="s">
        <v>196</v>
      </c>
      <c r="C190" s="1837">
        <v>1</v>
      </c>
      <c r="D190" s="1829">
        <v>1</v>
      </c>
      <c r="E190" s="1829">
        <v>0</v>
      </c>
      <c r="F190" s="1829">
        <v>1</v>
      </c>
      <c r="G190" s="1837">
        <v>1</v>
      </c>
      <c r="H190" s="1850">
        <v>0</v>
      </c>
      <c r="I190" s="2538" t="s">
        <v>8599</v>
      </c>
      <c r="J190" s="2217" t="s">
        <v>748</v>
      </c>
      <c r="K190" s="1794" t="s">
        <v>968</v>
      </c>
      <c r="L190" s="1794" t="s">
        <v>811</v>
      </c>
      <c r="M190" s="1794" t="s">
        <v>748</v>
      </c>
      <c r="N190" s="1802" t="s">
        <v>748</v>
      </c>
      <c r="O190" s="1802" t="s">
        <v>8709</v>
      </c>
      <c r="P190" s="1794"/>
      <c r="Q190" s="1974"/>
      <c r="R190" s="2296"/>
      <c r="S190" s="2248" t="s">
        <v>9239</v>
      </c>
      <c r="T190" s="1974" t="s">
        <v>7512</v>
      </c>
      <c r="U190" s="1794" t="s">
        <v>811</v>
      </c>
      <c r="V190" s="1974" t="s">
        <v>7881</v>
      </c>
      <c r="W190" s="1914" t="s">
        <v>8336</v>
      </c>
      <c r="X190" s="1914" t="s">
        <v>8709</v>
      </c>
      <c r="Y190" s="1818"/>
      <c r="Z190" s="1818"/>
      <c r="AA190" s="1818"/>
      <c r="AB190" s="1818"/>
      <c r="AC190" s="1818"/>
      <c r="AD190" s="1818"/>
      <c r="AE190" s="1818"/>
      <c r="AF190" s="1818"/>
      <c r="AG190" s="1818"/>
      <c r="AH190" s="1818"/>
      <c r="AI190" s="1818"/>
      <c r="AJ190" s="1818"/>
      <c r="AK190" s="1818"/>
      <c r="AL190" s="1818"/>
      <c r="AM190" s="1818"/>
      <c r="AN190" s="1818"/>
      <c r="AO190" s="1818"/>
      <c r="AP190" s="1818"/>
      <c r="AQ190" s="1818"/>
      <c r="AR190" s="1818"/>
      <c r="AS190" s="1818"/>
      <c r="AT190" s="1818"/>
      <c r="AU190" s="1818"/>
      <c r="AV190" s="1818"/>
      <c r="AW190" s="1818"/>
      <c r="AX190" s="1818"/>
      <c r="AY190" s="1818"/>
      <c r="AZ190" s="1818"/>
      <c r="BA190" s="1818"/>
      <c r="BB190" s="1818"/>
      <c r="BC190" s="1818"/>
      <c r="BD190" s="1818"/>
      <c r="BE190" s="1818"/>
      <c r="BF190" s="1818"/>
      <c r="BG190" s="1818"/>
      <c r="BH190" s="1818"/>
      <c r="BI190" s="1818"/>
      <c r="BJ190" s="1818"/>
      <c r="BK190" s="1818"/>
      <c r="BL190" s="1818"/>
      <c r="BM190" s="1818"/>
      <c r="BN190" s="1818"/>
      <c r="BO190" s="1818"/>
      <c r="BP190" s="1818"/>
      <c r="BQ190" s="1818"/>
      <c r="BR190" s="1818"/>
      <c r="BS190" s="1818"/>
      <c r="BT190" s="1818"/>
      <c r="BU190" s="1818"/>
      <c r="BV190" s="1818"/>
      <c r="BW190" s="1818"/>
      <c r="BX190" s="1818"/>
      <c r="BY190" s="1818"/>
      <c r="BZ190" s="1818"/>
    </row>
    <row r="191" spans="1:78" s="1891" customFormat="1" ht="144" customHeight="1">
      <c r="A191" s="1899"/>
      <c r="B191" s="1861" t="s">
        <v>197</v>
      </c>
      <c r="C191" s="1837">
        <v>0</v>
      </c>
      <c r="D191" s="1829">
        <v>1</v>
      </c>
      <c r="E191" s="1829">
        <v>0</v>
      </c>
      <c r="F191" s="1829">
        <v>0.5</v>
      </c>
      <c r="G191" s="1837">
        <v>1</v>
      </c>
      <c r="H191" s="1850">
        <v>0</v>
      </c>
      <c r="I191" s="2538" t="s">
        <v>8599</v>
      </c>
      <c r="J191" s="2218" t="s">
        <v>811</v>
      </c>
      <c r="K191" s="1794" t="s">
        <v>943</v>
      </c>
      <c r="L191" s="1794" t="s">
        <v>811</v>
      </c>
      <c r="M191" s="1794" t="s">
        <v>811</v>
      </c>
      <c r="N191" s="1802" t="s">
        <v>960</v>
      </c>
      <c r="O191" s="1802" t="s">
        <v>8710</v>
      </c>
      <c r="P191" s="1794"/>
      <c r="Q191" s="1974"/>
      <c r="R191" s="2296"/>
      <c r="S191" s="2248" t="s">
        <v>8130</v>
      </c>
      <c r="T191" s="1974" t="s">
        <v>7513</v>
      </c>
      <c r="U191" s="1794" t="s">
        <v>7248</v>
      </c>
      <c r="V191" s="1974" t="s">
        <v>7882</v>
      </c>
      <c r="W191" s="1914" t="s">
        <v>8337</v>
      </c>
      <c r="X191" s="1914" t="s">
        <v>8710</v>
      </c>
      <c r="Y191" s="1818"/>
      <c r="Z191" s="1818"/>
      <c r="AA191" s="1818"/>
      <c r="AB191" s="1818"/>
      <c r="AC191" s="1818"/>
      <c r="AD191" s="1818"/>
      <c r="AE191" s="1818"/>
      <c r="AF191" s="1818"/>
      <c r="AG191" s="1818"/>
      <c r="AH191" s="1818"/>
      <c r="AI191" s="1818"/>
      <c r="AJ191" s="1818"/>
      <c r="AK191" s="1818"/>
      <c r="AL191" s="1818"/>
      <c r="AM191" s="1818"/>
      <c r="AN191" s="1818"/>
      <c r="AO191" s="1818"/>
      <c r="AP191" s="1818"/>
      <c r="AQ191" s="1818"/>
      <c r="AR191" s="1818"/>
      <c r="AS191" s="1818"/>
      <c r="AT191" s="1818"/>
      <c r="AU191" s="1818"/>
      <c r="AV191" s="1818"/>
      <c r="AW191" s="1818"/>
      <c r="AX191" s="1818"/>
      <c r="AY191" s="1818"/>
      <c r="AZ191" s="1818"/>
      <c r="BA191" s="1818"/>
      <c r="BB191" s="1818"/>
      <c r="BC191" s="1818"/>
      <c r="BD191" s="1818"/>
      <c r="BE191" s="1818"/>
      <c r="BF191" s="1818"/>
      <c r="BG191" s="1818"/>
      <c r="BH191" s="1818"/>
      <c r="BI191" s="1818"/>
      <c r="BJ191" s="1818"/>
      <c r="BK191" s="1818"/>
      <c r="BL191" s="1818"/>
      <c r="BM191" s="1818"/>
      <c r="BN191" s="1818"/>
      <c r="BO191" s="1818"/>
      <c r="BP191" s="1818"/>
      <c r="BQ191" s="1818"/>
      <c r="BR191" s="1818"/>
      <c r="BS191" s="1818"/>
      <c r="BT191" s="1818"/>
      <c r="BU191" s="1818"/>
      <c r="BV191" s="1818"/>
      <c r="BW191" s="1818"/>
      <c r="BX191" s="1818"/>
      <c r="BY191" s="1818"/>
      <c r="BZ191" s="1818"/>
    </row>
    <row r="192" spans="1:78" s="1891" customFormat="1" ht="170.1" customHeight="1">
      <c r="A192" s="1899"/>
      <c r="B192" s="1861" t="s">
        <v>198</v>
      </c>
      <c r="C192" s="1837">
        <v>1</v>
      </c>
      <c r="D192" s="1829">
        <v>0.5</v>
      </c>
      <c r="E192" s="1829">
        <v>0.5</v>
      </c>
      <c r="F192" s="1837">
        <v>1</v>
      </c>
      <c r="G192" s="1829">
        <v>1</v>
      </c>
      <c r="H192" s="1850">
        <v>0</v>
      </c>
      <c r="I192" s="2086" t="s">
        <v>8600</v>
      </c>
      <c r="J192" s="2217" t="s">
        <v>811</v>
      </c>
      <c r="K192" s="1794" t="s">
        <v>7378</v>
      </c>
      <c r="L192" s="1794">
        <v>0.5</v>
      </c>
      <c r="M192" s="1802" t="s">
        <v>811</v>
      </c>
      <c r="N192" s="1794" t="s">
        <v>811</v>
      </c>
      <c r="O192" s="1794" t="s">
        <v>8711</v>
      </c>
      <c r="P192" s="1794"/>
      <c r="Q192" s="1974"/>
      <c r="R192" s="2296"/>
      <c r="S192" s="2248" t="s">
        <v>8131</v>
      </c>
      <c r="T192" s="1974" t="s">
        <v>9145</v>
      </c>
      <c r="U192" s="1794" t="s">
        <v>5895</v>
      </c>
      <c r="V192" s="1914" t="s">
        <v>7883</v>
      </c>
      <c r="W192" s="2254" t="s">
        <v>8338</v>
      </c>
      <c r="X192" s="1974" t="s">
        <v>8711</v>
      </c>
      <c r="Y192" s="1818"/>
      <c r="Z192" s="1818"/>
      <c r="AA192" s="1818"/>
      <c r="AB192" s="1818"/>
      <c r="AC192" s="1818"/>
      <c r="AD192" s="1818"/>
      <c r="AE192" s="1818"/>
      <c r="AF192" s="1818"/>
      <c r="AG192" s="1818"/>
      <c r="AH192" s="1818"/>
      <c r="AI192" s="1818"/>
      <c r="AJ192" s="1818"/>
      <c r="AK192" s="1818"/>
      <c r="AL192" s="1818"/>
      <c r="AM192" s="1818"/>
      <c r="AN192" s="1818"/>
      <c r="AO192" s="1818"/>
      <c r="AP192" s="1818"/>
      <c r="AQ192" s="1818"/>
      <c r="AR192" s="1818"/>
      <c r="AS192" s="1818"/>
      <c r="AT192" s="1818"/>
      <c r="AU192" s="1818"/>
      <c r="AV192" s="1818"/>
      <c r="AW192" s="1818"/>
      <c r="AX192" s="1818"/>
      <c r="AY192" s="1818"/>
      <c r="AZ192" s="1818"/>
      <c r="BA192" s="1818"/>
      <c r="BB192" s="1818"/>
      <c r="BC192" s="1818"/>
      <c r="BD192" s="1818"/>
      <c r="BE192" s="1818"/>
      <c r="BF192" s="1818"/>
      <c r="BG192" s="1818"/>
      <c r="BH192" s="1818"/>
      <c r="BI192" s="1818"/>
      <c r="BJ192" s="1818"/>
      <c r="BK192" s="1818"/>
      <c r="BL192" s="1818"/>
      <c r="BM192" s="1818"/>
      <c r="BN192" s="1818"/>
      <c r="BO192" s="1818"/>
      <c r="BP192" s="1818"/>
      <c r="BQ192" s="1818"/>
      <c r="BR192" s="1818"/>
      <c r="BS192" s="1818"/>
      <c r="BT192" s="1818"/>
      <c r="BU192" s="1818"/>
      <c r="BV192" s="1818"/>
      <c r="BW192" s="1818"/>
      <c r="BX192" s="1818"/>
      <c r="BY192" s="1818"/>
      <c r="BZ192" s="1818"/>
    </row>
    <row r="193" spans="1:78" s="1891" customFormat="1" ht="42.95" customHeight="1">
      <c r="A193" s="2511"/>
      <c r="B193" s="1861" t="s">
        <v>6997</v>
      </c>
      <c r="C193" s="1837">
        <v>0.5</v>
      </c>
      <c r="D193" s="1863">
        <v>1</v>
      </c>
      <c r="E193" s="1829">
        <v>0.5</v>
      </c>
      <c r="F193" s="1833">
        <v>0.5</v>
      </c>
      <c r="G193" s="1863">
        <v>1</v>
      </c>
      <c r="H193" s="1862">
        <v>0.5</v>
      </c>
      <c r="I193" s="2086"/>
      <c r="J193" s="2218" t="s">
        <v>6225</v>
      </c>
      <c r="K193" s="1794" t="s">
        <v>1134</v>
      </c>
      <c r="L193" s="1794">
        <v>0.5</v>
      </c>
      <c r="M193" s="1802">
        <v>0.5</v>
      </c>
      <c r="N193" s="1794" t="s">
        <v>811</v>
      </c>
      <c r="O193" s="1794" t="s">
        <v>8712</v>
      </c>
      <c r="P193" s="1794"/>
      <c r="Q193" s="1974"/>
      <c r="R193" s="2296"/>
      <c r="S193" s="2248" t="s">
        <v>8132</v>
      </c>
      <c r="T193" s="1974" t="s">
        <v>7514</v>
      </c>
      <c r="U193" s="1794" t="s">
        <v>7249</v>
      </c>
      <c r="V193" s="1914" t="s">
        <v>7884</v>
      </c>
      <c r="W193" s="1974" t="s">
        <v>8339</v>
      </c>
      <c r="X193" s="1974" t="s">
        <v>8712</v>
      </c>
      <c r="Y193" s="1818"/>
      <c r="Z193" s="1818"/>
      <c r="AA193" s="1818"/>
      <c r="AB193" s="1818"/>
      <c r="AC193" s="1818"/>
      <c r="AD193" s="1818"/>
      <c r="AE193" s="1818"/>
      <c r="AF193" s="1818"/>
      <c r="AG193" s="1818"/>
      <c r="AH193" s="1818"/>
      <c r="AI193" s="1818"/>
      <c r="AJ193" s="1818"/>
      <c r="AK193" s="1818"/>
      <c r="AL193" s="1818"/>
      <c r="AM193" s="1818"/>
      <c r="AN193" s="1818"/>
      <c r="AO193" s="1818"/>
      <c r="AP193" s="1818"/>
      <c r="AQ193" s="1818"/>
      <c r="AR193" s="1818"/>
      <c r="AS193" s="1818"/>
      <c r="AT193" s="1818"/>
      <c r="AU193" s="1818"/>
      <c r="AV193" s="1818"/>
      <c r="AW193" s="1818"/>
      <c r="AX193" s="1818"/>
      <c r="AY193" s="1818"/>
      <c r="AZ193" s="1818"/>
      <c r="BA193" s="1818"/>
      <c r="BB193" s="1818"/>
      <c r="BC193" s="1818"/>
      <c r="BD193" s="1818"/>
      <c r="BE193" s="1818"/>
      <c r="BF193" s="1818"/>
      <c r="BG193" s="1818"/>
      <c r="BH193" s="1818"/>
      <c r="BI193" s="1818"/>
      <c r="BJ193" s="1818"/>
      <c r="BK193" s="1818"/>
      <c r="BL193" s="1818"/>
      <c r="BM193" s="1818"/>
      <c r="BN193" s="1818"/>
      <c r="BO193" s="1818"/>
      <c r="BP193" s="1818"/>
      <c r="BQ193" s="1818"/>
      <c r="BR193" s="1818"/>
      <c r="BS193" s="1818"/>
      <c r="BT193" s="1818"/>
      <c r="BU193" s="1818"/>
      <c r="BV193" s="1818"/>
      <c r="BW193" s="1818"/>
      <c r="BX193" s="1818"/>
      <c r="BY193" s="1818"/>
      <c r="BZ193" s="1818"/>
    </row>
    <row r="194" spans="1:78" s="1891" customFormat="1" ht="32.1" customHeight="1">
      <c r="A194" s="1874"/>
      <c r="B194" s="1843" t="s">
        <v>199</v>
      </c>
      <c r="C194" s="1837">
        <v>1</v>
      </c>
      <c r="D194" s="1830">
        <v>0.5</v>
      </c>
      <c r="E194" s="1846">
        <v>0</v>
      </c>
      <c r="F194" s="1863">
        <v>1</v>
      </c>
      <c r="G194" s="1830">
        <v>1</v>
      </c>
      <c r="H194" s="1839">
        <v>0</v>
      </c>
      <c r="I194" s="2086" t="s">
        <v>195</v>
      </c>
      <c r="J194" s="2218" t="s">
        <v>8128</v>
      </c>
      <c r="K194" s="1794" t="s">
        <v>7379</v>
      </c>
      <c r="L194" s="1794">
        <v>0</v>
      </c>
      <c r="M194" s="1794">
        <v>1</v>
      </c>
      <c r="N194" s="1794" t="s">
        <v>811</v>
      </c>
      <c r="O194" s="1802" t="s">
        <v>748</v>
      </c>
      <c r="P194" s="1794"/>
      <c r="Q194" s="1916"/>
      <c r="R194" s="2096"/>
      <c r="S194" s="2248" t="s">
        <v>8133</v>
      </c>
      <c r="T194" s="1916" t="s">
        <v>7515</v>
      </c>
      <c r="U194" s="1794" t="s">
        <v>763</v>
      </c>
      <c r="V194" s="1974" t="s">
        <v>7885</v>
      </c>
      <c r="W194" s="1916" t="s">
        <v>5438</v>
      </c>
      <c r="X194" s="1914" t="s">
        <v>748</v>
      </c>
      <c r="Y194" s="1818"/>
      <c r="Z194" s="1818"/>
      <c r="AA194" s="1818"/>
      <c r="AB194" s="1818"/>
      <c r="AC194" s="1818"/>
      <c r="AD194" s="1818"/>
      <c r="AE194" s="1818"/>
      <c r="AF194" s="1818"/>
      <c r="AG194" s="1818"/>
      <c r="AH194" s="1818"/>
      <c r="AI194" s="1818"/>
      <c r="AJ194" s="1818"/>
      <c r="AK194" s="1818"/>
      <c r="AL194" s="1818"/>
      <c r="AM194" s="1818"/>
      <c r="AN194" s="1818"/>
      <c r="AO194" s="1818"/>
      <c r="AP194" s="1818"/>
      <c r="AQ194" s="1818"/>
      <c r="AR194" s="1818"/>
      <c r="AS194" s="1818"/>
      <c r="AT194" s="1818"/>
      <c r="AU194" s="1818"/>
      <c r="AV194" s="1818"/>
      <c r="AW194" s="1818"/>
      <c r="AX194" s="1818"/>
      <c r="AY194" s="1818"/>
      <c r="AZ194" s="1818"/>
      <c r="BA194" s="1818"/>
      <c r="BB194" s="1818"/>
      <c r="BC194" s="1818"/>
      <c r="BD194" s="1818"/>
      <c r="BE194" s="1818"/>
      <c r="BF194" s="1818"/>
      <c r="BG194" s="1818"/>
      <c r="BH194" s="1818"/>
      <c r="BI194" s="1818"/>
      <c r="BJ194" s="1818"/>
      <c r="BK194" s="1818"/>
      <c r="BL194" s="1818"/>
      <c r="BM194" s="1818"/>
      <c r="BN194" s="1818"/>
      <c r="BO194" s="1818"/>
      <c r="BP194" s="1818"/>
      <c r="BQ194" s="1818"/>
      <c r="BR194" s="1818"/>
      <c r="BS194" s="1818"/>
      <c r="BT194" s="1818"/>
      <c r="BU194" s="1818"/>
      <c r="BV194" s="1818"/>
      <c r="BW194" s="1818"/>
      <c r="BX194" s="1818"/>
      <c r="BY194" s="1818"/>
      <c r="BZ194" s="1818"/>
    </row>
    <row r="195" spans="1:78" ht="32.1" customHeight="1">
      <c r="A195" s="2502" t="s">
        <v>5288</v>
      </c>
      <c r="B195" s="2080" t="s">
        <v>200</v>
      </c>
      <c r="C195" s="2116">
        <f t="shared" ref="C195:H195" si="54">AVERAGE(C196,C197,C198)</f>
        <v>0.83308270676691742</v>
      </c>
      <c r="D195" s="2116">
        <f t="shared" si="54"/>
        <v>0.7170426065162907</v>
      </c>
      <c r="E195" s="2116">
        <f t="shared" si="54"/>
        <v>0.10175438596491228</v>
      </c>
      <c r="F195" s="2116">
        <f t="shared" si="54"/>
        <v>0.72957393483709276</v>
      </c>
      <c r="G195" s="2116">
        <f t="shared" si="54"/>
        <v>0.47243107769423559</v>
      </c>
      <c r="H195" s="2116">
        <f t="shared" si="54"/>
        <v>0</v>
      </c>
      <c r="I195" s="2076"/>
      <c r="J195" s="2077"/>
      <c r="K195" s="2077"/>
      <c r="L195" s="2077"/>
      <c r="M195" s="2077"/>
      <c r="N195" s="2077"/>
      <c r="O195" s="2077"/>
      <c r="P195" s="2077"/>
      <c r="Q195" s="2077"/>
      <c r="R195" s="2083"/>
      <c r="S195" s="2077"/>
      <c r="T195" s="2077"/>
      <c r="U195" s="2077"/>
      <c r="V195" s="2077"/>
      <c r="W195" s="2077"/>
      <c r="X195" s="2077"/>
    </row>
    <row r="196" spans="1:78" s="1893" customFormat="1" ht="53.1" customHeight="1">
      <c r="A196" s="2504"/>
      <c r="B196" s="2057" t="s">
        <v>7127</v>
      </c>
      <c r="C196" s="2058">
        <f>IF(J196&gt;$P196,1,IF(J196&lt;$Q196,0,(J196-$Q196)/($P196-$Q196)))</f>
        <v>0.8571428571428571</v>
      </c>
      <c r="D196" s="2058">
        <f t="shared" ref="D196:H196" si="55">IF(K196&gt;$P196,1,IF(K196&lt;$Q196,0,(K196-$Q196)/($P196-$Q196)))</f>
        <v>0.7142857142857143</v>
      </c>
      <c r="E196" s="2058">
        <f t="shared" si="55"/>
        <v>0</v>
      </c>
      <c r="F196" s="2058">
        <f t="shared" si="55"/>
        <v>0.8571428571428571</v>
      </c>
      <c r="G196" s="2058">
        <f t="shared" si="55"/>
        <v>0.2857142857142857</v>
      </c>
      <c r="H196" s="2058">
        <f t="shared" si="55"/>
        <v>0</v>
      </c>
      <c r="I196" s="2086" t="s">
        <v>202</v>
      </c>
      <c r="J196" s="2222">
        <v>9</v>
      </c>
      <c r="K196" s="2222">
        <v>8</v>
      </c>
      <c r="L196" s="2222">
        <v>3</v>
      </c>
      <c r="M196" s="2222">
        <v>9</v>
      </c>
      <c r="N196" s="2222">
        <v>5</v>
      </c>
      <c r="O196" s="2222">
        <v>3</v>
      </c>
      <c r="P196" s="2222">
        <v>10</v>
      </c>
      <c r="Q196" s="2222">
        <v>3</v>
      </c>
      <c r="R196" s="2100"/>
      <c r="S196" s="2222"/>
      <c r="T196" s="2222"/>
      <c r="U196" s="2222"/>
      <c r="V196" s="2222"/>
      <c r="W196" s="2222"/>
      <c r="X196" s="2222"/>
      <c r="Y196" s="1818"/>
      <c r="Z196" s="1818"/>
      <c r="AA196" s="1818"/>
      <c r="AB196" s="1818"/>
      <c r="AC196" s="1818"/>
      <c r="AD196" s="1818"/>
      <c r="AE196" s="1818"/>
      <c r="AF196" s="1818"/>
      <c r="AG196" s="1818"/>
      <c r="AH196" s="1818"/>
      <c r="AI196" s="1818"/>
      <c r="AJ196" s="1818"/>
      <c r="AK196" s="1818"/>
      <c r="AL196" s="1818"/>
      <c r="AM196" s="1818"/>
      <c r="AN196" s="1818"/>
      <c r="AO196" s="1818"/>
      <c r="AP196" s="1818"/>
      <c r="AQ196" s="1818"/>
      <c r="AR196" s="1818"/>
      <c r="AS196" s="1818"/>
      <c r="AT196" s="1818"/>
      <c r="AU196" s="1818"/>
      <c r="AV196" s="1818"/>
      <c r="AW196" s="1818"/>
      <c r="AX196" s="1818"/>
      <c r="AY196" s="1818"/>
      <c r="AZ196" s="1818"/>
      <c r="BA196" s="1818"/>
      <c r="BB196" s="1818"/>
      <c r="BC196" s="1818"/>
      <c r="BD196" s="1818"/>
      <c r="BE196" s="1818"/>
      <c r="BF196" s="1818"/>
      <c r="BG196" s="1818"/>
      <c r="BH196" s="1818"/>
      <c r="BI196" s="1818"/>
      <c r="BJ196" s="1818"/>
      <c r="BK196" s="1818"/>
      <c r="BL196" s="1818"/>
      <c r="BM196" s="1818"/>
      <c r="BN196" s="1818"/>
      <c r="BO196" s="1818"/>
      <c r="BP196" s="1818"/>
      <c r="BQ196" s="1818"/>
      <c r="BR196" s="1818"/>
      <c r="BS196" s="1818"/>
      <c r="BT196" s="1818"/>
      <c r="BU196" s="1818"/>
      <c r="BV196" s="1818"/>
      <c r="BW196" s="1818"/>
      <c r="BX196" s="1818"/>
      <c r="BY196" s="1818"/>
      <c r="BZ196" s="1818"/>
    </row>
    <row r="197" spans="1:78" s="1893" customFormat="1" ht="69.95" customHeight="1">
      <c r="A197" s="2504"/>
      <c r="B197" s="2057" t="s">
        <v>7141</v>
      </c>
      <c r="C197" s="2058">
        <f>IF(J197&lt;$P197,1,IF(J197&gt;$Q197,0,(J197-$Q197)/($P197-$Q197)))</f>
        <v>0.84210526315789469</v>
      </c>
      <c r="D197" s="2058">
        <f t="shared" ref="D197:H197" si="56">IF(K197&lt;$P197,1,IF(K197&gt;$Q197,0,(K197-$Q197)/($P197-$Q197)))</f>
        <v>0.73684210526315785</v>
      </c>
      <c r="E197" s="2058">
        <f t="shared" si="56"/>
        <v>0.10526315789473684</v>
      </c>
      <c r="F197" s="2058">
        <f t="shared" si="56"/>
        <v>0.63157894736842102</v>
      </c>
      <c r="G197" s="2058">
        <f t="shared" si="56"/>
        <v>0.63157894736842102</v>
      </c>
      <c r="H197" s="2058">
        <f t="shared" si="56"/>
        <v>0</v>
      </c>
      <c r="I197" s="2086" t="s">
        <v>204</v>
      </c>
      <c r="J197" s="2222">
        <v>2.75</v>
      </c>
      <c r="K197" s="2222">
        <v>3.25</v>
      </c>
      <c r="L197" s="2222">
        <v>6.25</v>
      </c>
      <c r="M197" s="2222">
        <v>3.75</v>
      </c>
      <c r="N197" s="2222">
        <v>3.75</v>
      </c>
      <c r="O197" s="2222">
        <v>7</v>
      </c>
      <c r="P197" s="2222">
        <v>2</v>
      </c>
      <c r="Q197" s="2222">
        <v>6.75</v>
      </c>
      <c r="R197" s="2100"/>
      <c r="S197" s="2222"/>
      <c r="T197" s="2222"/>
      <c r="U197" s="2222"/>
      <c r="V197" s="2222"/>
      <c r="W197" s="2222"/>
      <c r="X197" s="2222"/>
      <c r="Y197" s="1818"/>
      <c r="Z197" s="1818"/>
      <c r="AA197" s="1818"/>
      <c r="AB197" s="1818"/>
      <c r="AC197" s="1818"/>
      <c r="AD197" s="1818"/>
      <c r="AE197" s="1818"/>
      <c r="AF197" s="1818"/>
      <c r="AG197" s="1818"/>
      <c r="AH197" s="1818"/>
      <c r="AI197" s="1818"/>
      <c r="AJ197" s="1818"/>
      <c r="AK197" s="1818"/>
      <c r="AL197" s="1818"/>
      <c r="AM197" s="1818"/>
      <c r="AN197" s="1818"/>
      <c r="AO197" s="1818"/>
      <c r="AP197" s="1818"/>
      <c r="AQ197" s="1818"/>
      <c r="AR197" s="1818"/>
      <c r="AS197" s="1818"/>
      <c r="AT197" s="1818"/>
      <c r="AU197" s="1818"/>
      <c r="AV197" s="1818"/>
      <c r="AW197" s="1818"/>
      <c r="AX197" s="1818"/>
      <c r="AY197" s="1818"/>
      <c r="AZ197" s="1818"/>
      <c r="BA197" s="1818"/>
      <c r="BB197" s="1818"/>
      <c r="BC197" s="1818"/>
      <c r="BD197" s="1818"/>
      <c r="BE197" s="1818"/>
      <c r="BF197" s="1818"/>
      <c r="BG197" s="1818"/>
      <c r="BH197" s="1818"/>
      <c r="BI197" s="1818"/>
      <c r="BJ197" s="1818"/>
      <c r="BK197" s="1818"/>
      <c r="BL197" s="1818"/>
      <c r="BM197" s="1818"/>
      <c r="BN197" s="1818"/>
      <c r="BO197" s="1818"/>
      <c r="BP197" s="1818"/>
      <c r="BQ197" s="1818"/>
      <c r="BR197" s="1818"/>
      <c r="BS197" s="1818"/>
      <c r="BT197" s="1818"/>
      <c r="BU197" s="1818"/>
      <c r="BV197" s="1818"/>
      <c r="BW197" s="1818"/>
      <c r="BX197" s="1818"/>
      <c r="BY197" s="1818"/>
      <c r="BZ197" s="1818"/>
    </row>
    <row r="198" spans="1:78" s="1893" customFormat="1" ht="68.099999999999994" customHeight="1">
      <c r="A198" s="2504"/>
      <c r="B198" s="2057" t="s">
        <v>7142</v>
      </c>
      <c r="C198" s="2058">
        <f t="shared" ref="C198:H198" si="57">IF(J198&gt;$P198,1,IF(J198&lt;$Q198,0,(J198-$Q198)/($P198-$Q198)))</f>
        <v>0.8</v>
      </c>
      <c r="D198" s="2058">
        <f t="shared" si="57"/>
        <v>0.7</v>
      </c>
      <c r="E198" s="2058">
        <f t="shared" si="57"/>
        <v>0.2</v>
      </c>
      <c r="F198" s="2058">
        <f t="shared" si="57"/>
        <v>0.7</v>
      </c>
      <c r="G198" s="2058">
        <f t="shared" si="57"/>
        <v>0.5</v>
      </c>
      <c r="H198" s="2058">
        <f t="shared" si="57"/>
        <v>0</v>
      </c>
      <c r="I198" s="2086" t="s">
        <v>206</v>
      </c>
      <c r="J198" s="2222">
        <v>9</v>
      </c>
      <c r="K198" s="2222">
        <v>8</v>
      </c>
      <c r="L198" s="2222">
        <v>3</v>
      </c>
      <c r="M198" s="2222">
        <v>8</v>
      </c>
      <c r="N198" s="2222">
        <v>6</v>
      </c>
      <c r="O198" s="2222">
        <v>1</v>
      </c>
      <c r="P198" s="2323">
        <v>11</v>
      </c>
      <c r="Q198" s="2323">
        <v>1</v>
      </c>
      <c r="R198" s="2121"/>
      <c r="S198" s="2222"/>
      <c r="T198" s="2222"/>
      <c r="U198" s="2222"/>
      <c r="V198" s="2222"/>
      <c r="W198" s="2222"/>
      <c r="X198" s="2222"/>
      <c r="Y198" s="1818"/>
      <c r="Z198" s="1818"/>
      <c r="AA198" s="1818"/>
      <c r="AB198" s="1818"/>
      <c r="AC198" s="1818"/>
      <c r="AD198" s="1818"/>
      <c r="AE198" s="1818"/>
      <c r="AF198" s="1818"/>
      <c r="AG198" s="1818"/>
      <c r="AH198" s="1818"/>
      <c r="AI198" s="1818"/>
      <c r="AJ198" s="1818"/>
      <c r="AK198" s="1818"/>
      <c r="AL198" s="1818"/>
      <c r="AM198" s="1818"/>
      <c r="AN198" s="1818"/>
      <c r="AO198" s="1818"/>
      <c r="AP198" s="1818"/>
      <c r="AQ198" s="1818"/>
      <c r="AR198" s="1818"/>
      <c r="AS198" s="1818"/>
      <c r="AT198" s="1818"/>
      <c r="AU198" s="1818"/>
      <c r="AV198" s="1818"/>
      <c r="AW198" s="1818"/>
      <c r="AX198" s="1818"/>
      <c r="AY198" s="1818"/>
      <c r="AZ198" s="1818"/>
      <c r="BA198" s="1818"/>
      <c r="BB198" s="1818"/>
      <c r="BC198" s="1818"/>
      <c r="BD198" s="1818"/>
      <c r="BE198" s="1818"/>
      <c r="BF198" s="1818"/>
      <c r="BG198" s="1818"/>
      <c r="BH198" s="1818"/>
      <c r="BI198" s="1818"/>
      <c r="BJ198" s="1818"/>
      <c r="BK198" s="1818"/>
      <c r="BL198" s="1818"/>
      <c r="BM198" s="1818"/>
      <c r="BN198" s="1818"/>
      <c r="BO198" s="1818"/>
      <c r="BP198" s="1818"/>
      <c r="BQ198" s="1818"/>
      <c r="BR198" s="1818"/>
      <c r="BS198" s="1818"/>
      <c r="BT198" s="1818"/>
      <c r="BU198" s="1818"/>
      <c r="BV198" s="1818"/>
      <c r="BW198" s="1818"/>
      <c r="BX198" s="1818"/>
      <c r="BY198" s="1818"/>
      <c r="BZ198" s="1818"/>
    </row>
    <row r="199" spans="1:78" ht="32.1" customHeight="1">
      <c r="A199" s="2502" t="s">
        <v>5289</v>
      </c>
      <c r="B199" s="2080" t="s">
        <v>207</v>
      </c>
      <c r="C199" s="2116">
        <f t="shared" ref="C199:H199" si="58">AVERAGE(C200,C207,C214,C220)</f>
        <v>0.65357142857142858</v>
      </c>
      <c r="D199" s="2116">
        <f t="shared" si="58"/>
        <v>0.60952380952380947</v>
      </c>
      <c r="E199" s="2116">
        <f t="shared" si="58"/>
        <v>0.42321428571428577</v>
      </c>
      <c r="F199" s="2116">
        <f t="shared" si="58"/>
        <v>0.63988095238095244</v>
      </c>
      <c r="G199" s="2116">
        <f t="shared" si="58"/>
        <v>0.85714285714285721</v>
      </c>
      <c r="H199" s="2116">
        <f t="shared" si="58"/>
        <v>0.39107142857142857</v>
      </c>
      <c r="I199" s="2076"/>
      <c r="J199" s="2077"/>
      <c r="K199" s="2077"/>
      <c r="L199" s="2077"/>
      <c r="M199" s="2077"/>
      <c r="N199" s="2077"/>
      <c r="O199" s="2077"/>
      <c r="P199" s="2077"/>
      <c r="Q199" s="2077"/>
      <c r="R199" s="2083"/>
      <c r="S199" s="2077"/>
      <c r="T199" s="2077"/>
      <c r="U199" s="2077"/>
      <c r="V199" s="2077"/>
      <c r="W199" s="2077"/>
      <c r="X199" s="2077"/>
    </row>
    <row r="200" spans="1:78" s="1891" customFormat="1" ht="32.1" customHeight="1">
      <c r="A200" s="2499" t="s">
        <v>208</v>
      </c>
      <c r="B200" s="2084" t="s">
        <v>209</v>
      </c>
      <c r="C200" s="2116">
        <f>AVERAGE(C201:C206)</f>
        <v>0.41666666666666669</v>
      </c>
      <c r="D200" s="2116">
        <f t="shared" ref="D200:H200" si="59">AVERAGE(D201:D206)</f>
        <v>0.5</v>
      </c>
      <c r="E200" s="2116">
        <f t="shared" si="59"/>
        <v>0.33333333333333331</v>
      </c>
      <c r="F200" s="2116">
        <f t="shared" si="59"/>
        <v>8.3333333333333329E-2</v>
      </c>
      <c r="G200" s="2116">
        <f t="shared" si="59"/>
        <v>0.66666666666666663</v>
      </c>
      <c r="H200" s="2116">
        <f t="shared" si="59"/>
        <v>0.25</v>
      </c>
      <c r="I200" s="2086"/>
      <c r="J200" s="2077"/>
      <c r="K200" s="2077"/>
      <c r="L200" s="2077"/>
      <c r="M200" s="2077"/>
      <c r="N200" s="2077"/>
      <c r="O200" s="2077"/>
      <c r="P200" s="2077"/>
      <c r="Q200" s="2077"/>
      <c r="R200" s="2083"/>
      <c r="S200" s="2077"/>
      <c r="T200" s="2077"/>
      <c r="U200" s="2077"/>
      <c r="V200" s="2077"/>
      <c r="W200" s="2077"/>
      <c r="X200" s="2077"/>
      <c r="Y200" s="1818"/>
      <c r="Z200" s="1818"/>
      <c r="AA200" s="1818"/>
      <c r="AB200" s="1818"/>
      <c r="AC200" s="1818"/>
      <c r="AD200" s="1818"/>
      <c r="AE200" s="1818"/>
      <c r="AF200" s="1818"/>
      <c r="AG200" s="1818"/>
      <c r="AH200" s="1818"/>
      <c r="AI200" s="1818"/>
      <c r="AJ200" s="1818"/>
      <c r="AK200" s="1818"/>
      <c r="AL200" s="1818"/>
      <c r="AM200" s="1818"/>
      <c r="AN200" s="1818"/>
      <c r="AO200" s="1818"/>
      <c r="AP200" s="1818"/>
      <c r="AQ200" s="1818"/>
      <c r="AR200" s="1818"/>
      <c r="AS200" s="1818"/>
      <c r="AT200" s="1818"/>
      <c r="AU200" s="1818"/>
      <c r="AV200" s="1818"/>
      <c r="AW200" s="1818"/>
      <c r="AX200" s="1818"/>
      <c r="AY200" s="1818"/>
      <c r="AZ200" s="1818"/>
      <c r="BA200" s="1818"/>
      <c r="BB200" s="1818"/>
      <c r="BC200" s="1818"/>
      <c r="BD200" s="1818"/>
      <c r="BE200" s="1818"/>
      <c r="BF200" s="1818"/>
      <c r="BG200" s="1818"/>
      <c r="BH200" s="1818"/>
      <c r="BI200" s="1818"/>
      <c r="BJ200" s="1818"/>
      <c r="BK200" s="1818"/>
      <c r="BL200" s="1818"/>
      <c r="BM200" s="1818"/>
      <c r="BN200" s="1818"/>
      <c r="BO200" s="1818"/>
      <c r="BP200" s="1818"/>
      <c r="BQ200" s="1818"/>
      <c r="BR200" s="1818"/>
      <c r="BS200" s="1818"/>
      <c r="BT200" s="1818"/>
      <c r="BU200" s="1818"/>
      <c r="BV200" s="1818"/>
      <c r="BW200" s="1818"/>
      <c r="BX200" s="1818"/>
      <c r="BY200" s="1818"/>
      <c r="BZ200" s="1818"/>
    </row>
    <row r="201" spans="1:78" ht="74.099999999999994" customHeight="1">
      <c r="A201" s="2501"/>
      <c r="B201" s="1807" t="s">
        <v>9128</v>
      </c>
      <c r="C201" s="1837">
        <v>1</v>
      </c>
      <c r="D201" s="1829">
        <v>0.5</v>
      </c>
      <c r="E201" s="1829">
        <v>1</v>
      </c>
      <c r="F201" s="1837">
        <v>0.5</v>
      </c>
      <c r="G201" s="1829">
        <v>1</v>
      </c>
      <c r="H201" s="1850">
        <v>1</v>
      </c>
      <c r="I201" s="2086" t="s">
        <v>211</v>
      </c>
      <c r="J201" s="2217">
        <v>1</v>
      </c>
      <c r="K201" s="1794" t="s">
        <v>7380</v>
      </c>
      <c r="L201" s="1794">
        <v>1</v>
      </c>
      <c r="M201" s="1802">
        <v>0.5</v>
      </c>
      <c r="N201" s="1794" t="s">
        <v>811</v>
      </c>
      <c r="O201" s="1794" t="s">
        <v>8713</v>
      </c>
      <c r="P201" s="1794">
        <v>1</v>
      </c>
      <c r="Q201" s="1794">
        <v>0</v>
      </c>
      <c r="R201" s="2096"/>
      <c r="S201" s="2248" t="s">
        <v>8134</v>
      </c>
      <c r="T201" s="1916" t="s">
        <v>7516</v>
      </c>
      <c r="U201" s="1794" t="s">
        <v>7250</v>
      </c>
      <c r="V201" s="1928" t="s">
        <v>7886</v>
      </c>
      <c r="W201" s="1915" t="s">
        <v>8341</v>
      </c>
      <c r="X201" s="1915" t="s">
        <v>8713</v>
      </c>
    </row>
    <row r="202" spans="1:78" s="1812" customFormat="1" ht="108.95" customHeight="1">
      <c r="A202" s="1899"/>
      <c r="B202" s="1807" t="s">
        <v>6948</v>
      </c>
      <c r="C202" s="1837">
        <v>0</v>
      </c>
      <c r="D202" s="1829">
        <v>0.5</v>
      </c>
      <c r="E202" s="1829">
        <v>0</v>
      </c>
      <c r="F202" s="1837">
        <v>0</v>
      </c>
      <c r="G202" s="1829">
        <v>0.5</v>
      </c>
      <c r="H202" s="1850">
        <v>0</v>
      </c>
      <c r="I202" s="2086"/>
      <c r="J202" s="2217">
        <v>0</v>
      </c>
      <c r="K202" s="1794" t="s">
        <v>7380</v>
      </c>
      <c r="L202" s="1794">
        <v>0</v>
      </c>
      <c r="M202" s="1802">
        <v>0</v>
      </c>
      <c r="N202" s="1794" t="s">
        <v>811</v>
      </c>
      <c r="O202" s="1794" t="s">
        <v>8714</v>
      </c>
      <c r="P202" s="1794">
        <v>1</v>
      </c>
      <c r="Q202" s="1794">
        <v>0</v>
      </c>
      <c r="R202" s="2096"/>
      <c r="S202" s="2248" t="s">
        <v>9240</v>
      </c>
      <c r="T202" s="1916" t="s">
        <v>7517</v>
      </c>
      <c r="U202" s="1794" t="s">
        <v>7251</v>
      </c>
      <c r="V202" s="1928" t="s">
        <v>7887</v>
      </c>
      <c r="W202" s="1915" t="s">
        <v>8342</v>
      </c>
      <c r="X202" s="1915" t="s">
        <v>8714</v>
      </c>
      <c r="Y202" s="1748"/>
      <c r="Z202" s="1748"/>
      <c r="AA202" s="1748"/>
      <c r="AB202" s="1748"/>
      <c r="AC202" s="1748"/>
      <c r="AD202" s="1748"/>
      <c r="AE202" s="1748"/>
      <c r="AF202" s="1748"/>
      <c r="AG202" s="1748"/>
      <c r="AH202" s="1748"/>
      <c r="AI202" s="1748"/>
      <c r="AJ202" s="1748"/>
      <c r="AK202" s="1748"/>
      <c r="AL202" s="1748"/>
      <c r="AM202" s="1748"/>
      <c r="AN202" s="1748"/>
      <c r="AO202" s="1748"/>
      <c r="AP202" s="1748"/>
      <c r="AQ202" s="1748"/>
      <c r="AR202" s="1748"/>
      <c r="AS202" s="1748"/>
      <c r="AT202" s="1748"/>
      <c r="AU202" s="1748"/>
      <c r="AV202" s="1748"/>
      <c r="AW202" s="1748"/>
      <c r="AX202" s="1748"/>
      <c r="AY202" s="1748"/>
      <c r="AZ202" s="1748"/>
      <c r="BA202" s="1748"/>
      <c r="BB202" s="1748"/>
      <c r="BC202" s="1748"/>
      <c r="BD202" s="1748"/>
      <c r="BE202" s="1748"/>
      <c r="BF202" s="1748"/>
      <c r="BG202" s="1748"/>
      <c r="BH202" s="1748"/>
      <c r="BI202" s="1748"/>
      <c r="BJ202" s="1748"/>
      <c r="BK202" s="1748"/>
      <c r="BL202" s="1748"/>
      <c r="BM202" s="1748"/>
      <c r="BN202" s="1748"/>
      <c r="BO202" s="1748"/>
      <c r="BP202" s="1748"/>
      <c r="BQ202" s="1748"/>
      <c r="BR202" s="1748"/>
      <c r="BS202" s="1748"/>
      <c r="BT202" s="1748"/>
      <c r="BU202" s="1748"/>
      <c r="BV202" s="1748"/>
      <c r="BW202" s="1748"/>
      <c r="BX202" s="1748"/>
      <c r="BY202" s="1748"/>
      <c r="BZ202" s="1748"/>
    </row>
    <row r="203" spans="1:78" ht="53.1" customHeight="1">
      <c r="A203" s="1899"/>
      <c r="B203" s="1807" t="s">
        <v>7119</v>
      </c>
      <c r="C203" s="1837">
        <v>0.5</v>
      </c>
      <c r="D203" s="1829">
        <v>0.5</v>
      </c>
      <c r="E203" s="1829">
        <v>1</v>
      </c>
      <c r="F203" s="1837">
        <v>0</v>
      </c>
      <c r="G203" s="1829">
        <v>1</v>
      </c>
      <c r="H203" s="1850">
        <v>0</v>
      </c>
      <c r="I203" s="2086" t="s">
        <v>213</v>
      </c>
      <c r="J203" s="2218" t="s">
        <v>6225</v>
      </c>
      <c r="K203" s="1794" t="s">
        <v>7380</v>
      </c>
      <c r="L203" s="1794">
        <v>1</v>
      </c>
      <c r="M203" s="1802">
        <v>0</v>
      </c>
      <c r="N203" s="1794" t="s">
        <v>811</v>
      </c>
      <c r="O203" s="1802" t="s">
        <v>8715</v>
      </c>
      <c r="P203" s="1794">
        <v>1</v>
      </c>
      <c r="Q203" s="1794">
        <v>0</v>
      </c>
      <c r="R203" s="2096"/>
      <c r="S203" s="2248" t="s">
        <v>8135</v>
      </c>
      <c r="T203" s="1916" t="s">
        <v>7518</v>
      </c>
      <c r="U203" s="1794" t="s">
        <v>7252</v>
      </c>
      <c r="V203" s="1928" t="s">
        <v>7888</v>
      </c>
      <c r="W203" s="1915" t="s">
        <v>8343</v>
      </c>
      <c r="X203" s="1914" t="s">
        <v>8715</v>
      </c>
    </row>
    <row r="204" spans="1:78" s="1812" customFormat="1" ht="108.95" customHeight="1">
      <c r="A204" s="1899"/>
      <c r="B204" s="1807" t="s">
        <v>6949</v>
      </c>
      <c r="C204" s="1837">
        <v>0</v>
      </c>
      <c r="D204" s="1829">
        <v>0.5</v>
      </c>
      <c r="E204" s="1829">
        <v>0</v>
      </c>
      <c r="F204" s="1837">
        <v>0</v>
      </c>
      <c r="G204" s="1829">
        <v>0.5</v>
      </c>
      <c r="H204" s="1850">
        <v>0</v>
      </c>
      <c r="I204" s="2086"/>
      <c r="J204" s="2217">
        <v>0</v>
      </c>
      <c r="K204" s="1794" t="s">
        <v>7380</v>
      </c>
      <c r="L204" s="1794">
        <v>0</v>
      </c>
      <c r="M204" s="1802">
        <v>0</v>
      </c>
      <c r="N204" s="1794" t="s">
        <v>811</v>
      </c>
      <c r="O204" s="1802" t="s">
        <v>8716</v>
      </c>
      <c r="P204" s="1794">
        <v>1</v>
      </c>
      <c r="Q204" s="1794">
        <v>0</v>
      </c>
      <c r="R204" s="2096"/>
      <c r="S204" s="2248" t="s">
        <v>9241</v>
      </c>
      <c r="T204" s="1916" t="s">
        <v>7519</v>
      </c>
      <c r="U204" s="1794" t="s">
        <v>7253</v>
      </c>
      <c r="V204" s="1928" t="s">
        <v>7889</v>
      </c>
      <c r="W204" s="1915" t="s">
        <v>8344</v>
      </c>
      <c r="X204" s="1914" t="s">
        <v>8716</v>
      </c>
      <c r="Y204" s="1748"/>
      <c r="Z204" s="1748"/>
      <c r="AA204" s="1748"/>
      <c r="AB204" s="1748"/>
      <c r="AC204" s="1748"/>
      <c r="AD204" s="1748"/>
      <c r="AE204" s="1748"/>
      <c r="AF204" s="1748"/>
      <c r="AG204" s="1748"/>
      <c r="AH204" s="1748"/>
      <c r="AI204" s="1748"/>
      <c r="AJ204" s="1748"/>
      <c r="AK204" s="1748"/>
      <c r="AL204" s="1748"/>
      <c r="AM204" s="1748"/>
      <c r="AN204" s="1748"/>
      <c r="AO204" s="1748"/>
      <c r="AP204" s="1748"/>
      <c r="AQ204" s="1748"/>
      <c r="AR204" s="1748"/>
      <c r="AS204" s="1748"/>
      <c r="AT204" s="1748"/>
      <c r="AU204" s="1748"/>
      <c r="AV204" s="1748"/>
      <c r="AW204" s="1748"/>
      <c r="AX204" s="1748"/>
      <c r="AY204" s="1748"/>
      <c r="AZ204" s="1748"/>
      <c r="BA204" s="1748"/>
      <c r="BB204" s="1748"/>
      <c r="BC204" s="1748"/>
      <c r="BD204" s="1748"/>
      <c r="BE204" s="1748"/>
      <c r="BF204" s="1748"/>
      <c r="BG204" s="1748"/>
      <c r="BH204" s="1748"/>
      <c r="BI204" s="1748"/>
      <c r="BJ204" s="1748"/>
      <c r="BK204" s="1748"/>
      <c r="BL204" s="1748"/>
      <c r="BM204" s="1748"/>
      <c r="BN204" s="1748"/>
      <c r="BO204" s="1748"/>
      <c r="BP204" s="1748"/>
      <c r="BQ204" s="1748"/>
      <c r="BR204" s="1748"/>
      <c r="BS204" s="1748"/>
      <c r="BT204" s="1748"/>
      <c r="BU204" s="1748"/>
      <c r="BV204" s="1748"/>
      <c r="BW204" s="1748"/>
      <c r="BX204" s="1748"/>
      <c r="BY204" s="1748"/>
      <c r="BZ204" s="1748"/>
    </row>
    <row r="205" spans="1:78" ht="59.1" customHeight="1">
      <c r="A205" s="1899"/>
      <c r="B205" s="1807" t="s">
        <v>7120</v>
      </c>
      <c r="C205" s="1837">
        <v>1</v>
      </c>
      <c r="D205" s="1829">
        <v>0.5</v>
      </c>
      <c r="E205" s="1829">
        <v>0</v>
      </c>
      <c r="F205" s="1837">
        <v>0</v>
      </c>
      <c r="G205" s="1829">
        <v>1</v>
      </c>
      <c r="H205" s="1850">
        <v>0</v>
      </c>
      <c r="I205" s="2086" t="s">
        <v>215</v>
      </c>
      <c r="J205" s="2217">
        <v>1</v>
      </c>
      <c r="K205" s="1794" t="s">
        <v>7380</v>
      </c>
      <c r="L205" s="1794">
        <v>0</v>
      </c>
      <c r="M205" s="1802">
        <v>0</v>
      </c>
      <c r="N205" s="1794" t="s">
        <v>811</v>
      </c>
      <c r="O205" s="1794" t="s">
        <v>8717</v>
      </c>
      <c r="P205" s="1794">
        <v>1</v>
      </c>
      <c r="Q205" s="1794">
        <v>0</v>
      </c>
      <c r="R205" s="2096"/>
      <c r="S205" s="2248" t="s">
        <v>8136</v>
      </c>
      <c r="T205" s="1916" t="s">
        <v>7520</v>
      </c>
      <c r="U205" s="1794" t="s">
        <v>7254</v>
      </c>
      <c r="V205" s="1928" t="s">
        <v>7890</v>
      </c>
      <c r="W205" s="1915" t="s">
        <v>5441</v>
      </c>
      <c r="X205" s="1915" t="s">
        <v>8717</v>
      </c>
    </row>
    <row r="206" spans="1:78" s="1812" customFormat="1" ht="66" customHeight="1">
      <c r="A206" s="1899"/>
      <c r="B206" s="1807" t="s">
        <v>6950</v>
      </c>
      <c r="C206" s="1837">
        <v>0</v>
      </c>
      <c r="D206" s="1829">
        <v>0.5</v>
      </c>
      <c r="E206" s="1829">
        <v>0</v>
      </c>
      <c r="F206" s="1837">
        <v>0</v>
      </c>
      <c r="G206" s="1829">
        <v>0</v>
      </c>
      <c r="H206" s="1850">
        <v>0.5</v>
      </c>
      <c r="I206" s="2086"/>
      <c r="J206" s="2217">
        <v>0</v>
      </c>
      <c r="K206" s="1794" t="s">
        <v>7380</v>
      </c>
      <c r="L206" s="1794">
        <v>0</v>
      </c>
      <c r="M206" s="1802">
        <v>0</v>
      </c>
      <c r="N206" s="1794" t="s">
        <v>8340</v>
      </c>
      <c r="O206" s="1794" t="s">
        <v>8718</v>
      </c>
      <c r="P206" s="1794">
        <v>1</v>
      </c>
      <c r="Q206" s="1794">
        <v>0</v>
      </c>
      <c r="R206" s="2096"/>
      <c r="S206" s="2248" t="s">
        <v>8137</v>
      </c>
      <c r="T206" s="1916" t="s">
        <v>7521</v>
      </c>
      <c r="U206" s="1794" t="s">
        <v>748</v>
      </c>
      <c r="V206" s="1928" t="s">
        <v>7891</v>
      </c>
      <c r="W206" s="1915" t="s">
        <v>8345</v>
      </c>
      <c r="X206" s="1915" t="s">
        <v>8718</v>
      </c>
      <c r="Y206" s="1748"/>
      <c r="Z206" s="1748"/>
      <c r="AA206" s="1748"/>
      <c r="AB206" s="1748"/>
      <c r="AC206" s="1748"/>
      <c r="AD206" s="1748"/>
      <c r="AE206" s="1748"/>
      <c r="AF206" s="1748"/>
      <c r="AG206" s="1748"/>
      <c r="AH206" s="1748"/>
      <c r="AI206" s="1748"/>
      <c r="AJ206" s="1748"/>
      <c r="AK206" s="1748"/>
      <c r="AL206" s="1748"/>
      <c r="AM206" s="1748"/>
      <c r="AN206" s="1748"/>
      <c r="AO206" s="1748"/>
      <c r="AP206" s="1748"/>
      <c r="AQ206" s="1748"/>
      <c r="AR206" s="1748"/>
      <c r="AS206" s="1748"/>
      <c r="AT206" s="1748"/>
      <c r="AU206" s="1748"/>
      <c r="AV206" s="1748"/>
      <c r="AW206" s="1748"/>
      <c r="AX206" s="1748"/>
      <c r="AY206" s="1748"/>
      <c r="AZ206" s="1748"/>
      <c r="BA206" s="1748"/>
      <c r="BB206" s="1748"/>
      <c r="BC206" s="1748"/>
      <c r="BD206" s="1748"/>
      <c r="BE206" s="1748"/>
      <c r="BF206" s="1748"/>
      <c r="BG206" s="1748"/>
      <c r="BH206" s="1748"/>
      <c r="BI206" s="1748"/>
      <c r="BJ206" s="1748"/>
      <c r="BK206" s="1748"/>
      <c r="BL206" s="1748"/>
      <c r="BM206" s="1748"/>
      <c r="BN206" s="1748"/>
      <c r="BO206" s="1748"/>
      <c r="BP206" s="1748"/>
      <c r="BQ206" s="1748"/>
      <c r="BR206" s="1748"/>
      <c r="BS206" s="1748"/>
      <c r="BT206" s="1748"/>
      <c r="BU206" s="1748"/>
      <c r="BV206" s="1748"/>
      <c r="BW206" s="1748"/>
      <c r="BX206" s="1748"/>
      <c r="BY206" s="1748"/>
      <c r="BZ206" s="1748"/>
    </row>
    <row r="207" spans="1:78" ht="32.1" customHeight="1">
      <c r="A207" s="2499" t="s">
        <v>216</v>
      </c>
      <c r="B207" s="2084" t="s">
        <v>217</v>
      </c>
      <c r="C207" s="2093">
        <f t="shared" ref="C207:H207" si="60">AVERAGE(C208,C209,C210,C211,C212,C213)</f>
        <v>0.58333333333333337</v>
      </c>
      <c r="D207" s="2093">
        <f t="shared" si="60"/>
        <v>0.66666666666666663</v>
      </c>
      <c r="E207" s="2093">
        <f t="shared" si="60"/>
        <v>0.41666666666666669</v>
      </c>
      <c r="F207" s="2093">
        <f t="shared" si="60"/>
        <v>0.83333333333333337</v>
      </c>
      <c r="G207" s="2093">
        <f t="shared" si="60"/>
        <v>0.83333333333333337</v>
      </c>
      <c r="H207" s="2093">
        <f t="shared" si="60"/>
        <v>0.5</v>
      </c>
      <c r="I207" s="2086"/>
      <c r="J207" s="2087"/>
      <c r="K207" s="2089"/>
      <c r="L207" s="2089"/>
      <c r="M207" s="2089"/>
      <c r="N207" s="2089"/>
      <c r="O207" s="2089"/>
      <c r="P207" s="2087"/>
      <c r="Q207" s="2087"/>
      <c r="R207" s="2088"/>
      <c r="S207" s="2087"/>
      <c r="T207" s="2089"/>
      <c r="U207" s="2089"/>
      <c r="V207" s="2089"/>
      <c r="W207" s="2089"/>
      <c r="X207" s="2089"/>
    </row>
    <row r="208" spans="1:78" ht="120.75" customHeight="1">
      <c r="A208" s="1899"/>
      <c r="B208" s="1843" t="s">
        <v>218</v>
      </c>
      <c r="C208" s="1837">
        <v>0</v>
      </c>
      <c r="D208" s="1829">
        <v>0</v>
      </c>
      <c r="E208" s="1829">
        <v>0</v>
      </c>
      <c r="F208" s="1837">
        <v>0</v>
      </c>
      <c r="G208" s="1829">
        <v>0</v>
      </c>
      <c r="H208" s="1850">
        <v>0</v>
      </c>
      <c r="I208" s="2086" t="s">
        <v>219</v>
      </c>
      <c r="J208" s="2218" t="s">
        <v>8138</v>
      </c>
      <c r="K208" s="1794" t="s">
        <v>7381</v>
      </c>
      <c r="L208" s="1794">
        <v>0</v>
      </c>
      <c r="M208" s="1914">
        <v>0.5</v>
      </c>
      <c r="N208" s="1915" t="s">
        <v>748</v>
      </c>
      <c r="O208" s="1915" t="s">
        <v>8719</v>
      </c>
      <c r="P208" s="1915">
        <v>1</v>
      </c>
      <c r="Q208" s="1915">
        <v>0</v>
      </c>
      <c r="R208" s="2096"/>
      <c r="S208" s="2248" t="s">
        <v>8141</v>
      </c>
      <c r="T208" s="1916" t="s">
        <v>7522</v>
      </c>
      <c r="U208" s="1794" t="s">
        <v>7255</v>
      </c>
      <c r="V208" s="1914" t="s">
        <v>7892</v>
      </c>
      <c r="W208" s="1915" t="s">
        <v>5442</v>
      </c>
      <c r="X208" s="1915" t="s">
        <v>8719</v>
      </c>
    </row>
    <row r="209" spans="1:78" ht="48" customHeight="1">
      <c r="A209" s="1874"/>
      <c r="B209" s="1843" t="s">
        <v>220</v>
      </c>
      <c r="C209" s="1837">
        <v>0.5</v>
      </c>
      <c r="D209" s="1829">
        <v>0.5</v>
      </c>
      <c r="E209" s="1829">
        <v>0.5</v>
      </c>
      <c r="F209" s="1837">
        <v>1</v>
      </c>
      <c r="G209" s="1829">
        <v>1</v>
      </c>
      <c r="H209" s="1850">
        <v>0</v>
      </c>
      <c r="I209" s="2086" t="s">
        <v>221</v>
      </c>
      <c r="J209" s="2218" t="s">
        <v>6225</v>
      </c>
      <c r="K209" s="1794" t="s">
        <v>7381</v>
      </c>
      <c r="L209" s="1794">
        <v>0.5</v>
      </c>
      <c r="M209" s="1914">
        <v>1</v>
      </c>
      <c r="N209" s="1915" t="s">
        <v>811</v>
      </c>
      <c r="O209" s="1921" t="s">
        <v>8720</v>
      </c>
      <c r="P209" s="1915">
        <v>1</v>
      </c>
      <c r="Q209" s="1915">
        <v>0</v>
      </c>
      <c r="R209" s="2096"/>
      <c r="S209" s="2248" t="s">
        <v>8142</v>
      </c>
      <c r="T209" s="1916" t="s">
        <v>7523</v>
      </c>
      <c r="U209" s="1794" t="s">
        <v>7256</v>
      </c>
      <c r="V209" s="1914" t="s">
        <v>7893</v>
      </c>
      <c r="W209" s="1915" t="s">
        <v>1119</v>
      </c>
      <c r="X209" s="1921" t="s">
        <v>8720</v>
      </c>
    </row>
    <row r="210" spans="1:78" ht="42.95" customHeight="1">
      <c r="A210" s="1874"/>
      <c r="B210" s="1843" t="s">
        <v>222</v>
      </c>
      <c r="C210" s="1837">
        <v>0.5</v>
      </c>
      <c r="D210" s="1829">
        <v>1</v>
      </c>
      <c r="E210" s="1829">
        <v>1</v>
      </c>
      <c r="F210" s="1837">
        <v>1</v>
      </c>
      <c r="G210" s="1829">
        <v>1</v>
      </c>
      <c r="H210" s="1850">
        <v>1</v>
      </c>
      <c r="I210" s="2086" t="s">
        <v>38</v>
      </c>
      <c r="J210" s="2218" t="s">
        <v>6225</v>
      </c>
      <c r="K210" s="1794" t="s">
        <v>811</v>
      </c>
      <c r="L210" s="1794">
        <v>1</v>
      </c>
      <c r="M210" s="1914">
        <v>1</v>
      </c>
      <c r="N210" s="1915" t="s">
        <v>811</v>
      </c>
      <c r="O210" s="1921" t="s">
        <v>8721</v>
      </c>
      <c r="P210" s="1915">
        <v>1</v>
      </c>
      <c r="Q210" s="1915">
        <v>0</v>
      </c>
      <c r="R210" s="2096"/>
      <c r="S210" s="2248" t="s">
        <v>8143</v>
      </c>
      <c r="T210" s="1916" t="s">
        <v>7524</v>
      </c>
      <c r="U210" s="1794" t="s">
        <v>5901</v>
      </c>
      <c r="V210" s="1914" t="s">
        <v>1123</v>
      </c>
      <c r="W210" s="1915" t="s">
        <v>5443</v>
      </c>
      <c r="X210" s="1921" t="s">
        <v>8721</v>
      </c>
    </row>
    <row r="211" spans="1:78" ht="45" customHeight="1">
      <c r="A211" s="1874"/>
      <c r="B211" s="1843" t="s">
        <v>223</v>
      </c>
      <c r="C211" s="1837">
        <v>1</v>
      </c>
      <c r="D211" s="1829">
        <v>1</v>
      </c>
      <c r="E211" s="1829">
        <v>0</v>
      </c>
      <c r="F211" s="1829">
        <v>1</v>
      </c>
      <c r="G211" s="1829">
        <v>1</v>
      </c>
      <c r="H211" s="1850">
        <v>1</v>
      </c>
      <c r="I211" s="2086" t="s">
        <v>147</v>
      </c>
      <c r="J211" s="2217">
        <v>1</v>
      </c>
      <c r="K211" s="1794" t="s">
        <v>811</v>
      </c>
      <c r="L211" s="1794">
        <v>0</v>
      </c>
      <c r="M211" s="1915">
        <v>1</v>
      </c>
      <c r="N211" s="1915" t="s">
        <v>811</v>
      </c>
      <c r="O211" s="1914" t="s">
        <v>8722</v>
      </c>
      <c r="P211" s="1915">
        <v>1</v>
      </c>
      <c r="Q211" s="1915">
        <v>0</v>
      </c>
      <c r="R211" s="2096"/>
      <c r="S211" s="2248" t="s">
        <v>8144</v>
      </c>
      <c r="T211" s="1916" t="s">
        <v>7525</v>
      </c>
      <c r="U211" s="2252" t="s">
        <v>7257</v>
      </c>
      <c r="V211" s="1915" t="s">
        <v>6116</v>
      </c>
      <c r="W211" s="1915" t="s">
        <v>1130</v>
      </c>
      <c r="X211" s="1914" t="s">
        <v>8722</v>
      </c>
    </row>
    <row r="212" spans="1:78" ht="32.1" customHeight="1">
      <c r="A212" s="1874"/>
      <c r="B212" s="1843" t="s">
        <v>224</v>
      </c>
      <c r="C212" s="1837">
        <v>1</v>
      </c>
      <c r="D212" s="1829">
        <v>1</v>
      </c>
      <c r="E212" s="1829">
        <v>1</v>
      </c>
      <c r="F212" s="1829">
        <v>1</v>
      </c>
      <c r="G212" s="1829">
        <v>1</v>
      </c>
      <c r="H212" s="1850">
        <v>1</v>
      </c>
      <c r="I212" s="2086" t="s">
        <v>38</v>
      </c>
      <c r="J212" s="2218" t="s">
        <v>8140</v>
      </c>
      <c r="K212" s="1794" t="s">
        <v>811</v>
      </c>
      <c r="L212" s="1794">
        <v>1</v>
      </c>
      <c r="M212" s="1915">
        <v>1</v>
      </c>
      <c r="N212" s="1915" t="s">
        <v>811</v>
      </c>
      <c r="O212" s="1914" t="s">
        <v>8723</v>
      </c>
      <c r="P212" s="1915">
        <v>1</v>
      </c>
      <c r="Q212" s="1915">
        <v>0</v>
      </c>
      <c r="R212" s="2096"/>
      <c r="S212" s="2248" t="s">
        <v>9242</v>
      </c>
      <c r="T212" s="1916" t="s">
        <v>7526</v>
      </c>
      <c r="U212" s="1794" t="s">
        <v>5903</v>
      </c>
      <c r="V212" s="1915" t="s">
        <v>7894</v>
      </c>
      <c r="W212" s="1915" t="s">
        <v>5444</v>
      </c>
      <c r="X212" s="1914" t="s">
        <v>8723</v>
      </c>
    </row>
    <row r="213" spans="1:78" ht="62.1" customHeight="1">
      <c r="A213" s="1874"/>
      <c r="B213" s="1843" t="s">
        <v>225</v>
      </c>
      <c r="C213" s="1837">
        <v>0.5</v>
      </c>
      <c r="D213" s="1829">
        <v>0.5</v>
      </c>
      <c r="E213" s="1829">
        <v>0</v>
      </c>
      <c r="F213" s="1837">
        <v>1</v>
      </c>
      <c r="G213" s="1829">
        <v>1</v>
      </c>
      <c r="H213" s="1850">
        <v>0</v>
      </c>
      <c r="I213" s="2086" t="s">
        <v>147</v>
      </c>
      <c r="J213" s="2218" t="s">
        <v>8140</v>
      </c>
      <c r="K213" s="1794" t="s">
        <v>7381</v>
      </c>
      <c r="L213" s="1794">
        <v>0</v>
      </c>
      <c r="M213" s="1914">
        <v>1</v>
      </c>
      <c r="N213" s="1915" t="s">
        <v>811</v>
      </c>
      <c r="O213" s="1914" t="s">
        <v>8724</v>
      </c>
      <c r="P213" s="1915">
        <v>1</v>
      </c>
      <c r="Q213" s="1915">
        <v>0</v>
      </c>
      <c r="R213" s="2096"/>
      <c r="S213" s="2248" t="s">
        <v>8145</v>
      </c>
      <c r="T213" s="1916" t="s">
        <v>7527</v>
      </c>
      <c r="U213" s="1915" t="s">
        <v>7258</v>
      </c>
      <c r="V213" s="1914" t="s">
        <v>7895</v>
      </c>
      <c r="W213" s="1915" t="s">
        <v>5445</v>
      </c>
      <c r="X213" s="1914" t="s">
        <v>8724</v>
      </c>
    </row>
    <row r="214" spans="1:78" ht="32.1" customHeight="1">
      <c r="A214" s="2499" t="s">
        <v>226</v>
      </c>
      <c r="B214" s="2084" t="s">
        <v>227</v>
      </c>
      <c r="C214" s="2117">
        <f>AVERAGE(C215:C219)</f>
        <v>0.9</v>
      </c>
      <c r="D214" s="2117">
        <f>AVERAGE(D215:D219)</f>
        <v>0.7</v>
      </c>
      <c r="E214" s="2117">
        <f t="shared" ref="E214:G214" si="61">AVERAGE(E215:E219)</f>
        <v>0.3</v>
      </c>
      <c r="F214" s="2117">
        <f t="shared" si="61"/>
        <v>1</v>
      </c>
      <c r="G214" s="2117">
        <f t="shared" si="61"/>
        <v>1</v>
      </c>
      <c r="H214" s="2093">
        <f>AVERAGE(H215:H219)</f>
        <v>0.6</v>
      </c>
      <c r="I214" s="2086"/>
      <c r="J214" s="2087"/>
      <c r="K214" s="2089"/>
      <c r="L214" s="2089"/>
      <c r="M214" s="2089"/>
      <c r="N214" s="2089"/>
      <c r="O214" s="2089"/>
      <c r="P214" s="2087"/>
      <c r="Q214" s="2087"/>
      <c r="R214" s="2088"/>
      <c r="S214" s="2087"/>
      <c r="T214" s="2089"/>
      <c r="U214" s="2089"/>
      <c r="V214" s="2089"/>
      <c r="W214" s="2089"/>
      <c r="X214" s="2089"/>
    </row>
    <row r="215" spans="1:78" ht="41.1" customHeight="1">
      <c r="A215" s="2501"/>
      <c r="B215" s="1820" t="s">
        <v>228</v>
      </c>
      <c r="C215" s="1837">
        <v>0.5</v>
      </c>
      <c r="D215" s="1830">
        <v>0.5</v>
      </c>
      <c r="E215" s="1829">
        <v>0.5</v>
      </c>
      <c r="F215" s="1833">
        <v>1</v>
      </c>
      <c r="G215" s="1828">
        <v>1</v>
      </c>
      <c r="H215" s="1831">
        <v>1</v>
      </c>
      <c r="I215" s="2086" t="s">
        <v>147</v>
      </c>
      <c r="J215" s="2218" t="s">
        <v>6225</v>
      </c>
      <c r="K215" s="1916" t="s">
        <v>7381</v>
      </c>
      <c r="L215" s="1794">
        <v>0.5</v>
      </c>
      <c r="M215" s="1914">
        <v>1</v>
      </c>
      <c r="N215" s="1915" t="s">
        <v>811</v>
      </c>
      <c r="O215" s="1914" t="s">
        <v>8725</v>
      </c>
      <c r="P215" s="1915">
        <v>1</v>
      </c>
      <c r="Q215" s="1915">
        <v>0</v>
      </c>
      <c r="R215" s="2096"/>
      <c r="S215" s="2248" t="s">
        <v>8146</v>
      </c>
      <c r="T215" s="1916" t="s">
        <v>7528</v>
      </c>
      <c r="U215" s="1794" t="s">
        <v>5905</v>
      </c>
      <c r="V215" s="1914" t="s">
        <v>7896</v>
      </c>
      <c r="W215" s="1915" t="s">
        <v>5446</v>
      </c>
      <c r="X215" s="1914" t="s">
        <v>8725</v>
      </c>
    </row>
    <row r="216" spans="1:78" ht="47.1" customHeight="1">
      <c r="A216" s="1899"/>
      <c r="B216" s="1820" t="s">
        <v>229</v>
      </c>
      <c r="C216" s="1837">
        <v>1</v>
      </c>
      <c r="D216" s="1829">
        <v>1</v>
      </c>
      <c r="E216" s="1829">
        <v>0</v>
      </c>
      <c r="F216" s="1837">
        <v>1</v>
      </c>
      <c r="G216" s="1829">
        <v>1</v>
      </c>
      <c r="H216" s="1850">
        <v>1</v>
      </c>
      <c r="I216" s="2086" t="s">
        <v>38</v>
      </c>
      <c r="J216" s="2218" t="s">
        <v>8139</v>
      </c>
      <c r="K216" s="1916" t="s">
        <v>811</v>
      </c>
      <c r="L216" s="1794">
        <v>0</v>
      </c>
      <c r="M216" s="1914">
        <v>1</v>
      </c>
      <c r="N216" s="1915" t="s">
        <v>811</v>
      </c>
      <c r="O216" s="1914" t="s">
        <v>8726</v>
      </c>
      <c r="P216" s="1915">
        <v>1</v>
      </c>
      <c r="Q216" s="1915">
        <v>0</v>
      </c>
      <c r="R216" s="2096"/>
      <c r="S216" s="2248" t="s">
        <v>8147</v>
      </c>
      <c r="T216" s="1916" t="s">
        <v>7529</v>
      </c>
      <c r="U216" s="1794" t="s">
        <v>7259</v>
      </c>
      <c r="V216" s="1914" t="s">
        <v>7897</v>
      </c>
      <c r="W216" s="1915" t="s">
        <v>5447</v>
      </c>
      <c r="X216" s="1914" t="s">
        <v>8726</v>
      </c>
    </row>
    <row r="217" spans="1:78" ht="96" customHeight="1">
      <c r="A217" s="1899"/>
      <c r="B217" s="1820" t="s">
        <v>230</v>
      </c>
      <c r="C217" s="1837">
        <v>1</v>
      </c>
      <c r="D217" s="1829">
        <v>0.5</v>
      </c>
      <c r="E217" s="1829">
        <v>0</v>
      </c>
      <c r="F217" s="1837">
        <v>1</v>
      </c>
      <c r="G217" s="1829">
        <v>1</v>
      </c>
      <c r="H217" s="1850">
        <v>0</v>
      </c>
      <c r="I217" s="2086" t="s">
        <v>38</v>
      </c>
      <c r="J217" s="2218" t="s">
        <v>8140</v>
      </c>
      <c r="K217" s="1916" t="s">
        <v>7381</v>
      </c>
      <c r="L217" s="1794">
        <v>0</v>
      </c>
      <c r="M217" s="1914">
        <v>1</v>
      </c>
      <c r="N217" s="1915" t="s">
        <v>811</v>
      </c>
      <c r="O217" s="1964" t="s">
        <v>8727</v>
      </c>
      <c r="P217" s="1915">
        <v>1</v>
      </c>
      <c r="Q217" s="1915">
        <v>0</v>
      </c>
      <c r="R217" s="2096"/>
      <c r="S217" s="2248" t="s">
        <v>8148</v>
      </c>
      <c r="T217" s="1916" t="s">
        <v>7530</v>
      </c>
      <c r="U217" s="1794" t="s">
        <v>7260</v>
      </c>
      <c r="V217" s="1914" t="s">
        <v>6121</v>
      </c>
      <c r="W217" s="1915" t="s">
        <v>5448</v>
      </c>
      <c r="X217" s="1964" t="s">
        <v>8727</v>
      </c>
    </row>
    <row r="218" spans="1:78" ht="174.75" customHeight="1">
      <c r="A218" s="1899"/>
      <c r="B218" s="1820" t="s">
        <v>231</v>
      </c>
      <c r="C218" s="1837">
        <v>1</v>
      </c>
      <c r="D218" s="1829">
        <v>0.5</v>
      </c>
      <c r="E218" s="1829">
        <v>0</v>
      </c>
      <c r="F218" s="1837">
        <v>1</v>
      </c>
      <c r="G218" s="1829">
        <v>1</v>
      </c>
      <c r="H218" s="1850">
        <v>0</v>
      </c>
      <c r="I218" s="2086" t="s">
        <v>123</v>
      </c>
      <c r="J218" s="2217">
        <v>1</v>
      </c>
      <c r="K218" s="1916" t="s">
        <v>7381</v>
      </c>
      <c r="L218" s="1794">
        <v>0</v>
      </c>
      <c r="M218" s="1928">
        <v>1</v>
      </c>
      <c r="N218" s="1915" t="s">
        <v>811</v>
      </c>
      <c r="O218" s="1914" t="s">
        <v>8728</v>
      </c>
      <c r="P218" s="1915">
        <v>1</v>
      </c>
      <c r="Q218" s="1915">
        <v>0</v>
      </c>
      <c r="R218" s="2096"/>
      <c r="S218" s="2248" t="s">
        <v>8149</v>
      </c>
      <c r="T218" s="1916" t="s">
        <v>7531</v>
      </c>
      <c r="U218" s="1794" t="s">
        <v>7261</v>
      </c>
      <c r="V218" s="1928" t="s">
        <v>7898</v>
      </c>
      <c r="W218" s="1915" t="s">
        <v>5449</v>
      </c>
      <c r="X218" s="1914" t="s">
        <v>8728</v>
      </c>
    </row>
    <row r="219" spans="1:78" ht="32.1" customHeight="1">
      <c r="A219" s="2501"/>
      <c r="B219" s="1820" t="s">
        <v>232</v>
      </c>
      <c r="C219" s="1837">
        <v>1</v>
      </c>
      <c r="D219" s="1830">
        <v>1</v>
      </c>
      <c r="E219" s="1829">
        <v>1</v>
      </c>
      <c r="F219" s="1833">
        <v>1</v>
      </c>
      <c r="G219" s="1828">
        <v>1</v>
      </c>
      <c r="H219" s="1831">
        <v>1</v>
      </c>
      <c r="I219" s="2086" t="s">
        <v>38</v>
      </c>
      <c r="J219" s="2217">
        <v>1</v>
      </c>
      <c r="K219" s="1916" t="s">
        <v>948</v>
      </c>
      <c r="L219" s="1794">
        <v>1</v>
      </c>
      <c r="M219" s="1914">
        <v>1</v>
      </c>
      <c r="N219" s="1915" t="s">
        <v>811</v>
      </c>
      <c r="O219" s="1914" t="s">
        <v>8729</v>
      </c>
      <c r="P219" s="1915">
        <v>1</v>
      </c>
      <c r="Q219" s="1915">
        <v>0</v>
      </c>
      <c r="R219" s="2096"/>
      <c r="S219" s="2248" t="s">
        <v>8150</v>
      </c>
      <c r="T219" s="1916"/>
      <c r="U219" s="1794" t="s">
        <v>7262</v>
      </c>
      <c r="V219" s="1914" t="s">
        <v>6123</v>
      </c>
      <c r="W219" s="1915" t="s">
        <v>8346</v>
      </c>
      <c r="X219" s="1914" t="s">
        <v>8729</v>
      </c>
    </row>
    <row r="220" spans="1:78" ht="32.1" customHeight="1">
      <c r="A220" s="2499" t="s">
        <v>233</v>
      </c>
      <c r="B220" s="2084" t="s">
        <v>234</v>
      </c>
      <c r="C220" s="2093">
        <f>AVERAGE(C221,C222,C223,C224,C225,C226,C227)</f>
        <v>0.7142857142857143</v>
      </c>
      <c r="D220" s="2093">
        <f t="shared" ref="D220:H220" si="62">AVERAGE(D221,D222,D223,D224,D225,D226,D227)</f>
        <v>0.5714285714285714</v>
      </c>
      <c r="E220" s="2093">
        <f t="shared" si="62"/>
        <v>0.6428571428571429</v>
      </c>
      <c r="F220" s="2093">
        <f t="shared" si="62"/>
        <v>0.6428571428571429</v>
      </c>
      <c r="G220" s="2093">
        <f t="shared" si="62"/>
        <v>0.9285714285714286</v>
      </c>
      <c r="H220" s="2093">
        <f t="shared" si="62"/>
        <v>0.21428571428571427</v>
      </c>
      <c r="I220" s="2086"/>
      <c r="J220" s="2087"/>
      <c r="K220" s="2089"/>
      <c r="L220" s="2089"/>
      <c r="M220" s="2089"/>
      <c r="N220" s="2089"/>
      <c r="O220" s="2089"/>
      <c r="P220" s="2087"/>
      <c r="Q220" s="2087"/>
      <c r="R220" s="2088"/>
      <c r="S220" s="2087"/>
      <c r="T220" s="2089"/>
      <c r="U220" s="2089"/>
      <c r="V220" s="2089"/>
      <c r="W220" s="2089"/>
      <c r="X220" s="2089"/>
    </row>
    <row r="221" spans="1:78" s="1895" customFormat="1" ht="45.95" customHeight="1">
      <c r="A221" s="1874"/>
      <c r="B221" s="1843" t="s">
        <v>235</v>
      </c>
      <c r="C221" s="1829">
        <v>0.5</v>
      </c>
      <c r="D221" s="1829">
        <v>0.5</v>
      </c>
      <c r="E221" s="1829">
        <v>0</v>
      </c>
      <c r="F221" s="1837">
        <v>0.5</v>
      </c>
      <c r="G221" s="1829">
        <v>1</v>
      </c>
      <c r="H221" s="1850">
        <v>0</v>
      </c>
      <c r="I221" s="2086" t="s">
        <v>147</v>
      </c>
      <c r="J221" s="1794" t="s">
        <v>6225</v>
      </c>
      <c r="K221" s="1794" t="s">
        <v>7381</v>
      </c>
      <c r="L221" s="1794">
        <v>0</v>
      </c>
      <c r="M221" s="1802">
        <v>0.5</v>
      </c>
      <c r="N221" s="1794" t="s">
        <v>811</v>
      </c>
      <c r="O221" s="1802" t="s">
        <v>8730</v>
      </c>
      <c r="P221" s="1794"/>
      <c r="Q221" s="1794"/>
      <c r="R221" s="2096"/>
      <c r="S221" s="2248" t="s">
        <v>8151</v>
      </c>
      <c r="T221" s="1794" t="s">
        <v>9093</v>
      </c>
      <c r="U221" s="1794" t="s">
        <v>5909</v>
      </c>
      <c r="V221" s="1928" t="s">
        <v>7899</v>
      </c>
      <c r="W221" s="1916" t="s">
        <v>5451</v>
      </c>
      <c r="X221" s="1914" t="s">
        <v>8730</v>
      </c>
      <c r="Y221" s="1818"/>
      <c r="Z221" s="1818"/>
      <c r="AA221" s="1818"/>
      <c r="AB221" s="1818"/>
      <c r="AC221" s="1818"/>
      <c r="AD221" s="1818"/>
      <c r="AE221" s="1818"/>
      <c r="AF221" s="1818"/>
      <c r="AG221" s="1818"/>
      <c r="AH221" s="1818"/>
      <c r="AI221" s="1818"/>
      <c r="AJ221" s="1818"/>
      <c r="AK221" s="1818"/>
      <c r="AL221" s="1818"/>
      <c r="AM221" s="1818"/>
      <c r="AN221" s="1818"/>
      <c r="AO221" s="1818"/>
      <c r="AP221" s="1818"/>
      <c r="AQ221" s="1818"/>
      <c r="AR221" s="1818"/>
      <c r="AS221" s="1818"/>
      <c r="AT221" s="1818"/>
      <c r="AU221" s="1818"/>
      <c r="AV221" s="1818"/>
      <c r="AW221" s="1818"/>
      <c r="AX221" s="1818"/>
      <c r="AY221" s="1818"/>
      <c r="AZ221" s="1818"/>
      <c r="BA221" s="1818"/>
      <c r="BB221" s="1818"/>
      <c r="BC221" s="1818"/>
      <c r="BD221" s="1818"/>
      <c r="BE221" s="1818"/>
      <c r="BF221" s="1818"/>
      <c r="BG221" s="1818"/>
      <c r="BH221" s="1818"/>
      <c r="BI221" s="1818"/>
      <c r="BJ221" s="1818"/>
      <c r="BK221" s="1818"/>
      <c r="BL221" s="1818"/>
      <c r="BM221" s="1818"/>
      <c r="BN221" s="1818"/>
      <c r="BO221" s="1818"/>
      <c r="BP221" s="1818"/>
      <c r="BQ221" s="1818"/>
      <c r="BR221" s="1818"/>
      <c r="BS221" s="1818"/>
      <c r="BT221" s="1818"/>
      <c r="BU221" s="1818"/>
      <c r="BV221" s="1818"/>
      <c r="BW221" s="1818"/>
      <c r="BX221" s="1818"/>
      <c r="BY221" s="1818"/>
      <c r="BZ221" s="1818"/>
    </row>
    <row r="222" spans="1:78" s="1891" customFormat="1" ht="173.1" customHeight="1">
      <c r="A222" s="1899"/>
      <c r="B222" s="1843" t="s">
        <v>7121</v>
      </c>
      <c r="C222" s="1829">
        <v>1</v>
      </c>
      <c r="D222" s="1829">
        <v>0.5</v>
      </c>
      <c r="E222" s="1829">
        <v>1</v>
      </c>
      <c r="F222" s="1829">
        <v>0.5</v>
      </c>
      <c r="G222" s="1829">
        <v>1</v>
      </c>
      <c r="H222" s="1850">
        <v>0</v>
      </c>
      <c r="I222" s="2086" t="s">
        <v>147</v>
      </c>
      <c r="J222" s="1794">
        <v>1</v>
      </c>
      <c r="K222" s="1794" t="s">
        <v>7381</v>
      </c>
      <c r="L222" s="1794">
        <v>1</v>
      </c>
      <c r="M222" s="1794">
        <v>0.5</v>
      </c>
      <c r="N222" s="1794" t="s">
        <v>811</v>
      </c>
      <c r="O222" s="1802" t="s">
        <v>8731</v>
      </c>
      <c r="P222" s="1794"/>
      <c r="Q222" s="1794"/>
      <c r="R222" s="2096"/>
      <c r="S222" s="2248" t="s">
        <v>6620</v>
      </c>
      <c r="T222" s="1794" t="s">
        <v>7532</v>
      </c>
      <c r="U222" s="1794" t="s">
        <v>5910</v>
      </c>
      <c r="V222" s="1916" t="s">
        <v>7900</v>
      </c>
      <c r="W222" s="1916" t="s">
        <v>5451</v>
      </c>
      <c r="X222" s="1914" t="s">
        <v>8731</v>
      </c>
      <c r="Y222" s="1818"/>
      <c r="Z222" s="1818"/>
      <c r="AA222" s="1818"/>
      <c r="AB222" s="1818"/>
      <c r="AC222" s="1818"/>
      <c r="AD222" s="1818"/>
      <c r="AE222" s="1818"/>
      <c r="AF222" s="1818"/>
      <c r="AG222" s="1818"/>
      <c r="AH222" s="1818"/>
      <c r="AI222" s="1818"/>
      <c r="AJ222" s="1818"/>
      <c r="AK222" s="1818"/>
      <c r="AL222" s="1818"/>
      <c r="AM222" s="1818"/>
      <c r="AN222" s="1818"/>
      <c r="AO222" s="1818"/>
      <c r="AP222" s="1818"/>
      <c r="AQ222" s="1818"/>
      <c r="AR222" s="1818"/>
      <c r="AS222" s="1818"/>
      <c r="AT222" s="1818"/>
      <c r="AU222" s="1818"/>
      <c r="AV222" s="1818"/>
      <c r="AW222" s="1818"/>
      <c r="AX222" s="1818"/>
      <c r="AY222" s="1818"/>
      <c r="AZ222" s="1818"/>
      <c r="BA222" s="1818"/>
      <c r="BB222" s="1818"/>
      <c r="BC222" s="1818"/>
      <c r="BD222" s="1818"/>
      <c r="BE222" s="1818"/>
      <c r="BF222" s="1818"/>
      <c r="BG222" s="1818"/>
      <c r="BH222" s="1818"/>
      <c r="BI222" s="1818"/>
      <c r="BJ222" s="1818"/>
      <c r="BK222" s="1818"/>
      <c r="BL222" s="1818"/>
      <c r="BM222" s="1818"/>
      <c r="BN222" s="1818"/>
      <c r="BO222" s="1818"/>
      <c r="BP222" s="1818"/>
      <c r="BQ222" s="1818"/>
      <c r="BR222" s="1818"/>
      <c r="BS222" s="1818"/>
      <c r="BT222" s="1818"/>
      <c r="BU222" s="1818"/>
      <c r="BV222" s="1818"/>
      <c r="BW222" s="1818"/>
      <c r="BX222" s="1818"/>
      <c r="BY222" s="1818"/>
      <c r="BZ222" s="1818"/>
    </row>
    <row r="223" spans="1:78" ht="104.1" customHeight="1">
      <c r="A223" s="1899"/>
      <c r="B223" s="1843" t="s">
        <v>237</v>
      </c>
      <c r="C223" s="1829">
        <v>0.5</v>
      </c>
      <c r="D223" s="1829">
        <v>0.5</v>
      </c>
      <c r="E223" s="1829">
        <v>1</v>
      </c>
      <c r="F223" s="1837">
        <v>1</v>
      </c>
      <c r="G223" s="1829">
        <v>1</v>
      </c>
      <c r="H223" s="1850">
        <v>1</v>
      </c>
      <c r="I223" s="2086" t="s">
        <v>147</v>
      </c>
      <c r="J223" s="1794" t="s">
        <v>6225</v>
      </c>
      <c r="K223" s="1794" t="s">
        <v>748</v>
      </c>
      <c r="L223" s="1794">
        <v>1</v>
      </c>
      <c r="M223" s="1802">
        <v>1</v>
      </c>
      <c r="N223" s="1794" t="s">
        <v>811</v>
      </c>
      <c r="O223" s="1802" t="s">
        <v>8732</v>
      </c>
      <c r="P223" s="1794">
        <v>1</v>
      </c>
      <c r="Q223" s="1794">
        <v>0</v>
      </c>
      <c r="R223" s="2096"/>
      <c r="S223" s="2248" t="s">
        <v>8152</v>
      </c>
      <c r="T223" s="1794" t="s">
        <v>9146</v>
      </c>
      <c r="U223" s="1794" t="s">
        <v>5911</v>
      </c>
      <c r="V223" s="1914" t="s">
        <v>6124</v>
      </c>
      <c r="W223" s="1915" t="s">
        <v>8347</v>
      </c>
      <c r="X223" s="1914" t="s">
        <v>8732</v>
      </c>
    </row>
    <row r="224" spans="1:78" ht="48.95" customHeight="1">
      <c r="A224" s="1874"/>
      <c r="B224" s="1843" t="s">
        <v>238</v>
      </c>
      <c r="C224" s="1829">
        <v>1</v>
      </c>
      <c r="D224" s="1829">
        <v>1</v>
      </c>
      <c r="E224" s="1829">
        <v>1</v>
      </c>
      <c r="F224" s="1837">
        <v>0.5</v>
      </c>
      <c r="G224" s="1829">
        <v>1</v>
      </c>
      <c r="H224" s="1850">
        <v>0</v>
      </c>
      <c r="I224" s="2086" t="s">
        <v>38</v>
      </c>
      <c r="J224" s="1794">
        <v>1</v>
      </c>
      <c r="K224" s="1794" t="s">
        <v>948</v>
      </c>
      <c r="L224" s="1794">
        <v>1</v>
      </c>
      <c r="M224" s="1802">
        <v>0.5</v>
      </c>
      <c r="N224" s="1794" t="s">
        <v>811</v>
      </c>
      <c r="O224" s="1794" t="s">
        <v>8733</v>
      </c>
      <c r="P224" s="1794">
        <v>1</v>
      </c>
      <c r="Q224" s="1794">
        <v>0</v>
      </c>
      <c r="R224" s="2096"/>
      <c r="S224" s="2248" t="s">
        <v>8153</v>
      </c>
      <c r="T224" s="1794" t="s">
        <v>7533</v>
      </c>
      <c r="U224" s="1794" t="s">
        <v>5912</v>
      </c>
      <c r="V224" s="1914" t="s">
        <v>7901</v>
      </c>
      <c r="W224" s="1915" t="s">
        <v>5454</v>
      </c>
      <c r="X224" s="1915" t="s">
        <v>8733</v>
      </c>
    </row>
    <row r="225" spans="1:176" ht="32.1" customHeight="1">
      <c r="A225" s="1874"/>
      <c r="B225" s="1843" t="s">
        <v>239</v>
      </c>
      <c r="C225" s="1829">
        <v>0.5</v>
      </c>
      <c r="D225" s="1829">
        <v>0.5</v>
      </c>
      <c r="E225" s="1829">
        <v>0.5</v>
      </c>
      <c r="F225" s="1837">
        <v>0.5</v>
      </c>
      <c r="G225" s="1829">
        <v>1</v>
      </c>
      <c r="H225" s="1850">
        <v>0.5</v>
      </c>
      <c r="I225" s="2086" t="s">
        <v>240</v>
      </c>
      <c r="J225" s="1794" t="s">
        <v>6225</v>
      </c>
      <c r="K225" s="1794" t="s">
        <v>7380</v>
      </c>
      <c r="L225" s="1794">
        <v>0.5</v>
      </c>
      <c r="M225" s="1802">
        <v>0.5</v>
      </c>
      <c r="N225" s="1794" t="s">
        <v>811</v>
      </c>
      <c r="O225" s="2053" t="s">
        <v>8734</v>
      </c>
      <c r="P225" s="1794">
        <v>1</v>
      </c>
      <c r="Q225" s="1794">
        <v>0</v>
      </c>
      <c r="R225" s="2096"/>
      <c r="S225" s="2248" t="s">
        <v>8154</v>
      </c>
      <c r="T225" s="1794" t="s">
        <v>7534</v>
      </c>
      <c r="U225" s="1794" t="s">
        <v>5913</v>
      </c>
      <c r="V225" s="1914" t="s">
        <v>7902</v>
      </c>
      <c r="W225" s="1915" t="s">
        <v>8348</v>
      </c>
      <c r="X225" s="1964" t="s">
        <v>8734</v>
      </c>
    </row>
    <row r="226" spans="1:176" ht="32.1" customHeight="1">
      <c r="A226" s="1874"/>
      <c r="B226" s="1843" t="s">
        <v>241</v>
      </c>
      <c r="C226" s="1829">
        <v>1</v>
      </c>
      <c r="D226" s="1829">
        <v>0.5</v>
      </c>
      <c r="E226" s="1829">
        <v>0.5</v>
      </c>
      <c r="F226" s="1837">
        <v>1</v>
      </c>
      <c r="G226" s="1829">
        <v>1</v>
      </c>
      <c r="H226" s="1850">
        <v>0</v>
      </c>
      <c r="I226" s="2086" t="s">
        <v>240</v>
      </c>
      <c r="J226" s="1794">
        <v>1</v>
      </c>
      <c r="K226" s="1794" t="s">
        <v>7380</v>
      </c>
      <c r="L226" s="1794">
        <v>0.5</v>
      </c>
      <c r="M226" s="1802">
        <v>1</v>
      </c>
      <c r="N226" s="1794" t="s">
        <v>811</v>
      </c>
      <c r="O226" s="2053" t="s">
        <v>8735</v>
      </c>
      <c r="P226" s="1794">
        <v>1</v>
      </c>
      <c r="Q226" s="1794">
        <v>0</v>
      </c>
      <c r="R226" s="2096"/>
      <c r="S226" s="2248" t="s">
        <v>9243</v>
      </c>
      <c r="T226" s="1794" t="s">
        <v>7535</v>
      </c>
      <c r="U226" s="1794" t="s">
        <v>7263</v>
      </c>
      <c r="V226" s="1914" t="s">
        <v>6126</v>
      </c>
      <c r="W226" s="1915" t="s">
        <v>5456</v>
      </c>
      <c r="X226" s="1964" t="s">
        <v>8735</v>
      </c>
    </row>
    <row r="227" spans="1:176" ht="345" customHeight="1">
      <c r="A227" s="1899"/>
      <c r="B227" s="1843" t="s">
        <v>242</v>
      </c>
      <c r="C227" s="1829">
        <v>0.5</v>
      </c>
      <c r="D227" s="1829">
        <v>0.5</v>
      </c>
      <c r="E227" s="1829">
        <v>0.5</v>
      </c>
      <c r="F227" s="1837">
        <v>0.5</v>
      </c>
      <c r="G227" s="1829">
        <v>0.5</v>
      </c>
      <c r="H227" s="1850">
        <v>0</v>
      </c>
      <c r="I227" s="2086" t="s">
        <v>38</v>
      </c>
      <c r="J227" s="1794">
        <v>0</v>
      </c>
      <c r="K227" s="1794" t="s">
        <v>7380</v>
      </c>
      <c r="L227" s="1794">
        <v>0.5</v>
      </c>
      <c r="M227" s="1802">
        <v>1</v>
      </c>
      <c r="N227" s="1794" t="s">
        <v>811</v>
      </c>
      <c r="O227" s="1802" t="s">
        <v>8736</v>
      </c>
      <c r="P227" s="1794">
        <v>1</v>
      </c>
      <c r="Q227" s="1794">
        <v>0</v>
      </c>
      <c r="R227" s="2096"/>
      <c r="S227" s="2248" t="s">
        <v>8155</v>
      </c>
      <c r="T227" s="1794" t="s">
        <v>7536</v>
      </c>
      <c r="U227" s="1794" t="s">
        <v>5915</v>
      </c>
      <c r="V227" s="1914" t="s">
        <v>7903</v>
      </c>
      <c r="W227" s="1915" t="s">
        <v>5457</v>
      </c>
      <c r="X227" s="1914" t="s">
        <v>8736</v>
      </c>
    </row>
    <row r="228" spans="1:176" ht="32.1" customHeight="1">
      <c r="A228" s="2502" t="s">
        <v>5321</v>
      </c>
      <c r="B228" s="2080" t="s">
        <v>243</v>
      </c>
      <c r="C228" s="2116">
        <f>AVERAGE(C229,C237,C289)</f>
        <v>0.74712107065048228</v>
      </c>
      <c r="D228" s="2116">
        <f t="shared" ref="D228:H228" si="63">AVERAGE(D229,D237,D289)</f>
        <v>0.68471521942110181</v>
      </c>
      <c r="E228" s="2116">
        <f t="shared" si="63"/>
        <v>0.25457989417989418</v>
      </c>
      <c r="F228" s="2116">
        <f t="shared" si="63"/>
        <v>0.64377429193899782</v>
      </c>
      <c r="G228" s="2116">
        <f t="shared" si="63"/>
        <v>0.47658300653594776</v>
      </c>
      <c r="H228" s="2116">
        <f t="shared" si="63"/>
        <v>0.43634842826019299</v>
      </c>
      <c r="I228" s="2076"/>
      <c r="J228" s="2077"/>
      <c r="K228" s="2077"/>
      <c r="L228" s="2118"/>
      <c r="M228" s="2118"/>
      <c r="N228" s="2077"/>
      <c r="O228" s="2077"/>
      <c r="P228" s="2077"/>
      <c r="Q228" s="2077"/>
      <c r="R228" s="2083"/>
      <c r="S228" s="2077"/>
      <c r="T228" s="2077"/>
      <c r="U228" s="2118"/>
      <c r="V228" s="2118"/>
      <c r="W228" s="2077"/>
      <c r="X228" s="2077"/>
    </row>
    <row r="229" spans="1:176" ht="32.1" customHeight="1">
      <c r="A229" s="2499" t="s">
        <v>244</v>
      </c>
      <c r="B229" s="2084" t="s">
        <v>245</v>
      </c>
      <c r="C229" s="2093">
        <f>AVERAGE(C230:C236)</f>
        <v>0.8571428571428571</v>
      </c>
      <c r="D229" s="2093">
        <f t="shared" ref="D229:H229" si="64">AVERAGE(D230:D236)</f>
        <v>0.5714285714285714</v>
      </c>
      <c r="E229" s="2093">
        <f t="shared" si="64"/>
        <v>0.14285714285714285</v>
      </c>
      <c r="F229" s="2093">
        <f t="shared" si="64"/>
        <v>0.42857142857142855</v>
      </c>
      <c r="G229" s="2093">
        <f t="shared" si="64"/>
        <v>0.5714285714285714</v>
      </c>
      <c r="H229" s="2093">
        <f t="shared" si="64"/>
        <v>0.42857142857142855</v>
      </c>
      <c r="I229" s="2086"/>
      <c r="J229" s="2087"/>
      <c r="K229" s="2087"/>
      <c r="L229" s="2118"/>
      <c r="M229" s="2087"/>
      <c r="N229" s="2087"/>
      <c r="O229" s="2087"/>
      <c r="P229" s="2087"/>
      <c r="Q229" s="2087"/>
      <c r="R229" s="2088"/>
      <c r="S229" s="2087"/>
      <c r="T229" s="2087"/>
      <c r="U229" s="2118"/>
      <c r="V229" s="2087"/>
      <c r="W229" s="2087"/>
      <c r="X229" s="2087"/>
    </row>
    <row r="230" spans="1:176" ht="99" customHeight="1">
      <c r="A230" s="1899"/>
      <c r="B230" s="1820" t="s">
        <v>246</v>
      </c>
      <c r="C230" s="1837">
        <v>1</v>
      </c>
      <c r="D230" s="1848">
        <v>0</v>
      </c>
      <c r="E230" s="1846">
        <v>0</v>
      </c>
      <c r="F230" s="1832">
        <v>1</v>
      </c>
      <c r="G230" s="1829">
        <v>1</v>
      </c>
      <c r="H230" s="1850">
        <v>0</v>
      </c>
      <c r="I230" s="2086"/>
      <c r="J230" s="2218" t="s">
        <v>811</v>
      </c>
      <c r="K230" s="1941" t="s">
        <v>763</v>
      </c>
      <c r="L230" s="1794">
        <v>0</v>
      </c>
      <c r="M230" s="1927">
        <v>1</v>
      </c>
      <c r="N230" s="1917" t="s">
        <v>948</v>
      </c>
      <c r="O230" s="1917" t="s">
        <v>8737</v>
      </c>
      <c r="P230" s="1917">
        <v>1</v>
      </c>
      <c r="Q230" s="1917">
        <v>0</v>
      </c>
      <c r="R230" s="2100"/>
      <c r="S230" s="1794"/>
      <c r="T230" s="1949" t="s">
        <v>7537</v>
      </c>
      <c r="U230" s="1794" t="s">
        <v>748</v>
      </c>
      <c r="V230" s="1802" t="s">
        <v>957</v>
      </c>
      <c r="W230" s="1794"/>
      <c r="X230" s="1917" t="s">
        <v>8737</v>
      </c>
    </row>
    <row r="231" spans="1:176" s="1965" customFormat="1" ht="32.1" customHeight="1">
      <c r="A231" s="1899"/>
      <c r="B231" s="1820" t="s">
        <v>247</v>
      </c>
      <c r="C231" s="1837">
        <v>1</v>
      </c>
      <c r="D231" s="1848">
        <v>1</v>
      </c>
      <c r="E231" s="1846">
        <v>1</v>
      </c>
      <c r="F231" s="1848">
        <v>1</v>
      </c>
      <c r="G231" s="1829">
        <v>1</v>
      </c>
      <c r="H231" s="1850">
        <v>1</v>
      </c>
      <c r="I231" s="2086" t="s">
        <v>38</v>
      </c>
      <c r="J231" s="2217">
        <v>1</v>
      </c>
      <c r="K231" s="1917" t="s">
        <v>1134</v>
      </c>
      <c r="L231" s="1794">
        <v>1</v>
      </c>
      <c r="M231" s="1917">
        <v>1</v>
      </c>
      <c r="N231" s="1941" t="s">
        <v>948</v>
      </c>
      <c r="O231" s="1941" t="s">
        <v>8738</v>
      </c>
      <c r="P231" s="1917">
        <v>1</v>
      </c>
      <c r="Q231" s="1917">
        <v>0</v>
      </c>
      <c r="R231" s="2100"/>
      <c r="S231" s="1794"/>
      <c r="T231" s="1794" t="s">
        <v>7538</v>
      </c>
      <c r="U231" s="1794" t="s">
        <v>7264</v>
      </c>
      <c r="V231" s="1794" t="s">
        <v>6128</v>
      </c>
      <c r="W231" s="1949"/>
      <c r="X231" s="1941" t="s">
        <v>8738</v>
      </c>
      <c r="Y231" s="1818"/>
      <c r="Z231" s="1818"/>
      <c r="AA231" s="1818"/>
      <c r="AB231" s="1818"/>
      <c r="AC231" s="1818"/>
      <c r="AD231" s="1818"/>
      <c r="AE231" s="1818"/>
      <c r="AF231" s="1818"/>
      <c r="AG231" s="1818"/>
      <c r="AH231" s="1818"/>
      <c r="AI231" s="1818"/>
      <c r="AJ231" s="1818"/>
      <c r="AK231" s="1818"/>
      <c r="AL231" s="1818"/>
      <c r="AM231" s="1818"/>
      <c r="AN231" s="1818"/>
      <c r="AO231" s="1818"/>
      <c r="AP231" s="1818"/>
      <c r="AQ231" s="1818"/>
      <c r="AR231" s="1818"/>
      <c r="AS231" s="1818"/>
      <c r="AT231" s="1818"/>
      <c r="AU231" s="1818"/>
      <c r="AV231" s="1818"/>
      <c r="AW231" s="1818"/>
      <c r="AX231" s="1818"/>
      <c r="AY231" s="1818"/>
      <c r="AZ231" s="1818"/>
      <c r="BA231" s="1818"/>
      <c r="BB231" s="1818"/>
      <c r="BC231" s="1818"/>
      <c r="BD231" s="1818"/>
      <c r="BE231" s="1818"/>
      <c r="BF231" s="1818"/>
      <c r="BG231" s="1818"/>
      <c r="BH231" s="1818"/>
      <c r="BI231" s="1818"/>
      <c r="BJ231" s="1818"/>
      <c r="BK231" s="1818"/>
      <c r="BL231" s="1818"/>
      <c r="BM231" s="1818"/>
      <c r="BN231" s="1818"/>
      <c r="BO231" s="1818"/>
      <c r="BP231" s="1818"/>
      <c r="BQ231" s="1818"/>
      <c r="BR231" s="1818"/>
      <c r="BS231" s="1818"/>
      <c r="BT231" s="1818"/>
      <c r="BU231" s="1818"/>
      <c r="BV231" s="1818"/>
      <c r="BW231" s="1818"/>
      <c r="BX231" s="1818"/>
      <c r="BY231" s="1818"/>
      <c r="BZ231" s="1818"/>
      <c r="CA231" s="1890"/>
      <c r="CB231" s="1890"/>
      <c r="CC231" s="1890"/>
      <c r="CD231" s="1890"/>
      <c r="CE231" s="1890"/>
      <c r="CF231" s="1890"/>
      <c r="CG231" s="1890"/>
      <c r="CH231" s="1890"/>
      <c r="CI231" s="1890"/>
      <c r="CJ231" s="1890"/>
      <c r="CK231" s="1890"/>
      <c r="CL231" s="1890"/>
      <c r="CM231" s="1890"/>
      <c r="CN231" s="1890"/>
      <c r="CO231" s="1890"/>
      <c r="CP231" s="1890"/>
      <c r="CQ231" s="1890"/>
      <c r="CR231" s="1890"/>
      <c r="CS231" s="1890"/>
      <c r="CT231" s="1890"/>
      <c r="CU231" s="1890"/>
      <c r="CV231" s="1890"/>
      <c r="CW231" s="1890"/>
      <c r="CX231" s="1890"/>
      <c r="CY231" s="1890"/>
      <c r="CZ231" s="1890"/>
      <c r="DA231" s="1890"/>
      <c r="DB231" s="1890"/>
      <c r="DC231" s="1890"/>
      <c r="DD231" s="1890"/>
      <c r="DE231" s="1890"/>
      <c r="DF231" s="1890"/>
      <c r="DG231" s="1890"/>
      <c r="DH231" s="1890"/>
      <c r="DI231" s="1890"/>
      <c r="DJ231" s="1890"/>
      <c r="DK231" s="1890"/>
      <c r="DL231" s="1890"/>
      <c r="DM231" s="1890"/>
      <c r="DN231" s="1890"/>
      <c r="DO231" s="1890"/>
      <c r="DP231" s="1890"/>
      <c r="DQ231" s="1890"/>
      <c r="DR231" s="1890"/>
      <c r="DS231" s="1890"/>
      <c r="DT231" s="1890"/>
      <c r="DU231" s="1890"/>
      <c r="DV231" s="1890"/>
      <c r="DW231" s="1890"/>
      <c r="DX231" s="1890"/>
      <c r="DY231" s="1890"/>
      <c r="DZ231" s="1890"/>
      <c r="EA231" s="1890"/>
      <c r="EB231" s="1890"/>
      <c r="EC231" s="1890"/>
      <c r="ED231" s="1890"/>
      <c r="EE231" s="1890"/>
      <c r="EF231" s="1890"/>
      <c r="EG231" s="1890"/>
      <c r="EH231" s="1890"/>
      <c r="EI231" s="1890"/>
      <c r="EJ231" s="1890"/>
      <c r="EK231" s="1890"/>
      <c r="EL231" s="1890"/>
      <c r="EM231" s="1890"/>
      <c r="EN231" s="1890"/>
      <c r="EO231" s="1890"/>
      <c r="EP231" s="1890"/>
      <c r="EQ231" s="1890"/>
      <c r="ER231" s="1890"/>
      <c r="ES231" s="1890"/>
      <c r="ET231" s="1890"/>
      <c r="EU231" s="1890"/>
      <c r="EV231" s="1890"/>
      <c r="EW231" s="1890"/>
      <c r="EX231" s="1890"/>
      <c r="EY231" s="1890"/>
      <c r="EZ231" s="1890"/>
      <c r="FA231" s="1890"/>
      <c r="FB231" s="1890"/>
      <c r="FC231" s="1890"/>
      <c r="FD231" s="1890"/>
      <c r="FE231" s="1890"/>
      <c r="FF231" s="1890"/>
      <c r="FG231" s="1890"/>
      <c r="FH231" s="1890"/>
      <c r="FI231" s="1890"/>
      <c r="FJ231" s="1890"/>
      <c r="FK231" s="1890"/>
      <c r="FL231" s="1890"/>
      <c r="FM231" s="1890"/>
      <c r="FN231" s="1890"/>
      <c r="FO231" s="1890"/>
      <c r="FP231" s="1890"/>
      <c r="FQ231" s="1890"/>
      <c r="FR231" s="1890"/>
      <c r="FS231" s="1890"/>
      <c r="FT231" s="1890"/>
    </row>
    <row r="232" spans="1:176" s="1965" customFormat="1" ht="32.1" customHeight="1">
      <c r="A232" s="1899"/>
      <c r="B232" s="1820" t="s">
        <v>248</v>
      </c>
      <c r="C232" s="1837">
        <v>0</v>
      </c>
      <c r="D232" s="1848">
        <v>0</v>
      </c>
      <c r="E232" s="1846">
        <v>0</v>
      </c>
      <c r="F232" s="1848">
        <v>0</v>
      </c>
      <c r="G232" s="1829">
        <v>0</v>
      </c>
      <c r="H232" s="1850">
        <v>1</v>
      </c>
      <c r="I232" s="2086" t="s">
        <v>38</v>
      </c>
      <c r="J232" s="2217">
        <v>0</v>
      </c>
      <c r="K232" s="1917" t="s">
        <v>4988</v>
      </c>
      <c r="L232" s="1794">
        <v>0</v>
      </c>
      <c r="M232" s="1917">
        <v>0</v>
      </c>
      <c r="N232" s="1917" t="s">
        <v>943</v>
      </c>
      <c r="O232" s="1917" t="s">
        <v>8739</v>
      </c>
      <c r="P232" s="1917">
        <v>1</v>
      </c>
      <c r="Q232" s="1917">
        <v>0</v>
      </c>
      <c r="R232" s="2100"/>
      <c r="S232" s="1794"/>
      <c r="T232" s="1794" t="s">
        <v>7539</v>
      </c>
      <c r="U232" s="1794" t="s">
        <v>748</v>
      </c>
      <c r="V232" s="1794" t="s">
        <v>763</v>
      </c>
      <c r="W232" s="1794"/>
      <c r="X232" s="1917" t="s">
        <v>8739</v>
      </c>
      <c r="Y232" s="1818"/>
      <c r="Z232" s="1818"/>
      <c r="AA232" s="1818"/>
      <c r="AB232" s="1818"/>
      <c r="AC232" s="1818"/>
      <c r="AD232" s="1818"/>
      <c r="AE232" s="1818"/>
      <c r="AF232" s="1818"/>
      <c r="AG232" s="1818"/>
      <c r="AH232" s="1818"/>
      <c r="AI232" s="1818"/>
      <c r="AJ232" s="1818"/>
      <c r="AK232" s="1818"/>
      <c r="AL232" s="1818"/>
      <c r="AM232" s="1818"/>
      <c r="AN232" s="1818"/>
      <c r="AO232" s="1818"/>
      <c r="AP232" s="1818"/>
      <c r="AQ232" s="1818"/>
      <c r="AR232" s="1818"/>
      <c r="AS232" s="1818"/>
      <c r="AT232" s="1818"/>
      <c r="AU232" s="1818"/>
      <c r="AV232" s="1818"/>
      <c r="AW232" s="1818"/>
      <c r="AX232" s="1818"/>
      <c r="AY232" s="1818"/>
      <c r="AZ232" s="1818"/>
      <c r="BA232" s="1818"/>
      <c r="BB232" s="1818"/>
      <c r="BC232" s="1818"/>
      <c r="BD232" s="1818"/>
      <c r="BE232" s="1818"/>
      <c r="BF232" s="1818"/>
      <c r="BG232" s="1818"/>
      <c r="BH232" s="1818"/>
      <c r="BI232" s="1818"/>
      <c r="BJ232" s="1818"/>
      <c r="BK232" s="1818"/>
      <c r="BL232" s="1818"/>
      <c r="BM232" s="1818"/>
      <c r="BN232" s="1818"/>
      <c r="BO232" s="1818"/>
      <c r="BP232" s="1818"/>
      <c r="BQ232" s="1818"/>
      <c r="BR232" s="1818"/>
      <c r="BS232" s="1818"/>
      <c r="BT232" s="1818"/>
      <c r="BU232" s="1818"/>
      <c r="BV232" s="1818"/>
      <c r="BW232" s="1818"/>
      <c r="BX232" s="1818"/>
      <c r="BY232" s="1818"/>
      <c r="BZ232" s="1818"/>
      <c r="CA232" s="1890"/>
      <c r="CB232" s="1890"/>
      <c r="CC232" s="1890"/>
      <c r="CD232" s="1890"/>
      <c r="CE232" s="1890"/>
      <c r="CF232" s="1890"/>
      <c r="CG232" s="1890"/>
      <c r="CH232" s="1890"/>
      <c r="CI232" s="1890"/>
      <c r="CJ232" s="1890"/>
      <c r="CK232" s="1890"/>
      <c r="CL232" s="1890"/>
      <c r="CM232" s="1890"/>
      <c r="CN232" s="1890"/>
      <c r="CO232" s="1890"/>
      <c r="CP232" s="1890"/>
      <c r="CQ232" s="1890"/>
      <c r="CR232" s="1890"/>
      <c r="CS232" s="1890"/>
      <c r="CT232" s="1890"/>
      <c r="CU232" s="1890"/>
      <c r="CV232" s="1890"/>
      <c r="CW232" s="1890"/>
      <c r="CX232" s="1890"/>
      <c r="CY232" s="1890"/>
      <c r="CZ232" s="1890"/>
      <c r="DA232" s="1890"/>
      <c r="DB232" s="1890"/>
      <c r="DC232" s="1890"/>
      <c r="DD232" s="1890"/>
      <c r="DE232" s="1890"/>
      <c r="DF232" s="1890"/>
      <c r="DG232" s="1890"/>
      <c r="DH232" s="1890"/>
      <c r="DI232" s="1890"/>
      <c r="DJ232" s="1890"/>
      <c r="DK232" s="1890"/>
      <c r="DL232" s="1890"/>
      <c r="DM232" s="1890"/>
      <c r="DN232" s="1890"/>
      <c r="DO232" s="1890"/>
      <c r="DP232" s="1890"/>
      <c r="DQ232" s="1890"/>
      <c r="DR232" s="1890"/>
      <c r="DS232" s="1890"/>
      <c r="DT232" s="1890"/>
      <c r="DU232" s="1890"/>
      <c r="DV232" s="1890"/>
      <c r="DW232" s="1890"/>
      <c r="DX232" s="1890"/>
      <c r="DY232" s="1890"/>
      <c r="DZ232" s="1890"/>
      <c r="EA232" s="1890"/>
      <c r="EB232" s="1890"/>
      <c r="EC232" s="1890"/>
      <c r="ED232" s="1890"/>
      <c r="EE232" s="1890"/>
      <c r="EF232" s="1890"/>
      <c r="EG232" s="1890"/>
      <c r="EH232" s="1890"/>
      <c r="EI232" s="1890"/>
      <c r="EJ232" s="1890"/>
      <c r="EK232" s="1890"/>
      <c r="EL232" s="1890"/>
      <c r="EM232" s="1890"/>
      <c r="EN232" s="1890"/>
      <c r="EO232" s="1890"/>
      <c r="EP232" s="1890"/>
      <c r="EQ232" s="1890"/>
      <c r="ER232" s="1890"/>
      <c r="ES232" s="1890"/>
      <c r="ET232" s="1890"/>
      <c r="EU232" s="1890"/>
      <c r="EV232" s="1890"/>
      <c r="EW232" s="1890"/>
      <c r="EX232" s="1890"/>
      <c r="EY232" s="1890"/>
      <c r="EZ232" s="1890"/>
      <c r="FA232" s="1890"/>
      <c r="FB232" s="1890"/>
      <c r="FC232" s="1890"/>
      <c r="FD232" s="1890"/>
      <c r="FE232" s="1890"/>
      <c r="FF232" s="1890"/>
      <c r="FG232" s="1890"/>
      <c r="FH232" s="1890"/>
      <c r="FI232" s="1890"/>
      <c r="FJ232" s="1890"/>
      <c r="FK232" s="1890"/>
      <c r="FL232" s="1890"/>
      <c r="FM232" s="1890"/>
      <c r="FN232" s="1890"/>
      <c r="FO232" s="1890"/>
      <c r="FP232" s="1890"/>
      <c r="FQ232" s="1890"/>
      <c r="FR232" s="1890"/>
      <c r="FS232" s="1890"/>
      <c r="FT232" s="1890"/>
    </row>
    <row r="233" spans="1:176" s="1965" customFormat="1" ht="71.099999999999994" customHeight="1">
      <c r="A233" s="1899"/>
      <c r="B233" s="1820" t="s">
        <v>249</v>
      </c>
      <c r="C233" s="1837">
        <v>1</v>
      </c>
      <c r="D233" s="1848">
        <v>0</v>
      </c>
      <c r="E233" s="1846">
        <v>0</v>
      </c>
      <c r="F233" s="1848">
        <v>0</v>
      </c>
      <c r="G233" s="1829">
        <v>1</v>
      </c>
      <c r="H233" s="1850">
        <v>0</v>
      </c>
      <c r="I233" s="2086" t="s">
        <v>38</v>
      </c>
      <c r="J233" s="2217">
        <v>1</v>
      </c>
      <c r="K233" s="1941" t="s">
        <v>4988</v>
      </c>
      <c r="L233" s="1794">
        <v>0</v>
      </c>
      <c r="M233" s="1917">
        <v>0</v>
      </c>
      <c r="N233" s="1941" t="s">
        <v>811</v>
      </c>
      <c r="O233" s="1941" t="s">
        <v>8740</v>
      </c>
      <c r="P233" s="1917">
        <v>1</v>
      </c>
      <c r="Q233" s="1917">
        <v>0</v>
      </c>
      <c r="R233" s="2100"/>
      <c r="S233" s="1794"/>
      <c r="T233" s="1949" t="s">
        <v>7540</v>
      </c>
      <c r="U233" s="1794" t="s">
        <v>748</v>
      </c>
      <c r="V233" s="1794" t="s">
        <v>763</v>
      </c>
      <c r="W233" s="1949"/>
      <c r="X233" s="1941" t="s">
        <v>8740</v>
      </c>
      <c r="Y233" s="1818"/>
      <c r="Z233" s="1818"/>
      <c r="AA233" s="1818"/>
      <c r="AB233" s="1818"/>
      <c r="AC233" s="1818"/>
      <c r="AD233" s="1818"/>
      <c r="AE233" s="1818"/>
      <c r="AF233" s="1818"/>
      <c r="AG233" s="1818"/>
      <c r="AH233" s="1818"/>
      <c r="AI233" s="1818"/>
      <c r="AJ233" s="1818"/>
      <c r="AK233" s="1818"/>
      <c r="AL233" s="1818"/>
      <c r="AM233" s="1818"/>
      <c r="AN233" s="1818"/>
      <c r="AO233" s="1818"/>
      <c r="AP233" s="1818"/>
      <c r="AQ233" s="1818"/>
      <c r="AR233" s="1818"/>
      <c r="AS233" s="1818"/>
      <c r="AT233" s="1818"/>
      <c r="AU233" s="1818"/>
      <c r="AV233" s="1818"/>
      <c r="AW233" s="1818"/>
      <c r="AX233" s="1818"/>
      <c r="AY233" s="1818"/>
      <c r="AZ233" s="1818"/>
      <c r="BA233" s="1818"/>
      <c r="BB233" s="1818"/>
      <c r="BC233" s="1818"/>
      <c r="BD233" s="1818"/>
      <c r="BE233" s="1818"/>
      <c r="BF233" s="1818"/>
      <c r="BG233" s="1818"/>
      <c r="BH233" s="1818"/>
      <c r="BI233" s="1818"/>
      <c r="BJ233" s="1818"/>
      <c r="BK233" s="1818"/>
      <c r="BL233" s="1818"/>
      <c r="BM233" s="1818"/>
      <c r="BN233" s="1818"/>
      <c r="BO233" s="1818"/>
      <c r="BP233" s="1818"/>
      <c r="BQ233" s="1818"/>
      <c r="BR233" s="1818"/>
      <c r="BS233" s="1818"/>
      <c r="BT233" s="1818"/>
      <c r="BU233" s="1818"/>
      <c r="BV233" s="1818"/>
      <c r="BW233" s="1818"/>
      <c r="BX233" s="1818"/>
      <c r="BY233" s="1818"/>
      <c r="BZ233" s="1818"/>
      <c r="CA233" s="1890"/>
      <c r="CB233" s="1890"/>
      <c r="CC233" s="1890"/>
      <c r="CD233" s="1890"/>
      <c r="CE233" s="1890"/>
      <c r="CF233" s="1890"/>
      <c r="CG233" s="1890"/>
      <c r="CH233" s="1890"/>
      <c r="CI233" s="1890"/>
      <c r="CJ233" s="1890"/>
      <c r="CK233" s="1890"/>
      <c r="CL233" s="1890"/>
      <c r="CM233" s="1890"/>
      <c r="CN233" s="1890"/>
      <c r="CO233" s="1890"/>
      <c r="CP233" s="1890"/>
      <c r="CQ233" s="1890"/>
      <c r="CR233" s="1890"/>
      <c r="CS233" s="1890"/>
      <c r="CT233" s="1890"/>
      <c r="CU233" s="1890"/>
      <c r="CV233" s="1890"/>
      <c r="CW233" s="1890"/>
      <c r="CX233" s="1890"/>
      <c r="CY233" s="1890"/>
      <c r="CZ233" s="1890"/>
      <c r="DA233" s="1890"/>
      <c r="DB233" s="1890"/>
      <c r="DC233" s="1890"/>
      <c r="DD233" s="1890"/>
      <c r="DE233" s="1890"/>
      <c r="DF233" s="1890"/>
      <c r="DG233" s="1890"/>
      <c r="DH233" s="1890"/>
      <c r="DI233" s="1890"/>
      <c r="DJ233" s="1890"/>
      <c r="DK233" s="1890"/>
      <c r="DL233" s="1890"/>
      <c r="DM233" s="1890"/>
      <c r="DN233" s="1890"/>
      <c r="DO233" s="1890"/>
      <c r="DP233" s="1890"/>
      <c r="DQ233" s="1890"/>
      <c r="DR233" s="1890"/>
      <c r="DS233" s="1890"/>
      <c r="DT233" s="1890"/>
      <c r="DU233" s="1890"/>
      <c r="DV233" s="1890"/>
      <c r="DW233" s="1890"/>
      <c r="DX233" s="1890"/>
      <c r="DY233" s="1890"/>
      <c r="DZ233" s="1890"/>
      <c r="EA233" s="1890"/>
      <c r="EB233" s="1890"/>
      <c r="EC233" s="1890"/>
      <c r="ED233" s="1890"/>
      <c r="EE233" s="1890"/>
      <c r="EF233" s="1890"/>
      <c r="EG233" s="1890"/>
      <c r="EH233" s="1890"/>
      <c r="EI233" s="1890"/>
      <c r="EJ233" s="1890"/>
      <c r="EK233" s="1890"/>
      <c r="EL233" s="1890"/>
      <c r="EM233" s="1890"/>
      <c r="EN233" s="1890"/>
      <c r="EO233" s="1890"/>
      <c r="EP233" s="1890"/>
      <c r="EQ233" s="1890"/>
      <c r="ER233" s="1890"/>
      <c r="ES233" s="1890"/>
      <c r="ET233" s="1890"/>
      <c r="EU233" s="1890"/>
      <c r="EV233" s="1890"/>
      <c r="EW233" s="1890"/>
      <c r="EX233" s="1890"/>
      <c r="EY233" s="1890"/>
      <c r="EZ233" s="1890"/>
      <c r="FA233" s="1890"/>
      <c r="FB233" s="1890"/>
      <c r="FC233" s="1890"/>
      <c r="FD233" s="1890"/>
      <c r="FE233" s="1890"/>
      <c r="FF233" s="1890"/>
      <c r="FG233" s="1890"/>
      <c r="FH233" s="1890"/>
      <c r="FI233" s="1890"/>
      <c r="FJ233" s="1890"/>
      <c r="FK233" s="1890"/>
      <c r="FL233" s="1890"/>
      <c r="FM233" s="1890"/>
      <c r="FN233" s="1890"/>
      <c r="FO233" s="1890"/>
      <c r="FP233" s="1890"/>
      <c r="FQ233" s="1890"/>
      <c r="FR233" s="1890"/>
      <c r="FS233" s="1890"/>
      <c r="FT233" s="1890"/>
    </row>
    <row r="234" spans="1:176" s="1965" customFormat="1" ht="114" customHeight="1">
      <c r="A234" s="1899"/>
      <c r="B234" s="1820" t="s">
        <v>250</v>
      </c>
      <c r="C234" s="1837">
        <v>1</v>
      </c>
      <c r="D234" s="1848">
        <v>1</v>
      </c>
      <c r="E234" s="1846">
        <v>0</v>
      </c>
      <c r="F234" s="1848">
        <v>1</v>
      </c>
      <c r="G234" s="1829">
        <v>1</v>
      </c>
      <c r="H234" s="1850">
        <v>1</v>
      </c>
      <c r="I234" s="2086" t="s">
        <v>38</v>
      </c>
      <c r="J234" s="2217">
        <v>1</v>
      </c>
      <c r="K234" s="1941" t="s">
        <v>811</v>
      </c>
      <c r="L234" s="1794">
        <v>0</v>
      </c>
      <c r="M234" s="1917">
        <v>1</v>
      </c>
      <c r="N234" s="1941" t="s">
        <v>948</v>
      </c>
      <c r="O234" s="1941" t="s">
        <v>8741</v>
      </c>
      <c r="P234" s="1917">
        <v>1</v>
      </c>
      <c r="Q234" s="1917">
        <v>0</v>
      </c>
      <c r="R234" s="2100"/>
      <c r="S234" s="1794"/>
      <c r="T234" s="1949" t="s">
        <v>7541</v>
      </c>
      <c r="U234" s="1794" t="s">
        <v>968</v>
      </c>
      <c r="V234" s="1794" t="s">
        <v>6129</v>
      </c>
      <c r="W234" s="1949"/>
      <c r="X234" s="1941" t="s">
        <v>8741</v>
      </c>
      <c r="Y234" s="1818"/>
      <c r="Z234" s="1818"/>
      <c r="AA234" s="1818"/>
      <c r="AB234" s="1818"/>
      <c r="AC234" s="1818"/>
      <c r="AD234" s="1818"/>
      <c r="AE234" s="1818"/>
      <c r="AF234" s="1818"/>
      <c r="AG234" s="1818"/>
      <c r="AH234" s="1818"/>
      <c r="AI234" s="1818"/>
      <c r="AJ234" s="1818"/>
      <c r="AK234" s="1818"/>
      <c r="AL234" s="1818"/>
      <c r="AM234" s="1818"/>
      <c r="AN234" s="1818"/>
      <c r="AO234" s="1818"/>
      <c r="AP234" s="1818"/>
      <c r="AQ234" s="1818"/>
      <c r="AR234" s="1818"/>
      <c r="AS234" s="1818"/>
      <c r="AT234" s="1818"/>
      <c r="AU234" s="1818"/>
      <c r="AV234" s="1818"/>
      <c r="AW234" s="1818"/>
      <c r="AX234" s="1818"/>
      <c r="AY234" s="1818"/>
      <c r="AZ234" s="1818"/>
      <c r="BA234" s="1818"/>
      <c r="BB234" s="1818"/>
      <c r="BC234" s="1818"/>
      <c r="BD234" s="1818"/>
      <c r="BE234" s="1818"/>
      <c r="BF234" s="1818"/>
      <c r="BG234" s="1818"/>
      <c r="BH234" s="1818"/>
      <c r="BI234" s="1818"/>
      <c r="BJ234" s="1818"/>
      <c r="BK234" s="1818"/>
      <c r="BL234" s="1818"/>
      <c r="BM234" s="1818"/>
      <c r="BN234" s="1818"/>
      <c r="BO234" s="1818"/>
      <c r="BP234" s="1818"/>
      <c r="BQ234" s="1818"/>
      <c r="BR234" s="1818"/>
      <c r="BS234" s="1818"/>
      <c r="BT234" s="1818"/>
      <c r="BU234" s="1818"/>
      <c r="BV234" s="1818"/>
      <c r="BW234" s="1818"/>
      <c r="BX234" s="1818"/>
      <c r="BY234" s="1818"/>
      <c r="BZ234" s="1818"/>
      <c r="CA234" s="1890"/>
      <c r="CB234" s="1890"/>
      <c r="CC234" s="1890"/>
      <c r="CD234" s="1890"/>
      <c r="CE234" s="1890"/>
      <c r="CF234" s="1890"/>
      <c r="CG234" s="1890"/>
      <c r="CH234" s="1890"/>
      <c r="CI234" s="1890"/>
      <c r="CJ234" s="1890"/>
      <c r="CK234" s="1890"/>
      <c r="CL234" s="1890"/>
      <c r="CM234" s="1890"/>
      <c r="CN234" s="1890"/>
      <c r="CO234" s="1890"/>
      <c r="CP234" s="1890"/>
      <c r="CQ234" s="1890"/>
      <c r="CR234" s="1890"/>
      <c r="CS234" s="1890"/>
      <c r="CT234" s="1890"/>
      <c r="CU234" s="1890"/>
      <c r="CV234" s="1890"/>
      <c r="CW234" s="1890"/>
      <c r="CX234" s="1890"/>
      <c r="CY234" s="1890"/>
      <c r="CZ234" s="1890"/>
      <c r="DA234" s="1890"/>
      <c r="DB234" s="1890"/>
      <c r="DC234" s="1890"/>
      <c r="DD234" s="1890"/>
      <c r="DE234" s="1890"/>
      <c r="DF234" s="1890"/>
      <c r="DG234" s="1890"/>
      <c r="DH234" s="1890"/>
      <c r="DI234" s="1890"/>
      <c r="DJ234" s="1890"/>
      <c r="DK234" s="1890"/>
      <c r="DL234" s="1890"/>
      <c r="DM234" s="1890"/>
      <c r="DN234" s="1890"/>
      <c r="DO234" s="1890"/>
      <c r="DP234" s="1890"/>
      <c r="DQ234" s="1890"/>
      <c r="DR234" s="1890"/>
      <c r="DS234" s="1890"/>
      <c r="DT234" s="1890"/>
      <c r="DU234" s="1890"/>
      <c r="DV234" s="1890"/>
      <c r="DW234" s="1890"/>
      <c r="DX234" s="1890"/>
      <c r="DY234" s="1890"/>
      <c r="DZ234" s="1890"/>
      <c r="EA234" s="1890"/>
      <c r="EB234" s="1890"/>
      <c r="EC234" s="1890"/>
      <c r="ED234" s="1890"/>
      <c r="EE234" s="1890"/>
      <c r="EF234" s="1890"/>
      <c r="EG234" s="1890"/>
      <c r="EH234" s="1890"/>
      <c r="EI234" s="1890"/>
      <c r="EJ234" s="1890"/>
      <c r="EK234" s="1890"/>
      <c r="EL234" s="1890"/>
      <c r="EM234" s="1890"/>
      <c r="EN234" s="1890"/>
      <c r="EO234" s="1890"/>
      <c r="EP234" s="1890"/>
      <c r="EQ234" s="1890"/>
      <c r="ER234" s="1890"/>
      <c r="ES234" s="1890"/>
      <c r="ET234" s="1890"/>
      <c r="EU234" s="1890"/>
      <c r="EV234" s="1890"/>
      <c r="EW234" s="1890"/>
      <c r="EX234" s="1890"/>
      <c r="EY234" s="1890"/>
      <c r="EZ234" s="1890"/>
      <c r="FA234" s="1890"/>
      <c r="FB234" s="1890"/>
      <c r="FC234" s="1890"/>
      <c r="FD234" s="1890"/>
      <c r="FE234" s="1890"/>
      <c r="FF234" s="1890"/>
      <c r="FG234" s="1890"/>
      <c r="FH234" s="1890"/>
      <c r="FI234" s="1890"/>
      <c r="FJ234" s="1890"/>
      <c r="FK234" s="1890"/>
      <c r="FL234" s="1890"/>
      <c r="FM234" s="1890"/>
      <c r="FN234" s="1890"/>
      <c r="FO234" s="1890"/>
      <c r="FP234" s="1890"/>
      <c r="FQ234" s="1890"/>
      <c r="FR234" s="1890"/>
      <c r="FS234" s="1890"/>
      <c r="FT234" s="1890"/>
    </row>
    <row r="235" spans="1:176" s="1965" customFormat="1" ht="32.1" customHeight="1">
      <c r="A235" s="2501"/>
      <c r="B235" s="1820" t="s">
        <v>251</v>
      </c>
      <c r="C235" s="1837">
        <v>1</v>
      </c>
      <c r="D235" s="1848">
        <v>1</v>
      </c>
      <c r="E235" s="1846">
        <v>0</v>
      </c>
      <c r="F235" s="1848">
        <v>0</v>
      </c>
      <c r="G235" s="1847">
        <v>0</v>
      </c>
      <c r="H235" s="1856">
        <v>0</v>
      </c>
      <c r="I235" s="2086" t="s">
        <v>38</v>
      </c>
      <c r="J235" s="2217">
        <v>1</v>
      </c>
      <c r="K235" s="1941" t="s">
        <v>7376</v>
      </c>
      <c r="L235" s="1794">
        <v>0</v>
      </c>
      <c r="M235" s="1917">
        <v>0</v>
      </c>
      <c r="N235" s="1941" t="s">
        <v>748</v>
      </c>
      <c r="O235" s="1941" t="s">
        <v>8742</v>
      </c>
      <c r="P235" s="1917">
        <v>1</v>
      </c>
      <c r="Q235" s="1917">
        <v>0</v>
      </c>
      <c r="R235" s="2100"/>
      <c r="S235" s="1794"/>
      <c r="T235" s="1949" t="s">
        <v>7542</v>
      </c>
      <c r="U235" s="1794" t="s">
        <v>748</v>
      </c>
      <c r="V235" s="1794" t="s">
        <v>763</v>
      </c>
      <c r="W235" s="1949"/>
      <c r="X235" s="1941" t="s">
        <v>8742</v>
      </c>
      <c r="Y235" s="1818"/>
      <c r="Z235" s="1818"/>
      <c r="AA235" s="1818"/>
      <c r="AB235" s="1818"/>
      <c r="AC235" s="1818"/>
      <c r="AD235" s="1818"/>
      <c r="AE235" s="1818"/>
      <c r="AF235" s="1818"/>
      <c r="AG235" s="1818"/>
      <c r="AH235" s="1818"/>
      <c r="AI235" s="1818"/>
      <c r="AJ235" s="1818"/>
      <c r="AK235" s="1818"/>
      <c r="AL235" s="1818"/>
      <c r="AM235" s="1818"/>
      <c r="AN235" s="1818"/>
      <c r="AO235" s="1818"/>
      <c r="AP235" s="1818"/>
      <c r="AQ235" s="1818"/>
      <c r="AR235" s="1818"/>
      <c r="AS235" s="1818"/>
      <c r="AT235" s="1818"/>
      <c r="AU235" s="1818"/>
      <c r="AV235" s="1818"/>
      <c r="AW235" s="1818"/>
      <c r="AX235" s="1818"/>
      <c r="AY235" s="1818"/>
      <c r="AZ235" s="1818"/>
      <c r="BA235" s="1818"/>
      <c r="BB235" s="1818"/>
      <c r="BC235" s="1818"/>
      <c r="BD235" s="1818"/>
      <c r="BE235" s="1818"/>
      <c r="BF235" s="1818"/>
      <c r="BG235" s="1818"/>
      <c r="BH235" s="1818"/>
      <c r="BI235" s="1818"/>
      <c r="BJ235" s="1818"/>
      <c r="BK235" s="1818"/>
      <c r="BL235" s="1818"/>
      <c r="BM235" s="1818"/>
      <c r="BN235" s="1818"/>
      <c r="BO235" s="1818"/>
      <c r="BP235" s="1818"/>
      <c r="BQ235" s="1818"/>
      <c r="BR235" s="1818"/>
      <c r="BS235" s="1818"/>
      <c r="BT235" s="1818"/>
      <c r="BU235" s="1818"/>
      <c r="BV235" s="1818"/>
      <c r="BW235" s="1818"/>
      <c r="BX235" s="1818"/>
      <c r="BY235" s="1818"/>
      <c r="BZ235" s="1818"/>
      <c r="CA235" s="1890"/>
      <c r="CB235" s="1890"/>
      <c r="CC235" s="1890"/>
      <c r="CD235" s="1890"/>
      <c r="CE235" s="1890"/>
      <c r="CF235" s="1890"/>
      <c r="CG235" s="1890"/>
      <c r="CH235" s="1890"/>
      <c r="CI235" s="1890"/>
      <c r="CJ235" s="1890"/>
      <c r="CK235" s="1890"/>
      <c r="CL235" s="1890"/>
      <c r="CM235" s="1890"/>
      <c r="CN235" s="1890"/>
      <c r="CO235" s="1890"/>
      <c r="CP235" s="1890"/>
      <c r="CQ235" s="1890"/>
      <c r="CR235" s="1890"/>
      <c r="CS235" s="1890"/>
      <c r="CT235" s="1890"/>
      <c r="CU235" s="1890"/>
      <c r="CV235" s="1890"/>
      <c r="CW235" s="1890"/>
      <c r="CX235" s="1890"/>
      <c r="CY235" s="1890"/>
      <c r="CZ235" s="1890"/>
      <c r="DA235" s="1890"/>
      <c r="DB235" s="1890"/>
      <c r="DC235" s="1890"/>
      <c r="DD235" s="1890"/>
      <c r="DE235" s="1890"/>
      <c r="DF235" s="1890"/>
      <c r="DG235" s="1890"/>
      <c r="DH235" s="1890"/>
      <c r="DI235" s="1890"/>
      <c r="DJ235" s="1890"/>
      <c r="DK235" s="1890"/>
      <c r="DL235" s="1890"/>
      <c r="DM235" s="1890"/>
      <c r="DN235" s="1890"/>
      <c r="DO235" s="1890"/>
      <c r="DP235" s="1890"/>
      <c r="DQ235" s="1890"/>
      <c r="DR235" s="1890"/>
      <c r="DS235" s="1890"/>
      <c r="DT235" s="1890"/>
      <c r="DU235" s="1890"/>
      <c r="DV235" s="1890"/>
      <c r="DW235" s="1890"/>
      <c r="DX235" s="1890"/>
      <c r="DY235" s="1890"/>
      <c r="DZ235" s="1890"/>
      <c r="EA235" s="1890"/>
      <c r="EB235" s="1890"/>
      <c r="EC235" s="1890"/>
      <c r="ED235" s="1890"/>
      <c r="EE235" s="1890"/>
      <c r="EF235" s="1890"/>
      <c r="EG235" s="1890"/>
      <c r="EH235" s="1890"/>
      <c r="EI235" s="1890"/>
      <c r="EJ235" s="1890"/>
      <c r="EK235" s="1890"/>
      <c r="EL235" s="1890"/>
      <c r="EM235" s="1890"/>
      <c r="EN235" s="1890"/>
      <c r="EO235" s="1890"/>
      <c r="EP235" s="1890"/>
      <c r="EQ235" s="1890"/>
      <c r="ER235" s="1890"/>
      <c r="ES235" s="1890"/>
      <c r="ET235" s="1890"/>
      <c r="EU235" s="1890"/>
      <c r="EV235" s="1890"/>
      <c r="EW235" s="1890"/>
      <c r="EX235" s="1890"/>
      <c r="EY235" s="1890"/>
      <c r="EZ235" s="1890"/>
      <c r="FA235" s="1890"/>
      <c r="FB235" s="1890"/>
      <c r="FC235" s="1890"/>
      <c r="FD235" s="1890"/>
      <c r="FE235" s="1890"/>
      <c r="FF235" s="1890"/>
      <c r="FG235" s="1890"/>
      <c r="FH235" s="1890"/>
      <c r="FI235" s="1890"/>
      <c r="FJ235" s="1890"/>
      <c r="FK235" s="1890"/>
      <c r="FL235" s="1890"/>
      <c r="FM235" s="1890"/>
      <c r="FN235" s="1890"/>
      <c r="FO235" s="1890"/>
      <c r="FP235" s="1890"/>
      <c r="FQ235" s="1890"/>
      <c r="FR235" s="1890"/>
      <c r="FS235" s="1890"/>
      <c r="FT235" s="1890"/>
    </row>
    <row r="236" spans="1:176" s="1965" customFormat="1" ht="32.1" customHeight="1">
      <c r="A236" s="2501"/>
      <c r="B236" s="1820" t="s">
        <v>252</v>
      </c>
      <c r="C236" s="1837">
        <v>1</v>
      </c>
      <c r="D236" s="1848">
        <v>1</v>
      </c>
      <c r="E236" s="1846">
        <v>0</v>
      </c>
      <c r="F236" s="1848">
        <v>0</v>
      </c>
      <c r="G236" s="1847">
        <v>0</v>
      </c>
      <c r="H236" s="1856">
        <v>0</v>
      </c>
      <c r="I236" s="2086" t="s">
        <v>38</v>
      </c>
      <c r="J236" s="2217">
        <v>1</v>
      </c>
      <c r="K236" s="1941" t="s">
        <v>811</v>
      </c>
      <c r="L236" s="1794">
        <v>0</v>
      </c>
      <c r="M236" s="1917">
        <v>0</v>
      </c>
      <c r="N236" s="1941" t="s">
        <v>748</v>
      </c>
      <c r="O236" s="1941" t="s">
        <v>8743</v>
      </c>
      <c r="P236" s="1917">
        <v>1</v>
      </c>
      <c r="Q236" s="1917">
        <v>0</v>
      </c>
      <c r="R236" s="2100"/>
      <c r="S236" s="1794"/>
      <c r="T236" s="1949" t="s">
        <v>7543</v>
      </c>
      <c r="U236" s="1794" t="s">
        <v>748</v>
      </c>
      <c r="V236" s="1794" t="s">
        <v>763</v>
      </c>
      <c r="W236" s="1949"/>
      <c r="X236" s="1941" t="s">
        <v>8743</v>
      </c>
      <c r="Y236" s="1818"/>
      <c r="Z236" s="1818"/>
      <c r="AA236" s="1818"/>
      <c r="AB236" s="1818"/>
      <c r="AC236" s="1818"/>
      <c r="AD236" s="1818"/>
      <c r="AE236" s="1818"/>
      <c r="AF236" s="1818"/>
      <c r="AG236" s="1818"/>
      <c r="AH236" s="1818"/>
      <c r="AI236" s="1818"/>
      <c r="AJ236" s="1818"/>
      <c r="AK236" s="1818"/>
      <c r="AL236" s="1818"/>
      <c r="AM236" s="1818"/>
      <c r="AN236" s="1818"/>
      <c r="AO236" s="1818"/>
      <c r="AP236" s="1818"/>
      <c r="AQ236" s="1818"/>
      <c r="AR236" s="1818"/>
      <c r="AS236" s="1818"/>
      <c r="AT236" s="1818"/>
      <c r="AU236" s="1818"/>
      <c r="AV236" s="1818"/>
      <c r="AW236" s="1818"/>
      <c r="AX236" s="1818"/>
      <c r="AY236" s="1818"/>
      <c r="AZ236" s="1818"/>
      <c r="BA236" s="1818"/>
      <c r="BB236" s="1818"/>
      <c r="BC236" s="1818"/>
      <c r="BD236" s="1818"/>
      <c r="BE236" s="1818"/>
      <c r="BF236" s="1818"/>
      <c r="BG236" s="1818"/>
      <c r="BH236" s="1818"/>
      <c r="BI236" s="1818"/>
      <c r="BJ236" s="1818"/>
      <c r="BK236" s="1818"/>
      <c r="BL236" s="1818"/>
      <c r="BM236" s="1818"/>
      <c r="BN236" s="1818"/>
      <c r="BO236" s="1818"/>
      <c r="BP236" s="1818"/>
      <c r="BQ236" s="1818"/>
      <c r="BR236" s="1818"/>
      <c r="BS236" s="1818"/>
      <c r="BT236" s="1818"/>
      <c r="BU236" s="1818"/>
      <c r="BV236" s="1818"/>
      <c r="BW236" s="1818"/>
      <c r="BX236" s="1818"/>
      <c r="BY236" s="1818"/>
      <c r="BZ236" s="1818"/>
      <c r="CA236" s="1890"/>
      <c r="CB236" s="1890"/>
      <c r="CC236" s="1890"/>
      <c r="CD236" s="1890"/>
      <c r="CE236" s="1890"/>
      <c r="CF236" s="1890"/>
      <c r="CG236" s="1890"/>
      <c r="CH236" s="1890"/>
      <c r="CI236" s="1890"/>
      <c r="CJ236" s="1890"/>
      <c r="CK236" s="1890"/>
      <c r="CL236" s="1890"/>
      <c r="CM236" s="1890"/>
      <c r="CN236" s="1890"/>
      <c r="CO236" s="1890"/>
      <c r="CP236" s="1890"/>
      <c r="CQ236" s="1890"/>
      <c r="CR236" s="1890"/>
      <c r="CS236" s="1890"/>
      <c r="CT236" s="1890"/>
      <c r="CU236" s="1890"/>
      <c r="CV236" s="1890"/>
      <c r="CW236" s="1890"/>
      <c r="CX236" s="1890"/>
      <c r="CY236" s="1890"/>
      <c r="CZ236" s="1890"/>
      <c r="DA236" s="1890"/>
      <c r="DB236" s="1890"/>
      <c r="DC236" s="1890"/>
      <c r="DD236" s="1890"/>
      <c r="DE236" s="1890"/>
      <c r="DF236" s="1890"/>
      <c r="DG236" s="1890"/>
      <c r="DH236" s="1890"/>
      <c r="DI236" s="1890"/>
      <c r="DJ236" s="1890"/>
      <c r="DK236" s="1890"/>
      <c r="DL236" s="1890"/>
      <c r="DM236" s="1890"/>
      <c r="DN236" s="1890"/>
      <c r="DO236" s="1890"/>
      <c r="DP236" s="1890"/>
      <c r="DQ236" s="1890"/>
      <c r="DR236" s="1890"/>
      <c r="DS236" s="1890"/>
      <c r="DT236" s="1890"/>
      <c r="DU236" s="1890"/>
      <c r="DV236" s="1890"/>
      <c r="DW236" s="1890"/>
      <c r="DX236" s="1890"/>
      <c r="DY236" s="1890"/>
      <c r="DZ236" s="1890"/>
      <c r="EA236" s="1890"/>
      <c r="EB236" s="1890"/>
      <c r="EC236" s="1890"/>
      <c r="ED236" s="1890"/>
      <c r="EE236" s="1890"/>
      <c r="EF236" s="1890"/>
      <c r="EG236" s="1890"/>
      <c r="EH236" s="1890"/>
      <c r="EI236" s="1890"/>
      <c r="EJ236" s="1890"/>
      <c r="EK236" s="1890"/>
      <c r="EL236" s="1890"/>
      <c r="EM236" s="1890"/>
      <c r="EN236" s="1890"/>
      <c r="EO236" s="1890"/>
      <c r="EP236" s="1890"/>
      <c r="EQ236" s="1890"/>
      <c r="ER236" s="1890"/>
      <c r="ES236" s="1890"/>
      <c r="ET236" s="1890"/>
      <c r="EU236" s="1890"/>
      <c r="EV236" s="1890"/>
      <c r="EW236" s="1890"/>
      <c r="EX236" s="1890"/>
      <c r="EY236" s="1890"/>
      <c r="EZ236" s="1890"/>
      <c r="FA236" s="1890"/>
      <c r="FB236" s="1890"/>
      <c r="FC236" s="1890"/>
      <c r="FD236" s="1890"/>
      <c r="FE236" s="1890"/>
      <c r="FF236" s="1890"/>
      <c r="FG236" s="1890"/>
      <c r="FH236" s="1890"/>
      <c r="FI236" s="1890"/>
      <c r="FJ236" s="1890"/>
      <c r="FK236" s="1890"/>
      <c r="FL236" s="1890"/>
      <c r="FM236" s="1890"/>
      <c r="FN236" s="1890"/>
      <c r="FO236" s="1890"/>
      <c r="FP236" s="1890"/>
      <c r="FQ236" s="1890"/>
      <c r="FR236" s="1890"/>
      <c r="FS236" s="1890"/>
      <c r="FT236" s="1890"/>
    </row>
    <row r="237" spans="1:176" s="1965" customFormat="1" ht="32.1" customHeight="1">
      <c r="A237" s="2499" t="s">
        <v>253</v>
      </c>
      <c r="B237" s="2084" t="s">
        <v>254</v>
      </c>
      <c r="C237" s="2093">
        <f t="shared" ref="C237:H237" si="65">AVERAGE(C238,C239,C247,C248,C267,C268,C275,C279,C282,C288)</f>
        <v>0.83134920634920628</v>
      </c>
      <c r="D237" s="2093">
        <f t="shared" si="65"/>
        <v>0.91071428571428581</v>
      </c>
      <c r="E237" s="2093">
        <f t="shared" si="65"/>
        <v>0.39468253968253969</v>
      </c>
      <c r="F237" s="2093">
        <f t="shared" si="65"/>
        <v>0.89682539682539686</v>
      </c>
      <c r="G237" s="2093">
        <f t="shared" si="65"/>
        <v>0.53309523809523818</v>
      </c>
      <c r="H237" s="2093">
        <f t="shared" si="65"/>
        <v>0.52420634920634923</v>
      </c>
      <c r="I237" s="2086"/>
      <c r="J237" s="2102"/>
      <c r="K237" s="2102"/>
      <c r="L237" s="2102"/>
      <c r="M237" s="2102"/>
      <c r="N237" s="2102"/>
      <c r="O237" s="2102"/>
      <c r="P237" s="2109"/>
      <c r="Q237" s="2109"/>
      <c r="R237" s="2110"/>
      <c r="S237" s="2102"/>
      <c r="T237" s="2102"/>
      <c r="U237" s="2102"/>
      <c r="V237" s="2102"/>
      <c r="W237" s="2102"/>
      <c r="X237" s="2102"/>
      <c r="Y237" s="1818"/>
      <c r="Z237" s="1818"/>
      <c r="AA237" s="1818"/>
      <c r="AB237" s="1818"/>
      <c r="AC237" s="1818"/>
      <c r="AD237" s="1818"/>
      <c r="AE237" s="1818"/>
      <c r="AF237" s="1818"/>
      <c r="AG237" s="1818"/>
      <c r="AH237" s="1818"/>
      <c r="AI237" s="1818"/>
      <c r="AJ237" s="1818"/>
      <c r="AK237" s="1818"/>
      <c r="AL237" s="1818"/>
      <c r="AM237" s="1818"/>
      <c r="AN237" s="1818"/>
      <c r="AO237" s="1818"/>
      <c r="AP237" s="1818"/>
      <c r="AQ237" s="1818"/>
      <c r="AR237" s="1818"/>
      <c r="AS237" s="1818"/>
      <c r="AT237" s="1818"/>
      <c r="AU237" s="1818"/>
      <c r="AV237" s="1818"/>
      <c r="AW237" s="1818"/>
      <c r="AX237" s="1818"/>
      <c r="AY237" s="1818"/>
      <c r="AZ237" s="1818"/>
      <c r="BA237" s="1818"/>
      <c r="BB237" s="1818"/>
      <c r="BC237" s="1818"/>
      <c r="BD237" s="1818"/>
      <c r="BE237" s="1818"/>
      <c r="BF237" s="1818"/>
      <c r="BG237" s="1818"/>
      <c r="BH237" s="1818"/>
      <c r="BI237" s="1818"/>
      <c r="BJ237" s="1818"/>
      <c r="BK237" s="1818"/>
      <c r="BL237" s="1818"/>
      <c r="BM237" s="1818"/>
      <c r="BN237" s="1818"/>
      <c r="BO237" s="1818"/>
      <c r="BP237" s="1818"/>
      <c r="BQ237" s="1818"/>
      <c r="BR237" s="1818"/>
      <c r="BS237" s="1818"/>
      <c r="BT237" s="1818"/>
      <c r="BU237" s="1818"/>
      <c r="BV237" s="1818"/>
      <c r="BW237" s="1818"/>
      <c r="BX237" s="1818"/>
      <c r="BY237" s="1818"/>
      <c r="BZ237" s="1818"/>
      <c r="CA237" s="1890"/>
      <c r="CB237" s="1890"/>
      <c r="CC237" s="1890"/>
      <c r="CD237" s="1890"/>
      <c r="CE237" s="1890"/>
      <c r="CF237" s="1890"/>
      <c r="CG237" s="1890"/>
      <c r="CH237" s="1890"/>
      <c r="CI237" s="1890"/>
      <c r="CJ237" s="1890"/>
      <c r="CK237" s="1890"/>
      <c r="CL237" s="1890"/>
      <c r="CM237" s="1890"/>
      <c r="CN237" s="1890"/>
      <c r="CO237" s="1890"/>
      <c r="CP237" s="1890"/>
      <c r="CQ237" s="1890"/>
      <c r="CR237" s="1890"/>
      <c r="CS237" s="1890"/>
      <c r="CT237" s="1890"/>
      <c r="CU237" s="1890"/>
      <c r="CV237" s="1890"/>
      <c r="CW237" s="1890"/>
      <c r="CX237" s="1890"/>
      <c r="CY237" s="1890"/>
      <c r="CZ237" s="1890"/>
      <c r="DA237" s="1890"/>
      <c r="DB237" s="1890"/>
      <c r="DC237" s="1890"/>
      <c r="DD237" s="1890"/>
      <c r="DE237" s="1890"/>
      <c r="DF237" s="1890"/>
      <c r="DG237" s="1890"/>
      <c r="DH237" s="1890"/>
      <c r="DI237" s="1890"/>
      <c r="DJ237" s="1890"/>
      <c r="DK237" s="1890"/>
      <c r="DL237" s="1890"/>
      <c r="DM237" s="1890"/>
      <c r="DN237" s="1890"/>
      <c r="DO237" s="1890"/>
      <c r="DP237" s="1890"/>
      <c r="DQ237" s="1890"/>
      <c r="DR237" s="1890"/>
      <c r="DS237" s="1890"/>
      <c r="DT237" s="1890"/>
      <c r="DU237" s="1890"/>
      <c r="DV237" s="1890"/>
      <c r="DW237" s="1890"/>
      <c r="DX237" s="1890"/>
      <c r="DY237" s="1890"/>
      <c r="DZ237" s="1890"/>
      <c r="EA237" s="1890"/>
      <c r="EB237" s="1890"/>
      <c r="EC237" s="1890"/>
      <c r="ED237" s="1890"/>
      <c r="EE237" s="1890"/>
      <c r="EF237" s="1890"/>
      <c r="EG237" s="1890"/>
      <c r="EH237" s="1890"/>
      <c r="EI237" s="1890"/>
      <c r="EJ237" s="1890"/>
      <c r="EK237" s="1890"/>
      <c r="EL237" s="1890"/>
      <c r="EM237" s="1890"/>
      <c r="EN237" s="1890"/>
      <c r="EO237" s="1890"/>
      <c r="EP237" s="1890"/>
      <c r="EQ237" s="1890"/>
      <c r="ER237" s="1890"/>
      <c r="ES237" s="1890"/>
      <c r="ET237" s="1890"/>
      <c r="EU237" s="1890"/>
      <c r="EV237" s="1890"/>
      <c r="EW237" s="1890"/>
      <c r="EX237" s="1890"/>
      <c r="EY237" s="1890"/>
      <c r="EZ237" s="1890"/>
      <c r="FA237" s="1890"/>
      <c r="FB237" s="1890"/>
      <c r="FC237" s="1890"/>
      <c r="FD237" s="1890"/>
      <c r="FE237" s="1890"/>
      <c r="FF237" s="1890"/>
      <c r="FG237" s="1890"/>
      <c r="FH237" s="1890"/>
      <c r="FI237" s="1890"/>
      <c r="FJ237" s="1890"/>
      <c r="FK237" s="1890"/>
      <c r="FL237" s="1890"/>
      <c r="FM237" s="1890"/>
      <c r="FN237" s="1890"/>
      <c r="FO237" s="1890"/>
      <c r="FP237" s="1890"/>
      <c r="FQ237" s="1890"/>
      <c r="FR237" s="1890"/>
      <c r="FS237" s="1890"/>
      <c r="FT237" s="1890"/>
    </row>
    <row r="238" spans="1:176" s="1965" customFormat="1" ht="51" customHeight="1">
      <c r="A238" s="2501"/>
      <c r="B238" s="1820" t="s">
        <v>255</v>
      </c>
      <c r="C238" s="1864">
        <v>1</v>
      </c>
      <c r="D238" s="1864">
        <v>1</v>
      </c>
      <c r="E238" s="1864">
        <v>0</v>
      </c>
      <c r="F238" s="1864">
        <v>1</v>
      </c>
      <c r="G238" s="1864">
        <v>0</v>
      </c>
      <c r="H238" s="1864">
        <v>0</v>
      </c>
      <c r="I238" s="2086" t="s">
        <v>38</v>
      </c>
      <c r="J238" s="2217">
        <v>1</v>
      </c>
      <c r="K238" s="1917" t="s">
        <v>1134</v>
      </c>
      <c r="L238" s="1794">
        <v>0</v>
      </c>
      <c r="M238" s="1917">
        <v>1</v>
      </c>
      <c r="N238" s="1917" t="s">
        <v>748</v>
      </c>
      <c r="O238" s="1917" t="s">
        <v>8744</v>
      </c>
      <c r="P238" s="1975">
        <v>1</v>
      </c>
      <c r="Q238" s="1975">
        <v>0</v>
      </c>
      <c r="R238" s="2121"/>
      <c r="S238" s="2248" t="s">
        <v>8156</v>
      </c>
      <c r="T238" s="1794" t="s">
        <v>7544</v>
      </c>
      <c r="U238" s="1794" t="s">
        <v>7265</v>
      </c>
      <c r="V238" s="1794" t="s">
        <v>7904</v>
      </c>
      <c r="W238" s="1794"/>
      <c r="X238" s="1917" t="s">
        <v>8744</v>
      </c>
      <c r="Y238" s="1818"/>
      <c r="Z238" s="1818"/>
      <c r="AA238" s="1818"/>
      <c r="AB238" s="1818"/>
      <c r="AC238" s="1818"/>
      <c r="AD238" s="1818"/>
      <c r="AE238" s="1818"/>
      <c r="AF238" s="1818"/>
      <c r="AG238" s="1818"/>
      <c r="AH238" s="1818"/>
      <c r="AI238" s="1818"/>
      <c r="AJ238" s="1818"/>
      <c r="AK238" s="1818"/>
      <c r="AL238" s="1818"/>
      <c r="AM238" s="1818"/>
      <c r="AN238" s="1818"/>
      <c r="AO238" s="1818"/>
      <c r="AP238" s="1818"/>
      <c r="AQ238" s="1818"/>
      <c r="AR238" s="1818"/>
      <c r="AS238" s="1818"/>
      <c r="AT238" s="1818"/>
      <c r="AU238" s="1818"/>
      <c r="AV238" s="1818"/>
      <c r="AW238" s="1818"/>
      <c r="AX238" s="1818"/>
      <c r="AY238" s="1818"/>
      <c r="AZ238" s="1818"/>
      <c r="BA238" s="1818"/>
      <c r="BB238" s="1818"/>
      <c r="BC238" s="1818"/>
      <c r="BD238" s="1818"/>
      <c r="BE238" s="1818"/>
      <c r="BF238" s="1818"/>
      <c r="BG238" s="1818"/>
      <c r="BH238" s="1818"/>
      <c r="BI238" s="1818"/>
      <c r="BJ238" s="1818"/>
      <c r="BK238" s="1818"/>
      <c r="BL238" s="1818"/>
      <c r="BM238" s="1818"/>
      <c r="BN238" s="1818"/>
      <c r="BO238" s="1818"/>
      <c r="BP238" s="1818"/>
      <c r="BQ238" s="1818"/>
      <c r="BR238" s="1818"/>
      <c r="BS238" s="1818"/>
      <c r="BT238" s="1818"/>
      <c r="BU238" s="1818"/>
      <c r="BV238" s="1818"/>
      <c r="BW238" s="1818"/>
      <c r="BX238" s="1818"/>
      <c r="BY238" s="1818"/>
      <c r="BZ238" s="1818"/>
      <c r="CA238" s="1890"/>
      <c r="CB238" s="1890"/>
      <c r="CC238" s="1890"/>
      <c r="CD238" s="1890"/>
      <c r="CE238" s="1890"/>
      <c r="CF238" s="1890"/>
      <c r="CG238" s="1890"/>
      <c r="CH238" s="1890"/>
      <c r="CI238" s="1890"/>
      <c r="CJ238" s="1890"/>
      <c r="CK238" s="1890"/>
      <c r="CL238" s="1890"/>
      <c r="CM238" s="1890"/>
      <c r="CN238" s="1890"/>
      <c r="CO238" s="1890"/>
      <c r="CP238" s="1890"/>
      <c r="CQ238" s="1890"/>
      <c r="CR238" s="1890"/>
      <c r="CS238" s="1890"/>
      <c r="CT238" s="1890"/>
      <c r="CU238" s="1890"/>
      <c r="CV238" s="1890"/>
      <c r="CW238" s="1890"/>
      <c r="CX238" s="1890"/>
      <c r="CY238" s="1890"/>
      <c r="CZ238" s="1890"/>
      <c r="DA238" s="1890"/>
      <c r="DB238" s="1890"/>
      <c r="DC238" s="1890"/>
      <c r="DD238" s="1890"/>
      <c r="DE238" s="1890"/>
      <c r="DF238" s="1890"/>
      <c r="DG238" s="1890"/>
      <c r="DH238" s="1890"/>
      <c r="DI238" s="1890"/>
      <c r="DJ238" s="1890"/>
      <c r="DK238" s="1890"/>
      <c r="DL238" s="1890"/>
      <c r="DM238" s="1890"/>
      <c r="DN238" s="1890"/>
      <c r="DO238" s="1890"/>
      <c r="DP238" s="1890"/>
      <c r="DQ238" s="1890"/>
      <c r="DR238" s="1890"/>
      <c r="DS238" s="1890"/>
      <c r="DT238" s="1890"/>
      <c r="DU238" s="1890"/>
      <c r="DV238" s="1890"/>
      <c r="DW238" s="1890"/>
      <c r="DX238" s="1890"/>
      <c r="DY238" s="1890"/>
      <c r="DZ238" s="1890"/>
      <c r="EA238" s="1890"/>
      <c r="EB238" s="1890"/>
      <c r="EC238" s="1890"/>
      <c r="ED238" s="1890"/>
      <c r="EE238" s="1890"/>
      <c r="EF238" s="1890"/>
      <c r="EG238" s="1890"/>
      <c r="EH238" s="1890"/>
      <c r="EI238" s="1890"/>
      <c r="EJ238" s="1890"/>
      <c r="EK238" s="1890"/>
      <c r="EL238" s="1890"/>
      <c r="EM238" s="1890"/>
      <c r="EN238" s="1890"/>
      <c r="EO238" s="1890"/>
      <c r="EP238" s="1890"/>
      <c r="EQ238" s="1890"/>
      <c r="ER238" s="1890"/>
      <c r="ES238" s="1890"/>
      <c r="ET238" s="1890"/>
      <c r="EU238" s="1890"/>
      <c r="EV238" s="1890"/>
      <c r="EW238" s="1890"/>
      <c r="EX238" s="1890"/>
      <c r="EY238" s="1890"/>
      <c r="EZ238" s="1890"/>
      <c r="FA238" s="1890"/>
      <c r="FB238" s="1890"/>
      <c r="FC238" s="1890"/>
      <c r="FD238" s="1890"/>
      <c r="FE238" s="1890"/>
      <c r="FF238" s="1890"/>
      <c r="FG238" s="1890"/>
      <c r="FH238" s="1890"/>
      <c r="FI238" s="1890"/>
      <c r="FJ238" s="1890"/>
      <c r="FK238" s="1890"/>
      <c r="FL238" s="1890"/>
      <c r="FM238" s="1890"/>
      <c r="FN238" s="1890"/>
      <c r="FO238" s="1890"/>
      <c r="FP238" s="1890"/>
      <c r="FQ238" s="1890"/>
      <c r="FR238" s="1890"/>
      <c r="FS238" s="1890"/>
      <c r="FT238" s="1890"/>
    </row>
    <row r="239" spans="1:176" s="1965" customFormat="1" ht="39.950000000000003" customHeight="1">
      <c r="A239" s="2500"/>
      <c r="B239" s="2059" t="s">
        <v>256</v>
      </c>
      <c r="C239" s="2158">
        <f>AVERAGE(C240:C246)</f>
        <v>0.7857142857142857</v>
      </c>
      <c r="D239" s="2158">
        <f>AVERAGE(D240:D246)</f>
        <v>0.8571428571428571</v>
      </c>
      <c r="E239" s="2158">
        <f t="shared" ref="E239:H239" si="66">AVERAGE(E240:E246)</f>
        <v>0.7857142857142857</v>
      </c>
      <c r="F239" s="2158">
        <f>AVERAGE(F240:F246)</f>
        <v>0.8571428571428571</v>
      </c>
      <c r="G239" s="2158">
        <f t="shared" si="66"/>
        <v>0.7142857142857143</v>
      </c>
      <c r="H239" s="2158">
        <f t="shared" si="66"/>
        <v>0.7142857142857143</v>
      </c>
      <c r="I239" s="2086"/>
      <c r="J239" s="1910"/>
      <c r="K239" s="1912"/>
      <c r="L239" s="1911"/>
      <c r="M239" s="1912"/>
      <c r="N239" s="1912"/>
      <c r="O239" s="1912"/>
      <c r="P239" s="1976"/>
      <c r="Q239" s="1976"/>
      <c r="R239" s="2121"/>
      <c r="S239" s="2250"/>
      <c r="T239" s="1911"/>
      <c r="U239" s="1911"/>
      <c r="V239" s="1911"/>
      <c r="W239" s="1911"/>
      <c r="X239" s="1912"/>
      <c r="Y239" s="1818"/>
      <c r="Z239" s="1818"/>
      <c r="AA239" s="1818"/>
      <c r="AB239" s="1818"/>
      <c r="AC239" s="1818"/>
      <c r="AD239" s="1818"/>
      <c r="AE239" s="1818"/>
      <c r="AF239" s="1818"/>
      <c r="AG239" s="1818"/>
      <c r="AH239" s="1818"/>
      <c r="AI239" s="1818"/>
      <c r="AJ239" s="1818"/>
      <c r="AK239" s="1818"/>
      <c r="AL239" s="1818"/>
      <c r="AM239" s="1818"/>
      <c r="AN239" s="1818"/>
      <c r="AO239" s="1818"/>
      <c r="AP239" s="1818"/>
      <c r="AQ239" s="1818"/>
      <c r="AR239" s="1818"/>
      <c r="AS239" s="1818"/>
      <c r="AT239" s="1818"/>
      <c r="AU239" s="1818"/>
      <c r="AV239" s="1818"/>
      <c r="AW239" s="1818"/>
      <c r="AX239" s="1818"/>
      <c r="AY239" s="1818"/>
      <c r="AZ239" s="1818"/>
      <c r="BA239" s="1818"/>
      <c r="BB239" s="1818"/>
      <c r="BC239" s="1818"/>
      <c r="BD239" s="1818"/>
      <c r="BE239" s="1818"/>
      <c r="BF239" s="1818"/>
      <c r="BG239" s="1818"/>
      <c r="BH239" s="1818"/>
      <c r="BI239" s="1818"/>
      <c r="BJ239" s="1818"/>
      <c r="BK239" s="1818"/>
      <c r="BL239" s="1818"/>
      <c r="BM239" s="1818"/>
      <c r="BN239" s="1818"/>
      <c r="BO239" s="1818"/>
      <c r="BP239" s="1818"/>
      <c r="BQ239" s="1818"/>
      <c r="BR239" s="1818"/>
      <c r="BS239" s="1818"/>
      <c r="BT239" s="1818"/>
      <c r="BU239" s="1818"/>
      <c r="BV239" s="1818"/>
      <c r="BW239" s="1818"/>
      <c r="BX239" s="1818"/>
      <c r="BY239" s="1818"/>
      <c r="BZ239" s="1818"/>
      <c r="CA239" s="1890"/>
      <c r="CB239" s="1890"/>
      <c r="CC239" s="1890"/>
      <c r="CD239" s="1890"/>
      <c r="CE239" s="1890"/>
      <c r="CF239" s="1890"/>
      <c r="CG239" s="1890"/>
      <c r="CH239" s="1890"/>
      <c r="CI239" s="1890"/>
      <c r="CJ239" s="1890"/>
      <c r="CK239" s="1890"/>
      <c r="CL239" s="1890"/>
      <c r="CM239" s="1890"/>
      <c r="CN239" s="1890"/>
      <c r="CO239" s="1890"/>
      <c r="CP239" s="1890"/>
      <c r="CQ239" s="1890"/>
      <c r="CR239" s="1890"/>
      <c r="CS239" s="1890"/>
      <c r="CT239" s="1890"/>
      <c r="CU239" s="1890"/>
      <c r="CV239" s="1890"/>
      <c r="CW239" s="1890"/>
      <c r="CX239" s="1890"/>
      <c r="CY239" s="1890"/>
      <c r="CZ239" s="1890"/>
      <c r="DA239" s="1890"/>
      <c r="DB239" s="1890"/>
      <c r="DC239" s="1890"/>
      <c r="DD239" s="1890"/>
      <c r="DE239" s="1890"/>
      <c r="DF239" s="1890"/>
      <c r="DG239" s="1890"/>
      <c r="DH239" s="1890"/>
      <c r="DI239" s="1890"/>
      <c r="DJ239" s="1890"/>
      <c r="DK239" s="1890"/>
      <c r="DL239" s="1890"/>
      <c r="DM239" s="1890"/>
      <c r="DN239" s="1890"/>
      <c r="DO239" s="1890"/>
      <c r="DP239" s="1890"/>
      <c r="DQ239" s="1890"/>
      <c r="DR239" s="1890"/>
      <c r="DS239" s="1890"/>
      <c r="DT239" s="1890"/>
      <c r="DU239" s="1890"/>
      <c r="DV239" s="1890"/>
      <c r="DW239" s="1890"/>
      <c r="DX239" s="1890"/>
      <c r="DY239" s="1890"/>
      <c r="DZ239" s="1890"/>
      <c r="EA239" s="1890"/>
      <c r="EB239" s="1890"/>
      <c r="EC239" s="1890"/>
      <c r="ED239" s="1890"/>
      <c r="EE239" s="1890"/>
      <c r="EF239" s="1890"/>
      <c r="EG239" s="1890"/>
      <c r="EH239" s="1890"/>
      <c r="EI239" s="1890"/>
      <c r="EJ239" s="1890"/>
      <c r="EK239" s="1890"/>
      <c r="EL239" s="1890"/>
      <c r="EM239" s="1890"/>
      <c r="EN239" s="1890"/>
      <c r="EO239" s="1890"/>
      <c r="EP239" s="1890"/>
      <c r="EQ239" s="1890"/>
      <c r="ER239" s="1890"/>
      <c r="ES239" s="1890"/>
      <c r="ET239" s="1890"/>
      <c r="EU239" s="1890"/>
      <c r="EV239" s="1890"/>
      <c r="EW239" s="1890"/>
      <c r="EX239" s="1890"/>
      <c r="EY239" s="1890"/>
      <c r="EZ239" s="1890"/>
      <c r="FA239" s="1890"/>
      <c r="FB239" s="1890"/>
      <c r="FC239" s="1890"/>
      <c r="FD239" s="1890"/>
      <c r="FE239" s="1890"/>
      <c r="FF239" s="1890"/>
      <c r="FG239" s="1890"/>
      <c r="FH239" s="1890"/>
      <c r="FI239" s="1890"/>
      <c r="FJ239" s="1890"/>
      <c r="FK239" s="1890"/>
      <c r="FL239" s="1890"/>
      <c r="FM239" s="1890"/>
      <c r="FN239" s="1890"/>
      <c r="FO239" s="1890"/>
      <c r="FP239" s="1890"/>
      <c r="FQ239" s="1890"/>
      <c r="FR239" s="1890"/>
      <c r="FS239" s="1890"/>
      <c r="FT239" s="1890"/>
    </row>
    <row r="240" spans="1:176" s="1965" customFormat="1" ht="32.1" customHeight="1">
      <c r="A240" s="2501"/>
      <c r="B240" s="1805" t="s">
        <v>257</v>
      </c>
      <c r="C240" s="1837">
        <v>1</v>
      </c>
      <c r="D240" s="1829">
        <v>1</v>
      </c>
      <c r="E240" s="1829">
        <v>1</v>
      </c>
      <c r="F240" s="1837">
        <v>1</v>
      </c>
      <c r="G240" s="1829">
        <v>1</v>
      </c>
      <c r="H240" s="1850">
        <v>1</v>
      </c>
      <c r="I240" s="2086" t="s">
        <v>258</v>
      </c>
      <c r="J240" s="2217">
        <v>1</v>
      </c>
      <c r="K240" s="1917" t="s">
        <v>811</v>
      </c>
      <c r="L240" s="1794">
        <v>1</v>
      </c>
      <c r="M240" s="1927">
        <v>1</v>
      </c>
      <c r="N240" s="1917" t="s">
        <v>811</v>
      </c>
      <c r="O240" s="1917" t="s">
        <v>811</v>
      </c>
      <c r="P240" s="1975">
        <v>1</v>
      </c>
      <c r="Q240" s="1975">
        <v>0</v>
      </c>
      <c r="R240" s="2121"/>
      <c r="S240" s="2248" t="s">
        <v>8157</v>
      </c>
      <c r="T240" s="1794" t="s">
        <v>7545</v>
      </c>
      <c r="U240" s="1794" t="s">
        <v>7266</v>
      </c>
      <c r="V240" s="1802" t="s">
        <v>977</v>
      </c>
      <c r="W240" s="1794"/>
      <c r="X240" s="1917" t="s">
        <v>811</v>
      </c>
      <c r="Y240" s="1818"/>
      <c r="Z240" s="1818"/>
      <c r="AA240" s="1818"/>
      <c r="AB240" s="1818"/>
      <c r="AC240" s="1818"/>
      <c r="AD240" s="1818"/>
      <c r="AE240" s="1818"/>
      <c r="AF240" s="1818"/>
      <c r="AG240" s="1818"/>
      <c r="AH240" s="1818"/>
      <c r="AI240" s="1818"/>
      <c r="AJ240" s="1818"/>
      <c r="AK240" s="1818"/>
      <c r="AL240" s="1818"/>
      <c r="AM240" s="1818"/>
      <c r="AN240" s="1818"/>
      <c r="AO240" s="1818"/>
      <c r="AP240" s="1818"/>
      <c r="AQ240" s="1818"/>
      <c r="AR240" s="1818"/>
      <c r="AS240" s="1818"/>
      <c r="AT240" s="1818"/>
      <c r="AU240" s="1818"/>
      <c r="AV240" s="1818"/>
      <c r="AW240" s="1818"/>
      <c r="AX240" s="1818"/>
      <c r="AY240" s="1818"/>
      <c r="AZ240" s="1818"/>
      <c r="BA240" s="1818"/>
      <c r="BB240" s="1818"/>
      <c r="BC240" s="1818"/>
      <c r="BD240" s="1818"/>
      <c r="BE240" s="1818"/>
      <c r="BF240" s="1818"/>
      <c r="BG240" s="1818"/>
      <c r="BH240" s="1818"/>
      <c r="BI240" s="1818"/>
      <c r="BJ240" s="1818"/>
      <c r="BK240" s="1818"/>
      <c r="BL240" s="1818"/>
      <c r="BM240" s="1818"/>
      <c r="BN240" s="1818"/>
      <c r="BO240" s="1818"/>
      <c r="BP240" s="1818"/>
      <c r="BQ240" s="1818"/>
      <c r="BR240" s="1818"/>
      <c r="BS240" s="1818"/>
      <c r="BT240" s="1818"/>
      <c r="BU240" s="1818"/>
      <c r="BV240" s="1818"/>
      <c r="BW240" s="1818"/>
      <c r="BX240" s="1818"/>
      <c r="BY240" s="1818"/>
      <c r="BZ240" s="1818"/>
      <c r="CA240" s="1890"/>
      <c r="CB240" s="1890"/>
      <c r="CC240" s="1890"/>
      <c r="CD240" s="1890"/>
      <c r="CE240" s="1890"/>
      <c r="CF240" s="1890"/>
      <c r="CG240" s="1890"/>
      <c r="CH240" s="1890"/>
      <c r="CI240" s="1890"/>
      <c r="CJ240" s="1890"/>
      <c r="CK240" s="1890"/>
      <c r="CL240" s="1890"/>
      <c r="CM240" s="1890"/>
      <c r="CN240" s="1890"/>
      <c r="CO240" s="1890"/>
      <c r="CP240" s="1890"/>
      <c r="CQ240" s="1890"/>
      <c r="CR240" s="1890"/>
      <c r="CS240" s="1890"/>
      <c r="CT240" s="1890"/>
      <c r="CU240" s="1890"/>
      <c r="CV240" s="1890"/>
      <c r="CW240" s="1890"/>
      <c r="CX240" s="1890"/>
      <c r="CY240" s="1890"/>
      <c r="CZ240" s="1890"/>
      <c r="DA240" s="1890"/>
      <c r="DB240" s="1890"/>
      <c r="DC240" s="1890"/>
      <c r="DD240" s="1890"/>
      <c r="DE240" s="1890"/>
      <c r="DF240" s="1890"/>
      <c r="DG240" s="1890"/>
      <c r="DH240" s="1890"/>
      <c r="DI240" s="1890"/>
      <c r="DJ240" s="1890"/>
      <c r="DK240" s="1890"/>
      <c r="DL240" s="1890"/>
      <c r="DM240" s="1890"/>
      <c r="DN240" s="1890"/>
      <c r="DO240" s="1890"/>
      <c r="DP240" s="1890"/>
      <c r="DQ240" s="1890"/>
      <c r="DR240" s="1890"/>
      <c r="DS240" s="1890"/>
      <c r="DT240" s="1890"/>
      <c r="DU240" s="1890"/>
      <c r="DV240" s="1890"/>
      <c r="DW240" s="1890"/>
      <c r="DX240" s="1890"/>
      <c r="DY240" s="1890"/>
      <c r="DZ240" s="1890"/>
      <c r="EA240" s="1890"/>
      <c r="EB240" s="1890"/>
      <c r="EC240" s="1890"/>
      <c r="ED240" s="1890"/>
      <c r="EE240" s="1890"/>
      <c r="EF240" s="1890"/>
      <c r="EG240" s="1890"/>
      <c r="EH240" s="1890"/>
      <c r="EI240" s="1890"/>
      <c r="EJ240" s="1890"/>
      <c r="EK240" s="1890"/>
      <c r="EL240" s="1890"/>
      <c r="EM240" s="1890"/>
      <c r="EN240" s="1890"/>
      <c r="EO240" s="1890"/>
      <c r="EP240" s="1890"/>
      <c r="EQ240" s="1890"/>
      <c r="ER240" s="1890"/>
      <c r="ES240" s="1890"/>
      <c r="ET240" s="1890"/>
      <c r="EU240" s="1890"/>
      <c r="EV240" s="1890"/>
      <c r="EW240" s="1890"/>
      <c r="EX240" s="1890"/>
      <c r="EY240" s="1890"/>
      <c r="EZ240" s="1890"/>
      <c r="FA240" s="1890"/>
      <c r="FB240" s="1890"/>
      <c r="FC240" s="1890"/>
      <c r="FD240" s="1890"/>
      <c r="FE240" s="1890"/>
      <c r="FF240" s="1890"/>
      <c r="FG240" s="1890"/>
      <c r="FH240" s="1890"/>
      <c r="FI240" s="1890"/>
      <c r="FJ240" s="1890"/>
      <c r="FK240" s="1890"/>
      <c r="FL240" s="1890"/>
      <c r="FM240" s="1890"/>
      <c r="FN240" s="1890"/>
      <c r="FO240" s="1890"/>
      <c r="FP240" s="1890"/>
      <c r="FQ240" s="1890"/>
      <c r="FR240" s="1890"/>
      <c r="FS240" s="1890"/>
      <c r="FT240" s="1890"/>
    </row>
    <row r="241" spans="1:176" s="1965" customFormat="1" ht="99" customHeight="1">
      <c r="A241" s="1899"/>
      <c r="B241" s="1805" t="s">
        <v>259</v>
      </c>
      <c r="C241" s="1837">
        <v>1</v>
      </c>
      <c r="D241" s="1829">
        <v>0.5</v>
      </c>
      <c r="E241" s="1829">
        <v>1</v>
      </c>
      <c r="F241" s="1837">
        <v>1</v>
      </c>
      <c r="G241" s="1829">
        <v>1</v>
      </c>
      <c r="H241" s="1850">
        <v>1</v>
      </c>
      <c r="I241" s="2086" t="s">
        <v>123</v>
      </c>
      <c r="J241" s="2217">
        <v>1</v>
      </c>
      <c r="K241" s="1917" t="s">
        <v>5427</v>
      </c>
      <c r="L241" s="1794">
        <v>1</v>
      </c>
      <c r="M241" s="1927">
        <v>1</v>
      </c>
      <c r="N241" s="1917" t="s">
        <v>811</v>
      </c>
      <c r="O241" s="1917" t="s">
        <v>8745</v>
      </c>
      <c r="P241" s="1975">
        <v>1</v>
      </c>
      <c r="Q241" s="1975">
        <v>0</v>
      </c>
      <c r="R241" s="2121"/>
      <c r="S241" s="2248" t="s">
        <v>9157</v>
      </c>
      <c r="T241" s="1794" t="s">
        <v>7546</v>
      </c>
      <c r="U241" s="1794" t="s">
        <v>7267</v>
      </c>
      <c r="V241" s="1802" t="s">
        <v>980</v>
      </c>
      <c r="W241" s="1794"/>
      <c r="X241" s="1917" t="s">
        <v>8745</v>
      </c>
      <c r="Y241" s="1818"/>
      <c r="Z241" s="1818"/>
      <c r="AA241" s="1818"/>
      <c r="AB241" s="1818"/>
      <c r="AC241" s="1818"/>
      <c r="AD241" s="1818"/>
      <c r="AE241" s="1818"/>
      <c r="AF241" s="1818"/>
      <c r="AG241" s="1818"/>
      <c r="AH241" s="1818"/>
      <c r="AI241" s="1818"/>
      <c r="AJ241" s="1818"/>
      <c r="AK241" s="1818"/>
      <c r="AL241" s="1818"/>
      <c r="AM241" s="1818"/>
      <c r="AN241" s="1818"/>
      <c r="AO241" s="1818"/>
      <c r="AP241" s="1818"/>
      <c r="AQ241" s="1818"/>
      <c r="AR241" s="1818"/>
      <c r="AS241" s="1818"/>
      <c r="AT241" s="1818"/>
      <c r="AU241" s="1818"/>
      <c r="AV241" s="1818"/>
      <c r="AW241" s="1818"/>
      <c r="AX241" s="1818"/>
      <c r="AY241" s="1818"/>
      <c r="AZ241" s="1818"/>
      <c r="BA241" s="1818"/>
      <c r="BB241" s="1818"/>
      <c r="BC241" s="1818"/>
      <c r="BD241" s="1818"/>
      <c r="BE241" s="1818"/>
      <c r="BF241" s="1818"/>
      <c r="BG241" s="1818"/>
      <c r="BH241" s="1818"/>
      <c r="BI241" s="1818"/>
      <c r="BJ241" s="1818"/>
      <c r="BK241" s="1818"/>
      <c r="BL241" s="1818"/>
      <c r="BM241" s="1818"/>
      <c r="BN241" s="1818"/>
      <c r="BO241" s="1818"/>
      <c r="BP241" s="1818"/>
      <c r="BQ241" s="1818"/>
      <c r="BR241" s="1818"/>
      <c r="BS241" s="1818"/>
      <c r="BT241" s="1818"/>
      <c r="BU241" s="1818"/>
      <c r="BV241" s="1818"/>
      <c r="BW241" s="1818"/>
      <c r="BX241" s="1818"/>
      <c r="BY241" s="1818"/>
      <c r="BZ241" s="1818"/>
      <c r="CA241" s="1890"/>
      <c r="CB241" s="1890"/>
      <c r="CC241" s="1890"/>
      <c r="CD241" s="1890"/>
      <c r="CE241" s="1890"/>
      <c r="CF241" s="1890"/>
      <c r="CG241" s="1890"/>
      <c r="CH241" s="1890"/>
      <c r="CI241" s="1890"/>
      <c r="CJ241" s="1890"/>
      <c r="CK241" s="1890"/>
      <c r="CL241" s="1890"/>
      <c r="CM241" s="1890"/>
      <c r="CN241" s="1890"/>
      <c r="CO241" s="1890"/>
      <c r="CP241" s="1890"/>
      <c r="CQ241" s="1890"/>
      <c r="CR241" s="1890"/>
      <c r="CS241" s="1890"/>
      <c r="CT241" s="1890"/>
      <c r="CU241" s="1890"/>
      <c r="CV241" s="1890"/>
      <c r="CW241" s="1890"/>
      <c r="CX241" s="1890"/>
      <c r="CY241" s="1890"/>
      <c r="CZ241" s="1890"/>
      <c r="DA241" s="1890"/>
      <c r="DB241" s="1890"/>
      <c r="DC241" s="1890"/>
      <c r="DD241" s="1890"/>
      <c r="DE241" s="1890"/>
      <c r="DF241" s="1890"/>
      <c r="DG241" s="1890"/>
      <c r="DH241" s="1890"/>
      <c r="DI241" s="1890"/>
      <c r="DJ241" s="1890"/>
      <c r="DK241" s="1890"/>
      <c r="DL241" s="1890"/>
      <c r="DM241" s="1890"/>
      <c r="DN241" s="1890"/>
      <c r="DO241" s="1890"/>
      <c r="DP241" s="1890"/>
      <c r="DQ241" s="1890"/>
      <c r="DR241" s="1890"/>
      <c r="DS241" s="1890"/>
      <c r="DT241" s="1890"/>
      <c r="DU241" s="1890"/>
      <c r="DV241" s="1890"/>
      <c r="DW241" s="1890"/>
      <c r="DX241" s="1890"/>
      <c r="DY241" s="1890"/>
      <c r="DZ241" s="1890"/>
      <c r="EA241" s="1890"/>
      <c r="EB241" s="1890"/>
      <c r="EC241" s="1890"/>
      <c r="ED241" s="1890"/>
      <c r="EE241" s="1890"/>
      <c r="EF241" s="1890"/>
      <c r="EG241" s="1890"/>
      <c r="EH241" s="1890"/>
      <c r="EI241" s="1890"/>
      <c r="EJ241" s="1890"/>
      <c r="EK241" s="1890"/>
      <c r="EL241" s="1890"/>
      <c r="EM241" s="1890"/>
      <c r="EN241" s="1890"/>
      <c r="EO241" s="1890"/>
      <c r="EP241" s="1890"/>
      <c r="EQ241" s="1890"/>
      <c r="ER241" s="1890"/>
      <c r="ES241" s="1890"/>
      <c r="ET241" s="1890"/>
      <c r="EU241" s="1890"/>
      <c r="EV241" s="1890"/>
      <c r="EW241" s="1890"/>
      <c r="EX241" s="1890"/>
      <c r="EY241" s="1890"/>
      <c r="EZ241" s="1890"/>
      <c r="FA241" s="1890"/>
      <c r="FB241" s="1890"/>
      <c r="FC241" s="1890"/>
      <c r="FD241" s="1890"/>
      <c r="FE241" s="1890"/>
      <c r="FF241" s="1890"/>
      <c r="FG241" s="1890"/>
      <c r="FH241" s="1890"/>
      <c r="FI241" s="1890"/>
      <c r="FJ241" s="1890"/>
      <c r="FK241" s="1890"/>
      <c r="FL241" s="1890"/>
      <c r="FM241" s="1890"/>
      <c r="FN241" s="1890"/>
      <c r="FO241" s="1890"/>
      <c r="FP241" s="1890"/>
      <c r="FQ241" s="1890"/>
      <c r="FR241" s="1890"/>
      <c r="FS241" s="1890"/>
      <c r="FT241" s="1890"/>
    </row>
    <row r="242" spans="1:176" s="1965" customFormat="1" ht="108" customHeight="1">
      <c r="A242" s="1899"/>
      <c r="B242" s="1805" t="s">
        <v>260</v>
      </c>
      <c r="C242" s="1837">
        <v>0.5</v>
      </c>
      <c r="D242" s="1829">
        <v>0.5</v>
      </c>
      <c r="E242" s="1829">
        <v>0.5</v>
      </c>
      <c r="F242" s="1837">
        <v>0.5</v>
      </c>
      <c r="G242" s="1829">
        <v>0</v>
      </c>
      <c r="H242" s="1850">
        <v>0</v>
      </c>
      <c r="I242" s="2086" t="s">
        <v>123</v>
      </c>
      <c r="J242" s="2217">
        <v>0</v>
      </c>
      <c r="K242" s="1917" t="s">
        <v>748</v>
      </c>
      <c r="L242" s="1794">
        <v>0.5</v>
      </c>
      <c r="M242" s="1802">
        <v>0.5</v>
      </c>
      <c r="N242" s="1941" t="s">
        <v>748</v>
      </c>
      <c r="O242" s="1941" t="s">
        <v>8746</v>
      </c>
      <c r="P242" s="1975">
        <v>1</v>
      </c>
      <c r="Q242" s="1975">
        <v>0</v>
      </c>
      <c r="R242" s="2121"/>
      <c r="S242" s="2255" t="s">
        <v>9158</v>
      </c>
      <c r="T242" s="1794" t="s">
        <v>7547</v>
      </c>
      <c r="U242" s="1794" t="s">
        <v>7268</v>
      </c>
      <c r="V242" s="1802" t="s">
        <v>7905</v>
      </c>
      <c r="W242" s="1949"/>
      <c r="X242" s="1941" t="s">
        <v>8746</v>
      </c>
      <c r="Y242" s="1818"/>
      <c r="Z242" s="1818"/>
      <c r="AA242" s="1818"/>
      <c r="AB242" s="1818"/>
      <c r="AC242" s="1818"/>
      <c r="AD242" s="1818"/>
      <c r="AE242" s="1818"/>
      <c r="AF242" s="1818"/>
      <c r="AG242" s="1818"/>
      <c r="AH242" s="1818"/>
      <c r="AI242" s="1818"/>
      <c r="AJ242" s="1818"/>
      <c r="AK242" s="1818"/>
      <c r="AL242" s="1818"/>
      <c r="AM242" s="1818"/>
      <c r="AN242" s="1818"/>
      <c r="AO242" s="1818"/>
      <c r="AP242" s="1818"/>
      <c r="AQ242" s="1818"/>
      <c r="AR242" s="1818"/>
      <c r="AS242" s="1818"/>
      <c r="AT242" s="1818"/>
      <c r="AU242" s="1818"/>
      <c r="AV242" s="1818"/>
      <c r="AW242" s="1818"/>
      <c r="AX242" s="1818"/>
      <c r="AY242" s="1818"/>
      <c r="AZ242" s="1818"/>
      <c r="BA242" s="1818"/>
      <c r="BB242" s="1818"/>
      <c r="BC242" s="1818"/>
      <c r="BD242" s="1818"/>
      <c r="BE242" s="1818"/>
      <c r="BF242" s="1818"/>
      <c r="BG242" s="1818"/>
      <c r="BH242" s="1818"/>
      <c r="BI242" s="1818"/>
      <c r="BJ242" s="1818"/>
      <c r="BK242" s="1818"/>
      <c r="BL242" s="1818"/>
      <c r="BM242" s="1818"/>
      <c r="BN242" s="1818"/>
      <c r="BO242" s="1818"/>
      <c r="BP242" s="1818"/>
      <c r="BQ242" s="1818"/>
      <c r="BR242" s="1818"/>
      <c r="BS242" s="1818"/>
      <c r="BT242" s="1818"/>
      <c r="BU242" s="1818"/>
      <c r="BV242" s="1818"/>
      <c r="BW242" s="1818"/>
      <c r="BX242" s="1818"/>
      <c r="BY242" s="1818"/>
      <c r="BZ242" s="1818"/>
      <c r="CA242" s="1890"/>
      <c r="CB242" s="1890"/>
      <c r="CC242" s="1890"/>
      <c r="CD242" s="1890"/>
      <c r="CE242" s="1890"/>
      <c r="CF242" s="1890"/>
      <c r="CG242" s="1890"/>
      <c r="CH242" s="1890"/>
      <c r="CI242" s="1890"/>
      <c r="CJ242" s="1890"/>
      <c r="CK242" s="1890"/>
      <c r="CL242" s="1890"/>
      <c r="CM242" s="1890"/>
      <c r="CN242" s="1890"/>
      <c r="CO242" s="1890"/>
      <c r="CP242" s="1890"/>
      <c r="CQ242" s="1890"/>
      <c r="CR242" s="1890"/>
      <c r="CS242" s="1890"/>
      <c r="CT242" s="1890"/>
      <c r="CU242" s="1890"/>
      <c r="CV242" s="1890"/>
      <c r="CW242" s="1890"/>
      <c r="CX242" s="1890"/>
      <c r="CY242" s="1890"/>
      <c r="CZ242" s="1890"/>
      <c r="DA242" s="1890"/>
      <c r="DB242" s="1890"/>
      <c r="DC242" s="1890"/>
      <c r="DD242" s="1890"/>
      <c r="DE242" s="1890"/>
      <c r="DF242" s="1890"/>
      <c r="DG242" s="1890"/>
      <c r="DH242" s="1890"/>
      <c r="DI242" s="1890"/>
      <c r="DJ242" s="1890"/>
      <c r="DK242" s="1890"/>
      <c r="DL242" s="1890"/>
      <c r="DM242" s="1890"/>
      <c r="DN242" s="1890"/>
      <c r="DO242" s="1890"/>
      <c r="DP242" s="1890"/>
      <c r="DQ242" s="1890"/>
      <c r="DR242" s="1890"/>
      <c r="DS242" s="1890"/>
      <c r="DT242" s="1890"/>
      <c r="DU242" s="1890"/>
      <c r="DV242" s="1890"/>
      <c r="DW242" s="1890"/>
      <c r="DX242" s="1890"/>
      <c r="DY242" s="1890"/>
      <c r="DZ242" s="1890"/>
      <c r="EA242" s="1890"/>
      <c r="EB242" s="1890"/>
      <c r="EC242" s="1890"/>
      <c r="ED242" s="1890"/>
      <c r="EE242" s="1890"/>
      <c r="EF242" s="1890"/>
      <c r="EG242" s="1890"/>
      <c r="EH242" s="1890"/>
      <c r="EI242" s="1890"/>
      <c r="EJ242" s="1890"/>
      <c r="EK242" s="1890"/>
      <c r="EL242" s="1890"/>
      <c r="EM242" s="1890"/>
      <c r="EN242" s="1890"/>
      <c r="EO242" s="1890"/>
      <c r="EP242" s="1890"/>
      <c r="EQ242" s="1890"/>
      <c r="ER242" s="1890"/>
      <c r="ES242" s="1890"/>
      <c r="ET242" s="1890"/>
      <c r="EU242" s="1890"/>
      <c r="EV242" s="1890"/>
      <c r="EW242" s="1890"/>
      <c r="EX242" s="1890"/>
      <c r="EY242" s="1890"/>
      <c r="EZ242" s="1890"/>
      <c r="FA242" s="1890"/>
      <c r="FB242" s="1890"/>
      <c r="FC242" s="1890"/>
      <c r="FD242" s="1890"/>
      <c r="FE242" s="1890"/>
      <c r="FF242" s="1890"/>
      <c r="FG242" s="1890"/>
      <c r="FH242" s="1890"/>
      <c r="FI242" s="1890"/>
      <c r="FJ242" s="1890"/>
      <c r="FK242" s="1890"/>
      <c r="FL242" s="1890"/>
      <c r="FM242" s="1890"/>
      <c r="FN242" s="1890"/>
      <c r="FO242" s="1890"/>
      <c r="FP242" s="1890"/>
      <c r="FQ242" s="1890"/>
      <c r="FR242" s="1890"/>
      <c r="FS242" s="1890"/>
      <c r="FT242" s="1890"/>
    </row>
    <row r="243" spans="1:176" s="1965" customFormat="1" ht="32.1" customHeight="1">
      <c r="A243" s="1899"/>
      <c r="B243" s="1805" t="s">
        <v>261</v>
      </c>
      <c r="C243" s="1837">
        <v>0</v>
      </c>
      <c r="D243" s="1829">
        <v>1</v>
      </c>
      <c r="E243" s="1829">
        <v>1</v>
      </c>
      <c r="F243" s="1837">
        <v>1</v>
      </c>
      <c r="G243" s="1829">
        <v>0</v>
      </c>
      <c r="H243" s="1850">
        <v>0</v>
      </c>
      <c r="I243" s="2086" t="s">
        <v>262</v>
      </c>
      <c r="J243" s="2217">
        <v>0</v>
      </c>
      <c r="K243" s="1917" t="s">
        <v>1134</v>
      </c>
      <c r="L243" s="1794">
        <v>1</v>
      </c>
      <c r="M243" s="1927">
        <v>1</v>
      </c>
      <c r="N243" s="1941" t="s">
        <v>5458</v>
      </c>
      <c r="O243" s="1941" t="s">
        <v>8747</v>
      </c>
      <c r="P243" s="1975">
        <v>1</v>
      </c>
      <c r="Q243" s="1975">
        <v>0</v>
      </c>
      <c r="R243" s="2121"/>
      <c r="S243" s="2255"/>
      <c r="T243" s="1794" t="s">
        <v>7548</v>
      </c>
      <c r="U243" s="1794" t="s">
        <v>7269</v>
      </c>
      <c r="V243" s="1802" t="s">
        <v>6132</v>
      </c>
      <c r="W243" s="1949" t="s">
        <v>8355</v>
      </c>
      <c r="X243" s="1941" t="s">
        <v>8747</v>
      </c>
      <c r="Y243" s="1818"/>
      <c r="Z243" s="1818"/>
      <c r="AA243" s="1818"/>
      <c r="AB243" s="1818"/>
      <c r="AC243" s="1818"/>
      <c r="AD243" s="1818"/>
      <c r="AE243" s="1818"/>
      <c r="AF243" s="1818"/>
      <c r="AG243" s="1818"/>
      <c r="AH243" s="1818"/>
      <c r="AI243" s="1818"/>
      <c r="AJ243" s="1818"/>
      <c r="AK243" s="1818"/>
      <c r="AL243" s="1818"/>
      <c r="AM243" s="1818"/>
      <c r="AN243" s="1818"/>
      <c r="AO243" s="1818"/>
      <c r="AP243" s="1818"/>
      <c r="AQ243" s="1818"/>
      <c r="AR243" s="1818"/>
      <c r="AS243" s="1818"/>
      <c r="AT243" s="1818"/>
      <c r="AU243" s="1818"/>
      <c r="AV243" s="1818"/>
      <c r="AW243" s="1818"/>
      <c r="AX243" s="1818"/>
      <c r="AY243" s="1818"/>
      <c r="AZ243" s="1818"/>
      <c r="BA243" s="1818"/>
      <c r="BB243" s="1818"/>
      <c r="BC243" s="1818"/>
      <c r="BD243" s="1818"/>
      <c r="BE243" s="1818"/>
      <c r="BF243" s="1818"/>
      <c r="BG243" s="1818"/>
      <c r="BH243" s="1818"/>
      <c r="BI243" s="1818"/>
      <c r="BJ243" s="1818"/>
      <c r="BK243" s="1818"/>
      <c r="BL243" s="1818"/>
      <c r="BM243" s="1818"/>
      <c r="BN243" s="1818"/>
      <c r="BO243" s="1818"/>
      <c r="BP243" s="1818"/>
      <c r="BQ243" s="1818"/>
      <c r="BR243" s="1818"/>
      <c r="BS243" s="1818"/>
      <c r="BT243" s="1818"/>
      <c r="BU243" s="1818"/>
      <c r="BV243" s="1818"/>
      <c r="BW243" s="1818"/>
      <c r="BX243" s="1818"/>
      <c r="BY243" s="1818"/>
      <c r="BZ243" s="1818"/>
      <c r="CA243" s="1890"/>
      <c r="CB243" s="1890"/>
      <c r="CC243" s="1890"/>
      <c r="CD243" s="1890"/>
      <c r="CE243" s="1890"/>
      <c r="CF243" s="1890"/>
      <c r="CG243" s="1890"/>
      <c r="CH243" s="1890"/>
      <c r="CI243" s="1890"/>
      <c r="CJ243" s="1890"/>
      <c r="CK243" s="1890"/>
      <c r="CL243" s="1890"/>
      <c r="CM243" s="1890"/>
      <c r="CN243" s="1890"/>
      <c r="CO243" s="1890"/>
      <c r="CP243" s="1890"/>
      <c r="CQ243" s="1890"/>
      <c r="CR243" s="1890"/>
      <c r="CS243" s="1890"/>
      <c r="CT243" s="1890"/>
      <c r="CU243" s="1890"/>
      <c r="CV243" s="1890"/>
      <c r="CW243" s="1890"/>
      <c r="CX243" s="1890"/>
      <c r="CY243" s="1890"/>
      <c r="CZ243" s="1890"/>
      <c r="DA243" s="1890"/>
      <c r="DB243" s="1890"/>
      <c r="DC243" s="1890"/>
      <c r="DD243" s="1890"/>
      <c r="DE243" s="1890"/>
      <c r="DF243" s="1890"/>
      <c r="DG243" s="1890"/>
      <c r="DH243" s="1890"/>
      <c r="DI243" s="1890"/>
      <c r="DJ243" s="1890"/>
      <c r="DK243" s="1890"/>
      <c r="DL243" s="1890"/>
      <c r="DM243" s="1890"/>
      <c r="DN243" s="1890"/>
      <c r="DO243" s="1890"/>
      <c r="DP243" s="1890"/>
      <c r="DQ243" s="1890"/>
      <c r="DR243" s="1890"/>
      <c r="DS243" s="1890"/>
      <c r="DT243" s="1890"/>
      <c r="DU243" s="1890"/>
      <c r="DV243" s="1890"/>
      <c r="DW243" s="1890"/>
      <c r="DX243" s="1890"/>
      <c r="DY243" s="1890"/>
      <c r="DZ243" s="1890"/>
      <c r="EA243" s="1890"/>
      <c r="EB243" s="1890"/>
      <c r="EC243" s="1890"/>
      <c r="ED243" s="1890"/>
      <c r="EE243" s="1890"/>
      <c r="EF243" s="1890"/>
      <c r="EG243" s="1890"/>
      <c r="EH243" s="1890"/>
      <c r="EI243" s="1890"/>
      <c r="EJ243" s="1890"/>
      <c r="EK243" s="1890"/>
      <c r="EL243" s="1890"/>
      <c r="EM243" s="1890"/>
      <c r="EN243" s="1890"/>
      <c r="EO243" s="1890"/>
      <c r="EP243" s="1890"/>
      <c r="EQ243" s="1890"/>
      <c r="ER243" s="1890"/>
      <c r="ES243" s="1890"/>
      <c r="ET243" s="1890"/>
      <c r="EU243" s="1890"/>
      <c r="EV243" s="1890"/>
      <c r="EW243" s="1890"/>
      <c r="EX243" s="1890"/>
      <c r="EY243" s="1890"/>
      <c r="EZ243" s="1890"/>
      <c r="FA243" s="1890"/>
      <c r="FB243" s="1890"/>
      <c r="FC243" s="1890"/>
      <c r="FD243" s="1890"/>
      <c r="FE243" s="1890"/>
      <c r="FF243" s="1890"/>
      <c r="FG243" s="1890"/>
      <c r="FH243" s="1890"/>
      <c r="FI243" s="1890"/>
      <c r="FJ243" s="1890"/>
      <c r="FK243" s="1890"/>
      <c r="FL243" s="1890"/>
      <c r="FM243" s="1890"/>
      <c r="FN243" s="1890"/>
      <c r="FO243" s="1890"/>
      <c r="FP243" s="1890"/>
      <c r="FQ243" s="1890"/>
      <c r="FR243" s="1890"/>
      <c r="FS243" s="1890"/>
      <c r="FT243" s="1890"/>
    </row>
    <row r="244" spans="1:176" s="1965" customFormat="1" ht="32.1" customHeight="1">
      <c r="A244" s="1899"/>
      <c r="B244" s="1805" t="s">
        <v>263</v>
      </c>
      <c r="C244" s="1837">
        <v>1</v>
      </c>
      <c r="D244" s="1829">
        <v>1</v>
      </c>
      <c r="E244" s="1829">
        <v>1</v>
      </c>
      <c r="F244" s="1837">
        <v>1</v>
      </c>
      <c r="G244" s="1846">
        <v>1</v>
      </c>
      <c r="H244" s="1850">
        <v>1</v>
      </c>
      <c r="I244" s="2086" t="s">
        <v>123</v>
      </c>
      <c r="J244" s="2217">
        <v>1</v>
      </c>
      <c r="K244" s="1917" t="s">
        <v>1134</v>
      </c>
      <c r="L244" s="1794">
        <v>1</v>
      </c>
      <c r="M244" s="1927">
        <v>1</v>
      </c>
      <c r="N244" s="1941" t="s">
        <v>811</v>
      </c>
      <c r="O244" s="1941" t="s">
        <v>8748</v>
      </c>
      <c r="P244" s="1975">
        <v>1</v>
      </c>
      <c r="Q244" s="1975">
        <v>0</v>
      </c>
      <c r="R244" s="2121"/>
      <c r="S244" s="2248" t="s">
        <v>8158</v>
      </c>
      <c r="T244" s="1794" t="s">
        <v>7549</v>
      </c>
      <c r="U244" s="1794" t="s">
        <v>7270</v>
      </c>
      <c r="V244" s="1802" t="s">
        <v>6133</v>
      </c>
      <c r="W244" s="1949"/>
      <c r="X244" s="1941" t="s">
        <v>8748</v>
      </c>
      <c r="Y244" s="1818"/>
      <c r="Z244" s="1818"/>
      <c r="AA244" s="1818"/>
      <c r="AB244" s="1818"/>
      <c r="AC244" s="1818"/>
      <c r="AD244" s="1818"/>
      <c r="AE244" s="1818"/>
      <c r="AF244" s="1818"/>
      <c r="AG244" s="1818"/>
      <c r="AH244" s="1818"/>
      <c r="AI244" s="1818"/>
      <c r="AJ244" s="1818"/>
      <c r="AK244" s="1818"/>
      <c r="AL244" s="1818"/>
      <c r="AM244" s="1818"/>
      <c r="AN244" s="1818"/>
      <c r="AO244" s="1818"/>
      <c r="AP244" s="1818"/>
      <c r="AQ244" s="1818"/>
      <c r="AR244" s="1818"/>
      <c r="AS244" s="1818"/>
      <c r="AT244" s="1818"/>
      <c r="AU244" s="1818"/>
      <c r="AV244" s="1818"/>
      <c r="AW244" s="1818"/>
      <c r="AX244" s="1818"/>
      <c r="AY244" s="1818"/>
      <c r="AZ244" s="1818"/>
      <c r="BA244" s="1818"/>
      <c r="BB244" s="1818"/>
      <c r="BC244" s="1818"/>
      <c r="BD244" s="1818"/>
      <c r="BE244" s="1818"/>
      <c r="BF244" s="1818"/>
      <c r="BG244" s="1818"/>
      <c r="BH244" s="1818"/>
      <c r="BI244" s="1818"/>
      <c r="BJ244" s="1818"/>
      <c r="BK244" s="1818"/>
      <c r="BL244" s="1818"/>
      <c r="BM244" s="1818"/>
      <c r="BN244" s="1818"/>
      <c r="BO244" s="1818"/>
      <c r="BP244" s="1818"/>
      <c r="BQ244" s="1818"/>
      <c r="BR244" s="1818"/>
      <c r="BS244" s="1818"/>
      <c r="BT244" s="1818"/>
      <c r="BU244" s="1818"/>
      <c r="BV244" s="1818"/>
      <c r="BW244" s="1818"/>
      <c r="BX244" s="1818"/>
      <c r="BY244" s="1818"/>
      <c r="BZ244" s="1818"/>
      <c r="CA244" s="1890"/>
      <c r="CB244" s="1890"/>
      <c r="CC244" s="1890"/>
      <c r="CD244" s="1890"/>
      <c r="CE244" s="1890"/>
      <c r="CF244" s="1890"/>
      <c r="CG244" s="1890"/>
      <c r="CH244" s="1890"/>
      <c r="CI244" s="1890"/>
      <c r="CJ244" s="1890"/>
      <c r="CK244" s="1890"/>
      <c r="CL244" s="1890"/>
      <c r="CM244" s="1890"/>
      <c r="CN244" s="1890"/>
      <c r="CO244" s="1890"/>
      <c r="CP244" s="1890"/>
      <c r="CQ244" s="1890"/>
      <c r="CR244" s="1890"/>
      <c r="CS244" s="1890"/>
      <c r="CT244" s="1890"/>
      <c r="CU244" s="1890"/>
      <c r="CV244" s="1890"/>
      <c r="CW244" s="1890"/>
      <c r="CX244" s="1890"/>
      <c r="CY244" s="1890"/>
      <c r="CZ244" s="1890"/>
      <c r="DA244" s="1890"/>
      <c r="DB244" s="1890"/>
      <c r="DC244" s="1890"/>
      <c r="DD244" s="1890"/>
      <c r="DE244" s="1890"/>
      <c r="DF244" s="1890"/>
      <c r="DG244" s="1890"/>
      <c r="DH244" s="1890"/>
      <c r="DI244" s="1890"/>
      <c r="DJ244" s="1890"/>
      <c r="DK244" s="1890"/>
      <c r="DL244" s="1890"/>
      <c r="DM244" s="1890"/>
      <c r="DN244" s="1890"/>
      <c r="DO244" s="1890"/>
      <c r="DP244" s="1890"/>
      <c r="DQ244" s="1890"/>
      <c r="DR244" s="1890"/>
      <c r="DS244" s="1890"/>
      <c r="DT244" s="1890"/>
      <c r="DU244" s="1890"/>
      <c r="DV244" s="1890"/>
      <c r="DW244" s="1890"/>
      <c r="DX244" s="1890"/>
      <c r="DY244" s="1890"/>
      <c r="DZ244" s="1890"/>
      <c r="EA244" s="1890"/>
      <c r="EB244" s="1890"/>
      <c r="EC244" s="1890"/>
      <c r="ED244" s="1890"/>
      <c r="EE244" s="1890"/>
      <c r="EF244" s="1890"/>
      <c r="EG244" s="1890"/>
      <c r="EH244" s="1890"/>
      <c r="EI244" s="1890"/>
      <c r="EJ244" s="1890"/>
      <c r="EK244" s="1890"/>
      <c r="EL244" s="1890"/>
      <c r="EM244" s="1890"/>
      <c r="EN244" s="1890"/>
      <c r="EO244" s="1890"/>
      <c r="EP244" s="1890"/>
      <c r="EQ244" s="1890"/>
      <c r="ER244" s="1890"/>
      <c r="ES244" s="1890"/>
      <c r="ET244" s="1890"/>
      <c r="EU244" s="1890"/>
      <c r="EV244" s="1890"/>
      <c r="EW244" s="1890"/>
      <c r="EX244" s="1890"/>
      <c r="EY244" s="1890"/>
      <c r="EZ244" s="1890"/>
      <c r="FA244" s="1890"/>
      <c r="FB244" s="1890"/>
      <c r="FC244" s="1890"/>
      <c r="FD244" s="1890"/>
      <c r="FE244" s="1890"/>
      <c r="FF244" s="1890"/>
      <c r="FG244" s="1890"/>
      <c r="FH244" s="1890"/>
      <c r="FI244" s="1890"/>
      <c r="FJ244" s="1890"/>
      <c r="FK244" s="1890"/>
      <c r="FL244" s="1890"/>
      <c r="FM244" s="1890"/>
      <c r="FN244" s="1890"/>
      <c r="FO244" s="1890"/>
      <c r="FP244" s="1890"/>
      <c r="FQ244" s="1890"/>
      <c r="FR244" s="1890"/>
      <c r="FS244" s="1890"/>
      <c r="FT244" s="1890"/>
    </row>
    <row r="245" spans="1:176" s="1965" customFormat="1" ht="32.1" customHeight="1">
      <c r="A245" s="1899"/>
      <c r="B245" s="1805" t="s">
        <v>264</v>
      </c>
      <c r="C245" s="1837">
        <v>1</v>
      </c>
      <c r="D245" s="1829">
        <v>1</v>
      </c>
      <c r="E245" s="1829">
        <v>1</v>
      </c>
      <c r="F245" s="1837">
        <v>0.5</v>
      </c>
      <c r="G245" s="1829">
        <v>1</v>
      </c>
      <c r="H245" s="1850">
        <v>1</v>
      </c>
      <c r="I245" s="2086" t="s">
        <v>123</v>
      </c>
      <c r="J245" s="2217">
        <v>1</v>
      </c>
      <c r="K245" s="1917" t="s">
        <v>811</v>
      </c>
      <c r="L245" s="1794">
        <v>1</v>
      </c>
      <c r="M245" s="1927">
        <v>0.5</v>
      </c>
      <c r="N245" s="1917" t="s">
        <v>811</v>
      </c>
      <c r="O245" s="1917" t="s">
        <v>8749</v>
      </c>
      <c r="P245" s="1975">
        <v>1</v>
      </c>
      <c r="Q245" s="1975">
        <v>0</v>
      </c>
      <c r="R245" s="2121"/>
      <c r="S245" s="2248" t="s">
        <v>8159</v>
      </c>
      <c r="T245" s="1794" t="s">
        <v>7550</v>
      </c>
      <c r="U245" s="1794" t="s">
        <v>7271</v>
      </c>
      <c r="V245" s="1802" t="s">
        <v>6134</v>
      </c>
      <c r="W245" s="1794"/>
      <c r="X245" s="1917" t="s">
        <v>8749</v>
      </c>
      <c r="Y245" s="1818"/>
      <c r="Z245" s="1818"/>
      <c r="AA245" s="1818"/>
      <c r="AB245" s="1818"/>
      <c r="AC245" s="1818"/>
      <c r="AD245" s="1818"/>
      <c r="AE245" s="1818"/>
      <c r="AF245" s="1818"/>
      <c r="AG245" s="1818"/>
      <c r="AH245" s="1818"/>
      <c r="AI245" s="1818"/>
      <c r="AJ245" s="1818"/>
      <c r="AK245" s="1818"/>
      <c r="AL245" s="1818"/>
      <c r="AM245" s="1818"/>
      <c r="AN245" s="1818"/>
      <c r="AO245" s="1818"/>
      <c r="AP245" s="1818"/>
      <c r="AQ245" s="1818"/>
      <c r="AR245" s="1818"/>
      <c r="AS245" s="1818"/>
      <c r="AT245" s="1818"/>
      <c r="AU245" s="1818"/>
      <c r="AV245" s="1818"/>
      <c r="AW245" s="1818"/>
      <c r="AX245" s="1818"/>
      <c r="AY245" s="1818"/>
      <c r="AZ245" s="1818"/>
      <c r="BA245" s="1818"/>
      <c r="BB245" s="1818"/>
      <c r="BC245" s="1818"/>
      <c r="BD245" s="1818"/>
      <c r="BE245" s="1818"/>
      <c r="BF245" s="1818"/>
      <c r="BG245" s="1818"/>
      <c r="BH245" s="1818"/>
      <c r="BI245" s="1818"/>
      <c r="BJ245" s="1818"/>
      <c r="BK245" s="1818"/>
      <c r="BL245" s="1818"/>
      <c r="BM245" s="1818"/>
      <c r="BN245" s="1818"/>
      <c r="BO245" s="1818"/>
      <c r="BP245" s="1818"/>
      <c r="BQ245" s="1818"/>
      <c r="BR245" s="1818"/>
      <c r="BS245" s="1818"/>
      <c r="BT245" s="1818"/>
      <c r="BU245" s="1818"/>
      <c r="BV245" s="1818"/>
      <c r="BW245" s="1818"/>
      <c r="BX245" s="1818"/>
      <c r="BY245" s="1818"/>
      <c r="BZ245" s="1818"/>
      <c r="CA245" s="1890"/>
      <c r="CB245" s="1890"/>
      <c r="CC245" s="1890"/>
      <c r="CD245" s="1890"/>
      <c r="CE245" s="1890"/>
      <c r="CF245" s="1890"/>
      <c r="CG245" s="1890"/>
      <c r="CH245" s="1890"/>
      <c r="CI245" s="1890"/>
      <c r="CJ245" s="1890"/>
      <c r="CK245" s="1890"/>
      <c r="CL245" s="1890"/>
      <c r="CM245" s="1890"/>
      <c r="CN245" s="1890"/>
      <c r="CO245" s="1890"/>
      <c r="CP245" s="1890"/>
      <c r="CQ245" s="1890"/>
      <c r="CR245" s="1890"/>
      <c r="CS245" s="1890"/>
      <c r="CT245" s="1890"/>
      <c r="CU245" s="1890"/>
      <c r="CV245" s="1890"/>
      <c r="CW245" s="1890"/>
      <c r="CX245" s="1890"/>
      <c r="CY245" s="1890"/>
      <c r="CZ245" s="1890"/>
      <c r="DA245" s="1890"/>
      <c r="DB245" s="1890"/>
      <c r="DC245" s="1890"/>
      <c r="DD245" s="1890"/>
      <c r="DE245" s="1890"/>
      <c r="DF245" s="1890"/>
      <c r="DG245" s="1890"/>
      <c r="DH245" s="1890"/>
      <c r="DI245" s="1890"/>
      <c r="DJ245" s="1890"/>
      <c r="DK245" s="1890"/>
      <c r="DL245" s="1890"/>
      <c r="DM245" s="1890"/>
      <c r="DN245" s="1890"/>
      <c r="DO245" s="1890"/>
      <c r="DP245" s="1890"/>
      <c r="DQ245" s="1890"/>
      <c r="DR245" s="1890"/>
      <c r="DS245" s="1890"/>
      <c r="DT245" s="1890"/>
      <c r="DU245" s="1890"/>
      <c r="DV245" s="1890"/>
      <c r="DW245" s="1890"/>
      <c r="DX245" s="1890"/>
      <c r="DY245" s="1890"/>
      <c r="DZ245" s="1890"/>
      <c r="EA245" s="1890"/>
      <c r="EB245" s="1890"/>
      <c r="EC245" s="1890"/>
      <c r="ED245" s="1890"/>
      <c r="EE245" s="1890"/>
      <c r="EF245" s="1890"/>
      <c r="EG245" s="1890"/>
      <c r="EH245" s="1890"/>
      <c r="EI245" s="1890"/>
      <c r="EJ245" s="1890"/>
      <c r="EK245" s="1890"/>
      <c r="EL245" s="1890"/>
      <c r="EM245" s="1890"/>
      <c r="EN245" s="1890"/>
      <c r="EO245" s="1890"/>
      <c r="EP245" s="1890"/>
      <c r="EQ245" s="1890"/>
      <c r="ER245" s="1890"/>
      <c r="ES245" s="1890"/>
      <c r="ET245" s="1890"/>
      <c r="EU245" s="1890"/>
      <c r="EV245" s="1890"/>
      <c r="EW245" s="1890"/>
      <c r="EX245" s="1890"/>
      <c r="EY245" s="1890"/>
      <c r="EZ245" s="1890"/>
      <c r="FA245" s="1890"/>
      <c r="FB245" s="1890"/>
      <c r="FC245" s="1890"/>
      <c r="FD245" s="1890"/>
      <c r="FE245" s="1890"/>
      <c r="FF245" s="1890"/>
      <c r="FG245" s="1890"/>
      <c r="FH245" s="1890"/>
      <c r="FI245" s="1890"/>
      <c r="FJ245" s="1890"/>
      <c r="FK245" s="1890"/>
      <c r="FL245" s="1890"/>
      <c r="FM245" s="1890"/>
      <c r="FN245" s="1890"/>
      <c r="FO245" s="1890"/>
      <c r="FP245" s="1890"/>
      <c r="FQ245" s="1890"/>
      <c r="FR245" s="1890"/>
      <c r="FS245" s="1890"/>
      <c r="FT245" s="1890"/>
    </row>
    <row r="246" spans="1:176" s="1965" customFormat="1" ht="32.1" customHeight="1">
      <c r="A246" s="1899"/>
      <c r="B246" s="1805" t="s">
        <v>265</v>
      </c>
      <c r="C246" s="1837">
        <v>1</v>
      </c>
      <c r="D246" s="1829">
        <v>1</v>
      </c>
      <c r="E246" s="1829">
        <v>0</v>
      </c>
      <c r="F246" s="1837">
        <v>1</v>
      </c>
      <c r="G246" s="1846">
        <v>1</v>
      </c>
      <c r="H246" s="1850">
        <v>1</v>
      </c>
      <c r="I246" s="2086" t="s">
        <v>123</v>
      </c>
      <c r="J246" s="2217">
        <v>1</v>
      </c>
      <c r="K246" s="1917" t="s">
        <v>811</v>
      </c>
      <c r="L246" s="1794">
        <v>0</v>
      </c>
      <c r="M246" s="1927">
        <v>1</v>
      </c>
      <c r="N246" s="1941" t="s">
        <v>811</v>
      </c>
      <c r="O246" s="1941" t="s">
        <v>8750</v>
      </c>
      <c r="P246" s="1975">
        <v>1</v>
      </c>
      <c r="Q246" s="1975">
        <v>0</v>
      </c>
      <c r="R246" s="2121"/>
      <c r="S246" s="2248" t="s">
        <v>8160</v>
      </c>
      <c r="T246" s="1794" t="s">
        <v>7551</v>
      </c>
      <c r="U246" s="1794" t="s">
        <v>7272</v>
      </c>
      <c r="V246" s="1802" t="s">
        <v>7906</v>
      </c>
      <c r="W246" s="1949"/>
      <c r="X246" s="1941" t="s">
        <v>8750</v>
      </c>
      <c r="Y246" s="1818"/>
      <c r="Z246" s="1818"/>
      <c r="AA246" s="1818"/>
      <c r="AB246" s="1818"/>
      <c r="AC246" s="1818"/>
      <c r="AD246" s="1818"/>
      <c r="AE246" s="1818"/>
      <c r="AF246" s="1818"/>
      <c r="AG246" s="1818"/>
      <c r="AH246" s="1818"/>
      <c r="AI246" s="1818"/>
      <c r="AJ246" s="1818"/>
      <c r="AK246" s="1818"/>
      <c r="AL246" s="1818"/>
      <c r="AM246" s="1818"/>
      <c r="AN246" s="1818"/>
      <c r="AO246" s="1818"/>
      <c r="AP246" s="1818"/>
      <c r="AQ246" s="1818"/>
      <c r="AR246" s="1818"/>
      <c r="AS246" s="1818"/>
      <c r="AT246" s="1818"/>
      <c r="AU246" s="1818"/>
      <c r="AV246" s="1818"/>
      <c r="AW246" s="1818"/>
      <c r="AX246" s="1818"/>
      <c r="AY246" s="1818"/>
      <c r="AZ246" s="1818"/>
      <c r="BA246" s="1818"/>
      <c r="BB246" s="1818"/>
      <c r="BC246" s="1818"/>
      <c r="BD246" s="1818"/>
      <c r="BE246" s="1818"/>
      <c r="BF246" s="1818"/>
      <c r="BG246" s="1818"/>
      <c r="BH246" s="1818"/>
      <c r="BI246" s="1818"/>
      <c r="BJ246" s="1818"/>
      <c r="BK246" s="1818"/>
      <c r="BL246" s="1818"/>
      <c r="BM246" s="1818"/>
      <c r="BN246" s="1818"/>
      <c r="BO246" s="1818"/>
      <c r="BP246" s="1818"/>
      <c r="BQ246" s="1818"/>
      <c r="BR246" s="1818"/>
      <c r="BS246" s="1818"/>
      <c r="BT246" s="1818"/>
      <c r="BU246" s="1818"/>
      <c r="BV246" s="1818"/>
      <c r="BW246" s="1818"/>
      <c r="BX246" s="1818"/>
      <c r="BY246" s="1818"/>
      <c r="BZ246" s="1818"/>
      <c r="CA246" s="1890"/>
      <c r="CB246" s="1890"/>
      <c r="CC246" s="1890"/>
      <c r="CD246" s="1890"/>
      <c r="CE246" s="1890"/>
      <c r="CF246" s="1890"/>
      <c r="CG246" s="1890"/>
      <c r="CH246" s="1890"/>
      <c r="CI246" s="1890"/>
      <c r="CJ246" s="1890"/>
      <c r="CK246" s="1890"/>
      <c r="CL246" s="1890"/>
      <c r="CM246" s="1890"/>
      <c r="CN246" s="1890"/>
      <c r="CO246" s="1890"/>
      <c r="CP246" s="1890"/>
      <c r="CQ246" s="1890"/>
      <c r="CR246" s="1890"/>
      <c r="CS246" s="1890"/>
      <c r="CT246" s="1890"/>
      <c r="CU246" s="1890"/>
      <c r="CV246" s="1890"/>
      <c r="CW246" s="1890"/>
      <c r="CX246" s="1890"/>
      <c r="CY246" s="1890"/>
      <c r="CZ246" s="1890"/>
      <c r="DA246" s="1890"/>
      <c r="DB246" s="1890"/>
      <c r="DC246" s="1890"/>
      <c r="DD246" s="1890"/>
      <c r="DE246" s="1890"/>
      <c r="DF246" s="1890"/>
      <c r="DG246" s="1890"/>
      <c r="DH246" s="1890"/>
      <c r="DI246" s="1890"/>
      <c r="DJ246" s="1890"/>
      <c r="DK246" s="1890"/>
      <c r="DL246" s="1890"/>
      <c r="DM246" s="1890"/>
      <c r="DN246" s="1890"/>
      <c r="DO246" s="1890"/>
      <c r="DP246" s="1890"/>
      <c r="DQ246" s="1890"/>
      <c r="DR246" s="1890"/>
      <c r="DS246" s="1890"/>
      <c r="DT246" s="1890"/>
      <c r="DU246" s="1890"/>
      <c r="DV246" s="1890"/>
      <c r="DW246" s="1890"/>
      <c r="DX246" s="1890"/>
      <c r="DY246" s="1890"/>
      <c r="DZ246" s="1890"/>
      <c r="EA246" s="1890"/>
      <c r="EB246" s="1890"/>
      <c r="EC246" s="1890"/>
      <c r="ED246" s="1890"/>
      <c r="EE246" s="1890"/>
      <c r="EF246" s="1890"/>
      <c r="EG246" s="1890"/>
      <c r="EH246" s="1890"/>
      <c r="EI246" s="1890"/>
      <c r="EJ246" s="1890"/>
      <c r="EK246" s="1890"/>
      <c r="EL246" s="1890"/>
      <c r="EM246" s="1890"/>
      <c r="EN246" s="1890"/>
      <c r="EO246" s="1890"/>
      <c r="EP246" s="1890"/>
      <c r="EQ246" s="1890"/>
      <c r="ER246" s="1890"/>
      <c r="ES246" s="1890"/>
      <c r="ET246" s="1890"/>
      <c r="EU246" s="1890"/>
      <c r="EV246" s="1890"/>
      <c r="EW246" s="1890"/>
      <c r="EX246" s="1890"/>
      <c r="EY246" s="1890"/>
      <c r="EZ246" s="1890"/>
      <c r="FA246" s="1890"/>
      <c r="FB246" s="1890"/>
      <c r="FC246" s="1890"/>
      <c r="FD246" s="1890"/>
      <c r="FE246" s="1890"/>
      <c r="FF246" s="1890"/>
      <c r="FG246" s="1890"/>
      <c r="FH246" s="1890"/>
      <c r="FI246" s="1890"/>
      <c r="FJ246" s="1890"/>
      <c r="FK246" s="1890"/>
      <c r="FL246" s="1890"/>
      <c r="FM246" s="1890"/>
      <c r="FN246" s="1890"/>
      <c r="FO246" s="1890"/>
      <c r="FP246" s="1890"/>
      <c r="FQ246" s="1890"/>
      <c r="FR246" s="1890"/>
      <c r="FS246" s="1890"/>
      <c r="FT246" s="1890"/>
    </row>
    <row r="247" spans="1:176" s="1965" customFormat="1" ht="117" customHeight="1">
      <c r="A247" s="1899"/>
      <c r="B247" s="1807" t="s">
        <v>266</v>
      </c>
      <c r="C247" s="1837">
        <v>0.5</v>
      </c>
      <c r="D247" s="1829">
        <v>0.5</v>
      </c>
      <c r="E247" s="1829">
        <v>0.5</v>
      </c>
      <c r="F247" s="1837">
        <v>0.5</v>
      </c>
      <c r="G247" s="1829">
        <v>0.5</v>
      </c>
      <c r="H247" s="1850">
        <v>0.5</v>
      </c>
      <c r="I247" s="2086" t="s">
        <v>267</v>
      </c>
      <c r="J247" s="2218" t="s">
        <v>6225</v>
      </c>
      <c r="K247" s="1917" t="s">
        <v>7382</v>
      </c>
      <c r="L247" s="1794"/>
      <c r="M247" s="1927">
        <v>1</v>
      </c>
      <c r="N247" s="1941" t="s">
        <v>5459</v>
      </c>
      <c r="O247" s="1941" t="s">
        <v>9013</v>
      </c>
      <c r="P247" s="1917">
        <v>1</v>
      </c>
      <c r="Q247" s="1917">
        <v>0</v>
      </c>
      <c r="R247" s="2100"/>
      <c r="S247" s="2248" t="s">
        <v>8161</v>
      </c>
      <c r="T247" s="1794" t="s">
        <v>9147</v>
      </c>
      <c r="U247" s="1794" t="s">
        <v>5924</v>
      </c>
      <c r="V247" s="1802" t="s">
        <v>7907</v>
      </c>
      <c r="W247" s="1949" t="s">
        <v>5459</v>
      </c>
      <c r="X247" s="1848" t="s">
        <v>9013</v>
      </c>
      <c r="Y247" s="1818"/>
      <c r="Z247" s="1818"/>
      <c r="AA247" s="1818"/>
      <c r="AB247" s="1818"/>
      <c r="AC247" s="1818"/>
      <c r="AD247" s="1818"/>
      <c r="AE247" s="1818"/>
      <c r="AF247" s="1818"/>
      <c r="AG247" s="1818"/>
      <c r="AH247" s="1818"/>
      <c r="AI247" s="1818"/>
      <c r="AJ247" s="1818"/>
      <c r="AK247" s="1818"/>
      <c r="AL247" s="1818"/>
      <c r="AM247" s="1818"/>
      <c r="AN247" s="1818"/>
      <c r="AO247" s="1818"/>
      <c r="AP247" s="1818"/>
      <c r="AQ247" s="1818"/>
      <c r="AR247" s="1818"/>
      <c r="AS247" s="1818"/>
      <c r="AT247" s="1818"/>
      <c r="AU247" s="1818"/>
      <c r="AV247" s="1818"/>
      <c r="AW247" s="1818"/>
      <c r="AX247" s="1818"/>
      <c r="AY247" s="1818"/>
      <c r="AZ247" s="1818"/>
      <c r="BA247" s="1818"/>
      <c r="BB247" s="1818"/>
      <c r="BC247" s="1818"/>
      <c r="BD247" s="1818"/>
      <c r="BE247" s="1818"/>
      <c r="BF247" s="1818"/>
      <c r="BG247" s="1818"/>
      <c r="BH247" s="1818"/>
      <c r="BI247" s="1818"/>
      <c r="BJ247" s="1818"/>
      <c r="BK247" s="1818"/>
      <c r="BL247" s="1818"/>
      <c r="BM247" s="1818"/>
      <c r="BN247" s="1818"/>
      <c r="BO247" s="1818"/>
      <c r="BP247" s="1818"/>
      <c r="BQ247" s="1818"/>
      <c r="BR247" s="1818"/>
      <c r="BS247" s="1818"/>
      <c r="BT247" s="1818"/>
      <c r="BU247" s="1818"/>
      <c r="BV247" s="1818"/>
      <c r="BW247" s="1818"/>
      <c r="BX247" s="1818"/>
      <c r="BY247" s="1818"/>
      <c r="BZ247" s="1818"/>
      <c r="CA247" s="1890"/>
      <c r="CB247" s="1890"/>
      <c r="CC247" s="1890"/>
      <c r="CD247" s="1890"/>
      <c r="CE247" s="1890"/>
      <c r="CF247" s="1890"/>
      <c r="CG247" s="1890"/>
      <c r="CH247" s="1890"/>
      <c r="CI247" s="1890"/>
      <c r="CJ247" s="1890"/>
      <c r="CK247" s="1890"/>
      <c r="CL247" s="1890"/>
      <c r="CM247" s="1890"/>
      <c r="CN247" s="1890"/>
      <c r="CO247" s="1890"/>
      <c r="CP247" s="1890"/>
      <c r="CQ247" s="1890"/>
      <c r="CR247" s="1890"/>
      <c r="CS247" s="1890"/>
      <c r="CT247" s="1890"/>
      <c r="CU247" s="1890"/>
      <c r="CV247" s="1890"/>
      <c r="CW247" s="1890"/>
      <c r="CX247" s="1890"/>
      <c r="CY247" s="1890"/>
      <c r="CZ247" s="1890"/>
      <c r="DA247" s="1890"/>
      <c r="DB247" s="1890"/>
      <c r="DC247" s="1890"/>
      <c r="DD247" s="1890"/>
      <c r="DE247" s="1890"/>
      <c r="DF247" s="1890"/>
      <c r="DG247" s="1890"/>
      <c r="DH247" s="1890"/>
      <c r="DI247" s="1890"/>
      <c r="DJ247" s="1890"/>
      <c r="DK247" s="1890"/>
      <c r="DL247" s="1890"/>
      <c r="DM247" s="1890"/>
      <c r="DN247" s="1890"/>
      <c r="DO247" s="1890"/>
      <c r="DP247" s="1890"/>
      <c r="DQ247" s="1890"/>
      <c r="DR247" s="1890"/>
      <c r="DS247" s="1890"/>
      <c r="DT247" s="1890"/>
      <c r="DU247" s="1890"/>
      <c r="DV247" s="1890"/>
      <c r="DW247" s="1890"/>
      <c r="DX247" s="1890"/>
      <c r="DY247" s="1890"/>
      <c r="DZ247" s="1890"/>
      <c r="EA247" s="1890"/>
      <c r="EB247" s="1890"/>
      <c r="EC247" s="1890"/>
      <c r="ED247" s="1890"/>
      <c r="EE247" s="1890"/>
      <c r="EF247" s="1890"/>
      <c r="EG247" s="1890"/>
      <c r="EH247" s="1890"/>
      <c r="EI247" s="1890"/>
      <c r="EJ247" s="1890"/>
      <c r="EK247" s="1890"/>
      <c r="EL247" s="1890"/>
      <c r="EM247" s="1890"/>
      <c r="EN247" s="1890"/>
      <c r="EO247" s="1890"/>
      <c r="EP247" s="1890"/>
      <c r="EQ247" s="1890"/>
      <c r="ER247" s="1890"/>
      <c r="ES247" s="1890"/>
      <c r="ET247" s="1890"/>
      <c r="EU247" s="1890"/>
      <c r="EV247" s="1890"/>
      <c r="EW247" s="1890"/>
      <c r="EX247" s="1890"/>
      <c r="EY247" s="1890"/>
      <c r="EZ247" s="1890"/>
      <c r="FA247" s="1890"/>
      <c r="FB247" s="1890"/>
      <c r="FC247" s="1890"/>
      <c r="FD247" s="1890"/>
      <c r="FE247" s="1890"/>
      <c r="FF247" s="1890"/>
      <c r="FG247" s="1890"/>
      <c r="FH247" s="1890"/>
      <c r="FI247" s="1890"/>
      <c r="FJ247" s="1890"/>
      <c r="FK247" s="1890"/>
      <c r="FL247" s="1890"/>
      <c r="FM247" s="1890"/>
      <c r="FN247" s="1890"/>
      <c r="FO247" s="1890"/>
      <c r="FP247" s="1890"/>
      <c r="FQ247" s="1890"/>
      <c r="FR247" s="1890"/>
      <c r="FS247" s="1890"/>
      <c r="FT247" s="1890"/>
    </row>
    <row r="248" spans="1:176" s="1965" customFormat="1" ht="33.950000000000003" customHeight="1">
      <c r="A248" s="2500"/>
      <c r="B248" s="2059" t="s">
        <v>268</v>
      </c>
      <c r="C248" s="2060">
        <f>AVERAGE(C249:C266)</f>
        <v>0.77777777777777779</v>
      </c>
      <c r="D248" s="2060">
        <f t="shared" ref="D248:H248" si="67">AVERAGE(D249:D266)</f>
        <v>0.75</v>
      </c>
      <c r="E248" s="2060">
        <f t="shared" si="67"/>
        <v>0.61111111111111116</v>
      </c>
      <c r="F248" s="2060">
        <f t="shared" si="67"/>
        <v>0.94444444444444442</v>
      </c>
      <c r="G248" s="2060">
        <f t="shared" si="67"/>
        <v>0.83333333333333337</v>
      </c>
      <c r="H248" s="2060">
        <f t="shared" si="67"/>
        <v>0.61111111111111116</v>
      </c>
      <c r="I248" s="2086"/>
      <c r="J248" s="1910"/>
      <c r="K248" s="1912"/>
      <c r="L248" s="1911"/>
      <c r="M248" s="1912"/>
      <c r="N248" s="1977"/>
      <c r="O248" s="1977"/>
      <c r="P248" s="1976"/>
      <c r="Q248" s="1976"/>
      <c r="R248" s="2121"/>
      <c r="S248" s="2250"/>
      <c r="T248" s="1911"/>
      <c r="U248" s="1911"/>
      <c r="V248" s="1911"/>
      <c r="W248" s="2004"/>
      <c r="X248" s="1977" t="s">
        <v>960</v>
      </c>
      <c r="Y248" s="1818"/>
      <c r="Z248" s="1818"/>
      <c r="AA248" s="1818"/>
      <c r="AB248" s="1818"/>
      <c r="AC248" s="1818"/>
      <c r="AD248" s="1818"/>
      <c r="AE248" s="1818"/>
      <c r="AF248" s="1818"/>
      <c r="AG248" s="1818"/>
      <c r="AH248" s="1818"/>
      <c r="AI248" s="1818"/>
      <c r="AJ248" s="1818"/>
      <c r="AK248" s="1818"/>
      <c r="AL248" s="1818"/>
      <c r="AM248" s="1818"/>
      <c r="AN248" s="1818"/>
      <c r="AO248" s="1818"/>
      <c r="AP248" s="1818"/>
      <c r="AQ248" s="1818"/>
      <c r="AR248" s="1818"/>
      <c r="AS248" s="1818"/>
      <c r="AT248" s="1818"/>
      <c r="AU248" s="1818"/>
      <c r="AV248" s="1818"/>
      <c r="AW248" s="1818"/>
      <c r="AX248" s="1818"/>
      <c r="AY248" s="1818"/>
      <c r="AZ248" s="1818"/>
      <c r="BA248" s="1818"/>
      <c r="BB248" s="1818"/>
      <c r="BC248" s="1818"/>
      <c r="BD248" s="1818"/>
      <c r="BE248" s="1818"/>
      <c r="BF248" s="1818"/>
      <c r="BG248" s="1818"/>
      <c r="BH248" s="1818"/>
      <c r="BI248" s="1818"/>
      <c r="BJ248" s="1818"/>
      <c r="BK248" s="1818"/>
      <c r="BL248" s="1818"/>
      <c r="BM248" s="1818"/>
      <c r="BN248" s="1818"/>
      <c r="BO248" s="1818"/>
      <c r="BP248" s="1818"/>
      <c r="BQ248" s="1818"/>
      <c r="BR248" s="1818"/>
      <c r="BS248" s="1818"/>
      <c r="BT248" s="1818"/>
      <c r="BU248" s="1818"/>
      <c r="BV248" s="1818"/>
      <c r="BW248" s="1818"/>
      <c r="BX248" s="1818"/>
      <c r="BY248" s="1818"/>
      <c r="BZ248" s="1818"/>
      <c r="CA248" s="1890"/>
      <c r="CB248" s="1890"/>
      <c r="CC248" s="1890"/>
      <c r="CD248" s="1890"/>
      <c r="CE248" s="1890"/>
      <c r="CF248" s="1890"/>
      <c r="CG248" s="1890"/>
      <c r="CH248" s="1890"/>
      <c r="CI248" s="1890"/>
      <c r="CJ248" s="1890"/>
      <c r="CK248" s="1890"/>
      <c r="CL248" s="1890"/>
      <c r="CM248" s="1890"/>
      <c r="CN248" s="1890"/>
      <c r="CO248" s="1890"/>
      <c r="CP248" s="1890"/>
      <c r="CQ248" s="1890"/>
      <c r="CR248" s="1890"/>
      <c r="CS248" s="1890"/>
      <c r="CT248" s="1890"/>
      <c r="CU248" s="1890"/>
      <c r="CV248" s="1890"/>
      <c r="CW248" s="1890"/>
      <c r="CX248" s="1890"/>
      <c r="CY248" s="1890"/>
      <c r="CZ248" s="1890"/>
      <c r="DA248" s="1890"/>
      <c r="DB248" s="1890"/>
      <c r="DC248" s="1890"/>
      <c r="DD248" s="1890"/>
      <c r="DE248" s="1890"/>
      <c r="DF248" s="1890"/>
      <c r="DG248" s="1890"/>
      <c r="DH248" s="1890"/>
      <c r="DI248" s="1890"/>
      <c r="DJ248" s="1890"/>
      <c r="DK248" s="1890"/>
      <c r="DL248" s="1890"/>
      <c r="DM248" s="1890"/>
      <c r="DN248" s="1890"/>
      <c r="DO248" s="1890"/>
      <c r="DP248" s="1890"/>
      <c r="DQ248" s="1890"/>
      <c r="DR248" s="1890"/>
      <c r="DS248" s="1890"/>
      <c r="DT248" s="1890"/>
      <c r="DU248" s="1890"/>
      <c r="DV248" s="1890"/>
      <c r="DW248" s="1890"/>
      <c r="DX248" s="1890"/>
      <c r="DY248" s="1890"/>
      <c r="DZ248" s="1890"/>
      <c r="EA248" s="1890"/>
      <c r="EB248" s="1890"/>
      <c r="EC248" s="1890"/>
      <c r="ED248" s="1890"/>
      <c r="EE248" s="1890"/>
      <c r="EF248" s="1890"/>
      <c r="EG248" s="1890"/>
      <c r="EH248" s="1890"/>
      <c r="EI248" s="1890"/>
      <c r="EJ248" s="1890"/>
      <c r="EK248" s="1890"/>
      <c r="EL248" s="1890"/>
      <c r="EM248" s="1890"/>
      <c r="EN248" s="1890"/>
      <c r="EO248" s="1890"/>
      <c r="EP248" s="1890"/>
      <c r="EQ248" s="1890"/>
      <c r="ER248" s="1890"/>
      <c r="ES248" s="1890"/>
      <c r="ET248" s="1890"/>
      <c r="EU248" s="1890"/>
      <c r="EV248" s="1890"/>
      <c r="EW248" s="1890"/>
      <c r="EX248" s="1890"/>
      <c r="EY248" s="1890"/>
      <c r="EZ248" s="1890"/>
      <c r="FA248" s="1890"/>
      <c r="FB248" s="1890"/>
      <c r="FC248" s="1890"/>
      <c r="FD248" s="1890"/>
      <c r="FE248" s="1890"/>
      <c r="FF248" s="1890"/>
      <c r="FG248" s="1890"/>
      <c r="FH248" s="1890"/>
      <c r="FI248" s="1890"/>
      <c r="FJ248" s="1890"/>
      <c r="FK248" s="1890"/>
      <c r="FL248" s="1890"/>
      <c r="FM248" s="1890"/>
      <c r="FN248" s="1890"/>
      <c r="FO248" s="1890"/>
      <c r="FP248" s="1890"/>
      <c r="FQ248" s="1890"/>
      <c r="FR248" s="1890"/>
      <c r="FS248" s="1890"/>
      <c r="FT248" s="1890"/>
    </row>
    <row r="249" spans="1:176" s="1965" customFormat="1" ht="32.1" customHeight="1">
      <c r="A249" s="1899"/>
      <c r="B249" s="1805" t="s">
        <v>269</v>
      </c>
      <c r="C249" s="1837">
        <v>1</v>
      </c>
      <c r="D249" s="1829">
        <v>1</v>
      </c>
      <c r="E249" s="1829">
        <v>1</v>
      </c>
      <c r="F249" s="1829">
        <v>1</v>
      </c>
      <c r="G249" s="1846">
        <v>1</v>
      </c>
      <c r="H249" s="1829">
        <v>1</v>
      </c>
      <c r="I249" s="2086" t="s">
        <v>123</v>
      </c>
      <c r="J249" s="2217">
        <v>1</v>
      </c>
      <c r="K249" s="1917" t="s">
        <v>811</v>
      </c>
      <c r="L249" s="1794">
        <v>1</v>
      </c>
      <c r="M249" s="1917">
        <v>1</v>
      </c>
      <c r="N249" s="1941"/>
      <c r="O249" s="1941" t="s">
        <v>960</v>
      </c>
      <c r="P249" s="1975">
        <v>1</v>
      </c>
      <c r="Q249" s="1975">
        <v>0</v>
      </c>
      <c r="R249" s="2121"/>
      <c r="S249" s="2324" t="s">
        <v>960</v>
      </c>
      <c r="T249" s="1794" t="s">
        <v>7552</v>
      </c>
      <c r="U249" s="1794" t="s">
        <v>811</v>
      </c>
      <c r="V249" s="1794" t="s">
        <v>1003</v>
      </c>
      <c r="W249" s="1949"/>
      <c r="X249" s="1941" t="s">
        <v>960</v>
      </c>
      <c r="Y249" s="1818"/>
      <c r="Z249" s="1818"/>
      <c r="AA249" s="1818"/>
      <c r="AB249" s="1818"/>
      <c r="AC249" s="1818"/>
      <c r="AD249" s="1818"/>
      <c r="AE249" s="1818"/>
      <c r="AF249" s="1818"/>
      <c r="AG249" s="1818"/>
      <c r="AH249" s="1818"/>
      <c r="AI249" s="1818"/>
      <c r="AJ249" s="1818"/>
      <c r="AK249" s="1818"/>
      <c r="AL249" s="1818"/>
      <c r="AM249" s="1818"/>
      <c r="AN249" s="1818"/>
      <c r="AO249" s="1818"/>
      <c r="AP249" s="1818"/>
      <c r="AQ249" s="1818"/>
      <c r="AR249" s="1818"/>
      <c r="AS249" s="1818"/>
      <c r="AT249" s="1818"/>
      <c r="AU249" s="1818"/>
      <c r="AV249" s="1818"/>
      <c r="AW249" s="1818"/>
      <c r="AX249" s="1818"/>
      <c r="AY249" s="1818"/>
      <c r="AZ249" s="1818"/>
      <c r="BA249" s="1818"/>
      <c r="BB249" s="1818"/>
      <c r="BC249" s="1818"/>
      <c r="BD249" s="1818"/>
      <c r="BE249" s="1818"/>
      <c r="BF249" s="1818"/>
      <c r="BG249" s="1818"/>
      <c r="BH249" s="1818"/>
      <c r="BI249" s="1818"/>
      <c r="BJ249" s="1818"/>
      <c r="BK249" s="1818"/>
      <c r="BL249" s="1818"/>
      <c r="BM249" s="1818"/>
      <c r="BN249" s="1818"/>
      <c r="BO249" s="1818"/>
      <c r="BP249" s="1818"/>
      <c r="BQ249" s="1818"/>
      <c r="BR249" s="1818"/>
      <c r="BS249" s="1818"/>
      <c r="BT249" s="1818"/>
      <c r="BU249" s="1818"/>
      <c r="BV249" s="1818"/>
      <c r="BW249" s="1818"/>
      <c r="BX249" s="1818"/>
      <c r="BY249" s="1818"/>
      <c r="BZ249" s="1818"/>
      <c r="CA249" s="1890"/>
      <c r="CB249" s="1890"/>
      <c r="CC249" s="1890"/>
      <c r="CD249" s="1890"/>
      <c r="CE249" s="1890"/>
      <c r="CF249" s="1890"/>
      <c r="CG249" s="1890"/>
      <c r="CH249" s="1890"/>
      <c r="CI249" s="1890"/>
      <c r="CJ249" s="1890"/>
      <c r="CK249" s="1890"/>
      <c r="CL249" s="1890"/>
      <c r="CM249" s="1890"/>
      <c r="CN249" s="1890"/>
      <c r="CO249" s="1890"/>
      <c r="CP249" s="1890"/>
      <c r="CQ249" s="1890"/>
      <c r="CR249" s="1890"/>
      <c r="CS249" s="1890"/>
      <c r="CT249" s="1890"/>
      <c r="CU249" s="1890"/>
      <c r="CV249" s="1890"/>
      <c r="CW249" s="1890"/>
      <c r="CX249" s="1890"/>
      <c r="CY249" s="1890"/>
      <c r="CZ249" s="1890"/>
      <c r="DA249" s="1890"/>
      <c r="DB249" s="1890"/>
      <c r="DC249" s="1890"/>
      <c r="DD249" s="1890"/>
      <c r="DE249" s="1890"/>
      <c r="DF249" s="1890"/>
      <c r="DG249" s="1890"/>
      <c r="DH249" s="1890"/>
      <c r="DI249" s="1890"/>
      <c r="DJ249" s="1890"/>
      <c r="DK249" s="1890"/>
      <c r="DL249" s="1890"/>
      <c r="DM249" s="1890"/>
      <c r="DN249" s="1890"/>
      <c r="DO249" s="1890"/>
      <c r="DP249" s="1890"/>
      <c r="DQ249" s="1890"/>
      <c r="DR249" s="1890"/>
      <c r="DS249" s="1890"/>
      <c r="DT249" s="1890"/>
      <c r="DU249" s="1890"/>
      <c r="DV249" s="1890"/>
      <c r="DW249" s="1890"/>
      <c r="DX249" s="1890"/>
      <c r="DY249" s="1890"/>
      <c r="DZ249" s="1890"/>
      <c r="EA249" s="1890"/>
      <c r="EB249" s="1890"/>
      <c r="EC249" s="1890"/>
      <c r="ED249" s="1890"/>
      <c r="EE249" s="1890"/>
      <c r="EF249" s="1890"/>
      <c r="EG249" s="1890"/>
      <c r="EH249" s="1890"/>
      <c r="EI249" s="1890"/>
      <c r="EJ249" s="1890"/>
      <c r="EK249" s="1890"/>
      <c r="EL249" s="1890"/>
      <c r="EM249" s="1890"/>
      <c r="EN249" s="1890"/>
      <c r="EO249" s="1890"/>
      <c r="EP249" s="1890"/>
      <c r="EQ249" s="1890"/>
      <c r="ER249" s="1890"/>
      <c r="ES249" s="1890"/>
      <c r="ET249" s="1890"/>
      <c r="EU249" s="1890"/>
      <c r="EV249" s="1890"/>
      <c r="EW249" s="1890"/>
      <c r="EX249" s="1890"/>
      <c r="EY249" s="1890"/>
      <c r="EZ249" s="1890"/>
      <c r="FA249" s="1890"/>
      <c r="FB249" s="1890"/>
      <c r="FC249" s="1890"/>
      <c r="FD249" s="1890"/>
      <c r="FE249" s="1890"/>
      <c r="FF249" s="1890"/>
      <c r="FG249" s="1890"/>
      <c r="FH249" s="1890"/>
      <c r="FI249" s="1890"/>
      <c r="FJ249" s="1890"/>
      <c r="FK249" s="1890"/>
      <c r="FL249" s="1890"/>
      <c r="FM249" s="1890"/>
      <c r="FN249" s="1890"/>
      <c r="FO249" s="1890"/>
      <c r="FP249" s="1890"/>
      <c r="FQ249" s="1890"/>
      <c r="FR249" s="1890"/>
      <c r="FS249" s="1890"/>
      <c r="FT249" s="1890"/>
    </row>
    <row r="250" spans="1:176" s="1965" customFormat="1" ht="32.1" customHeight="1">
      <c r="A250" s="1899"/>
      <c r="B250" s="1805" t="s">
        <v>270</v>
      </c>
      <c r="C250" s="1837">
        <v>1</v>
      </c>
      <c r="D250" s="1829">
        <v>1</v>
      </c>
      <c r="E250" s="1829">
        <v>1</v>
      </c>
      <c r="F250" s="1829">
        <v>1</v>
      </c>
      <c r="G250" s="1846">
        <v>1</v>
      </c>
      <c r="H250" s="1829">
        <v>1</v>
      </c>
      <c r="I250" s="2086" t="s">
        <v>123</v>
      </c>
      <c r="J250" s="2217">
        <v>1</v>
      </c>
      <c r="K250" s="1917" t="s">
        <v>811</v>
      </c>
      <c r="L250" s="1794">
        <v>1</v>
      </c>
      <c r="M250" s="1917">
        <v>1</v>
      </c>
      <c r="N250" s="1941" t="s">
        <v>811</v>
      </c>
      <c r="O250" s="1941" t="s">
        <v>960</v>
      </c>
      <c r="P250" s="1975">
        <v>1</v>
      </c>
      <c r="Q250" s="1975">
        <v>0</v>
      </c>
      <c r="R250" s="2121"/>
      <c r="S250" s="2324" t="s">
        <v>811</v>
      </c>
      <c r="T250" s="1794" t="s">
        <v>7552</v>
      </c>
      <c r="U250" s="1794" t="s">
        <v>811</v>
      </c>
      <c r="V250" s="1794" t="s">
        <v>1003</v>
      </c>
      <c r="W250" s="1949" t="s">
        <v>811</v>
      </c>
      <c r="X250" s="1941" t="s">
        <v>960</v>
      </c>
      <c r="Y250" s="1818"/>
      <c r="Z250" s="1818"/>
      <c r="AA250" s="1818"/>
      <c r="AB250" s="1818"/>
      <c r="AC250" s="1818"/>
      <c r="AD250" s="1818"/>
      <c r="AE250" s="1818"/>
      <c r="AF250" s="1818"/>
      <c r="AG250" s="1818"/>
      <c r="AH250" s="1818"/>
      <c r="AI250" s="1818"/>
      <c r="AJ250" s="1818"/>
      <c r="AK250" s="1818"/>
      <c r="AL250" s="1818"/>
      <c r="AM250" s="1818"/>
      <c r="AN250" s="1818"/>
      <c r="AO250" s="1818"/>
      <c r="AP250" s="1818"/>
      <c r="AQ250" s="1818"/>
      <c r="AR250" s="1818"/>
      <c r="AS250" s="1818"/>
      <c r="AT250" s="1818"/>
      <c r="AU250" s="1818"/>
      <c r="AV250" s="1818"/>
      <c r="AW250" s="1818"/>
      <c r="AX250" s="1818"/>
      <c r="AY250" s="1818"/>
      <c r="AZ250" s="1818"/>
      <c r="BA250" s="1818"/>
      <c r="BB250" s="1818"/>
      <c r="BC250" s="1818"/>
      <c r="BD250" s="1818"/>
      <c r="BE250" s="1818"/>
      <c r="BF250" s="1818"/>
      <c r="BG250" s="1818"/>
      <c r="BH250" s="1818"/>
      <c r="BI250" s="1818"/>
      <c r="BJ250" s="1818"/>
      <c r="BK250" s="1818"/>
      <c r="BL250" s="1818"/>
      <c r="BM250" s="1818"/>
      <c r="BN250" s="1818"/>
      <c r="BO250" s="1818"/>
      <c r="BP250" s="1818"/>
      <c r="BQ250" s="1818"/>
      <c r="BR250" s="1818"/>
      <c r="BS250" s="1818"/>
      <c r="BT250" s="1818"/>
      <c r="BU250" s="1818"/>
      <c r="BV250" s="1818"/>
      <c r="BW250" s="1818"/>
      <c r="BX250" s="1818"/>
      <c r="BY250" s="1818"/>
      <c r="BZ250" s="1818"/>
      <c r="CA250" s="1890"/>
      <c r="CB250" s="1890"/>
      <c r="CC250" s="1890"/>
      <c r="CD250" s="1890"/>
      <c r="CE250" s="1890"/>
      <c r="CF250" s="1890"/>
      <c r="CG250" s="1890"/>
      <c r="CH250" s="1890"/>
      <c r="CI250" s="1890"/>
      <c r="CJ250" s="1890"/>
      <c r="CK250" s="1890"/>
      <c r="CL250" s="1890"/>
      <c r="CM250" s="1890"/>
      <c r="CN250" s="1890"/>
      <c r="CO250" s="1890"/>
      <c r="CP250" s="1890"/>
      <c r="CQ250" s="1890"/>
      <c r="CR250" s="1890"/>
      <c r="CS250" s="1890"/>
      <c r="CT250" s="1890"/>
      <c r="CU250" s="1890"/>
      <c r="CV250" s="1890"/>
      <c r="CW250" s="1890"/>
      <c r="CX250" s="1890"/>
      <c r="CY250" s="1890"/>
      <c r="CZ250" s="1890"/>
      <c r="DA250" s="1890"/>
      <c r="DB250" s="1890"/>
      <c r="DC250" s="1890"/>
      <c r="DD250" s="1890"/>
      <c r="DE250" s="1890"/>
      <c r="DF250" s="1890"/>
      <c r="DG250" s="1890"/>
      <c r="DH250" s="1890"/>
      <c r="DI250" s="1890"/>
      <c r="DJ250" s="1890"/>
      <c r="DK250" s="1890"/>
      <c r="DL250" s="1890"/>
      <c r="DM250" s="1890"/>
      <c r="DN250" s="1890"/>
      <c r="DO250" s="1890"/>
      <c r="DP250" s="1890"/>
      <c r="DQ250" s="1890"/>
      <c r="DR250" s="1890"/>
      <c r="DS250" s="1890"/>
      <c r="DT250" s="1890"/>
      <c r="DU250" s="1890"/>
      <c r="DV250" s="1890"/>
      <c r="DW250" s="1890"/>
      <c r="DX250" s="1890"/>
      <c r="DY250" s="1890"/>
      <c r="DZ250" s="1890"/>
      <c r="EA250" s="1890"/>
      <c r="EB250" s="1890"/>
      <c r="EC250" s="1890"/>
      <c r="ED250" s="1890"/>
      <c r="EE250" s="1890"/>
      <c r="EF250" s="1890"/>
      <c r="EG250" s="1890"/>
      <c r="EH250" s="1890"/>
      <c r="EI250" s="1890"/>
      <c r="EJ250" s="1890"/>
      <c r="EK250" s="1890"/>
      <c r="EL250" s="1890"/>
      <c r="EM250" s="1890"/>
      <c r="EN250" s="1890"/>
      <c r="EO250" s="1890"/>
      <c r="EP250" s="1890"/>
      <c r="EQ250" s="1890"/>
      <c r="ER250" s="1890"/>
      <c r="ES250" s="1890"/>
      <c r="ET250" s="1890"/>
      <c r="EU250" s="1890"/>
      <c r="EV250" s="1890"/>
      <c r="EW250" s="1890"/>
      <c r="EX250" s="1890"/>
      <c r="EY250" s="1890"/>
      <c r="EZ250" s="1890"/>
      <c r="FA250" s="1890"/>
      <c r="FB250" s="1890"/>
      <c r="FC250" s="1890"/>
      <c r="FD250" s="1890"/>
      <c r="FE250" s="1890"/>
      <c r="FF250" s="1890"/>
      <c r="FG250" s="1890"/>
      <c r="FH250" s="1890"/>
      <c r="FI250" s="1890"/>
      <c r="FJ250" s="1890"/>
      <c r="FK250" s="1890"/>
      <c r="FL250" s="1890"/>
      <c r="FM250" s="1890"/>
      <c r="FN250" s="1890"/>
      <c r="FO250" s="1890"/>
      <c r="FP250" s="1890"/>
      <c r="FQ250" s="1890"/>
      <c r="FR250" s="1890"/>
      <c r="FS250" s="1890"/>
      <c r="FT250" s="1890"/>
    </row>
    <row r="251" spans="1:176" s="1965" customFormat="1" ht="32.1" customHeight="1">
      <c r="A251" s="1899"/>
      <c r="B251" s="1805" t="s">
        <v>271</v>
      </c>
      <c r="C251" s="1837">
        <v>1</v>
      </c>
      <c r="D251" s="1829">
        <v>1</v>
      </c>
      <c r="E251" s="1829">
        <v>0</v>
      </c>
      <c r="F251" s="1829">
        <v>1</v>
      </c>
      <c r="G251" s="1829">
        <v>1</v>
      </c>
      <c r="H251" s="1829">
        <v>1</v>
      </c>
      <c r="I251" s="2086" t="s">
        <v>123</v>
      </c>
      <c r="J251" s="2217">
        <v>1</v>
      </c>
      <c r="K251" s="1917" t="s">
        <v>811</v>
      </c>
      <c r="L251" s="1794">
        <v>0</v>
      </c>
      <c r="M251" s="1917">
        <v>1</v>
      </c>
      <c r="N251" s="1917" t="s">
        <v>811</v>
      </c>
      <c r="O251" s="1917" t="s">
        <v>960</v>
      </c>
      <c r="P251" s="1975">
        <v>1</v>
      </c>
      <c r="Q251" s="1975">
        <v>0</v>
      </c>
      <c r="R251" s="2121"/>
      <c r="S251" s="2255" t="s">
        <v>811</v>
      </c>
      <c r="T251" s="1794" t="s">
        <v>7552</v>
      </c>
      <c r="U251" s="1794" t="s">
        <v>748</v>
      </c>
      <c r="V251" s="1794" t="s">
        <v>6137</v>
      </c>
      <c r="W251" s="1794" t="s">
        <v>811</v>
      </c>
      <c r="X251" s="1917" t="s">
        <v>960</v>
      </c>
      <c r="Y251" s="1818"/>
      <c r="Z251" s="1818"/>
      <c r="AA251" s="1818"/>
      <c r="AB251" s="1818"/>
      <c r="AC251" s="1818"/>
      <c r="AD251" s="1818"/>
      <c r="AE251" s="1818"/>
      <c r="AF251" s="1818"/>
      <c r="AG251" s="1818"/>
      <c r="AH251" s="1818"/>
      <c r="AI251" s="1818"/>
      <c r="AJ251" s="1818"/>
      <c r="AK251" s="1818"/>
      <c r="AL251" s="1818"/>
      <c r="AM251" s="1818"/>
      <c r="AN251" s="1818"/>
      <c r="AO251" s="1818"/>
      <c r="AP251" s="1818"/>
      <c r="AQ251" s="1818"/>
      <c r="AR251" s="1818"/>
      <c r="AS251" s="1818"/>
      <c r="AT251" s="1818"/>
      <c r="AU251" s="1818"/>
      <c r="AV251" s="1818"/>
      <c r="AW251" s="1818"/>
      <c r="AX251" s="1818"/>
      <c r="AY251" s="1818"/>
      <c r="AZ251" s="1818"/>
      <c r="BA251" s="1818"/>
      <c r="BB251" s="1818"/>
      <c r="BC251" s="1818"/>
      <c r="BD251" s="1818"/>
      <c r="BE251" s="1818"/>
      <c r="BF251" s="1818"/>
      <c r="BG251" s="1818"/>
      <c r="BH251" s="1818"/>
      <c r="BI251" s="1818"/>
      <c r="BJ251" s="1818"/>
      <c r="BK251" s="1818"/>
      <c r="BL251" s="1818"/>
      <c r="BM251" s="1818"/>
      <c r="BN251" s="1818"/>
      <c r="BO251" s="1818"/>
      <c r="BP251" s="1818"/>
      <c r="BQ251" s="1818"/>
      <c r="BR251" s="1818"/>
      <c r="BS251" s="1818"/>
      <c r="BT251" s="1818"/>
      <c r="BU251" s="1818"/>
      <c r="BV251" s="1818"/>
      <c r="BW251" s="1818"/>
      <c r="BX251" s="1818"/>
      <c r="BY251" s="1818"/>
      <c r="BZ251" s="1818"/>
      <c r="CA251" s="1890"/>
      <c r="CB251" s="1890"/>
      <c r="CC251" s="1890"/>
      <c r="CD251" s="1890"/>
      <c r="CE251" s="1890"/>
      <c r="CF251" s="1890"/>
      <c r="CG251" s="1890"/>
      <c r="CH251" s="1890"/>
      <c r="CI251" s="1890"/>
      <c r="CJ251" s="1890"/>
      <c r="CK251" s="1890"/>
      <c r="CL251" s="1890"/>
      <c r="CM251" s="1890"/>
      <c r="CN251" s="1890"/>
      <c r="CO251" s="1890"/>
      <c r="CP251" s="1890"/>
      <c r="CQ251" s="1890"/>
      <c r="CR251" s="1890"/>
      <c r="CS251" s="1890"/>
      <c r="CT251" s="1890"/>
      <c r="CU251" s="1890"/>
      <c r="CV251" s="1890"/>
      <c r="CW251" s="1890"/>
      <c r="CX251" s="1890"/>
      <c r="CY251" s="1890"/>
      <c r="CZ251" s="1890"/>
      <c r="DA251" s="1890"/>
      <c r="DB251" s="1890"/>
      <c r="DC251" s="1890"/>
      <c r="DD251" s="1890"/>
      <c r="DE251" s="1890"/>
      <c r="DF251" s="1890"/>
      <c r="DG251" s="1890"/>
      <c r="DH251" s="1890"/>
      <c r="DI251" s="1890"/>
      <c r="DJ251" s="1890"/>
      <c r="DK251" s="1890"/>
      <c r="DL251" s="1890"/>
      <c r="DM251" s="1890"/>
      <c r="DN251" s="1890"/>
      <c r="DO251" s="1890"/>
      <c r="DP251" s="1890"/>
      <c r="DQ251" s="1890"/>
      <c r="DR251" s="1890"/>
      <c r="DS251" s="1890"/>
      <c r="DT251" s="1890"/>
      <c r="DU251" s="1890"/>
      <c r="DV251" s="1890"/>
      <c r="DW251" s="1890"/>
      <c r="DX251" s="1890"/>
      <c r="DY251" s="1890"/>
      <c r="DZ251" s="1890"/>
      <c r="EA251" s="1890"/>
      <c r="EB251" s="1890"/>
      <c r="EC251" s="1890"/>
      <c r="ED251" s="1890"/>
      <c r="EE251" s="1890"/>
      <c r="EF251" s="1890"/>
      <c r="EG251" s="1890"/>
      <c r="EH251" s="1890"/>
      <c r="EI251" s="1890"/>
      <c r="EJ251" s="1890"/>
      <c r="EK251" s="1890"/>
      <c r="EL251" s="1890"/>
      <c r="EM251" s="1890"/>
      <c r="EN251" s="1890"/>
      <c r="EO251" s="1890"/>
      <c r="EP251" s="1890"/>
      <c r="EQ251" s="1890"/>
      <c r="ER251" s="1890"/>
      <c r="ES251" s="1890"/>
      <c r="ET251" s="1890"/>
      <c r="EU251" s="1890"/>
      <c r="EV251" s="1890"/>
      <c r="EW251" s="1890"/>
      <c r="EX251" s="1890"/>
      <c r="EY251" s="1890"/>
      <c r="EZ251" s="1890"/>
      <c r="FA251" s="1890"/>
      <c r="FB251" s="1890"/>
      <c r="FC251" s="1890"/>
      <c r="FD251" s="1890"/>
      <c r="FE251" s="1890"/>
      <c r="FF251" s="1890"/>
      <c r="FG251" s="1890"/>
      <c r="FH251" s="1890"/>
      <c r="FI251" s="1890"/>
      <c r="FJ251" s="1890"/>
      <c r="FK251" s="1890"/>
      <c r="FL251" s="1890"/>
      <c r="FM251" s="1890"/>
      <c r="FN251" s="1890"/>
      <c r="FO251" s="1890"/>
      <c r="FP251" s="1890"/>
      <c r="FQ251" s="1890"/>
      <c r="FR251" s="1890"/>
      <c r="FS251" s="1890"/>
      <c r="FT251" s="1890"/>
    </row>
    <row r="252" spans="1:176" s="1965" customFormat="1" ht="32.1" customHeight="1">
      <c r="A252" s="1899"/>
      <c r="B252" s="1805" t="s">
        <v>272</v>
      </c>
      <c r="C252" s="1837">
        <v>1</v>
      </c>
      <c r="D252" s="1829">
        <v>1</v>
      </c>
      <c r="E252" s="1829">
        <v>1</v>
      </c>
      <c r="F252" s="1829">
        <v>1</v>
      </c>
      <c r="G252" s="1846">
        <v>1</v>
      </c>
      <c r="H252" s="1829">
        <v>1</v>
      </c>
      <c r="I252" s="2086" t="s">
        <v>123</v>
      </c>
      <c r="J252" s="2217">
        <v>1</v>
      </c>
      <c r="K252" s="1917" t="s">
        <v>811</v>
      </c>
      <c r="L252" s="1794">
        <v>1</v>
      </c>
      <c r="M252" s="1917">
        <v>1</v>
      </c>
      <c r="N252" s="1941" t="s">
        <v>811</v>
      </c>
      <c r="O252" s="1941" t="s">
        <v>960</v>
      </c>
      <c r="P252" s="1975">
        <v>1</v>
      </c>
      <c r="Q252" s="1975">
        <v>0</v>
      </c>
      <c r="R252" s="2121"/>
      <c r="S252" s="2324" t="s">
        <v>811</v>
      </c>
      <c r="T252" s="1794" t="s">
        <v>7552</v>
      </c>
      <c r="U252" s="1794" t="s">
        <v>811</v>
      </c>
      <c r="V252" s="1794" t="s">
        <v>1003</v>
      </c>
      <c r="W252" s="1949" t="s">
        <v>811</v>
      </c>
      <c r="X252" s="1941" t="s">
        <v>960</v>
      </c>
      <c r="Y252" s="1818"/>
      <c r="Z252" s="1818"/>
      <c r="AA252" s="1818"/>
      <c r="AB252" s="1818"/>
      <c r="AC252" s="1818"/>
      <c r="AD252" s="1818"/>
      <c r="AE252" s="1818"/>
      <c r="AF252" s="1818"/>
      <c r="AG252" s="1818"/>
      <c r="AH252" s="1818"/>
      <c r="AI252" s="1818"/>
      <c r="AJ252" s="1818"/>
      <c r="AK252" s="1818"/>
      <c r="AL252" s="1818"/>
      <c r="AM252" s="1818"/>
      <c r="AN252" s="1818"/>
      <c r="AO252" s="1818"/>
      <c r="AP252" s="1818"/>
      <c r="AQ252" s="1818"/>
      <c r="AR252" s="1818"/>
      <c r="AS252" s="1818"/>
      <c r="AT252" s="1818"/>
      <c r="AU252" s="1818"/>
      <c r="AV252" s="1818"/>
      <c r="AW252" s="1818"/>
      <c r="AX252" s="1818"/>
      <c r="AY252" s="1818"/>
      <c r="AZ252" s="1818"/>
      <c r="BA252" s="1818"/>
      <c r="BB252" s="1818"/>
      <c r="BC252" s="1818"/>
      <c r="BD252" s="1818"/>
      <c r="BE252" s="1818"/>
      <c r="BF252" s="1818"/>
      <c r="BG252" s="1818"/>
      <c r="BH252" s="1818"/>
      <c r="BI252" s="1818"/>
      <c r="BJ252" s="1818"/>
      <c r="BK252" s="1818"/>
      <c r="BL252" s="1818"/>
      <c r="BM252" s="1818"/>
      <c r="BN252" s="1818"/>
      <c r="BO252" s="1818"/>
      <c r="BP252" s="1818"/>
      <c r="BQ252" s="1818"/>
      <c r="BR252" s="1818"/>
      <c r="BS252" s="1818"/>
      <c r="BT252" s="1818"/>
      <c r="BU252" s="1818"/>
      <c r="BV252" s="1818"/>
      <c r="BW252" s="1818"/>
      <c r="BX252" s="1818"/>
      <c r="BY252" s="1818"/>
      <c r="BZ252" s="1818"/>
      <c r="CA252" s="1890"/>
      <c r="CB252" s="1890"/>
      <c r="CC252" s="1890"/>
      <c r="CD252" s="1890"/>
      <c r="CE252" s="1890"/>
      <c r="CF252" s="1890"/>
      <c r="CG252" s="1890"/>
      <c r="CH252" s="1890"/>
      <c r="CI252" s="1890"/>
      <c r="CJ252" s="1890"/>
      <c r="CK252" s="1890"/>
      <c r="CL252" s="1890"/>
      <c r="CM252" s="1890"/>
      <c r="CN252" s="1890"/>
      <c r="CO252" s="1890"/>
      <c r="CP252" s="1890"/>
      <c r="CQ252" s="1890"/>
      <c r="CR252" s="1890"/>
      <c r="CS252" s="1890"/>
      <c r="CT252" s="1890"/>
      <c r="CU252" s="1890"/>
      <c r="CV252" s="1890"/>
      <c r="CW252" s="1890"/>
      <c r="CX252" s="1890"/>
      <c r="CY252" s="1890"/>
      <c r="CZ252" s="1890"/>
      <c r="DA252" s="1890"/>
      <c r="DB252" s="1890"/>
      <c r="DC252" s="1890"/>
      <c r="DD252" s="1890"/>
      <c r="DE252" s="1890"/>
      <c r="DF252" s="1890"/>
      <c r="DG252" s="1890"/>
      <c r="DH252" s="1890"/>
      <c r="DI252" s="1890"/>
      <c r="DJ252" s="1890"/>
      <c r="DK252" s="1890"/>
      <c r="DL252" s="1890"/>
      <c r="DM252" s="1890"/>
      <c r="DN252" s="1890"/>
      <c r="DO252" s="1890"/>
      <c r="DP252" s="1890"/>
      <c r="DQ252" s="1890"/>
      <c r="DR252" s="1890"/>
      <c r="DS252" s="1890"/>
      <c r="DT252" s="1890"/>
      <c r="DU252" s="1890"/>
      <c r="DV252" s="1890"/>
      <c r="DW252" s="1890"/>
      <c r="DX252" s="1890"/>
      <c r="DY252" s="1890"/>
      <c r="DZ252" s="1890"/>
      <c r="EA252" s="1890"/>
      <c r="EB252" s="1890"/>
      <c r="EC252" s="1890"/>
      <c r="ED252" s="1890"/>
      <c r="EE252" s="1890"/>
      <c r="EF252" s="1890"/>
      <c r="EG252" s="1890"/>
      <c r="EH252" s="1890"/>
      <c r="EI252" s="1890"/>
      <c r="EJ252" s="1890"/>
      <c r="EK252" s="1890"/>
      <c r="EL252" s="1890"/>
      <c r="EM252" s="1890"/>
      <c r="EN252" s="1890"/>
      <c r="EO252" s="1890"/>
      <c r="EP252" s="1890"/>
      <c r="EQ252" s="1890"/>
      <c r="ER252" s="1890"/>
      <c r="ES252" s="1890"/>
      <c r="ET252" s="1890"/>
      <c r="EU252" s="1890"/>
      <c r="EV252" s="1890"/>
      <c r="EW252" s="1890"/>
      <c r="EX252" s="1890"/>
      <c r="EY252" s="1890"/>
      <c r="EZ252" s="1890"/>
      <c r="FA252" s="1890"/>
      <c r="FB252" s="1890"/>
      <c r="FC252" s="1890"/>
      <c r="FD252" s="1890"/>
      <c r="FE252" s="1890"/>
      <c r="FF252" s="1890"/>
      <c r="FG252" s="1890"/>
      <c r="FH252" s="1890"/>
      <c r="FI252" s="1890"/>
      <c r="FJ252" s="1890"/>
      <c r="FK252" s="1890"/>
      <c r="FL252" s="1890"/>
      <c r="FM252" s="1890"/>
      <c r="FN252" s="1890"/>
      <c r="FO252" s="1890"/>
      <c r="FP252" s="1890"/>
      <c r="FQ252" s="1890"/>
      <c r="FR252" s="1890"/>
      <c r="FS252" s="1890"/>
      <c r="FT252" s="1890"/>
    </row>
    <row r="253" spans="1:176" s="1965" customFormat="1" ht="96.95" customHeight="1">
      <c r="A253" s="1899"/>
      <c r="B253" s="1805" t="s">
        <v>273</v>
      </c>
      <c r="C253" s="1837">
        <v>1</v>
      </c>
      <c r="D253" s="1829">
        <v>1</v>
      </c>
      <c r="E253" s="1829">
        <v>1</v>
      </c>
      <c r="F253" s="1829">
        <v>1</v>
      </c>
      <c r="G253" s="1846">
        <v>1</v>
      </c>
      <c r="H253" s="1829">
        <v>1</v>
      </c>
      <c r="I253" s="2086" t="s">
        <v>123</v>
      </c>
      <c r="J253" s="2217">
        <v>1</v>
      </c>
      <c r="K253" s="1917" t="s">
        <v>811</v>
      </c>
      <c r="L253" s="1794">
        <v>1</v>
      </c>
      <c r="M253" s="1917">
        <v>1</v>
      </c>
      <c r="N253" s="1941" t="s">
        <v>811</v>
      </c>
      <c r="O253" s="1941" t="s">
        <v>960</v>
      </c>
      <c r="P253" s="1975">
        <v>1</v>
      </c>
      <c r="Q253" s="1975">
        <v>0</v>
      </c>
      <c r="R253" s="2121"/>
      <c r="S253" s="2324" t="s">
        <v>811</v>
      </c>
      <c r="T253" s="1794" t="s">
        <v>7552</v>
      </c>
      <c r="U253" s="1794" t="s">
        <v>811</v>
      </c>
      <c r="V253" s="1794" t="s">
        <v>7908</v>
      </c>
      <c r="W253" s="1949" t="s">
        <v>811</v>
      </c>
      <c r="X253" s="1941" t="s">
        <v>1060</v>
      </c>
      <c r="Y253" s="1818"/>
      <c r="Z253" s="1818"/>
      <c r="AA253" s="1818"/>
      <c r="AB253" s="1818"/>
      <c r="AC253" s="1818"/>
      <c r="AD253" s="1818"/>
      <c r="AE253" s="1818"/>
      <c r="AF253" s="1818"/>
      <c r="AG253" s="1818"/>
      <c r="AH253" s="1818"/>
      <c r="AI253" s="1818"/>
      <c r="AJ253" s="1818"/>
      <c r="AK253" s="1818"/>
      <c r="AL253" s="1818"/>
      <c r="AM253" s="1818"/>
      <c r="AN253" s="1818"/>
      <c r="AO253" s="1818"/>
      <c r="AP253" s="1818"/>
      <c r="AQ253" s="1818"/>
      <c r="AR253" s="1818"/>
      <c r="AS253" s="1818"/>
      <c r="AT253" s="1818"/>
      <c r="AU253" s="1818"/>
      <c r="AV253" s="1818"/>
      <c r="AW253" s="1818"/>
      <c r="AX253" s="1818"/>
      <c r="AY253" s="1818"/>
      <c r="AZ253" s="1818"/>
      <c r="BA253" s="1818"/>
      <c r="BB253" s="1818"/>
      <c r="BC253" s="1818"/>
      <c r="BD253" s="1818"/>
      <c r="BE253" s="1818"/>
      <c r="BF253" s="1818"/>
      <c r="BG253" s="1818"/>
      <c r="BH253" s="1818"/>
      <c r="BI253" s="1818"/>
      <c r="BJ253" s="1818"/>
      <c r="BK253" s="1818"/>
      <c r="BL253" s="1818"/>
      <c r="BM253" s="1818"/>
      <c r="BN253" s="1818"/>
      <c r="BO253" s="1818"/>
      <c r="BP253" s="1818"/>
      <c r="BQ253" s="1818"/>
      <c r="BR253" s="1818"/>
      <c r="BS253" s="1818"/>
      <c r="BT253" s="1818"/>
      <c r="BU253" s="1818"/>
      <c r="BV253" s="1818"/>
      <c r="BW253" s="1818"/>
      <c r="BX253" s="1818"/>
      <c r="BY253" s="1818"/>
      <c r="BZ253" s="1818"/>
      <c r="CA253" s="1890"/>
      <c r="CB253" s="1890"/>
      <c r="CC253" s="1890"/>
      <c r="CD253" s="1890"/>
      <c r="CE253" s="1890"/>
      <c r="CF253" s="1890"/>
      <c r="CG253" s="1890"/>
      <c r="CH253" s="1890"/>
      <c r="CI253" s="1890"/>
      <c r="CJ253" s="1890"/>
      <c r="CK253" s="1890"/>
      <c r="CL253" s="1890"/>
      <c r="CM253" s="1890"/>
      <c r="CN253" s="1890"/>
      <c r="CO253" s="1890"/>
      <c r="CP253" s="1890"/>
      <c r="CQ253" s="1890"/>
      <c r="CR253" s="1890"/>
      <c r="CS253" s="1890"/>
      <c r="CT253" s="1890"/>
      <c r="CU253" s="1890"/>
      <c r="CV253" s="1890"/>
      <c r="CW253" s="1890"/>
      <c r="CX253" s="1890"/>
      <c r="CY253" s="1890"/>
      <c r="CZ253" s="1890"/>
      <c r="DA253" s="1890"/>
      <c r="DB253" s="1890"/>
      <c r="DC253" s="1890"/>
      <c r="DD253" s="1890"/>
      <c r="DE253" s="1890"/>
      <c r="DF253" s="1890"/>
      <c r="DG253" s="1890"/>
      <c r="DH253" s="1890"/>
      <c r="DI253" s="1890"/>
      <c r="DJ253" s="1890"/>
      <c r="DK253" s="1890"/>
      <c r="DL253" s="1890"/>
      <c r="DM253" s="1890"/>
      <c r="DN253" s="1890"/>
      <c r="DO253" s="1890"/>
      <c r="DP253" s="1890"/>
      <c r="DQ253" s="1890"/>
      <c r="DR253" s="1890"/>
      <c r="DS253" s="1890"/>
      <c r="DT253" s="1890"/>
      <c r="DU253" s="1890"/>
      <c r="DV253" s="1890"/>
      <c r="DW253" s="1890"/>
      <c r="DX253" s="1890"/>
      <c r="DY253" s="1890"/>
      <c r="DZ253" s="1890"/>
      <c r="EA253" s="1890"/>
      <c r="EB253" s="1890"/>
      <c r="EC253" s="1890"/>
      <c r="ED253" s="1890"/>
      <c r="EE253" s="1890"/>
      <c r="EF253" s="1890"/>
      <c r="EG253" s="1890"/>
      <c r="EH253" s="1890"/>
      <c r="EI253" s="1890"/>
      <c r="EJ253" s="1890"/>
      <c r="EK253" s="1890"/>
      <c r="EL253" s="1890"/>
      <c r="EM253" s="1890"/>
      <c r="EN253" s="1890"/>
      <c r="EO253" s="1890"/>
      <c r="EP253" s="1890"/>
      <c r="EQ253" s="1890"/>
      <c r="ER253" s="1890"/>
      <c r="ES253" s="1890"/>
      <c r="ET253" s="1890"/>
      <c r="EU253" s="1890"/>
      <c r="EV253" s="1890"/>
      <c r="EW253" s="1890"/>
      <c r="EX253" s="1890"/>
      <c r="EY253" s="1890"/>
      <c r="EZ253" s="1890"/>
      <c r="FA253" s="1890"/>
      <c r="FB253" s="1890"/>
      <c r="FC253" s="1890"/>
      <c r="FD253" s="1890"/>
      <c r="FE253" s="1890"/>
      <c r="FF253" s="1890"/>
      <c r="FG253" s="1890"/>
      <c r="FH253" s="1890"/>
      <c r="FI253" s="1890"/>
      <c r="FJ253" s="1890"/>
      <c r="FK253" s="1890"/>
      <c r="FL253" s="1890"/>
      <c r="FM253" s="1890"/>
      <c r="FN253" s="1890"/>
      <c r="FO253" s="1890"/>
      <c r="FP253" s="1890"/>
      <c r="FQ253" s="1890"/>
      <c r="FR253" s="1890"/>
      <c r="FS253" s="1890"/>
      <c r="FT253" s="1890"/>
    </row>
    <row r="254" spans="1:176" s="1965" customFormat="1" ht="156" customHeight="1">
      <c r="A254" s="1899"/>
      <c r="B254" s="1805" t="s">
        <v>274</v>
      </c>
      <c r="C254" s="1837">
        <v>0.5</v>
      </c>
      <c r="D254" s="1829">
        <v>0.5</v>
      </c>
      <c r="E254" s="1829">
        <v>0</v>
      </c>
      <c r="F254" s="1829">
        <v>1</v>
      </c>
      <c r="G254" s="1846">
        <v>0</v>
      </c>
      <c r="H254" s="1829">
        <v>0</v>
      </c>
      <c r="I254" s="2086" t="s">
        <v>123</v>
      </c>
      <c r="J254" s="2217">
        <v>0</v>
      </c>
      <c r="K254" s="1917" t="s">
        <v>5427</v>
      </c>
      <c r="L254" s="1794">
        <v>0</v>
      </c>
      <c r="M254" s="1917">
        <v>1</v>
      </c>
      <c r="N254" s="1941" t="s">
        <v>748</v>
      </c>
      <c r="O254" s="1941" t="s">
        <v>1060</v>
      </c>
      <c r="P254" s="1975">
        <v>1</v>
      </c>
      <c r="Q254" s="1975">
        <v>0</v>
      </c>
      <c r="R254" s="2121"/>
      <c r="S254" s="2248" t="s">
        <v>8162</v>
      </c>
      <c r="T254" s="1794" t="s">
        <v>7553</v>
      </c>
      <c r="U254" s="1794" t="s">
        <v>748</v>
      </c>
      <c r="V254" s="1794" t="s">
        <v>7909</v>
      </c>
      <c r="W254" s="1949" t="s">
        <v>748</v>
      </c>
      <c r="X254" s="1941" t="s">
        <v>1060</v>
      </c>
      <c r="Y254" s="1818"/>
      <c r="Z254" s="1818"/>
      <c r="AA254" s="1818"/>
      <c r="AB254" s="1818"/>
      <c r="AC254" s="1818"/>
      <c r="AD254" s="1818"/>
      <c r="AE254" s="1818"/>
      <c r="AF254" s="1818"/>
      <c r="AG254" s="1818"/>
      <c r="AH254" s="1818"/>
      <c r="AI254" s="1818"/>
      <c r="AJ254" s="1818"/>
      <c r="AK254" s="1818"/>
      <c r="AL254" s="1818"/>
      <c r="AM254" s="1818"/>
      <c r="AN254" s="1818"/>
      <c r="AO254" s="1818"/>
      <c r="AP254" s="1818"/>
      <c r="AQ254" s="1818"/>
      <c r="AR254" s="1818"/>
      <c r="AS254" s="1818"/>
      <c r="AT254" s="1818"/>
      <c r="AU254" s="1818"/>
      <c r="AV254" s="1818"/>
      <c r="AW254" s="1818"/>
      <c r="AX254" s="1818"/>
      <c r="AY254" s="1818"/>
      <c r="AZ254" s="1818"/>
      <c r="BA254" s="1818"/>
      <c r="BB254" s="1818"/>
      <c r="BC254" s="1818"/>
      <c r="BD254" s="1818"/>
      <c r="BE254" s="1818"/>
      <c r="BF254" s="1818"/>
      <c r="BG254" s="1818"/>
      <c r="BH254" s="1818"/>
      <c r="BI254" s="1818"/>
      <c r="BJ254" s="1818"/>
      <c r="BK254" s="1818"/>
      <c r="BL254" s="1818"/>
      <c r="BM254" s="1818"/>
      <c r="BN254" s="1818"/>
      <c r="BO254" s="1818"/>
      <c r="BP254" s="1818"/>
      <c r="BQ254" s="1818"/>
      <c r="BR254" s="1818"/>
      <c r="BS254" s="1818"/>
      <c r="BT254" s="1818"/>
      <c r="BU254" s="1818"/>
      <c r="BV254" s="1818"/>
      <c r="BW254" s="1818"/>
      <c r="BX254" s="1818"/>
      <c r="BY254" s="1818"/>
      <c r="BZ254" s="1818"/>
      <c r="CA254" s="1890"/>
      <c r="CB254" s="1890"/>
      <c r="CC254" s="1890"/>
      <c r="CD254" s="1890"/>
      <c r="CE254" s="1890"/>
      <c r="CF254" s="1890"/>
      <c r="CG254" s="1890"/>
      <c r="CH254" s="1890"/>
      <c r="CI254" s="1890"/>
      <c r="CJ254" s="1890"/>
      <c r="CK254" s="1890"/>
      <c r="CL254" s="1890"/>
      <c r="CM254" s="1890"/>
      <c r="CN254" s="1890"/>
      <c r="CO254" s="1890"/>
      <c r="CP254" s="1890"/>
      <c r="CQ254" s="1890"/>
      <c r="CR254" s="1890"/>
      <c r="CS254" s="1890"/>
      <c r="CT254" s="1890"/>
      <c r="CU254" s="1890"/>
      <c r="CV254" s="1890"/>
      <c r="CW254" s="1890"/>
      <c r="CX254" s="1890"/>
      <c r="CY254" s="1890"/>
      <c r="CZ254" s="1890"/>
      <c r="DA254" s="1890"/>
      <c r="DB254" s="1890"/>
      <c r="DC254" s="1890"/>
      <c r="DD254" s="1890"/>
      <c r="DE254" s="1890"/>
      <c r="DF254" s="1890"/>
      <c r="DG254" s="1890"/>
      <c r="DH254" s="1890"/>
      <c r="DI254" s="1890"/>
      <c r="DJ254" s="1890"/>
      <c r="DK254" s="1890"/>
      <c r="DL254" s="1890"/>
      <c r="DM254" s="1890"/>
      <c r="DN254" s="1890"/>
      <c r="DO254" s="1890"/>
      <c r="DP254" s="1890"/>
      <c r="DQ254" s="1890"/>
      <c r="DR254" s="1890"/>
      <c r="DS254" s="1890"/>
      <c r="DT254" s="1890"/>
      <c r="DU254" s="1890"/>
      <c r="DV254" s="1890"/>
      <c r="DW254" s="1890"/>
      <c r="DX254" s="1890"/>
      <c r="DY254" s="1890"/>
      <c r="DZ254" s="1890"/>
      <c r="EA254" s="1890"/>
      <c r="EB254" s="1890"/>
      <c r="EC254" s="1890"/>
      <c r="ED254" s="1890"/>
      <c r="EE254" s="1890"/>
      <c r="EF254" s="1890"/>
      <c r="EG254" s="1890"/>
      <c r="EH254" s="1890"/>
      <c r="EI254" s="1890"/>
      <c r="EJ254" s="1890"/>
      <c r="EK254" s="1890"/>
      <c r="EL254" s="1890"/>
      <c r="EM254" s="1890"/>
      <c r="EN254" s="1890"/>
      <c r="EO254" s="1890"/>
      <c r="EP254" s="1890"/>
      <c r="EQ254" s="1890"/>
      <c r="ER254" s="1890"/>
      <c r="ES254" s="1890"/>
      <c r="ET254" s="1890"/>
      <c r="EU254" s="1890"/>
      <c r="EV254" s="1890"/>
      <c r="EW254" s="1890"/>
      <c r="EX254" s="1890"/>
      <c r="EY254" s="1890"/>
      <c r="EZ254" s="1890"/>
      <c r="FA254" s="1890"/>
      <c r="FB254" s="1890"/>
      <c r="FC254" s="1890"/>
      <c r="FD254" s="1890"/>
      <c r="FE254" s="1890"/>
      <c r="FF254" s="1890"/>
      <c r="FG254" s="1890"/>
      <c r="FH254" s="1890"/>
      <c r="FI254" s="1890"/>
      <c r="FJ254" s="1890"/>
      <c r="FK254" s="1890"/>
      <c r="FL254" s="1890"/>
      <c r="FM254" s="1890"/>
      <c r="FN254" s="1890"/>
      <c r="FO254" s="1890"/>
      <c r="FP254" s="1890"/>
      <c r="FQ254" s="1890"/>
      <c r="FR254" s="1890"/>
      <c r="FS254" s="1890"/>
      <c r="FT254" s="1890"/>
    </row>
    <row r="255" spans="1:176" s="1965" customFormat="1" ht="32.1" customHeight="1">
      <c r="A255" s="1899"/>
      <c r="B255" s="1805" t="s">
        <v>275</v>
      </c>
      <c r="C255" s="1837">
        <v>0.5</v>
      </c>
      <c r="D255" s="1846">
        <v>0</v>
      </c>
      <c r="E255" s="1829">
        <v>0</v>
      </c>
      <c r="F255" s="1829">
        <v>1</v>
      </c>
      <c r="G255" s="1829">
        <v>0</v>
      </c>
      <c r="H255" s="1829">
        <v>0</v>
      </c>
      <c r="I255" s="2086" t="s">
        <v>123</v>
      </c>
      <c r="J255" s="2217">
        <v>0</v>
      </c>
      <c r="K255" s="1917" t="s">
        <v>748</v>
      </c>
      <c r="L255" s="1794">
        <v>0</v>
      </c>
      <c r="M255" s="1917">
        <v>1</v>
      </c>
      <c r="N255" s="1917" t="s">
        <v>748</v>
      </c>
      <c r="O255" s="1917" t="s">
        <v>1060</v>
      </c>
      <c r="P255" s="1975">
        <v>1</v>
      </c>
      <c r="Q255" s="1975">
        <v>0</v>
      </c>
      <c r="R255" s="2121"/>
      <c r="S255" s="2324" t="s">
        <v>9159</v>
      </c>
      <c r="T255" s="1794"/>
      <c r="U255" s="1794" t="s">
        <v>748</v>
      </c>
      <c r="V255" s="1794" t="s">
        <v>6137</v>
      </c>
      <c r="W255" s="1794" t="s">
        <v>748</v>
      </c>
      <c r="X255" s="1917" t="s">
        <v>1060</v>
      </c>
      <c r="Y255" s="1818"/>
      <c r="Z255" s="1818"/>
      <c r="AA255" s="1818"/>
      <c r="AB255" s="1818"/>
      <c r="AC255" s="1818"/>
      <c r="AD255" s="1818"/>
      <c r="AE255" s="1818"/>
      <c r="AF255" s="1818"/>
      <c r="AG255" s="1818"/>
      <c r="AH255" s="1818"/>
      <c r="AI255" s="1818"/>
      <c r="AJ255" s="1818"/>
      <c r="AK255" s="1818"/>
      <c r="AL255" s="1818"/>
      <c r="AM255" s="1818"/>
      <c r="AN255" s="1818"/>
      <c r="AO255" s="1818"/>
      <c r="AP255" s="1818"/>
      <c r="AQ255" s="1818"/>
      <c r="AR255" s="1818"/>
      <c r="AS255" s="1818"/>
      <c r="AT255" s="1818"/>
      <c r="AU255" s="1818"/>
      <c r="AV255" s="1818"/>
      <c r="AW255" s="1818"/>
      <c r="AX255" s="1818"/>
      <c r="AY255" s="1818"/>
      <c r="AZ255" s="1818"/>
      <c r="BA255" s="1818"/>
      <c r="BB255" s="1818"/>
      <c r="BC255" s="1818"/>
      <c r="BD255" s="1818"/>
      <c r="BE255" s="1818"/>
      <c r="BF255" s="1818"/>
      <c r="BG255" s="1818"/>
      <c r="BH255" s="1818"/>
      <c r="BI255" s="1818"/>
      <c r="BJ255" s="1818"/>
      <c r="BK255" s="1818"/>
      <c r="BL255" s="1818"/>
      <c r="BM255" s="1818"/>
      <c r="BN255" s="1818"/>
      <c r="BO255" s="1818"/>
      <c r="BP255" s="1818"/>
      <c r="BQ255" s="1818"/>
      <c r="BR255" s="1818"/>
      <c r="BS255" s="1818"/>
      <c r="BT255" s="1818"/>
      <c r="BU255" s="1818"/>
      <c r="BV255" s="1818"/>
      <c r="BW255" s="1818"/>
      <c r="BX255" s="1818"/>
      <c r="BY255" s="1818"/>
      <c r="BZ255" s="1818"/>
      <c r="CA255" s="1890"/>
      <c r="CB255" s="1890"/>
      <c r="CC255" s="1890"/>
      <c r="CD255" s="1890"/>
      <c r="CE255" s="1890"/>
      <c r="CF255" s="1890"/>
      <c r="CG255" s="1890"/>
      <c r="CH255" s="1890"/>
      <c r="CI255" s="1890"/>
      <c r="CJ255" s="1890"/>
      <c r="CK255" s="1890"/>
      <c r="CL255" s="1890"/>
      <c r="CM255" s="1890"/>
      <c r="CN255" s="1890"/>
      <c r="CO255" s="1890"/>
      <c r="CP255" s="1890"/>
      <c r="CQ255" s="1890"/>
      <c r="CR255" s="1890"/>
      <c r="CS255" s="1890"/>
      <c r="CT255" s="1890"/>
      <c r="CU255" s="1890"/>
      <c r="CV255" s="1890"/>
      <c r="CW255" s="1890"/>
      <c r="CX255" s="1890"/>
      <c r="CY255" s="1890"/>
      <c r="CZ255" s="1890"/>
      <c r="DA255" s="1890"/>
      <c r="DB255" s="1890"/>
      <c r="DC255" s="1890"/>
      <c r="DD255" s="1890"/>
      <c r="DE255" s="1890"/>
      <c r="DF255" s="1890"/>
      <c r="DG255" s="1890"/>
      <c r="DH255" s="1890"/>
      <c r="DI255" s="1890"/>
      <c r="DJ255" s="1890"/>
      <c r="DK255" s="1890"/>
      <c r="DL255" s="1890"/>
      <c r="DM255" s="1890"/>
      <c r="DN255" s="1890"/>
      <c r="DO255" s="1890"/>
      <c r="DP255" s="1890"/>
      <c r="DQ255" s="1890"/>
      <c r="DR255" s="1890"/>
      <c r="DS255" s="1890"/>
      <c r="DT255" s="1890"/>
      <c r="DU255" s="1890"/>
      <c r="DV255" s="1890"/>
      <c r="DW255" s="1890"/>
      <c r="DX255" s="1890"/>
      <c r="DY255" s="1890"/>
      <c r="DZ255" s="1890"/>
      <c r="EA255" s="1890"/>
      <c r="EB255" s="1890"/>
      <c r="EC255" s="1890"/>
      <c r="ED255" s="1890"/>
      <c r="EE255" s="1890"/>
      <c r="EF255" s="1890"/>
      <c r="EG255" s="1890"/>
      <c r="EH255" s="1890"/>
      <c r="EI255" s="1890"/>
      <c r="EJ255" s="1890"/>
      <c r="EK255" s="1890"/>
      <c r="EL255" s="1890"/>
      <c r="EM255" s="1890"/>
      <c r="EN255" s="1890"/>
      <c r="EO255" s="1890"/>
      <c r="EP255" s="1890"/>
      <c r="EQ255" s="1890"/>
      <c r="ER255" s="1890"/>
      <c r="ES255" s="1890"/>
      <c r="ET255" s="1890"/>
      <c r="EU255" s="1890"/>
      <c r="EV255" s="1890"/>
      <c r="EW255" s="1890"/>
      <c r="EX255" s="1890"/>
      <c r="EY255" s="1890"/>
      <c r="EZ255" s="1890"/>
      <c r="FA255" s="1890"/>
      <c r="FB255" s="1890"/>
      <c r="FC255" s="1890"/>
      <c r="FD255" s="1890"/>
      <c r="FE255" s="1890"/>
      <c r="FF255" s="1890"/>
      <c r="FG255" s="1890"/>
      <c r="FH255" s="1890"/>
      <c r="FI255" s="1890"/>
      <c r="FJ255" s="1890"/>
      <c r="FK255" s="1890"/>
      <c r="FL255" s="1890"/>
      <c r="FM255" s="1890"/>
      <c r="FN255" s="1890"/>
      <c r="FO255" s="1890"/>
      <c r="FP255" s="1890"/>
      <c r="FQ255" s="1890"/>
      <c r="FR255" s="1890"/>
      <c r="FS255" s="1890"/>
      <c r="FT255" s="1890"/>
    </row>
    <row r="256" spans="1:176" s="1965" customFormat="1" ht="32.1" customHeight="1">
      <c r="A256" s="1899"/>
      <c r="B256" s="1805" t="s">
        <v>276</v>
      </c>
      <c r="C256" s="1837">
        <v>1</v>
      </c>
      <c r="D256" s="1829">
        <v>1</v>
      </c>
      <c r="E256" s="1829">
        <v>1</v>
      </c>
      <c r="F256" s="1829">
        <v>1</v>
      </c>
      <c r="G256" s="1846">
        <v>1</v>
      </c>
      <c r="H256" s="1829">
        <v>1</v>
      </c>
      <c r="I256" s="2086" t="s">
        <v>123</v>
      </c>
      <c r="J256" s="2217">
        <v>1</v>
      </c>
      <c r="K256" s="1917" t="s">
        <v>811</v>
      </c>
      <c r="L256" s="1794">
        <v>1</v>
      </c>
      <c r="M256" s="1917">
        <v>1</v>
      </c>
      <c r="N256" s="1941" t="s">
        <v>811</v>
      </c>
      <c r="O256" s="1941" t="s">
        <v>960</v>
      </c>
      <c r="P256" s="1975">
        <v>1</v>
      </c>
      <c r="Q256" s="1975">
        <v>0</v>
      </c>
      <c r="R256" s="2121"/>
      <c r="S256" s="2324" t="s">
        <v>811</v>
      </c>
      <c r="T256" s="1794" t="s">
        <v>7552</v>
      </c>
      <c r="U256" s="1794" t="s">
        <v>811</v>
      </c>
      <c r="V256" s="1794" t="s">
        <v>7910</v>
      </c>
      <c r="W256" s="1949" t="s">
        <v>811</v>
      </c>
      <c r="X256" s="1941" t="s">
        <v>960</v>
      </c>
      <c r="Y256" s="1818"/>
      <c r="Z256" s="1818"/>
      <c r="AA256" s="1818"/>
      <c r="AB256" s="1818"/>
      <c r="AC256" s="1818"/>
      <c r="AD256" s="1818"/>
      <c r="AE256" s="1818"/>
      <c r="AF256" s="1818"/>
      <c r="AG256" s="1818"/>
      <c r="AH256" s="1818"/>
      <c r="AI256" s="1818"/>
      <c r="AJ256" s="1818"/>
      <c r="AK256" s="1818"/>
      <c r="AL256" s="1818"/>
      <c r="AM256" s="1818"/>
      <c r="AN256" s="1818"/>
      <c r="AO256" s="1818"/>
      <c r="AP256" s="1818"/>
      <c r="AQ256" s="1818"/>
      <c r="AR256" s="1818"/>
      <c r="AS256" s="1818"/>
      <c r="AT256" s="1818"/>
      <c r="AU256" s="1818"/>
      <c r="AV256" s="1818"/>
      <c r="AW256" s="1818"/>
      <c r="AX256" s="1818"/>
      <c r="AY256" s="1818"/>
      <c r="AZ256" s="1818"/>
      <c r="BA256" s="1818"/>
      <c r="BB256" s="1818"/>
      <c r="BC256" s="1818"/>
      <c r="BD256" s="1818"/>
      <c r="BE256" s="1818"/>
      <c r="BF256" s="1818"/>
      <c r="BG256" s="1818"/>
      <c r="BH256" s="1818"/>
      <c r="BI256" s="1818"/>
      <c r="BJ256" s="1818"/>
      <c r="BK256" s="1818"/>
      <c r="BL256" s="1818"/>
      <c r="BM256" s="1818"/>
      <c r="BN256" s="1818"/>
      <c r="BO256" s="1818"/>
      <c r="BP256" s="1818"/>
      <c r="BQ256" s="1818"/>
      <c r="BR256" s="1818"/>
      <c r="BS256" s="1818"/>
      <c r="BT256" s="1818"/>
      <c r="BU256" s="1818"/>
      <c r="BV256" s="1818"/>
      <c r="BW256" s="1818"/>
      <c r="BX256" s="1818"/>
      <c r="BY256" s="1818"/>
      <c r="BZ256" s="1818"/>
      <c r="CA256" s="1890"/>
      <c r="CB256" s="1890"/>
      <c r="CC256" s="1890"/>
      <c r="CD256" s="1890"/>
      <c r="CE256" s="1890"/>
      <c r="CF256" s="1890"/>
      <c r="CG256" s="1890"/>
      <c r="CH256" s="1890"/>
      <c r="CI256" s="1890"/>
      <c r="CJ256" s="1890"/>
      <c r="CK256" s="1890"/>
      <c r="CL256" s="1890"/>
      <c r="CM256" s="1890"/>
      <c r="CN256" s="1890"/>
      <c r="CO256" s="1890"/>
      <c r="CP256" s="1890"/>
      <c r="CQ256" s="1890"/>
      <c r="CR256" s="1890"/>
      <c r="CS256" s="1890"/>
      <c r="CT256" s="1890"/>
      <c r="CU256" s="1890"/>
      <c r="CV256" s="1890"/>
      <c r="CW256" s="1890"/>
      <c r="CX256" s="1890"/>
      <c r="CY256" s="1890"/>
      <c r="CZ256" s="1890"/>
      <c r="DA256" s="1890"/>
      <c r="DB256" s="1890"/>
      <c r="DC256" s="1890"/>
      <c r="DD256" s="1890"/>
      <c r="DE256" s="1890"/>
      <c r="DF256" s="1890"/>
      <c r="DG256" s="1890"/>
      <c r="DH256" s="1890"/>
      <c r="DI256" s="1890"/>
      <c r="DJ256" s="1890"/>
      <c r="DK256" s="1890"/>
      <c r="DL256" s="1890"/>
      <c r="DM256" s="1890"/>
      <c r="DN256" s="1890"/>
      <c r="DO256" s="1890"/>
      <c r="DP256" s="1890"/>
      <c r="DQ256" s="1890"/>
      <c r="DR256" s="1890"/>
      <c r="DS256" s="1890"/>
      <c r="DT256" s="1890"/>
      <c r="DU256" s="1890"/>
      <c r="DV256" s="1890"/>
      <c r="DW256" s="1890"/>
      <c r="DX256" s="1890"/>
      <c r="DY256" s="1890"/>
      <c r="DZ256" s="1890"/>
      <c r="EA256" s="1890"/>
      <c r="EB256" s="1890"/>
      <c r="EC256" s="1890"/>
      <c r="ED256" s="1890"/>
      <c r="EE256" s="1890"/>
      <c r="EF256" s="1890"/>
      <c r="EG256" s="1890"/>
      <c r="EH256" s="1890"/>
      <c r="EI256" s="1890"/>
      <c r="EJ256" s="1890"/>
      <c r="EK256" s="1890"/>
      <c r="EL256" s="1890"/>
      <c r="EM256" s="1890"/>
      <c r="EN256" s="1890"/>
      <c r="EO256" s="1890"/>
      <c r="EP256" s="1890"/>
      <c r="EQ256" s="1890"/>
      <c r="ER256" s="1890"/>
      <c r="ES256" s="1890"/>
      <c r="ET256" s="1890"/>
      <c r="EU256" s="1890"/>
      <c r="EV256" s="1890"/>
      <c r="EW256" s="1890"/>
      <c r="EX256" s="1890"/>
      <c r="EY256" s="1890"/>
      <c r="EZ256" s="1890"/>
      <c r="FA256" s="1890"/>
      <c r="FB256" s="1890"/>
      <c r="FC256" s="1890"/>
      <c r="FD256" s="1890"/>
      <c r="FE256" s="1890"/>
      <c r="FF256" s="1890"/>
      <c r="FG256" s="1890"/>
      <c r="FH256" s="1890"/>
      <c r="FI256" s="1890"/>
      <c r="FJ256" s="1890"/>
      <c r="FK256" s="1890"/>
      <c r="FL256" s="1890"/>
      <c r="FM256" s="1890"/>
      <c r="FN256" s="1890"/>
      <c r="FO256" s="1890"/>
      <c r="FP256" s="1890"/>
      <c r="FQ256" s="1890"/>
      <c r="FR256" s="1890"/>
      <c r="FS256" s="1890"/>
      <c r="FT256" s="1890"/>
    </row>
    <row r="257" spans="1:176" s="1965" customFormat="1" ht="32.1" customHeight="1">
      <c r="A257" s="1899"/>
      <c r="B257" s="1805" t="s">
        <v>277</v>
      </c>
      <c r="C257" s="1837">
        <v>1</v>
      </c>
      <c r="D257" s="1829">
        <v>1</v>
      </c>
      <c r="E257" s="1829">
        <v>1</v>
      </c>
      <c r="F257" s="1829">
        <v>1</v>
      </c>
      <c r="G257" s="1846">
        <v>1</v>
      </c>
      <c r="H257" s="1829">
        <v>1</v>
      </c>
      <c r="I257" s="2086" t="s">
        <v>123</v>
      </c>
      <c r="J257" s="2217">
        <v>1</v>
      </c>
      <c r="K257" s="1917" t="s">
        <v>811</v>
      </c>
      <c r="L257" s="1794">
        <v>1</v>
      </c>
      <c r="M257" s="1917">
        <v>1</v>
      </c>
      <c r="N257" s="1941" t="s">
        <v>811</v>
      </c>
      <c r="O257" s="1941" t="s">
        <v>960</v>
      </c>
      <c r="P257" s="1975">
        <v>1</v>
      </c>
      <c r="Q257" s="1975">
        <v>0</v>
      </c>
      <c r="R257" s="2121"/>
      <c r="S257" s="2324" t="s">
        <v>811</v>
      </c>
      <c r="T257" s="1794" t="s">
        <v>7552</v>
      </c>
      <c r="U257" s="1794" t="s">
        <v>811</v>
      </c>
      <c r="V257" s="1794" t="s">
        <v>7911</v>
      </c>
      <c r="W257" s="1949" t="s">
        <v>811</v>
      </c>
      <c r="X257" s="1941" t="s">
        <v>960</v>
      </c>
      <c r="Y257" s="1818"/>
      <c r="Z257" s="1818"/>
      <c r="AA257" s="1818"/>
      <c r="AB257" s="1818"/>
      <c r="AC257" s="1818"/>
      <c r="AD257" s="1818"/>
      <c r="AE257" s="1818"/>
      <c r="AF257" s="1818"/>
      <c r="AG257" s="1818"/>
      <c r="AH257" s="1818"/>
      <c r="AI257" s="1818"/>
      <c r="AJ257" s="1818"/>
      <c r="AK257" s="1818"/>
      <c r="AL257" s="1818"/>
      <c r="AM257" s="1818"/>
      <c r="AN257" s="1818"/>
      <c r="AO257" s="1818"/>
      <c r="AP257" s="1818"/>
      <c r="AQ257" s="1818"/>
      <c r="AR257" s="1818"/>
      <c r="AS257" s="1818"/>
      <c r="AT257" s="1818"/>
      <c r="AU257" s="1818"/>
      <c r="AV257" s="1818"/>
      <c r="AW257" s="1818"/>
      <c r="AX257" s="1818"/>
      <c r="AY257" s="1818"/>
      <c r="AZ257" s="1818"/>
      <c r="BA257" s="1818"/>
      <c r="BB257" s="1818"/>
      <c r="BC257" s="1818"/>
      <c r="BD257" s="1818"/>
      <c r="BE257" s="1818"/>
      <c r="BF257" s="1818"/>
      <c r="BG257" s="1818"/>
      <c r="BH257" s="1818"/>
      <c r="BI257" s="1818"/>
      <c r="BJ257" s="1818"/>
      <c r="BK257" s="1818"/>
      <c r="BL257" s="1818"/>
      <c r="BM257" s="1818"/>
      <c r="BN257" s="1818"/>
      <c r="BO257" s="1818"/>
      <c r="BP257" s="1818"/>
      <c r="BQ257" s="1818"/>
      <c r="BR257" s="1818"/>
      <c r="BS257" s="1818"/>
      <c r="BT257" s="1818"/>
      <c r="BU257" s="1818"/>
      <c r="BV257" s="1818"/>
      <c r="BW257" s="1818"/>
      <c r="BX257" s="1818"/>
      <c r="BY257" s="1818"/>
      <c r="BZ257" s="1818"/>
      <c r="CA257" s="1890"/>
      <c r="CB257" s="1890"/>
      <c r="CC257" s="1890"/>
      <c r="CD257" s="1890"/>
      <c r="CE257" s="1890"/>
      <c r="CF257" s="1890"/>
      <c r="CG257" s="1890"/>
      <c r="CH257" s="1890"/>
      <c r="CI257" s="1890"/>
      <c r="CJ257" s="1890"/>
      <c r="CK257" s="1890"/>
      <c r="CL257" s="1890"/>
      <c r="CM257" s="1890"/>
      <c r="CN257" s="1890"/>
      <c r="CO257" s="1890"/>
      <c r="CP257" s="1890"/>
      <c r="CQ257" s="1890"/>
      <c r="CR257" s="1890"/>
      <c r="CS257" s="1890"/>
      <c r="CT257" s="1890"/>
      <c r="CU257" s="1890"/>
      <c r="CV257" s="1890"/>
      <c r="CW257" s="1890"/>
      <c r="CX257" s="1890"/>
      <c r="CY257" s="1890"/>
      <c r="CZ257" s="1890"/>
      <c r="DA257" s="1890"/>
      <c r="DB257" s="1890"/>
      <c r="DC257" s="1890"/>
      <c r="DD257" s="1890"/>
      <c r="DE257" s="1890"/>
      <c r="DF257" s="1890"/>
      <c r="DG257" s="1890"/>
      <c r="DH257" s="1890"/>
      <c r="DI257" s="1890"/>
      <c r="DJ257" s="1890"/>
      <c r="DK257" s="1890"/>
      <c r="DL257" s="1890"/>
      <c r="DM257" s="1890"/>
      <c r="DN257" s="1890"/>
      <c r="DO257" s="1890"/>
      <c r="DP257" s="1890"/>
      <c r="DQ257" s="1890"/>
      <c r="DR257" s="1890"/>
      <c r="DS257" s="1890"/>
      <c r="DT257" s="1890"/>
      <c r="DU257" s="1890"/>
      <c r="DV257" s="1890"/>
      <c r="DW257" s="1890"/>
      <c r="DX257" s="1890"/>
      <c r="DY257" s="1890"/>
      <c r="DZ257" s="1890"/>
      <c r="EA257" s="1890"/>
      <c r="EB257" s="1890"/>
      <c r="EC257" s="1890"/>
      <c r="ED257" s="1890"/>
      <c r="EE257" s="1890"/>
      <c r="EF257" s="1890"/>
      <c r="EG257" s="1890"/>
      <c r="EH257" s="1890"/>
      <c r="EI257" s="1890"/>
      <c r="EJ257" s="1890"/>
      <c r="EK257" s="1890"/>
      <c r="EL257" s="1890"/>
      <c r="EM257" s="1890"/>
      <c r="EN257" s="1890"/>
      <c r="EO257" s="1890"/>
      <c r="EP257" s="1890"/>
      <c r="EQ257" s="1890"/>
      <c r="ER257" s="1890"/>
      <c r="ES257" s="1890"/>
      <c r="ET257" s="1890"/>
      <c r="EU257" s="1890"/>
      <c r="EV257" s="1890"/>
      <c r="EW257" s="1890"/>
      <c r="EX257" s="1890"/>
      <c r="EY257" s="1890"/>
      <c r="EZ257" s="1890"/>
      <c r="FA257" s="1890"/>
      <c r="FB257" s="1890"/>
      <c r="FC257" s="1890"/>
      <c r="FD257" s="1890"/>
      <c r="FE257" s="1890"/>
      <c r="FF257" s="1890"/>
      <c r="FG257" s="1890"/>
      <c r="FH257" s="1890"/>
      <c r="FI257" s="1890"/>
      <c r="FJ257" s="1890"/>
      <c r="FK257" s="1890"/>
      <c r="FL257" s="1890"/>
      <c r="FM257" s="1890"/>
      <c r="FN257" s="1890"/>
      <c r="FO257" s="1890"/>
      <c r="FP257" s="1890"/>
      <c r="FQ257" s="1890"/>
      <c r="FR257" s="1890"/>
      <c r="FS257" s="1890"/>
      <c r="FT257" s="1890"/>
    </row>
    <row r="258" spans="1:176" s="1965" customFormat="1" ht="32.1" customHeight="1">
      <c r="A258" s="1899"/>
      <c r="B258" s="1805" t="s">
        <v>278</v>
      </c>
      <c r="C258" s="1837">
        <v>1</v>
      </c>
      <c r="D258" s="1829">
        <v>1</v>
      </c>
      <c r="E258" s="1829">
        <v>1</v>
      </c>
      <c r="F258" s="1829">
        <v>1</v>
      </c>
      <c r="G258" s="1846">
        <v>1</v>
      </c>
      <c r="H258" s="1829">
        <v>1</v>
      </c>
      <c r="I258" s="2086" t="s">
        <v>123</v>
      </c>
      <c r="J258" s="2217">
        <v>1</v>
      </c>
      <c r="K258" s="1917" t="s">
        <v>811</v>
      </c>
      <c r="L258" s="1794">
        <v>1</v>
      </c>
      <c r="M258" s="1917">
        <v>1</v>
      </c>
      <c r="N258" s="1941" t="s">
        <v>811</v>
      </c>
      <c r="O258" s="1941" t="s">
        <v>960</v>
      </c>
      <c r="P258" s="1975">
        <v>1</v>
      </c>
      <c r="Q258" s="1975">
        <v>0</v>
      </c>
      <c r="R258" s="2121"/>
      <c r="S258" s="2324" t="s">
        <v>960</v>
      </c>
      <c r="T258" s="1794" t="s">
        <v>7552</v>
      </c>
      <c r="U258" s="1794" t="s">
        <v>811</v>
      </c>
      <c r="V258" s="1794" t="s">
        <v>7911</v>
      </c>
      <c r="W258" s="1949" t="s">
        <v>811</v>
      </c>
      <c r="X258" s="1941" t="s">
        <v>960</v>
      </c>
      <c r="Y258" s="1818"/>
      <c r="Z258" s="1818"/>
      <c r="AA258" s="1818"/>
      <c r="AB258" s="1818"/>
      <c r="AC258" s="1818"/>
      <c r="AD258" s="1818"/>
      <c r="AE258" s="1818"/>
      <c r="AF258" s="1818"/>
      <c r="AG258" s="1818"/>
      <c r="AH258" s="1818"/>
      <c r="AI258" s="1818"/>
      <c r="AJ258" s="1818"/>
      <c r="AK258" s="1818"/>
      <c r="AL258" s="1818"/>
      <c r="AM258" s="1818"/>
      <c r="AN258" s="1818"/>
      <c r="AO258" s="1818"/>
      <c r="AP258" s="1818"/>
      <c r="AQ258" s="1818"/>
      <c r="AR258" s="1818"/>
      <c r="AS258" s="1818"/>
      <c r="AT258" s="1818"/>
      <c r="AU258" s="1818"/>
      <c r="AV258" s="1818"/>
      <c r="AW258" s="1818"/>
      <c r="AX258" s="1818"/>
      <c r="AY258" s="1818"/>
      <c r="AZ258" s="1818"/>
      <c r="BA258" s="1818"/>
      <c r="BB258" s="1818"/>
      <c r="BC258" s="1818"/>
      <c r="BD258" s="1818"/>
      <c r="BE258" s="1818"/>
      <c r="BF258" s="1818"/>
      <c r="BG258" s="1818"/>
      <c r="BH258" s="1818"/>
      <c r="BI258" s="1818"/>
      <c r="BJ258" s="1818"/>
      <c r="BK258" s="1818"/>
      <c r="BL258" s="1818"/>
      <c r="BM258" s="1818"/>
      <c r="BN258" s="1818"/>
      <c r="BO258" s="1818"/>
      <c r="BP258" s="1818"/>
      <c r="BQ258" s="1818"/>
      <c r="BR258" s="1818"/>
      <c r="BS258" s="1818"/>
      <c r="BT258" s="1818"/>
      <c r="BU258" s="1818"/>
      <c r="BV258" s="1818"/>
      <c r="BW258" s="1818"/>
      <c r="BX258" s="1818"/>
      <c r="BY258" s="1818"/>
      <c r="BZ258" s="1818"/>
      <c r="CA258" s="1890"/>
      <c r="CB258" s="1890"/>
      <c r="CC258" s="1890"/>
      <c r="CD258" s="1890"/>
      <c r="CE258" s="1890"/>
      <c r="CF258" s="1890"/>
      <c r="CG258" s="1890"/>
      <c r="CH258" s="1890"/>
      <c r="CI258" s="1890"/>
      <c r="CJ258" s="1890"/>
      <c r="CK258" s="1890"/>
      <c r="CL258" s="1890"/>
      <c r="CM258" s="1890"/>
      <c r="CN258" s="1890"/>
      <c r="CO258" s="1890"/>
      <c r="CP258" s="1890"/>
      <c r="CQ258" s="1890"/>
      <c r="CR258" s="1890"/>
      <c r="CS258" s="1890"/>
      <c r="CT258" s="1890"/>
      <c r="CU258" s="1890"/>
      <c r="CV258" s="1890"/>
      <c r="CW258" s="1890"/>
      <c r="CX258" s="1890"/>
      <c r="CY258" s="1890"/>
      <c r="CZ258" s="1890"/>
      <c r="DA258" s="1890"/>
      <c r="DB258" s="1890"/>
      <c r="DC258" s="1890"/>
      <c r="DD258" s="1890"/>
      <c r="DE258" s="1890"/>
      <c r="DF258" s="1890"/>
      <c r="DG258" s="1890"/>
      <c r="DH258" s="1890"/>
      <c r="DI258" s="1890"/>
      <c r="DJ258" s="1890"/>
      <c r="DK258" s="1890"/>
      <c r="DL258" s="1890"/>
      <c r="DM258" s="1890"/>
      <c r="DN258" s="1890"/>
      <c r="DO258" s="1890"/>
      <c r="DP258" s="1890"/>
      <c r="DQ258" s="1890"/>
      <c r="DR258" s="1890"/>
      <c r="DS258" s="1890"/>
      <c r="DT258" s="1890"/>
      <c r="DU258" s="1890"/>
      <c r="DV258" s="1890"/>
      <c r="DW258" s="1890"/>
      <c r="DX258" s="1890"/>
      <c r="DY258" s="1890"/>
      <c r="DZ258" s="1890"/>
      <c r="EA258" s="1890"/>
      <c r="EB258" s="1890"/>
      <c r="EC258" s="1890"/>
      <c r="ED258" s="1890"/>
      <c r="EE258" s="1890"/>
      <c r="EF258" s="1890"/>
      <c r="EG258" s="1890"/>
      <c r="EH258" s="1890"/>
      <c r="EI258" s="1890"/>
      <c r="EJ258" s="1890"/>
      <c r="EK258" s="1890"/>
      <c r="EL258" s="1890"/>
      <c r="EM258" s="1890"/>
      <c r="EN258" s="1890"/>
      <c r="EO258" s="1890"/>
      <c r="EP258" s="1890"/>
      <c r="EQ258" s="1890"/>
      <c r="ER258" s="1890"/>
      <c r="ES258" s="1890"/>
      <c r="ET258" s="1890"/>
      <c r="EU258" s="1890"/>
      <c r="EV258" s="1890"/>
      <c r="EW258" s="1890"/>
      <c r="EX258" s="1890"/>
      <c r="EY258" s="1890"/>
      <c r="EZ258" s="1890"/>
      <c r="FA258" s="1890"/>
      <c r="FB258" s="1890"/>
      <c r="FC258" s="1890"/>
      <c r="FD258" s="1890"/>
      <c r="FE258" s="1890"/>
      <c r="FF258" s="1890"/>
      <c r="FG258" s="1890"/>
      <c r="FH258" s="1890"/>
      <c r="FI258" s="1890"/>
      <c r="FJ258" s="1890"/>
      <c r="FK258" s="1890"/>
      <c r="FL258" s="1890"/>
      <c r="FM258" s="1890"/>
      <c r="FN258" s="1890"/>
      <c r="FO258" s="1890"/>
      <c r="FP258" s="1890"/>
      <c r="FQ258" s="1890"/>
      <c r="FR258" s="1890"/>
      <c r="FS258" s="1890"/>
      <c r="FT258" s="1890"/>
    </row>
    <row r="259" spans="1:176" s="1965" customFormat="1" ht="32.1" customHeight="1">
      <c r="A259" s="1899"/>
      <c r="B259" s="1805" t="s">
        <v>279</v>
      </c>
      <c r="C259" s="1837">
        <v>1</v>
      </c>
      <c r="D259" s="1829">
        <v>1</v>
      </c>
      <c r="E259" s="1829">
        <v>1</v>
      </c>
      <c r="F259" s="1829">
        <v>1</v>
      </c>
      <c r="G259" s="1846">
        <v>1</v>
      </c>
      <c r="H259" s="1829">
        <v>1</v>
      </c>
      <c r="I259" s="2086" t="s">
        <v>123</v>
      </c>
      <c r="J259" s="2217">
        <v>1</v>
      </c>
      <c r="K259" s="1917" t="s">
        <v>1134</v>
      </c>
      <c r="L259" s="1794">
        <v>1</v>
      </c>
      <c r="M259" s="1917">
        <v>1</v>
      </c>
      <c r="N259" s="1941" t="s">
        <v>811</v>
      </c>
      <c r="O259" s="1941" t="s">
        <v>960</v>
      </c>
      <c r="P259" s="1975">
        <v>1</v>
      </c>
      <c r="Q259" s="1975">
        <v>0</v>
      </c>
      <c r="R259" s="2121"/>
      <c r="S259" s="2324" t="s">
        <v>811</v>
      </c>
      <c r="T259" s="1794" t="s">
        <v>7554</v>
      </c>
      <c r="U259" s="1794" t="s">
        <v>811</v>
      </c>
      <c r="V259" s="1794" t="s">
        <v>7911</v>
      </c>
      <c r="W259" s="1949" t="s">
        <v>811</v>
      </c>
      <c r="X259" s="1941" t="s">
        <v>960</v>
      </c>
      <c r="Y259" s="1818"/>
      <c r="Z259" s="1818"/>
      <c r="AA259" s="1818"/>
      <c r="AB259" s="1818"/>
      <c r="AC259" s="1818"/>
      <c r="AD259" s="1818"/>
      <c r="AE259" s="1818"/>
      <c r="AF259" s="1818"/>
      <c r="AG259" s="1818"/>
      <c r="AH259" s="1818"/>
      <c r="AI259" s="1818"/>
      <c r="AJ259" s="1818"/>
      <c r="AK259" s="1818"/>
      <c r="AL259" s="1818"/>
      <c r="AM259" s="1818"/>
      <c r="AN259" s="1818"/>
      <c r="AO259" s="1818"/>
      <c r="AP259" s="1818"/>
      <c r="AQ259" s="1818"/>
      <c r="AR259" s="1818"/>
      <c r="AS259" s="1818"/>
      <c r="AT259" s="1818"/>
      <c r="AU259" s="1818"/>
      <c r="AV259" s="1818"/>
      <c r="AW259" s="1818"/>
      <c r="AX259" s="1818"/>
      <c r="AY259" s="1818"/>
      <c r="AZ259" s="1818"/>
      <c r="BA259" s="1818"/>
      <c r="BB259" s="1818"/>
      <c r="BC259" s="1818"/>
      <c r="BD259" s="1818"/>
      <c r="BE259" s="1818"/>
      <c r="BF259" s="1818"/>
      <c r="BG259" s="1818"/>
      <c r="BH259" s="1818"/>
      <c r="BI259" s="1818"/>
      <c r="BJ259" s="1818"/>
      <c r="BK259" s="1818"/>
      <c r="BL259" s="1818"/>
      <c r="BM259" s="1818"/>
      <c r="BN259" s="1818"/>
      <c r="BO259" s="1818"/>
      <c r="BP259" s="1818"/>
      <c r="BQ259" s="1818"/>
      <c r="BR259" s="1818"/>
      <c r="BS259" s="1818"/>
      <c r="BT259" s="1818"/>
      <c r="BU259" s="1818"/>
      <c r="BV259" s="1818"/>
      <c r="BW259" s="1818"/>
      <c r="BX259" s="1818"/>
      <c r="BY259" s="1818"/>
      <c r="BZ259" s="1818"/>
      <c r="CA259" s="1890"/>
      <c r="CB259" s="1890"/>
      <c r="CC259" s="1890"/>
      <c r="CD259" s="1890"/>
      <c r="CE259" s="1890"/>
      <c r="CF259" s="1890"/>
      <c r="CG259" s="1890"/>
      <c r="CH259" s="1890"/>
      <c r="CI259" s="1890"/>
      <c r="CJ259" s="1890"/>
      <c r="CK259" s="1890"/>
      <c r="CL259" s="1890"/>
      <c r="CM259" s="1890"/>
      <c r="CN259" s="1890"/>
      <c r="CO259" s="1890"/>
      <c r="CP259" s="1890"/>
      <c r="CQ259" s="1890"/>
      <c r="CR259" s="1890"/>
      <c r="CS259" s="1890"/>
      <c r="CT259" s="1890"/>
      <c r="CU259" s="1890"/>
      <c r="CV259" s="1890"/>
      <c r="CW259" s="1890"/>
      <c r="CX259" s="1890"/>
      <c r="CY259" s="1890"/>
      <c r="CZ259" s="1890"/>
      <c r="DA259" s="1890"/>
      <c r="DB259" s="1890"/>
      <c r="DC259" s="1890"/>
      <c r="DD259" s="1890"/>
      <c r="DE259" s="1890"/>
      <c r="DF259" s="1890"/>
      <c r="DG259" s="1890"/>
      <c r="DH259" s="1890"/>
      <c r="DI259" s="1890"/>
      <c r="DJ259" s="1890"/>
      <c r="DK259" s="1890"/>
      <c r="DL259" s="1890"/>
      <c r="DM259" s="1890"/>
      <c r="DN259" s="1890"/>
      <c r="DO259" s="1890"/>
      <c r="DP259" s="1890"/>
      <c r="DQ259" s="1890"/>
      <c r="DR259" s="1890"/>
      <c r="DS259" s="1890"/>
      <c r="DT259" s="1890"/>
      <c r="DU259" s="1890"/>
      <c r="DV259" s="1890"/>
      <c r="DW259" s="1890"/>
      <c r="DX259" s="1890"/>
      <c r="DY259" s="1890"/>
      <c r="DZ259" s="1890"/>
      <c r="EA259" s="1890"/>
      <c r="EB259" s="1890"/>
      <c r="EC259" s="1890"/>
      <c r="ED259" s="1890"/>
      <c r="EE259" s="1890"/>
      <c r="EF259" s="1890"/>
      <c r="EG259" s="1890"/>
      <c r="EH259" s="1890"/>
      <c r="EI259" s="1890"/>
      <c r="EJ259" s="1890"/>
      <c r="EK259" s="1890"/>
      <c r="EL259" s="1890"/>
      <c r="EM259" s="1890"/>
      <c r="EN259" s="1890"/>
      <c r="EO259" s="1890"/>
      <c r="EP259" s="1890"/>
      <c r="EQ259" s="1890"/>
      <c r="ER259" s="1890"/>
      <c r="ES259" s="1890"/>
      <c r="ET259" s="1890"/>
      <c r="EU259" s="1890"/>
      <c r="EV259" s="1890"/>
      <c r="EW259" s="1890"/>
      <c r="EX259" s="1890"/>
      <c r="EY259" s="1890"/>
      <c r="EZ259" s="1890"/>
      <c r="FA259" s="1890"/>
      <c r="FB259" s="1890"/>
      <c r="FC259" s="1890"/>
      <c r="FD259" s="1890"/>
      <c r="FE259" s="1890"/>
      <c r="FF259" s="1890"/>
      <c r="FG259" s="1890"/>
      <c r="FH259" s="1890"/>
      <c r="FI259" s="1890"/>
      <c r="FJ259" s="1890"/>
      <c r="FK259" s="1890"/>
      <c r="FL259" s="1890"/>
      <c r="FM259" s="1890"/>
      <c r="FN259" s="1890"/>
      <c r="FO259" s="1890"/>
      <c r="FP259" s="1890"/>
      <c r="FQ259" s="1890"/>
      <c r="FR259" s="1890"/>
      <c r="FS259" s="1890"/>
      <c r="FT259" s="1890"/>
    </row>
    <row r="260" spans="1:176" s="1965" customFormat="1" ht="60.95" customHeight="1">
      <c r="A260" s="1899"/>
      <c r="B260" s="1805" t="s">
        <v>280</v>
      </c>
      <c r="C260" s="1837">
        <v>1</v>
      </c>
      <c r="D260" s="1829">
        <v>1</v>
      </c>
      <c r="E260" s="1829">
        <v>1</v>
      </c>
      <c r="F260" s="1829">
        <v>1</v>
      </c>
      <c r="G260" s="1846">
        <v>1</v>
      </c>
      <c r="H260" s="1829">
        <v>1</v>
      </c>
      <c r="I260" s="2086" t="s">
        <v>123</v>
      </c>
      <c r="J260" s="2217">
        <v>1</v>
      </c>
      <c r="K260" s="1917" t="s">
        <v>1134</v>
      </c>
      <c r="L260" s="1794">
        <v>1</v>
      </c>
      <c r="M260" s="1917">
        <v>1</v>
      </c>
      <c r="N260" s="1941" t="s">
        <v>811</v>
      </c>
      <c r="O260" s="1941" t="s">
        <v>960</v>
      </c>
      <c r="P260" s="1975">
        <v>1</v>
      </c>
      <c r="Q260" s="1975">
        <v>0</v>
      </c>
      <c r="R260" s="2121"/>
      <c r="S260" s="2324" t="s">
        <v>811</v>
      </c>
      <c r="T260" s="1794" t="s">
        <v>7555</v>
      </c>
      <c r="U260" s="1794" t="s">
        <v>811</v>
      </c>
      <c r="V260" s="1794" t="s">
        <v>7911</v>
      </c>
      <c r="W260" s="1949" t="s">
        <v>811</v>
      </c>
      <c r="X260" s="1941" t="s">
        <v>1060</v>
      </c>
      <c r="Y260" s="1818"/>
      <c r="Z260" s="1818"/>
      <c r="AA260" s="1818"/>
      <c r="AB260" s="1818"/>
      <c r="AC260" s="1818"/>
      <c r="AD260" s="1818"/>
      <c r="AE260" s="1818"/>
      <c r="AF260" s="1818"/>
      <c r="AG260" s="1818"/>
      <c r="AH260" s="1818"/>
      <c r="AI260" s="1818"/>
      <c r="AJ260" s="1818"/>
      <c r="AK260" s="1818"/>
      <c r="AL260" s="1818"/>
      <c r="AM260" s="1818"/>
      <c r="AN260" s="1818"/>
      <c r="AO260" s="1818"/>
      <c r="AP260" s="1818"/>
      <c r="AQ260" s="1818"/>
      <c r="AR260" s="1818"/>
      <c r="AS260" s="1818"/>
      <c r="AT260" s="1818"/>
      <c r="AU260" s="1818"/>
      <c r="AV260" s="1818"/>
      <c r="AW260" s="1818"/>
      <c r="AX260" s="1818"/>
      <c r="AY260" s="1818"/>
      <c r="AZ260" s="1818"/>
      <c r="BA260" s="1818"/>
      <c r="BB260" s="1818"/>
      <c r="BC260" s="1818"/>
      <c r="BD260" s="1818"/>
      <c r="BE260" s="1818"/>
      <c r="BF260" s="1818"/>
      <c r="BG260" s="1818"/>
      <c r="BH260" s="1818"/>
      <c r="BI260" s="1818"/>
      <c r="BJ260" s="1818"/>
      <c r="BK260" s="1818"/>
      <c r="BL260" s="1818"/>
      <c r="BM260" s="1818"/>
      <c r="BN260" s="1818"/>
      <c r="BO260" s="1818"/>
      <c r="BP260" s="1818"/>
      <c r="BQ260" s="1818"/>
      <c r="BR260" s="1818"/>
      <c r="BS260" s="1818"/>
      <c r="BT260" s="1818"/>
      <c r="BU260" s="1818"/>
      <c r="BV260" s="1818"/>
      <c r="BW260" s="1818"/>
      <c r="BX260" s="1818"/>
      <c r="BY260" s="1818"/>
      <c r="BZ260" s="1818"/>
      <c r="CA260" s="1890"/>
      <c r="CB260" s="1890"/>
      <c r="CC260" s="1890"/>
      <c r="CD260" s="1890"/>
      <c r="CE260" s="1890"/>
      <c r="CF260" s="1890"/>
      <c r="CG260" s="1890"/>
      <c r="CH260" s="1890"/>
      <c r="CI260" s="1890"/>
      <c r="CJ260" s="1890"/>
      <c r="CK260" s="1890"/>
      <c r="CL260" s="1890"/>
      <c r="CM260" s="1890"/>
      <c r="CN260" s="1890"/>
      <c r="CO260" s="1890"/>
      <c r="CP260" s="1890"/>
      <c r="CQ260" s="1890"/>
      <c r="CR260" s="1890"/>
      <c r="CS260" s="1890"/>
      <c r="CT260" s="1890"/>
      <c r="CU260" s="1890"/>
      <c r="CV260" s="1890"/>
      <c r="CW260" s="1890"/>
      <c r="CX260" s="1890"/>
      <c r="CY260" s="1890"/>
      <c r="CZ260" s="1890"/>
      <c r="DA260" s="1890"/>
      <c r="DB260" s="1890"/>
      <c r="DC260" s="1890"/>
      <c r="DD260" s="1890"/>
      <c r="DE260" s="1890"/>
      <c r="DF260" s="1890"/>
      <c r="DG260" s="1890"/>
      <c r="DH260" s="1890"/>
      <c r="DI260" s="1890"/>
      <c r="DJ260" s="1890"/>
      <c r="DK260" s="1890"/>
      <c r="DL260" s="1890"/>
      <c r="DM260" s="1890"/>
      <c r="DN260" s="1890"/>
      <c r="DO260" s="1890"/>
      <c r="DP260" s="1890"/>
      <c r="DQ260" s="1890"/>
      <c r="DR260" s="1890"/>
      <c r="DS260" s="1890"/>
      <c r="DT260" s="1890"/>
      <c r="DU260" s="1890"/>
      <c r="DV260" s="1890"/>
      <c r="DW260" s="1890"/>
      <c r="DX260" s="1890"/>
      <c r="DY260" s="1890"/>
      <c r="DZ260" s="1890"/>
      <c r="EA260" s="1890"/>
      <c r="EB260" s="1890"/>
      <c r="EC260" s="1890"/>
      <c r="ED260" s="1890"/>
      <c r="EE260" s="1890"/>
      <c r="EF260" s="1890"/>
      <c r="EG260" s="1890"/>
      <c r="EH260" s="1890"/>
      <c r="EI260" s="1890"/>
      <c r="EJ260" s="1890"/>
      <c r="EK260" s="1890"/>
      <c r="EL260" s="1890"/>
      <c r="EM260" s="1890"/>
      <c r="EN260" s="1890"/>
      <c r="EO260" s="1890"/>
      <c r="EP260" s="1890"/>
      <c r="EQ260" s="1890"/>
      <c r="ER260" s="1890"/>
      <c r="ES260" s="1890"/>
      <c r="ET260" s="1890"/>
      <c r="EU260" s="1890"/>
      <c r="EV260" s="1890"/>
      <c r="EW260" s="1890"/>
      <c r="EX260" s="1890"/>
      <c r="EY260" s="1890"/>
      <c r="EZ260" s="1890"/>
      <c r="FA260" s="1890"/>
      <c r="FB260" s="1890"/>
      <c r="FC260" s="1890"/>
      <c r="FD260" s="1890"/>
      <c r="FE260" s="1890"/>
      <c r="FF260" s="1890"/>
      <c r="FG260" s="1890"/>
      <c r="FH260" s="1890"/>
      <c r="FI260" s="1890"/>
      <c r="FJ260" s="1890"/>
      <c r="FK260" s="1890"/>
      <c r="FL260" s="1890"/>
      <c r="FM260" s="1890"/>
      <c r="FN260" s="1890"/>
      <c r="FO260" s="1890"/>
      <c r="FP260" s="1890"/>
      <c r="FQ260" s="1890"/>
      <c r="FR260" s="1890"/>
      <c r="FS260" s="1890"/>
      <c r="FT260" s="1890"/>
    </row>
    <row r="261" spans="1:176" s="1965" customFormat="1" ht="165" customHeight="1">
      <c r="A261" s="1899"/>
      <c r="B261" s="1805" t="s">
        <v>281</v>
      </c>
      <c r="C261" s="1837">
        <v>1</v>
      </c>
      <c r="D261" s="1829">
        <v>0.5</v>
      </c>
      <c r="E261" s="1829">
        <v>0</v>
      </c>
      <c r="F261" s="1829">
        <v>1</v>
      </c>
      <c r="G261" s="1829">
        <v>1</v>
      </c>
      <c r="H261" s="1829">
        <v>0</v>
      </c>
      <c r="I261" s="2086" t="s">
        <v>123</v>
      </c>
      <c r="J261" s="2217">
        <v>1</v>
      </c>
      <c r="K261" s="1917" t="s">
        <v>748</v>
      </c>
      <c r="L261" s="1794">
        <v>0</v>
      </c>
      <c r="M261" s="1917">
        <v>1</v>
      </c>
      <c r="N261" s="1917" t="s">
        <v>811</v>
      </c>
      <c r="O261" s="1917" t="s">
        <v>1060</v>
      </c>
      <c r="P261" s="1975">
        <v>1</v>
      </c>
      <c r="Q261" s="1975">
        <v>0</v>
      </c>
      <c r="R261" s="2121"/>
      <c r="S261" s="2324" t="s">
        <v>811</v>
      </c>
      <c r="T261" s="1794" t="s">
        <v>7556</v>
      </c>
      <c r="U261" s="1794" t="s">
        <v>748</v>
      </c>
      <c r="V261" s="1794" t="s">
        <v>7908</v>
      </c>
      <c r="W261" s="1794" t="s">
        <v>811</v>
      </c>
      <c r="X261" s="1917" t="s">
        <v>1060</v>
      </c>
      <c r="Y261" s="1818"/>
      <c r="Z261" s="1818"/>
      <c r="AA261" s="1818"/>
      <c r="AB261" s="1818"/>
      <c r="AC261" s="1818"/>
      <c r="AD261" s="1818"/>
      <c r="AE261" s="1818"/>
      <c r="AF261" s="1818"/>
      <c r="AG261" s="1818"/>
      <c r="AH261" s="1818"/>
      <c r="AI261" s="1818"/>
      <c r="AJ261" s="1818"/>
      <c r="AK261" s="1818"/>
      <c r="AL261" s="1818"/>
      <c r="AM261" s="1818"/>
      <c r="AN261" s="1818"/>
      <c r="AO261" s="1818"/>
      <c r="AP261" s="1818"/>
      <c r="AQ261" s="1818"/>
      <c r="AR261" s="1818"/>
      <c r="AS261" s="1818"/>
      <c r="AT261" s="1818"/>
      <c r="AU261" s="1818"/>
      <c r="AV261" s="1818"/>
      <c r="AW261" s="1818"/>
      <c r="AX261" s="1818"/>
      <c r="AY261" s="1818"/>
      <c r="AZ261" s="1818"/>
      <c r="BA261" s="1818"/>
      <c r="BB261" s="1818"/>
      <c r="BC261" s="1818"/>
      <c r="BD261" s="1818"/>
      <c r="BE261" s="1818"/>
      <c r="BF261" s="1818"/>
      <c r="BG261" s="1818"/>
      <c r="BH261" s="1818"/>
      <c r="BI261" s="1818"/>
      <c r="BJ261" s="1818"/>
      <c r="BK261" s="1818"/>
      <c r="BL261" s="1818"/>
      <c r="BM261" s="1818"/>
      <c r="BN261" s="1818"/>
      <c r="BO261" s="1818"/>
      <c r="BP261" s="1818"/>
      <c r="BQ261" s="1818"/>
      <c r="BR261" s="1818"/>
      <c r="BS261" s="1818"/>
      <c r="BT261" s="1818"/>
      <c r="BU261" s="1818"/>
      <c r="BV261" s="1818"/>
      <c r="BW261" s="1818"/>
      <c r="BX261" s="1818"/>
      <c r="BY261" s="1818"/>
      <c r="BZ261" s="1818"/>
      <c r="CA261" s="1890"/>
      <c r="CB261" s="1890"/>
      <c r="CC261" s="1890"/>
      <c r="CD261" s="1890"/>
      <c r="CE261" s="1890"/>
      <c r="CF261" s="1890"/>
      <c r="CG261" s="1890"/>
      <c r="CH261" s="1890"/>
      <c r="CI261" s="1890"/>
      <c r="CJ261" s="1890"/>
      <c r="CK261" s="1890"/>
      <c r="CL261" s="1890"/>
      <c r="CM261" s="1890"/>
      <c r="CN261" s="1890"/>
      <c r="CO261" s="1890"/>
      <c r="CP261" s="1890"/>
      <c r="CQ261" s="1890"/>
      <c r="CR261" s="1890"/>
      <c r="CS261" s="1890"/>
      <c r="CT261" s="1890"/>
      <c r="CU261" s="1890"/>
      <c r="CV261" s="1890"/>
      <c r="CW261" s="1890"/>
      <c r="CX261" s="1890"/>
      <c r="CY261" s="1890"/>
      <c r="CZ261" s="1890"/>
      <c r="DA261" s="1890"/>
      <c r="DB261" s="1890"/>
      <c r="DC261" s="1890"/>
      <c r="DD261" s="1890"/>
      <c r="DE261" s="1890"/>
      <c r="DF261" s="1890"/>
      <c r="DG261" s="1890"/>
      <c r="DH261" s="1890"/>
      <c r="DI261" s="1890"/>
      <c r="DJ261" s="1890"/>
      <c r="DK261" s="1890"/>
      <c r="DL261" s="1890"/>
      <c r="DM261" s="1890"/>
      <c r="DN261" s="1890"/>
      <c r="DO261" s="1890"/>
      <c r="DP261" s="1890"/>
      <c r="DQ261" s="1890"/>
      <c r="DR261" s="1890"/>
      <c r="DS261" s="1890"/>
      <c r="DT261" s="1890"/>
      <c r="DU261" s="1890"/>
      <c r="DV261" s="1890"/>
      <c r="DW261" s="1890"/>
      <c r="DX261" s="1890"/>
      <c r="DY261" s="1890"/>
      <c r="DZ261" s="1890"/>
      <c r="EA261" s="1890"/>
      <c r="EB261" s="1890"/>
      <c r="EC261" s="1890"/>
      <c r="ED261" s="1890"/>
      <c r="EE261" s="1890"/>
      <c r="EF261" s="1890"/>
      <c r="EG261" s="1890"/>
      <c r="EH261" s="1890"/>
      <c r="EI261" s="1890"/>
      <c r="EJ261" s="1890"/>
      <c r="EK261" s="1890"/>
      <c r="EL261" s="1890"/>
      <c r="EM261" s="1890"/>
      <c r="EN261" s="1890"/>
      <c r="EO261" s="1890"/>
      <c r="EP261" s="1890"/>
      <c r="EQ261" s="1890"/>
      <c r="ER261" s="1890"/>
      <c r="ES261" s="1890"/>
      <c r="ET261" s="1890"/>
      <c r="EU261" s="1890"/>
      <c r="EV261" s="1890"/>
      <c r="EW261" s="1890"/>
      <c r="EX261" s="1890"/>
      <c r="EY261" s="1890"/>
      <c r="EZ261" s="1890"/>
      <c r="FA261" s="1890"/>
      <c r="FB261" s="1890"/>
      <c r="FC261" s="1890"/>
      <c r="FD261" s="1890"/>
      <c r="FE261" s="1890"/>
      <c r="FF261" s="1890"/>
      <c r="FG261" s="1890"/>
      <c r="FH261" s="1890"/>
      <c r="FI261" s="1890"/>
      <c r="FJ261" s="1890"/>
      <c r="FK261" s="1890"/>
      <c r="FL261" s="1890"/>
      <c r="FM261" s="1890"/>
      <c r="FN261" s="1890"/>
      <c r="FO261" s="1890"/>
      <c r="FP261" s="1890"/>
      <c r="FQ261" s="1890"/>
      <c r="FR261" s="1890"/>
      <c r="FS261" s="1890"/>
      <c r="FT261" s="1890"/>
    </row>
    <row r="262" spans="1:176" s="1965" customFormat="1" ht="32.1" customHeight="1">
      <c r="A262" s="1899"/>
      <c r="B262" s="1805" t="s">
        <v>282</v>
      </c>
      <c r="C262" s="1837">
        <v>1</v>
      </c>
      <c r="D262" s="1829">
        <v>0.5</v>
      </c>
      <c r="E262" s="1829">
        <v>1</v>
      </c>
      <c r="F262" s="1829">
        <v>1</v>
      </c>
      <c r="G262" s="1846">
        <v>1</v>
      </c>
      <c r="H262" s="1829">
        <v>0</v>
      </c>
      <c r="I262" s="2086" t="s">
        <v>123</v>
      </c>
      <c r="J262" s="2217">
        <v>1</v>
      </c>
      <c r="K262" s="1917" t="s">
        <v>5427</v>
      </c>
      <c r="L262" s="1794">
        <v>1</v>
      </c>
      <c r="M262" s="1917">
        <v>1</v>
      </c>
      <c r="N262" s="1941" t="s">
        <v>811</v>
      </c>
      <c r="O262" s="1941" t="s">
        <v>1060</v>
      </c>
      <c r="P262" s="1975">
        <v>1</v>
      </c>
      <c r="Q262" s="1975">
        <v>0</v>
      </c>
      <c r="R262" s="2121"/>
      <c r="S262" s="2324" t="s">
        <v>811</v>
      </c>
      <c r="T262" s="1794" t="s">
        <v>7557</v>
      </c>
      <c r="U262" s="1794" t="s">
        <v>811</v>
      </c>
      <c r="V262" s="1794" t="s">
        <v>7911</v>
      </c>
      <c r="W262" s="1949" t="s">
        <v>811</v>
      </c>
      <c r="X262" s="1941" t="s">
        <v>1060</v>
      </c>
      <c r="Y262" s="1818"/>
      <c r="Z262" s="1818"/>
      <c r="AA262" s="1818"/>
      <c r="AB262" s="1818"/>
      <c r="AC262" s="1818"/>
      <c r="AD262" s="1818"/>
      <c r="AE262" s="1818"/>
      <c r="AF262" s="1818"/>
      <c r="AG262" s="1818"/>
      <c r="AH262" s="1818"/>
      <c r="AI262" s="1818"/>
      <c r="AJ262" s="1818"/>
      <c r="AK262" s="1818"/>
      <c r="AL262" s="1818"/>
      <c r="AM262" s="1818"/>
      <c r="AN262" s="1818"/>
      <c r="AO262" s="1818"/>
      <c r="AP262" s="1818"/>
      <c r="AQ262" s="1818"/>
      <c r="AR262" s="1818"/>
      <c r="AS262" s="1818"/>
      <c r="AT262" s="1818"/>
      <c r="AU262" s="1818"/>
      <c r="AV262" s="1818"/>
      <c r="AW262" s="1818"/>
      <c r="AX262" s="1818"/>
      <c r="AY262" s="1818"/>
      <c r="AZ262" s="1818"/>
      <c r="BA262" s="1818"/>
      <c r="BB262" s="1818"/>
      <c r="BC262" s="1818"/>
      <c r="BD262" s="1818"/>
      <c r="BE262" s="1818"/>
      <c r="BF262" s="1818"/>
      <c r="BG262" s="1818"/>
      <c r="BH262" s="1818"/>
      <c r="BI262" s="1818"/>
      <c r="BJ262" s="1818"/>
      <c r="BK262" s="1818"/>
      <c r="BL262" s="1818"/>
      <c r="BM262" s="1818"/>
      <c r="BN262" s="1818"/>
      <c r="BO262" s="1818"/>
      <c r="BP262" s="1818"/>
      <c r="BQ262" s="1818"/>
      <c r="BR262" s="1818"/>
      <c r="BS262" s="1818"/>
      <c r="BT262" s="1818"/>
      <c r="BU262" s="1818"/>
      <c r="BV262" s="1818"/>
      <c r="BW262" s="1818"/>
      <c r="BX262" s="1818"/>
      <c r="BY262" s="1818"/>
      <c r="BZ262" s="1818"/>
      <c r="CA262" s="1890"/>
      <c r="CB262" s="1890"/>
      <c r="CC262" s="1890"/>
      <c r="CD262" s="1890"/>
      <c r="CE262" s="1890"/>
      <c r="CF262" s="1890"/>
      <c r="CG262" s="1890"/>
      <c r="CH262" s="1890"/>
      <c r="CI262" s="1890"/>
      <c r="CJ262" s="1890"/>
      <c r="CK262" s="1890"/>
      <c r="CL262" s="1890"/>
      <c r="CM262" s="1890"/>
      <c r="CN262" s="1890"/>
      <c r="CO262" s="1890"/>
      <c r="CP262" s="1890"/>
      <c r="CQ262" s="1890"/>
      <c r="CR262" s="1890"/>
      <c r="CS262" s="1890"/>
      <c r="CT262" s="1890"/>
      <c r="CU262" s="1890"/>
      <c r="CV262" s="1890"/>
      <c r="CW262" s="1890"/>
      <c r="CX262" s="1890"/>
      <c r="CY262" s="1890"/>
      <c r="CZ262" s="1890"/>
      <c r="DA262" s="1890"/>
      <c r="DB262" s="1890"/>
      <c r="DC262" s="1890"/>
      <c r="DD262" s="1890"/>
      <c r="DE262" s="1890"/>
      <c r="DF262" s="1890"/>
      <c r="DG262" s="1890"/>
      <c r="DH262" s="1890"/>
      <c r="DI262" s="1890"/>
      <c r="DJ262" s="1890"/>
      <c r="DK262" s="1890"/>
      <c r="DL262" s="1890"/>
      <c r="DM262" s="1890"/>
      <c r="DN262" s="1890"/>
      <c r="DO262" s="1890"/>
      <c r="DP262" s="1890"/>
      <c r="DQ262" s="1890"/>
      <c r="DR262" s="1890"/>
      <c r="DS262" s="1890"/>
      <c r="DT262" s="1890"/>
      <c r="DU262" s="1890"/>
      <c r="DV262" s="1890"/>
      <c r="DW262" s="1890"/>
      <c r="DX262" s="1890"/>
      <c r="DY262" s="1890"/>
      <c r="DZ262" s="1890"/>
      <c r="EA262" s="1890"/>
      <c r="EB262" s="1890"/>
      <c r="EC262" s="1890"/>
      <c r="ED262" s="1890"/>
      <c r="EE262" s="1890"/>
      <c r="EF262" s="1890"/>
      <c r="EG262" s="1890"/>
      <c r="EH262" s="1890"/>
      <c r="EI262" s="1890"/>
      <c r="EJ262" s="1890"/>
      <c r="EK262" s="1890"/>
      <c r="EL262" s="1890"/>
      <c r="EM262" s="1890"/>
      <c r="EN262" s="1890"/>
      <c r="EO262" s="1890"/>
      <c r="EP262" s="1890"/>
      <c r="EQ262" s="1890"/>
      <c r="ER262" s="1890"/>
      <c r="ES262" s="1890"/>
      <c r="ET262" s="1890"/>
      <c r="EU262" s="1890"/>
      <c r="EV262" s="1890"/>
      <c r="EW262" s="1890"/>
      <c r="EX262" s="1890"/>
      <c r="EY262" s="1890"/>
      <c r="EZ262" s="1890"/>
      <c r="FA262" s="1890"/>
      <c r="FB262" s="1890"/>
      <c r="FC262" s="1890"/>
      <c r="FD262" s="1890"/>
      <c r="FE262" s="1890"/>
      <c r="FF262" s="1890"/>
      <c r="FG262" s="1890"/>
      <c r="FH262" s="1890"/>
      <c r="FI262" s="1890"/>
      <c r="FJ262" s="1890"/>
      <c r="FK262" s="1890"/>
      <c r="FL262" s="1890"/>
      <c r="FM262" s="1890"/>
      <c r="FN262" s="1890"/>
      <c r="FO262" s="1890"/>
      <c r="FP262" s="1890"/>
      <c r="FQ262" s="1890"/>
      <c r="FR262" s="1890"/>
      <c r="FS262" s="1890"/>
      <c r="FT262" s="1890"/>
    </row>
    <row r="263" spans="1:176" s="1965" customFormat="1" ht="243" customHeight="1">
      <c r="A263" s="1899"/>
      <c r="B263" s="1805" t="s">
        <v>283</v>
      </c>
      <c r="C263" s="1837">
        <v>0</v>
      </c>
      <c r="D263" s="1829">
        <v>0.5</v>
      </c>
      <c r="E263" s="1829">
        <v>0</v>
      </c>
      <c r="F263" s="1829">
        <v>1</v>
      </c>
      <c r="G263" s="1846">
        <v>1</v>
      </c>
      <c r="H263" s="1829">
        <v>0</v>
      </c>
      <c r="I263" s="2086" t="s">
        <v>123</v>
      </c>
      <c r="J263" s="2217">
        <v>0</v>
      </c>
      <c r="K263" s="1917" t="s">
        <v>5427</v>
      </c>
      <c r="L263" s="1794">
        <v>0</v>
      </c>
      <c r="M263" s="1917">
        <v>1</v>
      </c>
      <c r="N263" s="1941" t="s">
        <v>811</v>
      </c>
      <c r="O263" s="1941" t="s">
        <v>1060</v>
      </c>
      <c r="P263" s="1975">
        <v>1</v>
      </c>
      <c r="Q263" s="1975">
        <v>0</v>
      </c>
      <c r="R263" s="2121"/>
      <c r="S263" s="2324" t="s">
        <v>748</v>
      </c>
      <c r="T263" s="1794" t="s">
        <v>7558</v>
      </c>
      <c r="U263" s="1794" t="s">
        <v>748</v>
      </c>
      <c r="V263" s="1794" t="s">
        <v>7912</v>
      </c>
      <c r="W263" s="1949" t="s">
        <v>811</v>
      </c>
      <c r="X263" s="1941" t="s">
        <v>960</v>
      </c>
      <c r="Y263" s="1818"/>
      <c r="Z263" s="1818"/>
      <c r="AA263" s="1818"/>
      <c r="AB263" s="1818"/>
      <c r="AC263" s="1818"/>
      <c r="AD263" s="1818"/>
      <c r="AE263" s="1818"/>
      <c r="AF263" s="1818"/>
      <c r="AG263" s="1818"/>
      <c r="AH263" s="1818"/>
      <c r="AI263" s="1818"/>
      <c r="AJ263" s="1818"/>
      <c r="AK263" s="1818"/>
      <c r="AL263" s="1818"/>
      <c r="AM263" s="1818"/>
      <c r="AN263" s="1818"/>
      <c r="AO263" s="1818"/>
      <c r="AP263" s="1818"/>
      <c r="AQ263" s="1818"/>
      <c r="AR263" s="1818"/>
      <c r="AS263" s="1818"/>
      <c r="AT263" s="1818"/>
      <c r="AU263" s="1818"/>
      <c r="AV263" s="1818"/>
      <c r="AW263" s="1818"/>
      <c r="AX263" s="1818"/>
      <c r="AY263" s="1818"/>
      <c r="AZ263" s="1818"/>
      <c r="BA263" s="1818"/>
      <c r="BB263" s="1818"/>
      <c r="BC263" s="1818"/>
      <c r="BD263" s="1818"/>
      <c r="BE263" s="1818"/>
      <c r="BF263" s="1818"/>
      <c r="BG263" s="1818"/>
      <c r="BH263" s="1818"/>
      <c r="BI263" s="1818"/>
      <c r="BJ263" s="1818"/>
      <c r="BK263" s="1818"/>
      <c r="BL263" s="1818"/>
      <c r="BM263" s="1818"/>
      <c r="BN263" s="1818"/>
      <c r="BO263" s="1818"/>
      <c r="BP263" s="1818"/>
      <c r="BQ263" s="1818"/>
      <c r="BR263" s="1818"/>
      <c r="BS263" s="1818"/>
      <c r="BT263" s="1818"/>
      <c r="BU263" s="1818"/>
      <c r="BV263" s="1818"/>
      <c r="BW263" s="1818"/>
      <c r="BX263" s="1818"/>
      <c r="BY263" s="1818"/>
      <c r="BZ263" s="1818"/>
      <c r="CA263" s="1890"/>
      <c r="CB263" s="1890"/>
      <c r="CC263" s="1890"/>
      <c r="CD263" s="1890"/>
      <c r="CE263" s="1890"/>
      <c r="CF263" s="1890"/>
      <c r="CG263" s="1890"/>
      <c r="CH263" s="1890"/>
      <c r="CI263" s="1890"/>
      <c r="CJ263" s="1890"/>
      <c r="CK263" s="1890"/>
      <c r="CL263" s="1890"/>
      <c r="CM263" s="1890"/>
      <c r="CN263" s="1890"/>
      <c r="CO263" s="1890"/>
      <c r="CP263" s="1890"/>
      <c r="CQ263" s="1890"/>
      <c r="CR263" s="1890"/>
      <c r="CS263" s="1890"/>
      <c r="CT263" s="1890"/>
      <c r="CU263" s="1890"/>
      <c r="CV263" s="1890"/>
      <c r="CW263" s="1890"/>
      <c r="CX263" s="1890"/>
      <c r="CY263" s="1890"/>
      <c r="CZ263" s="1890"/>
      <c r="DA263" s="1890"/>
      <c r="DB263" s="1890"/>
      <c r="DC263" s="1890"/>
      <c r="DD263" s="1890"/>
      <c r="DE263" s="1890"/>
      <c r="DF263" s="1890"/>
      <c r="DG263" s="1890"/>
      <c r="DH263" s="1890"/>
      <c r="DI263" s="1890"/>
      <c r="DJ263" s="1890"/>
      <c r="DK263" s="1890"/>
      <c r="DL263" s="1890"/>
      <c r="DM263" s="1890"/>
      <c r="DN263" s="1890"/>
      <c r="DO263" s="1890"/>
      <c r="DP263" s="1890"/>
      <c r="DQ263" s="1890"/>
      <c r="DR263" s="1890"/>
      <c r="DS263" s="1890"/>
      <c r="DT263" s="1890"/>
      <c r="DU263" s="1890"/>
      <c r="DV263" s="1890"/>
      <c r="DW263" s="1890"/>
      <c r="DX263" s="1890"/>
      <c r="DY263" s="1890"/>
      <c r="DZ263" s="1890"/>
      <c r="EA263" s="1890"/>
      <c r="EB263" s="1890"/>
      <c r="EC263" s="1890"/>
      <c r="ED263" s="1890"/>
      <c r="EE263" s="1890"/>
      <c r="EF263" s="1890"/>
      <c r="EG263" s="1890"/>
      <c r="EH263" s="1890"/>
      <c r="EI263" s="1890"/>
      <c r="EJ263" s="1890"/>
      <c r="EK263" s="1890"/>
      <c r="EL263" s="1890"/>
      <c r="EM263" s="1890"/>
      <c r="EN263" s="1890"/>
      <c r="EO263" s="1890"/>
      <c r="EP263" s="1890"/>
      <c r="EQ263" s="1890"/>
      <c r="ER263" s="1890"/>
      <c r="ES263" s="1890"/>
      <c r="ET263" s="1890"/>
      <c r="EU263" s="1890"/>
      <c r="EV263" s="1890"/>
      <c r="EW263" s="1890"/>
      <c r="EX263" s="1890"/>
      <c r="EY263" s="1890"/>
      <c r="EZ263" s="1890"/>
      <c r="FA263" s="1890"/>
      <c r="FB263" s="1890"/>
      <c r="FC263" s="1890"/>
      <c r="FD263" s="1890"/>
      <c r="FE263" s="1890"/>
      <c r="FF263" s="1890"/>
      <c r="FG263" s="1890"/>
      <c r="FH263" s="1890"/>
      <c r="FI263" s="1890"/>
      <c r="FJ263" s="1890"/>
      <c r="FK263" s="1890"/>
      <c r="FL263" s="1890"/>
      <c r="FM263" s="1890"/>
      <c r="FN263" s="1890"/>
      <c r="FO263" s="1890"/>
      <c r="FP263" s="1890"/>
      <c r="FQ263" s="1890"/>
      <c r="FR263" s="1890"/>
      <c r="FS263" s="1890"/>
      <c r="FT263" s="1890"/>
    </row>
    <row r="264" spans="1:176" s="1965" customFormat="1" ht="99" customHeight="1">
      <c r="A264" s="1899"/>
      <c r="B264" s="1805" t="s">
        <v>284</v>
      </c>
      <c r="C264" s="1837">
        <v>1</v>
      </c>
      <c r="D264" s="1829">
        <v>1</v>
      </c>
      <c r="E264" s="1829">
        <v>1</v>
      </c>
      <c r="F264" s="1829">
        <v>1</v>
      </c>
      <c r="G264" s="1829">
        <v>1</v>
      </c>
      <c r="H264" s="1829">
        <v>1</v>
      </c>
      <c r="I264" s="2086" t="s">
        <v>123</v>
      </c>
      <c r="J264" s="2217">
        <v>1</v>
      </c>
      <c r="K264" s="1917" t="s">
        <v>811</v>
      </c>
      <c r="L264" s="1794">
        <v>1</v>
      </c>
      <c r="M264" s="1917">
        <v>1</v>
      </c>
      <c r="N264" s="1917" t="s">
        <v>811</v>
      </c>
      <c r="O264" s="1917" t="s">
        <v>1060</v>
      </c>
      <c r="P264" s="1975">
        <v>1</v>
      </c>
      <c r="Q264" s="1975">
        <v>0</v>
      </c>
      <c r="R264" s="2121"/>
      <c r="S264" s="2255" t="s">
        <v>9160</v>
      </c>
      <c r="T264" s="1794" t="s">
        <v>7552</v>
      </c>
      <c r="U264" s="1794" t="s">
        <v>811</v>
      </c>
      <c r="V264" s="1794" t="s">
        <v>6138</v>
      </c>
      <c r="W264" s="1794" t="s">
        <v>811</v>
      </c>
      <c r="X264" s="1917" t="s">
        <v>1060</v>
      </c>
      <c r="Y264" s="1818"/>
      <c r="Z264" s="1818"/>
      <c r="AA264" s="1818"/>
      <c r="AB264" s="1818"/>
      <c r="AC264" s="1818"/>
      <c r="AD264" s="1818"/>
      <c r="AE264" s="1818"/>
      <c r="AF264" s="1818"/>
      <c r="AG264" s="1818"/>
      <c r="AH264" s="1818"/>
      <c r="AI264" s="1818"/>
      <c r="AJ264" s="1818"/>
      <c r="AK264" s="1818"/>
      <c r="AL264" s="1818"/>
      <c r="AM264" s="1818"/>
      <c r="AN264" s="1818"/>
      <c r="AO264" s="1818"/>
      <c r="AP264" s="1818"/>
      <c r="AQ264" s="1818"/>
      <c r="AR264" s="1818"/>
      <c r="AS264" s="1818"/>
      <c r="AT264" s="1818"/>
      <c r="AU264" s="1818"/>
      <c r="AV264" s="1818"/>
      <c r="AW264" s="1818"/>
      <c r="AX264" s="1818"/>
      <c r="AY264" s="1818"/>
      <c r="AZ264" s="1818"/>
      <c r="BA264" s="1818"/>
      <c r="BB264" s="1818"/>
      <c r="BC264" s="1818"/>
      <c r="BD264" s="1818"/>
      <c r="BE264" s="1818"/>
      <c r="BF264" s="1818"/>
      <c r="BG264" s="1818"/>
      <c r="BH264" s="1818"/>
      <c r="BI264" s="1818"/>
      <c r="BJ264" s="1818"/>
      <c r="BK264" s="1818"/>
      <c r="BL264" s="1818"/>
      <c r="BM264" s="1818"/>
      <c r="BN264" s="1818"/>
      <c r="BO264" s="1818"/>
      <c r="BP264" s="1818"/>
      <c r="BQ264" s="1818"/>
      <c r="BR264" s="1818"/>
      <c r="BS264" s="1818"/>
      <c r="BT264" s="1818"/>
      <c r="BU264" s="1818"/>
      <c r="BV264" s="1818"/>
      <c r="BW264" s="1818"/>
      <c r="BX264" s="1818"/>
      <c r="BY264" s="1818"/>
      <c r="BZ264" s="1818"/>
      <c r="CA264" s="1890"/>
      <c r="CB264" s="1890"/>
      <c r="CC264" s="1890"/>
      <c r="CD264" s="1890"/>
      <c r="CE264" s="1890"/>
      <c r="CF264" s="1890"/>
      <c r="CG264" s="1890"/>
      <c r="CH264" s="1890"/>
      <c r="CI264" s="1890"/>
      <c r="CJ264" s="1890"/>
      <c r="CK264" s="1890"/>
      <c r="CL264" s="1890"/>
      <c r="CM264" s="1890"/>
      <c r="CN264" s="1890"/>
      <c r="CO264" s="1890"/>
      <c r="CP264" s="1890"/>
      <c r="CQ264" s="1890"/>
      <c r="CR264" s="1890"/>
      <c r="CS264" s="1890"/>
      <c r="CT264" s="1890"/>
      <c r="CU264" s="1890"/>
      <c r="CV264" s="1890"/>
      <c r="CW264" s="1890"/>
      <c r="CX264" s="1890"/>
      <c r="CY264" s="1890"/>
      <c r="CZ264" s="1890"/>
      <c r="DA264" s="1890"/>
      <c r="DB264" s="1890"/>
      <c r="DC264" s="1890"/>
      <c r="DD264" s="1890"/>
      <c r="DE264" s="1890"/>
      <c r="DF264" s="1890"/>
      <c r="DG264" s="1890"/>
      <c r="DH264" s="1890"/>
      <c r="DI264" s="1890"/>
      <c r="DJ264" s="1890"/>
      <c r="DK264" s="1890"/>
      <c r="DL264" s="1890"/>
      <c r="DM264" s="1890"/>
      <c r="DN264" s="1890"/>
      <c r="DO264" s="1890"/>
      <c r="DP264" s="1890"/>
      <c r="DQ264" s="1890"/>
      <c r="DR264" s="1890"/>
      <c r="DS264" s="1890"/>
      <c r="DT264" s="1890"/>
      <c r="DU264" s="1890"/>
      <c r="DV264" s="1890"/>
      <c r="DW264" s="1890"/>
      <c r="DX264" s="1890"/>
      <c r="DY264" s="1890"/>
      <c r="DZ264" s="1890"/>
      <c r="EA264" s="1890"/>
      <c r="EB264" s="1890"/>
      <c r="EC264" s="1890"/>
      <c r="ED264" s="1890"/>
      <c r="EE264" s="1890"/>
      <c r="EF264" s="1890"/>
      <c r="EG264" s="1890"/>
      <c r="EH264" s="1890"/>
      <c r="EI264" s="1890"/>
      <c r="EJ264" s="1890"/>
      <c r="EK264" s="1890"/>
      <c r="EL264" s="1890"/>
      <c r="EM264" s="1890"/>
      <c r="EN264" s="1890"/>
      <c r="EO264" s="1890"/>
      <c r="EP264" s="1890"/>
      <c r="EQ264" s="1890"/>
      <c r="ER264" s="1890"/>
      <c r="ES264" s="1890"/>
      <c r="ET264" s="1890"/>
      <c r="EU264" s="1890"/>
      <c r="EV264" s="1890"/>
      <c r="EW264" s="1890"/>
      <c r="EX264" s="1890"/>
      <c r="EY264" s="1890"/>
      <c r="EZ264" s="1890"/>
      <c r="FA264" s="1890"/>
      <c r="FB264" s="1890"/>
      <c r="FC264" s="1890"/>
      <c r="FD264" s="1890"/>
      <c r="FE264" s="1890"/>
      <c r="FF264" s="1890"/>
      <c r="FG264" s="1890"/>
      <c r="FH264" s="1890"/>
      <c r="FI264" s="1890"/>
      <c r="FJ264" s="1890"/>
      <c r="FK264" s="1890"/>
      <c r="FL264" s="1890"/>
      <c r="FM264" s="1890"/>
      <c r="FN264" s="1890"/>
      <c r="FO264" s="1890"/>
      <c r="FP264" s="1890"/>
      <c r="FQ264" s="1890"/>
      <c r="FR264" s="1890"/>
      <c r="FS264" s="1890"/>
      <c r="FT264" s="1890"/>
    </row>
    <row r="265" spans="1:176" s="1965" customFormat="1" ht="32.1" customHeight="1">
      <c r="A265" s="1899"/>
      <c r="B265" s="1805" t="s">
        <v>285</v>
      </c>
      <c r="C265" s="1837">
        <v>0</v>
      </c>
      <c r="D265" s="1829">
        <v>0</v>
      </c>
      <c r="E265" s="1829">
        <v>0</v>
      </c>
      <c r="F265" s="1829">
        <v>0</v>
      </c>
      <c r="G265" s="1846">
        <v>0</v>
      </c>
      <c r="H265" s="1829">
        <v>0</v>
      </c>
      <c r="I265" s="2086" t="s">
        <v>123</v>
      </c>
      <c r="J265" s="2217">
        <v>0</v>
      </c>
      <c r="K265" s="1917" t="s">
        <v>943</v>
      </c>
      <c r="L265" s="1794">
        <v>0</v>
      </c>
      <c r="M265" s="1917">
        <v>0</v>
      </c>
      <c r="N265" s="1941" t="s">
        <v>748</v>
      </c>
      <c r="O265" s="1941" t="s">
        <v>1060</v>
      </c>
      <c r="P265" s="1975">
        <v>1</v>
      </c>
      <c r="Q265" s="1975">
        <v>0</v>
      </c>
      <c r="R265" s="2121"/>
      <c r="S265" s="2324" t="s">
        <v>748</v>
      </c>
      <c r="T265" s="1794" t="s">
        <v>7552</v>
      </c>
      <c r="U265" s="1794" t="s">
        <v>748</v>
      </c>
      <c r="V265" s="1794" t="s">
        <v>748</v>
      </c>
      <c r="W265" s="1949" t="s">
        <v>748</v>
      </c>
      <c r="X265" s="1941" t="s">
        <v>1060</v>
      </c>
      <c r="Y265" s="1818"/>
      <c r="Z265" s="1818"/>
      <c r="AA265" s="1818"/>
      <c r="AB265" s="1818"/>
      <c r="AC265" s="1818"/>
      <c r="AD265" s="1818"/>
      <c r="AE265" s="1818"/>
      <c r="AF265" s="1818"/>
      <c r="AG265" s="1818"/>
      <c r="AH265" s="1818"/>
      <c r="AI265" s="1818"/>
      <c r="AJ265" s="1818"/>
      <c r="AK265" s="1818"/>
      <c r="AL265" s="1818"/>
      <c r="AM265" s="1818"/>
      <c r="AN265" s="1818"/>
      <c r="AO265" s="1818"/>
      <c r="AP265" s="1818"/>
      <c r="AQ265" s="1818"/>
      <c r="AR265" s="1818"/>
      <c r="AS265" s="1818"/>
      <c r="AT265" s="1818"/>
      <c r="AU265" s="1818"/>
      <c r="AV265" s="1818"/>
      <c r="AW265" s="1818"/>
      <c r="AX265" s="1818"/>
      <c r="AY265" s="1818"/>
      <c r="AZ265" s="1818"/>
      <c r="BA265" s="1818"/>
      <c r="BB265" s="1818"/>
      <c r="BC265" s="1818"/>
      <c r="BD265" s="1818"/>
      <c r="BE265" s="1818"/>
      <c r="BF265" s="1818"/>
      <c r="BG265" s="1818"/>
      <c r="BH265" s="1818"/>
      <c r="BI265" s="1818"/>
      <c r="BJ265" s="1818"/>
      <c r="BK265" s="1818"/>
      <c r="BL265" s="1818"/>
      <c r="BM265" s="1818"/>
      <c r="BN265" s="1818"/>
      <c r="BO265" s="1818"/>
      <c r="BP265" s="1818"/>
      <c r="BQ265" s="1818"/>
      <c r="BR265" s="1818"/>
      <c r="BS265" s="1818"/>
      <c r="BT265" s="1818"/>
      <c r="BU265" s="1818"/>
      <c r="BV265" s="1818"/>
      <c r="BW265" s="1818"/>
      <c r="BX265" s="1818"/>
      <c r="BY265" s="1818"/>
      <c r="BZ265" s="1818"/>
      <c r="CA265" s="1890"/>
      <c r="CB265" s="1890"/>
      <c r="CC265" s="1890"/>
      <c r="CD265" s="1890"/>
      <c r="CE265" s="1890"/>
      <c r="CF265" s="1890"/>
      <c r="CG265" s="1890"/>
      <c r="CH265" s="1890"/>
      <c r="CI265" s="1890"/>
      <c r="CJ265" s="1890"/>
      <c r="CK265" s="1890"/>
      <c r="CL265" s="1890"/>
      <c r="CM265" s="1890"/>
      <c r="CN265" s="1890"/>
      <c r="CO265" s="1890"/>
      <c r="CP265" s="1890"/>
      <c r="CQ265" s="1890"/>
      <c r="CR265" s="1890"/>
      <c r="CS265" s="1890"/>
      <c r="CT265" s="1890"/>
      <c r="CU265" s="1890"/>
      <c r="CV265" s="1890"/>
      <c r="CW265" s="1890"/>
      <c r="CX265" s="1890"/>
      <c r="CY265" s="1890"/>
      <c r="CZ265" s="1890"/>
      <c r="DA265" s="1890"/>
      <c r="DB265" s="1890"/>
      <c r="DC265" s="1890"/>
      <c r="DD265" s="1890"/>
      <c r="DE265" s="1890"/>
      <c r="DF265" s="1890"/>
      <c r="DG265" s="1890"/>
      <c r="DH265" s="1890"/>
      <c r="DI265" s="1890"/>
      <c r="DJ265" s="1890"/>
      <c r="DK265" s="1890"/>
      <c r="DL265" s="1890"/>
      <c r="DM265" s="1890"/>
      <c r="DN265" s="1890"/>
      <c r="DO265" s="1890"/>
      <c r="DP265" s="1890"/>
      <c r="DQ265" s="1890"/>
      <c r="DR265" s="1890"/>
      <c r="DS265" s="1890"/>
      <c r="DT265" s="1890"/>
      <c r="DU265" s="1890"/>
      <c r="DV265" s="1890"/>
      <c r="DW265" s="1890"/>
      <c r="DX265" s="1890"/>
      <c r="DY265" s="1890"/>
      <c r="DZ265" s="1890"/>
      <c r="EA265" s="1890"/>
      <c r="EB265" s="1890"/>
      <c r="EC265" s="1890"/>
      <c r="ED265" s="1890"/>
      <c r="EE265" s="1890"/>
      <c r="EF265" s="1890"/>
      <c r="EG265" s="1890"/>
      <c r="EH265" s="1890"/>
      <c r="EI265" s="1890"/>
      <c r="EJ265" s="1890"/>
      <c r="EK265" s="1890"/>
      <c r="EL265" s="1890"/>
      <c r="EM265" s="1890"/>
      <c r="EN265" s="1890"/>
      <c r="EO265" s="1890"/>
      <c r="EP265" s="1890"/>
      <c r="EQ265" s="1890"/>
      <c r="ER265" s="1890"/>
      <c r="ES265" s="1890"/>
      <c r="ET265" s="1890"/>
      <c r="EU265" s="1890"/>
      <c r="EV265" s="1890"/>
      <c r="EW265" s="1890"/>
      <c r="EX265" s="1890"/>
      <c r="EY265" s="1890"/>
      <c r="EZ265" s="1890"/>
      <c r="FA265" s="1890"/>
      <c r="FB265" s="1890"/>
      <c r="FC265" s="1890"/>
      <c r="FD265" s="1890"/>
      <c r="FE265" s="1890"/>
      <c r="FF265" s="1890"/>
      <c r="FG265" s="1890"/>
      <c r="FH265" s="1890"/>
      <c r="FI265" s="1890"/>
      <c r="FJ265" s="1890"/>
      <c r="FK265" s="1890"/>
      <c r="FL265" s="1890"/>
      <c r="FM265" s="1890"/>
      <c r="FN265" s="1890"/>
      <c r="FO265" s="1890"/>
      <c r="FP265" s="1890"/>
      <c r="FQ265" s="1890"/>
      <c r="FR265" s="1890"/>
      <c r="FS265" s="1890"/>
      <c r="FT265" s="1890"/>
    </row>
    <row r="266" spans="1:176" s="1965" customFormat="1" ht="32.1" customHeight="1">
      <c r="A266" s="1899"/>
      <c r="B266" s="1805" t="s">
        <v>286</v>
      </c>
      <c r="C266" s="1837">
        <v>0</v>
      </c>
      <c r="D266" s="1829">
        <v>0.5</v>
      </c>
      <c r="E266" s="1829">
        <v>0</v>
      </c>
      <c r="F266" s="1829">
        <v>1</v>
      </c>
      <c r="G266" s="1829">
        <v>1</v>
      </c>
      <c r="H266" s="1829">
        <v>0</v>
      </c>
      <c r="I266" s="2086"/>
      <c r="J266" s="2217">
        <v>0</v>
      </c>
      <c r="K266" s="1917" t="s">
        <v>5427</v>
      </c>
      <c r="L266" s="1794">
        <v>0</v>
      </c>
      <c r="M266" s="1917">
        <v>1</v>
      </c>
      <c r="N266" s="1941" t="s">
        <v>811</v>
      </c>
      <c r="O266" s="1941" t="s">
        <v>1060</v>
      </c>
      <c r="P266" s="1975">
        <v>1</v>
      </c>
      <c r="Q266" s="1975">
        <v>0</v>
      </c>
      <c r="R266" s="2121"/>
      <c r="S266" s="2248" t="s">
        <v>748</v>
      </c>
      <c r="T266" s="1794" t="s">
        <v>7559</v>
      </c>
      <c r="U266" s="1794" t="s">
        <v>748</v>
      </c>
      <c r="V266" s="1794" t="s">
        <v>6137</v>
      </c>
      <c r="W266" s="1949" t="s">
        <v>811</v>
      </c>
      <c r="X266" s="1941" t="s">
        <v>1060</v>
      </c>
      <c r="Y266" s="1818"/>
      <c r="Z266" s="1818"/>
      <c r="AA266" s="1818"/>
      <c r="AB266" s="1818"/>
      <c r="AC266" s="1818"/>
      <c r="AD266" s="1818"/>
      <c r="AE266" s="1818"/>
      <c r="AF266" s="1818"/>
      <c r="AG266" s="1818"/>
      <c r="AH266" s="1818"/>
      <c r="AI266" s="1818"/>
      <c r="AJ266" s="1818"/>
      <c r="AK266" s="1818"/>
      <c r="AL266" s="1818"/>
      <c r="AM266" s="1818"/>
      <c r="AN266" s="1818"/>
      <c r="AO266" s="1818"/>
      <c r="AP266" s="1818"/>
      <c r="AQ266" s="1818"/>
      <c r="AR266" s="1818"/>
      <c r="AS266" s="1818"/>
      <c r="AT266" s="1818"/>
      <c r="AU266" s="1818"/>
      <c r="AV266" s="1818"/>
      <c r="AW266" s="1818"/>
      <c r="AX266" s="1818"/>
      <c r="AY266" s="1818"/>
      <c r="AZ266" s="1818"/>
      <c r="BA266" s="1818"/>
      <c r="BB266" s="1818"/>
      <c r="BC266" s="1818"/>
      <c r="BD266" s="1818"/>
      <c r="BE266" s="1818"/>
      <c r="BF266" s="1818"/>
      <c r="BG266" s="1818"/>
      <c r="BH266" s="1818"/>
      <c r="BI266" s="1818"/>
      <c r="BJ266" s="1818"/>
      <c r="BK266" s="1818"/>
      <c r="BL266" s="1818"/>
      <c r="BM266" s="1818"/>
      <c r="BN266" s="1818"/>
      <c r="BO266" s="1818"/>
      <c r="BP266" s="1818"/>
      <c r="BQ266" s="1818"/>
      <c r="BR266" s="1818"/>
      <c r="BS266" s="1818"/>
      <c r="BT266" s="1818"/>
      <c r="BU266" s="1818"/>
      <c r="BV266" s="1818"/>
      <c r="BW266" s="1818"/>
      <c r="BX266" s="1818"/>
      <c r="BY266" s="1818"/>
      <c r="BZ266" s="1818"/>
      <c r="CA266" s="1890"/>
      <c r="CB266" s="1890"/>
      <c r="CC266" s="1890"/>
      <c r="CD266" s="1890"/>
      <c r="CE266" s="1890"/>
      <c r="CF266" s="1890"/>
      <c r="CG266" s="1890"/>
      <c r="CH266" s="1890"/>
      <c r="CI266" s="1890"/>
      <c r="CJ266" s="1890"/>
      <c r="CK266" s="1890"/>
      <c r="CL266" s="1890"/>
      <c r="CM266" s="1890"/>
      <c r="CN266" s="1890"/>
      <c r="CO266" s="1890"/>
      <c r="CP266" s="1890"/>
      <c r="CQ266" s="1890"/>
      <c r="CR266" s="1890"/>
      <c r="CS266" s="1890"/>
      <c r="CT266" s="1890"/>
      <c r="CU266" s="1890"/>
      <c r="CV266" s="1890"/>
      <c r="CW266" s="1890"/>
      <c r="CX266" s="1890"/>
      <c r="CY266" s="1890"/>
      <c r="CZ266" s="1890"/>
      <c r="DA266" s="1890"/>
      <c r="DB266" s="1890"/>
      <c r="DC266" s="1890"/>
      <c r="DD266" s="1890"/>
      <c r="DE266" s="1890"/>
      <c r="DF266" s="1890"/>
      <c r="DG266" s="1890"/>
      <c r="DH266" s="1890"/>
      <c r="DI266" s="1890"/>
      <c r="DJ266" s="1890"/>
      <c r="DK266" s="1890"/>
      <c r="DL266" s="1890"/>
      <c r="DM266" s="1890"/>
      <c r="DN266" s="1890"/>
      <c r="DO266" s="1890"/>
      <c r="DP266" s="1890"/>
      <c r="DQ266" s="1890"/>
      <c r="DR266" s="1890"/>
      <c r="DS266" s="1890"/>
      <c r="DT266" s="1890"/>
      <c r="DU266" s="1890"/>
      <c r="DV266" s="1890"/>
      <c r="DW266" s="1890"/>
      <c r="DX266" s="1890"/>
      <c r="DY266" s="1890"/>
      <c r="DZ266" s="1890"/>
      <c r="EA266" s="1890"/>
      <c r="EB266" s="1890"/>
      <c r="EC266" s="1890"/>
      <c r="ED266" s="1890"/>
      <c r="EE266" s="1890"/>
      <c r="EF266" s="1890"/>
      <c r="EG266" s="1890"/>
      <c r="EH266" s="1890"/>
      <c r="EI266" s="1890"/>
      <c r="EJ266" s="1890"/>
      <c r="EK266" s="1890"/>
      <c r="EL266" s="1890"/>
      <c r="EM266" s="1890"/>
      <c r="EN266" s="1890"/>
      <c r="EO266" s="1890"/>
      <c r="EP266" s="1890"/>
      <c r="EQ266" s="1890"/>
      <c r="ER266" s="1890"/>
      <c r="ES266" s="1890"/>
      <c r="ET266" s="1890"/>
      <c r="EU266" s="1890"/>
      <c r="EV266" s="1890"/>
      <c r="EW266" s="1890"/>
      <c r="EX266" s="1890"/>
      <c r="EY266" s="1890"/>
      <c r="EZ266" s="1890"/>
      <c r="FA266" s="1890"/>
      <c r="FB266" s="1890"/>
      <c r="FC266" s="1890"/>
      <c r="FD266" s="1890"/>
      <c r="FE266" s="1890"/>
      <c r="FF266" s="1890"/>
      <c r="FG266" s="1890"/>
      <c r="FH266" s="1890"/>
      <c r="FI266" s="1890"/>
      <c r="FJ266" s="1890"/>
      <c r="FK266" s="1890"/>
      <c r="FL266" s="1890"/>
      <c r="FM266" s="1890"/>
      <c r="FN266" s="1890"/>
      <c r="FO266" s="1890"/>
      <c r="FP266" s="1890"/>
      <c r="FQ266" s="1890"/>
      <c r="FR266" s="1890"/>
      <c r="FS266" s="1890"/>
      <c r="FT266" s="1890"/>
    </row>
    <row r="267" spans="1:176" s="1965" customFormat="1" ht="32.1" customHeight="1">
      <c r="A267" s="1899"/>
      <c r="B267" s="1807" t="s">
        <v>287</v>
      </c>
      <c r="C267" s="1837">
        <v>1</v>
      </c>
      <c r="D267" s="1829">
        <v>1</v>
      </c>
      <c r="E267" s="1829">
        <v>0</v>
      </c>
      <c r="F267" s="1837">
        <v>1</v>
      </c>
      <c r="G267" s="1829">
        <v>0</v>
      </c>
      <c r="H267" s="1850">
        <v>0</v>
      </c>
      <c r="I267" s="2286" t="s">
        <v>288</v>
      </c>
      <c r="J267" s="2217">
        <v>1</v>
      </c>
      <c r="K267" s="1917" t="s">
        <v>811</v>
      </c>
      <c r="L267" s="1794">
        <v>0</v>
      </c>
      <c r="M267" s="1927">
        <v>1</v>
      </c>
      <c r="N267" s="1941" t="s">
        <v>748</v>
      </c>
      <c r="O267" s="1941" t="s">
        <v>8751</v>
      </c>
      <c r="P267" s="1975">
        <v>1</v>
      </c>
      <c r="Q267" s="1975">
        <v>0</v>
      </c>
      <c r="R267" s="2121"/>
      <c r="S267" s="2255" t="s">
        <v>811</v>
      </c>
      <c r="T267" s="1794"/>
      <c r="U267" s="1794" t="s">
        <v>7273</v>
      </c>
      <c r="V267" s="1802" t="s">
        <v>1014</v>
      </c>
      <c r="W267" s="1949" t="s">
        <v>8356</v>
      </c>
      <c r="X267" s="1941" t="s">
        <v>8751</v>
      </c>
      <c r="Y267" s="1818"/>
      <c r="Z267" s="1818"/>
      <c r="AA267" s="1818"/>
      <c r="AB267" s="1818"/>
      <c r="AC267" s="1818"/>
      <c r="AD267" s="1818"/>
      <c r="AE267" s="1818"/>
      <c r="AF267" s="1818"/>
      <c r="AG267" s="1818"/>
      <c r="AH267" s="1818"/>
      <c r="AI267" s="1818"/>
      <c r="AJ267" s="1818"/>
      <c r="AK267" s="1818"/>
      <c r="AL267" s="1818"/>
      <c r="AM267" s="1818"/>
      <c r="AN267" s="1818"/>
      <c r="AO267" s="1818"/>
      <c r="AP267" s="1818"/>
      <c r="AQ267" s="1818"/>
      <c r="AR267" s="1818"/>
      <c r="AS267" s="1818"/>
      <c r="AT267" s="1818"/>
      <c r="AU267" s="1818"/>
      <c r="AV267" s="1818"/>
      <c r="AW267" s="1818"/>
      <c r="AX267" s="1818"/>
      <c r="AY267" s="1818"/>
      <c r="AZ267" s="1818"/>
      <c r="BA267" s="1818"/>
      <c r="BB267" s="1818"/>
      <c r="BC267" s="1818"/>
      <c r="BD267" s="1818"/>
      <c r="BE267" s="1818"/>
      <c r="BF267" s="1818"/>
      <c r="BG267" s="1818"/>
      <c r="BH267" s="1818"/>
      <c r="BI267" s="1818"/>
      <c r="BJ267" s="1818"/>
      <c r="BK267" s="1818"/>
      <c r="BL267" s="1818"/>
      <c r="BM267" s="1818"/>
      <c r="BN267" s="1818"/>
      <c r="BO267" s="1818"/>
      <c r="BP267" s="1818"/>
      <c r="BQ267" s="1818"/>
      <c r="BR267" s="1818"/>
      <c r="BS267" s="1818"/>
      <c r="BT267" s="1818"/>
      <c r="BU267" s="1818"/>
      <c r="BV267" s="1818"/>
      <c r="BW267" s="1818"/>
      <c r="BX267" s="1818"/>
      <c r="BY267" s="1818"/>
      <c r="BZ267" s="1818"/>
      <c r="CA267" s="1890"/>
      <c r="CB267" s="1890"/>
      <c r="CC267" s="1890"/>
      <c r="CD267" s="1890"/>
      <c r="CE267" s="1890"/>
      <c r="CF267" s="1890"/>
      <c r="CG267" s="1890"/>
      <c r="CH267" s="1890"/>
      <c r="CI267" s="1890"/>
      <c r="CJ267" s="1890"/>
      <c r="CK267" s="1890"/>
      <c r="CL267" s="1890"/>
      <c r="CM267" s="1890"/>
      <c r="CN267" s="1890"/>
      <c r="CO267" s="1890"/>
      <c r="CP267" s="1890"/>
      <c r="CQ267" s="1890"/>
      <c r="CR267" s="1890"/>
      <c r="CS267" s="1890"/>
      <c r="CT267" s="1890"/>
      <c r="CU267" s="1890"/>
      <c r="CV267" s="1890"/>
      <c r="CW267" s="1890"/>
      <c r="CX267" s="1890"/>
      <c r="CY267" s="1890"/>
      <c r="CZ267" s="1890"/>
      <c r="DA267" s="1890"/>
      <c r="DB267" s="1890"/>
      <c r="DC267" s="1890"/>
      <c r="DD267" s="1890"/>
      <c r="DE267" s="1890"/>
      <c r="DF267" s="1890"/>
      <c r="DG267" s="1890"/>
      <c r="DH267" s="1890"/>
      <c r="DI267" s="1890"/>
      <c r="DJ267" s="1890"/>
      <c r="DK267" s="1890"/>
      <c r="DL267" s="1890"/>
      <c r="DM267" s="1890"/>
      <c r="DN267" s="1890"/>
      <c r="DO267" s="1890"/>
      <c r="DP267" s="1890"/>
      <c r="DQ267" s="1890"/>
      <c r="DR267" s="1890"/>
      <c r="DS267" s="1890"/>
      <c r="DT267" s="1890"/>
      <c r="DU267" s="1890"/>
      <c r="DV267" s="1890"/>
      <c r="DW267" s="1890"/>
      <c r="DX267" s="1890"/>
      <c r="DY267" s="1890"/>
      <c r="DZ267" s="1890"/>
      <c r="EA267" s="1890"/>
      <c r="EB267" s="1890"/>
      <c r="EC267" s="1890"/>
      <c r="ED267" s="1890"/>
      <c r="EE267" s="1890"/>
      <c r="EF267" s="1890"/>
      <c r="EG267" s="1890"/>
      <c r="EH267" s="1890"/>
      <c r="EI267" s="1890"/>
      <c r="EJ267" s="1890"/>
      <c r="EK267" s="1890"/>
      <c r="EL267" s="1890"/>
      <c r="EM267" s="1890"/>
      <c r="EN267" s="1890"/>
      <c r="EO267" s="1890"/>
      <c r="EP267" s="1890"/>
      <c r="EQ267" s="1890"/>
      <c r="ER267" s="1890"/>
      <c r="ES267" s="1890"/>
      <c r="ET267" s="1890"/>
      <c r="EU267" s="1890"/>
      <c r="EV267" s="1890"/>
      <c r="EW267" s="1890"/>
      <c r="EX267" s="1890"/>
      <c r="EY267" s="1890"/>
      <c r="EZ267" s="1890"/>
      <c r="FA267" s="1890"/>
      <c r="FB267" s="1890"/>
      <c r="FC267" s="1890"/>
      <c r="FD267" s="1890"/>
      <c r="FE267" s="1890"/>
      <c r="FF267" s="1890"/>
      <c r="FG267" s="1890"/>
      <c r="FH267" s="1890"/>
      <c r="FI267" s="1890"/>
      <c r="FJ267" s="1890"/>
      <c r="FK267" s="1890"/>
      <c r="FL267" s="1890"/>
      <c r="FM267" s="1890"/>
      <c r="FN267" s="1890"/>
      <c r="FO267" s="1890"/>
      <c r="FP267" s="1890"/>
      <c r="FQ267" s="1890"/>
      <c r="FR267" s="1890"/>
      <c r="FS267" s="1890"/>
      <c r="FT267" s="1890"/>
    </row>
    <row r="268" spans="1:176" s="1965" customFormat="1" ht="32.1" customHeight="1">
      <c r="A268" s="2500"/>
      <c r="B268" s="2059" t="s">
        <v>289</v>
      </c>
      <c r="C268" s="2060">
        <f t="shared" ref="C268:H268" si="68">AVERAGE(C269:C274)</f>
        <v>0.91666666666666663</v>
      </c>
      <c r="D268" s="2060">
        <f t="shared" si="68"/>
        <v>1</v>
      </c>
      <c r="E268" s="2060">
        <f t="shared" si="68"/>
        <v>0.25</v>
      </c>
      <c r="F268" s="2060">
        <f t="shared" si="68"/>
        <v>0.66666666666666663</v>
      </c>
      <c r="G268" s="2060">
        <f t="shared" si="68"/>
        <v>0.58333333333333337</v>
      </c>
      <c r="H268" s="2060">
        <f t="shared" si="68"/>
        <v>0.41666666666666669</v>
      </c>
      <c r="I268" s="2086"/>
      <c r="J268" s="1910"/>
      <c r="K268" s="1911"/>
      <c r="L268" s="1911"/>
      <c r="M268" s="1978"/>
      <c r="N268" s="1912"/>
      <c r="O268" s="1912"/>
      <c r="P268" s="1976"/>
      <c r="Q268" s="1976"/>
      <c r="R268" s="2121"/>
      <c r="S268" s="2250"/>
      <c r="T268" s="1911"/>
      <c r="U268" s="1911"/>
      <c r="V268" s="1966"/>
      <c r="W268" s="1911"/>
      <c r="X268" s="1912"/>
      <c r="Y268" s="1818"/>
      <c r="Z268" s="1818"/>
      <c r="AA268" s="1818"/>
      <c r="AB268" s="1818"/>
      <c r="AC268" s="1818"/>
      <c r="AD268" s="1818"/>
      <c r="AE268" s="1818"/>
      <c r="AF268" s="1818"/>
      <c r="AG268" s="1818"/>
      <c r="AH268" s="1818"/>
      <c r="AI268" s="1818"/>
      <c r="AJ268" s="1818"/>
      <c r="AK268" s="1818"/>
      <c r="AL268" s="1818"/>
      <c r="AM268" s="1818"/>
      <c r="AN268" s="1818"/>
      <c r="AO268" s="1818"/>
      <c r="AP268" s="1818"/>
      <c r="AQ268" s="1818"/>
      <c r="AR268" s="1818"/>
      <c r="AS268" s="1818"/>
      <c r="AT268" s="1818"/>
      <c r="AU268" s="1818"/>
      <c r="AV268" s="1818"/>
      <c r="AW268" s="1818"/>
      <c r="AX268" s="1818"/>
      <c r="AY268" s="1818"/>
      <c r="AZ268" s="1818"/>
      <c r="BA268" s="1818"/>
      <c r="BB268" s="1818"/>
      <c r="BC268" s="1818"/>
      <c r="BD268" s="1818"/>
      <c r="BE268" s="1818"/>
      <c r="BF268" s="1818"/>
      <c r="BG268" s="1818"/>
      <c r="BH268" s="1818"/>
      <c r="BI268" s="1818"/>
      <c r="BJ268" s="1818"/>
      <c r="BK268" s="1818"/>
      <c r="BL268" s="1818"/>
      <c r="BM268" s="1818"/>
      <c r="BN268" s="1818"/>
      <c r="BO268" s="1818"/>
      <c r="BP268" s="1818"/>
      <c r="BQ268" s="1818"/>
      <c r="BR268" s="1818"/>
      <c r="BS268" s="1818"/>
      <c r="BT268" s="1818"/>
      <c r="BU268" s="1818"/>
      <c r="BV268" s="1818"/>
      <c r="BW268" s="1818"/>
      <c r="BX268" s="1818"/>
      <c r="BY268" s="1818"/>
      <c r="BZ268" s="1818"/>
      <c r="CA268" s="1890"/>
      <c r="CB268" s="1890"/>
      <c r="CC268" s="1890"/>
      <c r="CD268" s="1890"/>
      <c r="CE268" s="1890"/>
      <c r="CF268" s="1890"/>
      <c r="CG268" s="1890"/>
      <c r="CH268" s="1890"/>
      <c r="CI268" s="1890"/>
      <c r="CJ268" s="1890"/>
      <c r="CK268" s="1890"/>
      <c r="CL268" s="1890"/>
      <c r="CM268" s="1890"/>
      <c r="CN268" s="1890"/>
      <c r="CO268" s="1890"/>
      <c r="CP268" s="1890"/>
      <c r="CQ268" s="1890"/>
      <c r="CR268" s="1890"/>
      <c r="CS268" s="1890"/>
      <c r="CT268" s="1890"/>
      <c r="CU268" s="1890"/>
      <c r="CV268" s="1890"/>
      <c r="CW268" s="1890"/>
      <c r="CX268" s="1890"/>
      <c r="CY268" s="1890"/>
      <c r="CZ268" s="1890"/>
      <c r="DA268" s="1890"/>
      <c r="DB268" s="1890"/>
      <c r="DC268" s="1890"/>
      <c r="DD268" s="1890"/>
      <c r="DE268" s="1890"/>
      <c r="DF268" s="1890"/>
      <c r="DG268" s="1890"/>
      <c r="DH268" s="1890"/>
      <c r="DI268" s="1890"/>
      <c r="DJ268" s="1890"/>
      <c r="DK268" s="1890"/>
      <c r="DL268" s="1890"/>
      <c r="DM268" s="1890"/>
      <c r="DN268" s="1890"/>
      <c r="DO268" s="1890"/>
      <c r="DP268" s="1890"/>
      <c r="DQ268" s="1890"/>
      <c r="DR268" s="1890"/>
      <c r="DS268" s="1890"/>
      <c r="DT268" s="1890"/>
      <c r="DU268" s="1890"/>
      <c r="DV268" s="1890"/>
      <c r="DW268" s="1890"/>
      <c r="DX268" s="1890"/>
      <c r="DY268" s="1890"/>
      <c r="DZ268" s="1890"/>
      <c r="EA268" s="1890"/>
      <c r="EB268" s="1890"/>
      <c r="EC268" s="1890"/>
      <c r="ED268" s="1890"/>
      <c r="EE268" s="1890"/>
      <c r="EF268" s="1890"/>
      <c r="EG268" s="1890"/>
      <c r="EH268" s="1890"/>
      <c r="EI268" s="1890"/>
      <c r="EJ268" s="1890"/>
      <c r="EK268" s="1890"/>
      <c r="EL268" s="1890"/>
      <c r="EM268" s="1890"/>
      <c r="EN268" s="1890"/>
      <c r="EO268" s="1890"/>
      <c r="EP268" s="1890"/>
      <c r="EQ268" s="1890"/>
      <c r="ER268" s="1890"/>
      <c r="ES268" s="1890"/>
      <c r="ET268" s="1890"/>
      <c r="EU268" s="1890"/>
      <c r="EV268" s="1890"/>
      <c r="EW268" s="1890"/>
      <c r="EX268" s="1890"/>
      <c r="EY268" s="1890"/>
      <c r="EZ268" s="1890"/>
      <c r="FA268" s="1890"/>
      <c r="FB268" s="1890"/>
      <c r="FC268" s="1890"/>
      <c r="FD268" s="1890"/>
      <c r="FE268" s="1890"/>
      <c r="FF268" s="1890"/>
      <c r="FG268" s="1890"/>
      <c r="FH268" s="1890"/>
      <c r="FI268" s="1890"/>
      <c r="FJ268" s="1890"/>
      <c r="FK268" s="1890"/>
      <c r="FL268" s="1890"/>
      <c r="FM268" s="1890"/>
      <c r="FN268" s="1890"/>
      <c r="FO268" s="1890"/>
      <c r="FP268" s="1890"/>
      <c r="FQ268" s="1890"/>
      <c r="FR268" s="1890"/>
      <c r="FS268" s="1890"/>
      <c r="FT268" s="1890"/>
    </row>
    <row r="269" spans="1:176" s="1965" customFormat="1" ht="135" customHeight="1">
      <c r="A269" s="1899"/>
      <c r="B269" s="1805" t="s">
        <v>290</v>
      </c>
      <c r="C269" s="1837">
        <v>1</v>
      </c>
      <c r="D269" s="1829">
        <v>1</v>
      </c>
      <c r="E269" s="1829">
        <v>0.5</v>
      </c>
      <c r="F269" s="1829">
        <v>1</v>
      </c>
      <c r="G269" s="1829">
        <v>1</v>
      </c>
      <c r="H269" s="1850">
        <v>0.5</v>
      </c>
      <c r="I269" s="2286" t="s">
        <v>291</v>
      </c>
      <c r="J269" s="2053">
        <v>1</v>
      </c>
      <c r="K269" s="1917" t="s">
        <v>960</v>
      </c>
      <c r="L269" s="1794">
        <v>0.5</v>
      </c>
      <c r="M269" s="1941">
        <v>1</v>
      </c>
      <c r="N269" s="1941" t="s">
        <v>811</v>
      </c>
      <c r="O269" s="1941" t="s">
        <v>8752</v>
      </c>
      <c r="P269" s="1975">
        <v>1</v>
      </c>
      <c r="Q269" s="1975">
        <v>0</v>
      </c>
      <c r="R269" s="2121"/>
      <c r="S269" s="2281" t="s">
        <v>811</v>
      </c>
      <c r="T269" s="1794" t="s">
        <v>9191</v>
      </c>
      <c r="U269" s="1794" t="s">
        <v>7274</v>
      </c>
      <c r="V269" s="1949" t="s">
        <v>6139</v>
      </c>
      <c r="W269" s="1949" t="s">
        <v>811</v>
      </c>
      <c r="X269" s="1941" t="s">
        <v>8752</v>
      </c>
      <c r="Y269" s="1818"/>
      <c r="Z269" s="1818"/>
      <c r="AA269" s="1818"/>
      <c r="AB269" s="1818"/>
      <c r="AC269" s="1818"/>
      <c r="AD269" s="1818"/>
      <c r="AE269" s="1818"/>
      <c r="AF269" s="1818"/>
      <c r="AG269" s="1818"/>
      <c r="AH269" s="1818"/>
      <c r="AI269" s="1818"/>
      <c r="AJ269" s="1818"/>
      <c r="AK269" s="1818"/>
      <c r="AL269" s="1818"/>
      <c r="AM269" s="1818"/>
      <c r="AN269" s="1818"/>
      <c r="AO269" s="1818"/>
      <c r="AP269" s="1818"/>
      <c r="AQ269" s="1818"/>
      <c r="AR269" s="1818"/>
      <c r="AS269" s="1818"/>
      <c r="AT269" s="1818"/>
      <c r="AU269" s="1818"/>
      <c r="AV269" s="1818"/>
      <c r="AW269" s="1818"/>
      <c r="AX269" s="1818"/>
      <c r="AY269" s="1818"/>
      <c r="AZ269" s="1818"/>
      <c r="BA269" s="1818"/>
      <c r="BB269" s="1818"/>
      <c r="BC269" s="1818"/>
      <c r="BD269" s="1818"/>
      <c r="BE269" s="1818"/>
      <c r="BF269" s="1818"/>
      <c r="BG269" s="1818"/>
      <c r="BH269" s="1818"/>
      <c r="BI269" s="1818"/>
      <c r="BJ269" s="1818"/>
      <c r="BK269" s="1818"/>
      <c r="BL269" s="1818"/>
      <c r="BM269" s="1818"/>
      <c r="BN269" s="1818"/>
      <c r="BO269" s="1818"/>
      <c r="BP269" s="1818"/>
      <c r="BQ269" s="1818"/>
      <c r="BR269" s="1818"/>
      <c r="BS269" s="1818"/>
      <c r="BT269" s="1818"/>
      <c r="BU269" s="1818"/>
      <c r="BV269" s="1818"/>
      <c r="BW269" s="1818"/>
      <c r="BX269" s="1818"/>
      <c r="BY269" s="1818"/>
      <c r="BZ269" s="1818"/>
      <c r="CA269" s="1890"/>
      <c r="CB269" s="1890"/>
      <c r="CC269" s="1890"/>
      <c r="CD269" s="1890"/>
      <c r="CE269" s="1890"/>
      <c r="CF269" s="1890"/>
      <c r="CG269" s="1890"/>
      <c r="CH269" s="1890"/>
      <c r="CI269" s="1890"/>
      <c r="CJ269" s="1890"/>
      <c r="CK269" s="1890"/>
      <c r="CL269" s="1890"/>
      <c r="CM269" s="1890"/>
      <c r="CN269" s="1890"/>
      <c r="CO269" s="1890"/>
      <c r="CP269" s="1890"/>
      <c r="CQ269" s="1890"/>
      <c r="CR269" s="1890"/>
      <c r="CS269" s="1890"/>
      <c r="CT269" s="1890"/>
      <c r="CU269" s="1890"/>
      <c r="CV269" s="1890"/>
      <c r="CW269" s="1890"/>
      <c r="CX269" s="1890"/>
      <c r="CY269" s="1890"/>
      <c r="CZ269" s="1890"/>
      <c r="DA269" s="1890"/>
      <c r="DB269" s="1890"/>
      <c r="DC269" s="1890"/>
      <c r="DD269" s="1890"/>
      <c r="DE269" s="1890"/>
      <c r="DF269" s="1890"/>
      <c r="DG269" s="1890"/>
      <c r="DH269" s="1890"/>
      <c r="DI269" s="1890"/>
      <c r="DJ269" s="1890"/>
      <c r="DK269" s="1890"/>
      <c r="DL269" s="1890"/>
      <c r="DM269" s="1890"/>
      <c r="DN269" s="1890"/>
      <c r="DO269" s="1890"/>
      <c r="DP269" s="1890"/>
      <c r="DQ269" s="1890"/>
      <c r="DR269" s="1890"/>
      <c r="DS269" s="1890"/>
      <c r="DT269" s="1890"/>
      <c r="DU269" s="1890"/>
      <c r="DV269" s="1890"/>
      <c r="DW269" s="1890"/>
      <c r="DX269" s="1890"/>
      <c r="DY269" s="1890"/>
      <c r="DZ269" s="1890"/>
      <c r="EA269" s="1890"/>
      <c r="EB269" s="1890"/>
      <c r="EC269" s="1890"/>
      <c r="ED269" s="1890"/>
      <c r="EE269" s="1890"/>
      <c r="EF269" s="1890"/>
      <c r="EG269" s="1890"/>
      <c r="EH269" s="1890"/>
      <c r="EI269" s="1890"/>
      <c r="EJ269" s="1890"/>
      <c r="EK269" s="1890"/>
      <c r="EL269" s="1890"/>
      <c r="EM269" s="1890"/>
      <c r="EN269" s="1890"/>
      <c r="EO269" s="1890"/>
      <c r="EP269" s="1890"/>
      <c r="EQ269" s="1890"/>
      <c r="ER269" s="1890"/>
      <c r="ES269" s="1890"/>
      <c r="ET269" s="1890"/>
      <c r="EU269" s="1890"/>
      <c r="EV269" s="1890"/>
      <c r="EW269" s="1890"/>
      <c r="EX269" s="1890"/>
      <c r="EY269" s="1890"/>
      <c r="EZ269" s="1890"/>
      <c r="FA269" s="1890"/>
      <c r="FB269" s="1890"/>
      <c r="FC269" s="1890"/>
      <c r="FD269" s="1890"/>
      <c r="FE269" s="1890"/>
      <c r="FF269" s="1890"/>
      <c r="FG269" s="1890"/>
      <c r="FH269" s="1890"/>
      <c r="FI269" s="1890"/>
      <c r="FJ269" s="1890"/>
      <c r="FK269" s="1890"/>
      <c r="FL269" s="1890"/>
      <c r="FM269" s="1890"/>
      <c r="FN269" s="1890"/>
      <c r="FO269" s="1890"/>
      <c r="FP269" s="1890"/>
      <c r="FQ269" s="1890"/>
      <c r="FR269" s="1890"/>
      <c r="FS269" s="1890"/>
      <c r="FT269" s="1890"/>
    </row>
    <row r="270" spans="1:176" s="1965" customFormat="1" ht="32.1" customHeight="1">
      <c r="A270" s="1899"/>
      <c r="B270" s="1805" t="s">
        <v>292</v>
      </c>
      <c r="C270" s="1837">
        <v>1</v>
      </c>
      <c r="D270" s="1829">
        <v>1</v>
      </c>
      <c r="E270" s="1829">
        <v>1</v>
      </c>
      <c r="F270" s="1829">
        <v>1</v>
      </c>
      <c r="G270" s="1829">
        <v>1</v>
      </c>
      <c r="H270" s="1850">
        <v>0.5</v>
      </c>
      <c r="I270" s="2286" t="s">
        <v>293</v>
      </c>
      <c r="J270" s="2053">
        <v>1</v>
      </c>
      <c r="K270" s="1917" t="s">
        <v>960</v>
      </c>
      <c r="L270" s="1794">
        <v>1</v>
      </c>
      <c r="M270" s="1941">
        <v>1</v>
      </c>
      <c r="N270" s="1941" t="s">
        <v>811</v>
      </c>
      <c r="O270" s="1941" t="s">
        <v>8752</v>
      </c>
      <c r="P270" s="1975">
        <v>1</v>
      </c>
      <c r="Q270" s="1975">
        <v>0</v>
      </c>
      <c r="R270" s="2121"/>
      <c r="S270" s="2281" t="s">
        <v>811</v>
      </c>
      <c r="T270" s="1794" t="s">
        <v>7560</v>
      </c>
      <c r="U270" s="1794" t="s">
        <v>748</v>
      </c>
      <c r="V270" s="1949" t="s">
        <v>6140</v>
      </c>
      <c r="W270" s="1949" t="s">
        <v>811</v>
      </c>
      <c r="X270" s="1941" t="s">
        <v>8752</v>
      </c>
      <c r="Y270" s="1818"/>
      <c r="Z270" s="1818"/>
      <c r="AA270" s="1818"/>
      <c r="AB270" s="1818"/>
      <c r="AC270" s="1818"/>
      <c r="AD270" s="1818"/>
      <c r="AE270" s="1818"/>
      <c r="AF270" s="1818"/>
      <c r="AG270" s="1818"/>
      <c r="AH270" s="1818"/>
      <c r="AI270" s="1818"/>
      <c r="AJ270" s="1818"/>
      <c r="AK270" s="1818"/>
      <c r="AL270" s="1818"/>
      <c r="AM270" s="1818"/>
      <c r="AN270" s="1818"/>
      <c r="AO270" s="1818"/>
      <c r="AP270" s="1818"/>
      <c r="AQ270" s="1818"/>
      <c r="AR270" s="1818"/>
      <c r="AS270" s="1818"/>
      <c r="AT270" s="1818"/>
      <c r="AU270" s="1818"/>
      <c r="AV270" s="1818"/>
      <c r="AW270" s="1818"/>
      <c r="AX270" s="1818"/>
      <c r="AY270" s="1818"/>
      <c r="AZ270" s="1818"/>
      <c r="BA270" s="1818"/>
      <c r="BB270" s="1818"/>
      <c r="BC270" s="1818"/>
      <c r="BD270" s="1818"/>
      <c r="BE270" s="1818"/>
      <c r="BF270" s="1818"/>
      <c r="BG270" s="1818"/>
      <c r="BH270" s="1818"/>
      <c r="BI270" s="1818"/>
      <c r="BJ270" s="1818"/>
      <c r="BK270" s="1818"/>
      <c r="BL270" s="1818"/>
      <c r="BM270" s="1818"/>
      <c r="BN270" s="1818"/>
      <c r="BO270" s="1818"/>
      <c r="BP270" s="1818"/>
      <c r="BQ270" s="1818"/>
      <c r="BR270" s="1818"/>
      <c r="BS270" s="1818"/>
      <c r="BT270" s="1818"/>
      <c r="BU270" s="1818"/>
      <c r="BV270" s="1818"/>
      <c r="BW270" s="1818"/>
      <c r="BX270" s="1818"/>
      <c r="BY270" s="1818"/>
      <c r="BZ270" s="1818"/>
      <c r="CA270" s="1890"/>
      <c r="CB270" s="1890"/>
      <c r="CC270" s="1890"/>
      <c r="CD270" s="1890"/>
      <c r="CE270" s="1890"/>
      <c r="CF270" s="1890"/>
      <c r="CG270" s="1890"/>
      <c r="CH270" s="1890"/>
      <c r="CI270" s="1890"/>
      <c r="CJ270" s="1890"/>
      <c r="CK270" s="1890"/>
      <c r="CL270" s="1890"/>
      <c r="CM270" s="1890"/>
      <c r="CN270" s="1890"/>
      <c r="CO270" s="1890"/>
      <c r="CP270" s="1890"/>
      <c r="CQ270" s="1890"/>
      <c r="CR270" s="1890"/>
      <c r="CS270" s="1890"/>
      <c r="CT270" s="1890"/>
      <c r="CU270" s="1890"/>
      <c r="CV270" s="1890"/>
      <c r="CW270" s="1890"/>
      <c r="CX270" s="1890"/>
      <c r="CY270" s="1890"/>
      <c r="CZ270" s="1890"/>
      <c r="DA270" s="1890"/>
      <c r="DB270" s="1890"/>
      <c r="DC270" s="1890"/>
      <c r="DD270" s="1890"/>
      <c r="DE270" s="1890"/>
      <c r="DF270" s="1890"/>
      <c r="DG270" s="1890"/>
      <c r="DH270" s="1890"/>
      <c r="DI270" s="1890"/>
      <c r="DJ270" s="1890"/>
      <c r="DK270" s="1890"/>
      <c r="DL270" s="1890"/>
      <c r="DM270" s="1890"/>
      <c r="DN270" s="1890"/>
      <c r="DO270" s="1890"/>
      <c r="DP270" s="1890"/>
      <c r="DQ270" s="1890"/>
      <c r="DR270" s="1890"/>
      <c r="DS270" s="1890"/>
      <c r="DT270" s="1890"/>
      <c r="DU270" s="1890"/>
      <c r="DV270" s="1890"/>
      <c r="DW270" s="1890"/>
      <c r="DX270" s="1890"/>
      <c r="DY270" s="1890"/>
      <c r="DZ270" s="1890"/>
      <c r="EA270" s="1890"/>
      <c r="EB270" s="1890"/>
      <c r="EC270" s="1890"/>
      <c r="ED270" s="1890"/>
      <c r="EE270" s="1890"/>
      <c r="EF270" s="1890"/>
      <c r="EG270" s="1890"/>
      <c r="EH270" s="1890"/>
      <c r="EI270" s="1890"/>
      <c r="EJ270" s="1890"/>
      <c r="EK270" s="1890"/>
      <c r="EL270" s="1890"/>
      <c r="EM270" s="1890"/>
      <c r="EN270" s="1890"/>
      <c r="EO270" s="1890"/>
      <c r="EP270" s="1890"/>
      <c r="EQ270" s="1890"/>
      <c r="ER270" s="1890"/>
      <c r="ES270" s="1890"/>
      <c r="ET270" s="1890"/>
      <c r="EU270" s="1890"/>
      <c r="EV270" s="1890"/>
      <c r="EW270" s="1890"/>
      <c r="EX270" s="1890"/>
      <c r="EY270" s="1890"/>
      <c r="EZ270" s="1890"/>
      <c r="FA270" s="1890"/>
      <c r="FB270" s="1890"/>
      <c r="FC270" s="1890"/>
      <c r="FD270" s="1890"/>
      <c r="FE270" s="1890"/>
      <c r="FF270" s="1890"/>
      <c r="FG270" s="1890"/>
      <c r="FH270" s="1890"/>
      <c r="FI270" s="1890"/>
      <c r="FJ270" s="1890"/>
      <c r="FK270" s="1890"/>
      <c r="FL270" s="1890"/>
      <c r="FM270" s="1890"/>
      <c r="FN270" s="1890"/>
      <c r="FO270" s="1890"/>
      <c r="FP270" s="1890"/>
      <c r="FQ270" s="1890"/>
      <c r="FR270" s="1890"/>
      <c r="FS270" s="1890"/>
      <c r="FT270" s="1890"/>
    </row>
    <row r="271" spans="1:176" s="1965" customFormat="1" ht="32.1" customHeight="1">
      <c r="A271" s="1899"/>
      <c r="B271" s="1805" t="s">
        <v>294</v>
      </c>
      <c r="C271" s="1837">
        <v>1</v>
      </c>
      <c r="D271" s="1829">
        <v>1</v>
      </c>
      <c r="E271" s="1829">
        <v>0</v>
      </c>
      <c r="F271" s="1829">
        <v>0</v>
      </c>
      <c r="G271" s="1829">
        <v>0.5</v>
      </c>
      <c r="H271" s="1850">
        <v>0.5</v>
      </c>
      <c r="I271" s="2086" t="s">
        <v>211</v>
      </c>
      <c r="J271" s="2053">
        <v>1</v>
      </c>
      <c r="K271" s="1917" t="s">
        <v>960</v>
      </c>
      <c r="L271" s="1794">
        <v>0</v>
      </c>
      <c r="M271" s="1941">
        <v>0</v>
      </c>
      <c r="N271" s="1941" t="s">
        <v>8349</v>
      </c>
      <c r="O271" s="1941" t="s">
        <v>8752</v>
      </c>
      <c r="P271" s="1975">
        <v>1</v>
      </c>
      <c r="Q271" s="1975">
        <v>0</v>
      </c>
      <c r="R271" s="2121"/>
      <c r="S271" s="2281" t="s">
        <v>811</v>
      </c>
      <c r="T271" s="1794" t="s">
        <v>7561</v>
      </c>
      <c r="U271" s="1794" t="s">
        <v>748</v>
      </c>
      <c r="V271" s="1949" t="s">
        <v>6141</v>
      </c>
      <c r="W271" s="1949" t="s">
        <v>8349</v>
      </c>
      <c r="X271" s="1941" t="s">
        <v>8752</v>
      </c>
      <c r="Y271" s="1818"/>
      <c r="Z271" s="1818"/>
      <c r="AA271" s="1818"/>
      <c r="AB271" s="1818"/>
      <c r="AC271" s="1818"/>
      <c r="AD271" s="1818"/>
      <c r="AE271" s="1818"/>
      <c r="AF271" s="1818"/>
      <c r="AG271" s="1818"/>
      <c r="AH271" s="1818"/>
      <c r="AI271" s="1818"/>
      <c r="AJ271" s="1818"/>
      <c r="AK271" s="1818"/>
      <c r="AL271" s="1818"/>
      <c r="AM271" s="1818"/>
      <c r="AN271" s="1818"/>
      <c r="AO271" s="1818"/>
      <c r="AP271" s="1818"/>
      <c r="AQ271" s="1818"/>
      <c r="AR271" s="1818"/>
      <c r="AS271" s="1818"/>
      <c r="AT271" s="1818"/>
      <c r="AU271" s="1818"/>
      <c r="AV271" s="1818"/>
      <c r="AW271" s="1818"/>
      <c r="AX271" s="1818"/>
      <c r="AY271" s="1818"/>
      <c r="AZ271" s="1818"/>
      <c r="BA271" s="1818"/>
      <c r="BB271" s="1818"/>
      <c r="BC271" s="1818"/>
      <c r="BD271" s="1818"/>
      <c r="BE271" s="1818"/>
      <c r="BF271" s="1818"/>
      <c r="BG271" s="1818"/>
      <c r="BH271" s="1818"/>
      <c r="BI271" s="1818"/>
      <c r="BJ271" s="1818"/>
      <c r="BK271" s="1818"/>
      <c r="BL271" s="1818"/>
      <c r="BM271" s="1818"/>
      <c r="BN271" s="1818"/>
      <c r="BO271" s="1818"/>
      <c r="BP271" s="1818"/>
      <c r="BQ271" s="1818"/>
      <c r="BR271" s="1818"/>
      <c r="BS271" s="1818"/>
      <c r="BT271" s="1818"/>
      <c r="BU271" s="1818"/>
      <c r="BV271" s="1818"/>
      <c r="BW271" s="1818"/>
      <c r="BX271" s="1818"/>
      <c r="BY271" s="1818"/>
      <c r="BZ271" s="1818"/>
      <c r="CA271" s="1890"/>
      <c r="CB271" s="1890"/>
      <c r="CC271" s="1890"/>
      <c r="CD271" s="1890"/>
      <c r="CE271" s="1890"/>
      <c r="CF271" s="1890"/>
      <c r="CG271" s="1890"/>
      <c r="CH271" s="1890"/>
      <c r="CI271" s="1890"/>
      <c r="CJ271" s="1890"/>
      <c r="CK271" s="1890"/>
      <c r="CL271" s="1890"/>
      <c r="CM271" s="1890"/>
      <c r="CN271" s="1890"/>
      <c r="CO271" s="1890"/>
      <c r="CP271" s="1890"/>
      <c r="CQ271" s="1890"/>
      <c r="CR271" s="1890"/>
      <c r="CS271" s="1890"/>
      <c r="CT271" s="1890"/>
      <c r="CU271" s="1890"/>
      <c r="CV271" s="1890"/>
      <c r="CW271" s="1890"/>
      <c r="CX271" s="1890"/>
      <c r="CY271" s="1890"/>
      <c r="CZ271" s="1890"/>
      <c r="DA271" s="1890"/>
      <c r="DB271" s="1890"/>
      <c r="DC271" s="1890"/>
      <c r="DD271" s="1890"/>
      <c r="DE271" s="1890"/>
      <c r="DF271" s="1890"/>
      <c r="DG271" s="1890"/>
      <c r="DH271" s="1890"/>
      <c r="DI271" s="1890"/>
      <c r="DJ271" s="1890"/>
      <c r="DK271" s="1890"/>
      <c r="DL271" s="1890"/>
      <c r="DM271" s="1890"/>
      <c r="DN271" s="1890"/>
      <c r="DO271" s="1890"/>
      <c r="DP271" s="1890"/>
      <c r="DQ271" s="1890"/>
      <c r="DR271" s="1890"/>
      <c r="DS271" s="1890"/>
      <c r="DT271" s="1890"/>
      <c r="DU271" s="1890"/>
      <c r="DV271" s="1890"/>
      <c r="DW271" s="1890"/>
      <c r="DX271" s="1890"/>
      <c r="DY271" s="1890"/>
      <c r="DZ271" s="1890"/>
      <c r="EA271" s="1890"/>
      <c r="EB271" s="1890"/>
      <c r="EC271" s="1890"/>
      <c r="ED271" s="1890"/>
      <c r="EE271" s="1890"/>
      <c r="EF271" s="1890"/>
      <c r="EG271" s="1890"/>
      <c r="EH271" s="1890"/>
      <c r="EI271" s="1890"/>
      <c r="EJ271" s="1890"/>
      <c r="EK271" s="1890"/>
      <c r="EL271" s="1890"/>
      <c r="EM271" s="1890"/>
      <c r="EN271" s="1890"/>
      <c r="EO271" s="1890"/>
      <c r="EP271" s="1890"/>
      <c r="EQ271" s="1890"/>
      <c r="ER271" s="1890"/>
      <c r="ES271" s="1890"/>
      <c r="ET271" s="1890"/>
      <c r="EU271" s="1890"/>
      <c r="EV271" s="1890"/>
      <c r="EW271" s="1890"/>
      <c r="EX271" s="1890"/>
      <c r="EY271" s="1890"/>
      <c r="EZ271" s="1890"/>
      <c r="FA271" s="1890"/>
      <c r="FB271" s="1890"/>
      <c r="FC271" s="1890"/>
      <c r="FD271" s="1890"/>
      <c r="FE271" s="1890"/>
      <c r="FF271" s="1890"/>
      <c r="FG271" s="1890"/>
      <c r="FH271" s="1890"/>
      <c r="FI271" s="1890"/>
      <c r="FJ271" s="1890"/>
      <c r="FK271" s="1890"/>
      <c r="FL271" s="1890"/>
      <c r="FM271" s="1890"/>
      <c r="FN271" s="1890"/>
      <c r="FO271" s="1890"/>
      <c r="FP271" s="1890"/>
      <c r="FQ271" s="1890"/>
      <c r="FR271" s="1890"/>
      <c r="FS271" s="1890"/>
      <c r="FT271" s="1890"/>
    </row>
    <row r="272" spans="1:176" s="1965" customFormat="1" ht="32.1" customHeight="1">
      <c r="A272" s="1899"/>
      <c r="B272" s="1805" t="s">
        <v>295</v>
      </c>
      <c r="C272" s="1837">
        <v>1</v>
      </c>
      <c r="D272" s="1829">
        <v>1</v>
      </c>
      <c r="E272" s="1829">
        <v>0</v>
      </c>
      <c r="F272" s="1829">
        <v>1</v>
      </c>
      <c r="G272" s="1846">
        <v>0</v>
      </c>
      <c r="H272" s="1850">
        <v>0</v>
      </c>
      <c r="I272" s="2086" t="s">
        <v>123</v>
      </c>
      <c r="J272" s="2217">
        <v>1</v>
      </c>
      <c r="K272" s="1917" t="s">
        <v>960</v>
      </c>
      <c r="L272" s="1794">
        <v>0</v>
      </c>
      <c r="M272" s="1941">
        <v>1</v>
      </c>
      <c r="N272" s="1941" t="s">
        <v>748</v>
      </c>
      <c r="O272" s="1941" t="s">
        <v>748</v>
      </c>
      <c r="P272" s="1975">
        <v>1</v>
      </c>
      <c r="Q272" s="1975">
        <v>0</v>
      </c>
      <c r="R272" s="2121"/>
      <c r="S272" s="2255" t="s">
        <v>9161</v>
      </c>
      <c r="T272" s="1794" t="s">
        <v>7562</v>
      </c>
      <c r="U272" s="1794" t="s">
        <v>748</v>
      </c>
      <c r="V272" s="1949" t="s">
        <v>7913</v>
      </c>
      <c r="W272" s="1949" t="s">
        <v>748</v>
      </c>
      <c r="X272" s="1941" t="s">
        <v>748</v>
      </c>
      <c r="Y272" s="1818"/>
      <c r="Z272" s="1818"/>
      <c r="AA272" s="1818"/>
      <c r="AB272" s="1818"/>
      <c r="AC272" s="1818"/>
      <c r="AD272" s="1818"/>
      <c r="AE272" s="1818"/>
      <c r="AF272" s="1818"/>
      <c r="AG272" s="1818"/>
      <c r="AH272" s="1818"/>
      <c r="AI272" s="1818"/>
      <c r="AJ272" s="1818"/>
      <c r="AK272" s="1818"/>
      <c r="AL272" s="1818"/>
      <c r="AM272" s="1818"/>
      <c r="AN272" s="1818"/>
      <c r="AO272" s="1818"/>
      <c r="AP272" s="1818"/>
      <c r="AQ272" s="1818"/>
      <c r="AR272" s="1818"/>
      <c r="AS272" s="1818"/>
      <c r="AT272" s="1818"/>
      <c r="AU272" s="1818"/>
      <c r="AV272" s="1818"/>
      <c r="AW272" s="1818"/>
      <c r="AX272" s="1818"/>
      <c r="AY272" s="1818"/>
      <c r="AZ272" s="1818"/>
      <c r="BA272" s="1818"/>
      <c r="BB272" s="1818"/>
      <c r="BC272" s="1818"/>
      <c r="BD272" s="1818"/>
      <c r="BE272" s="1818"/>
      <c r="BF272" s="1818"/>
      <c r="BG272" s="1818"/>
      <c r="BH272" s="1818"/>
      <c r="BI272" s="1818"/>
      <c r="BJ272" s="1818"/>
      <c r="BK272" s="1818"/>
      <c r="BL272" s="1818"/>
      <c r="BM272" s="1818"/>
      <c r="BN272" s="1818"/>
      <c r="BO272" s="1818"/>
      <c r="BP272" s="1818"/>
      <c r="BQ272" s="1818"/>
      <c r="BR272" s="1818"/>
      <c r="BS272" s="1818"/>
      <c r="BT272" s="1818"/>
      <c r="BU272" s="1818"/>
      <c r="BV272" s="1818"/>
      <c r="BW272" s="1818"/>
      <c r="BX272" s="1818"/>
      <c r="BY272" s="1818"/>
      <c r="BZ272" s="1818"/>
      <c r="CA272" s="1890"/>
      <c r="CB272" s="1890"/>
      <c r="CC272" s="1890"/>
      <c r="CD272" s="1890"/>
      <c r="CE272" s="1890"/>
      <c r="CF272" s="1890"/>
      <c r="CG272" s="1890"/>
      <c r="CH272" s="1890"/>
      <c r="CI272" s="1890"/>
      <c r="CJ272" s="1890"/>
      <c r="CK272" s="1890"/>
      <c r="CL272" s="1890"/>
      <c r="CM272" s="1890"/>
      <c r="CN272" s="1890"/>
      <c r="CO272" s="1890"/>
      <c r="CP272" s="1890"/>
      <c r="CQ272" s="1890"/>
      <c r="CR272" s="1890"/>
      <c r="CS272" s="1890"/>
      <c r="CT272" s="1890"/>
      <c r="CU272" s="1890"/>
      <c r="CV272" s="1890"/>
      <c r="CW272" s="1890"/>
      <c r="CX272" s="1890"/>
      <c r="CY272" s="1890"/>
      <c r="CZ272" s="1890"/>
      <c r="DA272" s="1890"/>
      <c r="DB272" s="1890"/>
      <c r="DC272" s="1890"/>
      <c r="DD272" s="1890"/>
      <c r="DE272" s="1890"/>
      <c r="DF272" s="1890"/>
      <c r="DG272" s="1890"/>
      <c r="DH272" s="1890"/>
      <c r="DI272" s="1890"/>
      <c r="DJ272" s="1890"/>
      <c r="DK272" s="1890"/>
      <c r="DL272" s="1890"/>
      <c r="DM272" s="1890"/>
      <c r="DN272" s="1890"/>
      <c r="DO272" s="1890"/>
      <c r="DP272" s="1890"/>
      <c r="DQ272" s="1890"/>
      <c r="DR272" s="1890"/>
      <c r="DS272" s="1890"/>
      <c r="DT272" s="1890"/>
      <c r="DU272" s="1890"/>
      <c r="DV272" s="1890"/>
      <c r="DW272" s="1890"/>
      <c r="DX272" s="1890"/>
      <c r="DY272" s="1890"/>
      <c r="DZ272" s="1890"/>
      <c r="EA272" s="1890"/>
      <c r="EB272" s="1890"/>
      <c r="EC272" s="1890"/>
      <c r="ED272" s="1890"/>
      <c r="EE272" s="1890"/>
      <c r="EF272" s="1890"/>
      <c r="EG272" s="1890"/>
      <c r="EH272" s="1890"/>
      <c r="EI272" s="1890"/>
      <c r="EJ272" s="1890"/>
      <c r="EK272" s="1890"/>
      <c r="EL272" s="1890"/>
      <c r="EM272" s="1890"/>
      <c r="EN272" s="1890"/>
      <c r="EO272" s="1890"/>
      <c r="EP272" s="1890"/>
      <c r="EQ272" s="1890"/>
      <c r="ER272" s="1890"/>
      <c r="ES272" s="1890"/>
      <c r="ET272" s="1890"/>
      <c r="EU272" s="1890"/>
      <c r="EV272" s="1890"/>
      <c r="EW272" s="1890"/>
      <c r="EX272" s="1890"/>
      <c r="EY272" s="1890"/>
      <c r="EZ272" s="1890"/>
      <c r="FA272" s="1890"/>
      <c r="FB272" s="1890"/>
      <c r="FC272" s="1890"/>
      <c r="FD272" s="1890"/>
      <c r="FE272" s="1890"/>
      <c r="FF272" s="1890"/>
      <c r="FG272" s="1890"/>
      <c r="FH272" s="1890"/>
      <c r="FI272" s="1890"/>
      <c r="FJ272" s="1890"/>
      <c r="FK272" s="1890"/>
      <c r="FL272" s="1890"/>
      <c r="FM272" s="1890"/>
      <c r="FN272" s="1890"/>
      <c r="FO272" s="1890"/>
      <c r="FP272" s="1890"/>
      <c r="FQ272" s="1890"/>
      <c r="FR272" s="1890"/>
      <c r="FS272" s="1890"/>
      <c r="FT272" s="1890"/>
    </row>
    <row r="273" spans="1:176" s="1965" customFormat="1" ht="32.1" customHeight="1">
      <c r="A273" s="1899"/>
      <c r="B273" s="1805" t="s">
        <v>296</v>
      </c>
      <c r="C273" s="1837">
        <v>1</v>
      </c>
      <c r="D273" s="1829">
        <v>1</v>
      </c>
      <c r="E273" s="1829">
        <v>0</v>
      </c>
      <c r="F273" s="1829">
        <v>1</v>
      </c>
      <c r="G273" s="1846">
        <v>0.5</v>
      </c>
      <c r="H273" s="1850">
        <v>0.5</v>
      </c>
      <c r="I273" s="2086" t="s">
        <v>211</v>
      </c>
      <c r="J273" s="2217">
        <v>1</v>
      </c>
      <c r="K273" s="1917" t="s">
        <v>960</v>
      </c>
      <c r="L273" s="1794">
        <v>0</v>
      </c>
      <c r="M273" s="1941">
        <v>1</v>
      </c>
      <c r="N273" s="1941" t="s">
        <v>8350</v>
      </c>
      <c r="O273" s="1941" t="s">
        <v>8752</v>
      </c>
      <c r="P273" s="1975">
        <v>1</v>
      </c>
      <c r="Q273" s="1975">
        <v>0</v>
      </c>
      <c r="R273" s="2121"/>
      <c r="S273" s="2255" t="s">
        <v>811</v>
      </c>
      <c r="T273" s="1794" t="s">
        <v>7563</v>
      </c>
      <c r="U273" s="1794" t="s">
        <v>748</v>
      </c>
      <c r="V273" s="1949" t="s">
        <v>7914</v>
      </c>
      <c r="W273" s="1949" t="s">
        <v>8350</v>
      </c>
      <c r="X273" s="1941" t="s">
        <v>8752</v>
      </c>
      <c r="Y273" s="1818"/>
      <c r="Z273" s="1818"/>
      <c r="AA273" s="1818"/>
      <c r="AB273" s="1818"/>
      <c r="AC273" s="1818"/>
      <c r="AD273" s="1818"/>
      <c r="AE273" s="1818"/>
      <c r="AF273" s="1818"/>
      <c r="AG273" s="1818"/>
      <c r="AH273" s="1818"/>
      <c r="AI273" s="1818"/>
      <c r="AJ273" s="1818"/>
      <c r="AK273" s="1818"/>
      <c r="AL273" s="1818"/>
      <c r="AM273" s="1818"/>
      <c r="AN273" s="1818"/>
      <c r="AO273" s="1818"/>
      <c r="AP273" s="1818"/>
      <c r="AQ273" s="1818"/>
      <c r="AR273" s="1818"/>
      <c r="AS273" s="1818"/>
      <c r="AT273" s="1818"/>
      <c r="AU273" s="1818"/>
      <c r="AV273" s="1818"/>
      <c r="AW273" s="1818"/>
      <c r="AX273" s="1818"/>
      <c r="AY273" s="1818"/>
      <c r="AZ273" s="1818"/>
      <c r="BA273" s="1818"/>
      <c r="BB273" s="1818"/>
      <c r="BC273" s="1818"/>
      <c r="BD273" s="1818"/>
      <c r="BE273" s="1818"/>
      <c r="BF273" s="1818"/>
      <c r="BG273" s="1818"/>
      <c r="BH273" s="1818"/>
      <c r="BI273" s="1818"/>
      <c r="BJ273" s="1818"/>
      <c r="BK273" s="1818"/>
      <c r="BL273" s="1818"/>
      <c r="BM273" s="1818"/>
      <c r="BN273" s="1818"/>
      <c r="BO273" s="1818"/>
      <c r="BP273" s="1818"/>
      <c r="BQ273" s="1818"/>
      <c r="BR273" s="1818"/>
      <c r="BS273" s="1818"/>
      <c r="BT273" s="1818"/>
      <c r="BU273" s="1818"/>
      <c r="BV273" s="1818"/>
      <c r="BW273" s="1818"/>
      <c r="BX273" s="1818"/>
      <c r="BY273" s="1818"/>
      <c r="BZ273" s="1818"/>
      <c r="CA273" s="1890"/>
      <c r="CB273" s="1890"/>
      <c r="CC273" s="1890"/>
      <c r="CD273" s="1890"/>
      <c r="CE273" s="1890"/>
      <c r="CF273" s="1890"/>
      <c r="CG273" s="1890"/>
      <c r="CH273" s="1890"/>
      <c r="CI273" s="1890"/>
      <c r="CJ273" s="1890"/>
      <c r="CK273" s="1890"/>
      <c r="CL273" s="1890"/>
      <c r="CM273" s="1890"/>
      <c r="CN273" s="1890"/>
      <c r="CO273" s="1890"/>
      <c r="CP273" s="1890"/>
      <c r="CQ273" s="1890"/>
      <c r="CR273" s="1890"/>
      <c r="CS273" s="1890"/>
      <c r="CT273" s="1890"/>
      <c r="CU273" s="1890"/>
      <c r="CV273" s="1890"/>
      <c r="CW273" s="1890"/>
      <c r="CX273" s="1890"/>
      <c r="CY273" s="1890"/>
      <c r="CZ273" s="1890"/>
      <c r="DA273" s="1890"/>
      <c r="DB273" s="1890"/>
      <c r="DC273" s="1890"/>
      <c r="DD273" s="1890"/>
      <c r="DE273" s="1890"/>
      <c r="DF273" s="1890"/>
      <c r="DG273" s="1890"/>
      <c r="DH273" s="1890"/>
      <c r="DI273" s="1890"/>
      <c r="DJ273" s="1890"/>
      <c r="DK273" s="1890"/>
      <c r="DL273" s="1890"/>
      <c r="DM273" s="1890"/>
      <c r="DN273" s="1890"/>
      <c r="DO273" s="1890"/>
      <c r="DP273" s="1890"/>
      <c r="DQ273" s="1890"/>
      <c r="DR273" s="1890"/>
      <c r="DS273" s="1890"/>
      <c r="DT273" s="1890"/>
      <c r="DU273" s="1890"/>
      <c r="DV273" s="1890"/>
      <c r="DW273" s="1890"/>
      <c r="DX273" s="1890"/>
      <c r="DY273" s="1890"/>
      <c r="DZ273" s="1890"/>
      <c r="EA273" s="1890"/>
      <c r="EB273" s="1890"/>
      <c r="EC273" s="1890"/>
      <c r="ED273" s="1890"/>
      <c r="EE273" s="1890"/>
      <c r="EF273" s="1890"/>
      <c r="EG273" s="1890"/>
      <c r="EH273" s="1890"/>
      <c r="EI273" s="1890"/>
      <c r="EJ273" s="1890"/>
      <c r="EK273" s="1890"/>
      <c r="EL273" s="1890"/>
      <c r="EM273" s="1890"/>
      <c r="EN273" s="1890"/>
      <c r="EO273" s="1890"/>
      <c r="EP273" s="1890"/>
      <c r="EQ273" s="1890"/>
      <c r="ER273" s="1890"/>
      <c r="ES273" s="1890"/>
      <c r="ET273" s="1890"/>
      <c r="EU273" s="1890"/>
      <c r="EV273" s="1890"/>
      <c r="EW273" s="1890"/>
      <c r="EX273" s="1890"/>
      <c r="EY273" s="1890"/>
      <c r="EZ273" s="1890"/>
      <c r="FA273" s="1890"/>
      <c r="FB273" s="1890"/>
      <c r="FC273" s="1890"/>
      <c r="FD273" s="1890"/>
      <c r="FE273" s="1890"/>
      <c r="FF273" s="1890"/>
      <c r="FG273" s="1890"/>
      <c r="FH273" s="1890"/>
      <c r="FI273" s="1890"/>
      <c r="FJ273" s="1890"/>
      <c r="FK273" s="1890"/>
      <c r="FL273" s="1890"/>
      <c r="FM273" s="1890"/>
      <c r="FN273" s="1890"/>
      <c r="FO273" s="1890"/>
      <c r="FP273" s="1890"/>
      <c r="FQ273" s="1890"/>
      <c r="FR273" s="1890"/>
      <c r="FS273" s="1890"/>
      <c r="FT273" s="1890"/>
    </row>
    <row r="274" spans="1:176" s="1965" customFormat="1" ht="32.1" customHeight="1">
      <c r="A274" s="1899"/>
      <c r="B274" s="1805" t="s">
        <v>297</v>
      </c>
      <c r="C274" s="1837">
        <v>0.5</v>
      </c>
      <c r="D274" s="1829">
        <v>1</v>
      </c>
      <c r="E274" s="1829">
        <v>0</v>
      </c>
      <c r="F274" s="2377">
        <v>0</v>
      </c>
      <c r="G274" s="1846">
        <v>0.5</v>
      </c>
      <c r="H274" s="1850">
        <v>0.5</v>
      </c>
      <c r="I274" s="2086" t="s">
        <v>123</v>
      </c>
      <c r="J274" s="2218" t="s">
        <v>6225</v>
      </c>
      <c r="K274" s="1917" t="s">
        <v>960</v>
      </c>
      <c r="L274" s="1794">
        <v>0</v>
      </c>
      <c r="M274" s="1979">
        <v>0</v>
      </c>
      <c r="N274" s="1941" t="s">
        <v>8351</v>
      </c>
      <c r="O274" s="1941" t="s">
        <v>8752</v>
      </c>
      <c r="P274" s="1975">
        <v>1</v>
      </c>
      <c r="Q274" s="1975">
        <v>0</v>
      </c>
      <c r="R274" s="2121"/>
      <c r="S274" s="2324" t="s">
        <v>5427</v>
      </c>
      <c r="T274" s="1794" t="s">
        <v>7562</v>
      </c>
      <c r="U274" s="1794" t="s">
        <v>748</v>
      </c>
      <c r="V274" s="2325" t="s">
        <v>763</v>
      </c>
      <c r="W274" s="1949" t="s">
        <v>8351</v>
      </c>
      <c r="X274" s="1941" t="s">
        <v>8752</v>
      </c>
      <c r="Y274" s="1818"/>
      <c r="Z274" s="1818"/>
      <c r="AA274" s="1818"/>
      <c r="AB274" s="1818"/>
      <c r="AC274" s="1818"/>
      <c r="AD274" s="1818"/>
      <c r="AE274" s="1818"/>
      <c r="AF274" s="1818"/>
      <c r="AG274" s="1818"/>
      <c r="AH274" s="1818"/>
      <c r="AI274" s="1818"/>
      <c r="AJ274" s="1818"/>
      <c r="AK274" s="1818"/>
      <c r="AL274" s="1818"/>
      <c r="AM274" s="1818"/>
      <c r="AN274" s="1818"/>
      <c r="AO274" s="1818"/>
      <c r="AP274" s="1818"/>
      <c r="AQ274" s="1818"/>
      <c r="AR274" s="1818"/>
      <c r="AS274" s="1818"/>
      <c r="AT274" s="1818"/>
      <c r="AU274" s="1818"/>
      <c r="AV274" s="1818"/>
      <c r="AW274" s="1818"/>
      <c r="AX274" s="1818"/>
      <c r="AY274" s="1818"/>
      <c r="AZ274" s="1818"/>
      <c r="BA274" s="1818"/>
      <c r="BB274" s="1818"/>
      <c r="BC274" s="1818"/>
      <c r="BD274" s="1818"/>
      <c r="BE274" s="1818"/>
      <c r="BF274" s="1818"/>
      <c r="BG274" s="1818"/>
      <c r="BH274" s="1818"/>
      <c r="BI274" s="1818"/>
      <c r="BJ274" s="1818"/>
      <c r="BK274" s="1818"/>
      <c r="BL274" s="1818"/>
      <c r="BM274" s="1818"/>
      <c r="BN274" s="1818"/>
      <c r="BO274" s="1818"/>
      <c r="BP274" s="1818"/>
      <c r="BQ274" s="1818"/>
      <c r="BR274" s="1818"/>
      <c r="BS274" s="1818"/>
      <c r="BT274" s="1818"/>
      <c r="BU274" s="1818"/>
      <c r="BV274" s="1818"/>
      <c r="BW274" s="1818"/>
      <c r="BX274" s="1818"/>
      <c r="BY274" s="1818"/>
      <c r="BZ274" s="1818"/>
      <c r="CA274" s="1890"/>
      <c r="CB274" s="1890"/>
      <c r="CC274" s="1890"/>
      <c r="CD274" s="1890"/>
      <c r="CE274" s="1890"/>
      <c r="CF274" s="1890"/>
      <c r="CG274" s="1890"/>
      <c r="CH274" s="1890"/>
      <c r="CI274" s="1890"/>
      <c r="CJ274" s="1890"/>
      <c r="CK274" s="1890"/>
      <c r="CL274" s="1890"/>
      <c r="CM274" s="1890"/>
      <c r="CN274" s="1890"/>
      <c r="CO274" s="1890"/>
      <c r="CP274" s="1890"/>
      <c r="CQ274" s="1890"/>
      <c r="CR274" s="1890"/>
      <c r="CS274" s="1890"/>
      <c r="CT274" s="1890"/>
      <c r="CU274" s="1890"/>
      <c r="CV274" s="1890"/>
      <c r="CW274" s="1890"/>
      <c r="CX274" s="1890"/>
      <c r="CY274" s="1890"/>
      <c r="CZ274" s="1890"/>
      <c r="DA274" s="1890"/>
      <c r="DB274" s="1890"/>
      <c r="DC274" s="1890"/>
      <c r="DD274" s="1890"/>
      <c r="DE274" s="1890"/>
      <c r="DF274" s="1890"/>
      <c r="DG274" s="1890"/>
      <c r="DH274" s="1890"/>
      <c r="DI274" s="1890"/>
      <c r="DJ274" s="1890"/>
      <c r="DK274" s="1890"/>
      <c r="DL274" s="1890"/>
      <c r="DM274" s="1890"/>
      <c r="DN274" s="1890"/>
      <c r="DO274" s="1890"/>
      <c r="DP274" s="1890"/>
      <c r="DQ274" s="1890"/>
      <c r="DR274" s="1890"/>
      <c r="DS274" s="1890"/>
      <c r="DT274" s="1890"/>
      <c r="DU274" s="1890"/>
      <c r="DV274" s="1890"/>
      <c r="DW274" s="1890"/>
      <c r="DX274" s="1890"/>
      <c r="DY274" s="1890"/>
      <c r="DZ274" s="1890"/>
      <c r="EA274" s="1890"/>
      <c r="EB274" s="1890"/>
      <c r="EC274" s="1890"/>
      <c r="ED274" s="1890"/>
      <c r="EE274" s="1890"/>
      <c r="EF274" s="1890"/>
      <c r="EG274" s="1890"/>
      <c r="EH274" s="1890"/>
      <c r="EI274" s="1890"/>
      <c r="EJ274" s="1890"/>
      <c r="EK274" s="1890"/>
      <c r="EL274" s="1890"/>
      <c r="EM274" s="1890"/>
      <c r="EN274" s="1890"/>
      <c r="EO274" s="1890"/>
      <c r="EP274" s="1890"/>
      <c r="EQ274" s="1890"/>
      <c r="ER274" s="1890"/>
      <c r="ES274" s="1890"/>
      <c r="ET274" s="1890"/>
      <c r="EU274" s="1890"/>
      <c r="EV274" s="1890"/>
      <c r="EW274" s="1890"/>
      <c r="EX274" s="1890"/>
      <c r="EY274" s="1890"/>
      <c r="EZ274" s="1890"/>
      <c r="FA274" s="1890"/>
      <c r="FB274" s="1890"/>
      <c r="FC274" s="1890"/>
      <c r="FD274" s="1890"/>
      <c r="FE274" s="1890"/>
      <c r="FF274" s="1890"/>
      <c r="FG274" s="1890"/>
      <c r="FH274" s="1890"/>
      <c r="FI274" s="1890"/>
      <c r="FJ274" s="1890"/>
      <c r="FK274" s="1890"/>
      <c r="FL274" s="1890"/>
      <c r="FM274" s="1890"/>
      <c r="FN274" s="1890"/>
      <c r="FO274" s="1890"/>
      <c r="FP274" s="1890"/>
      <c r="FQ274" s="1890"/>
      <c r="FR274" s="1890"/>
      <c r="FS274" s="1890"/>
      <c r="FT274" s="1890"/>
    </row>
    <row r="275" spans="1:176" s="1965" customFormat="1" ht="32.1" customHeight="1">
      <c r="A275" s="2500"/>
      <c r="B275" s="2059" t="s">
        <v>298</v>
      </c>
      <c r="C275" s="2060">
        <f t="shared" ref="C275:H275" si="69">AVERAGE(C276:C278)</f>
        <v>0.33333333333333331</v>
      </c>
      <c r="D275" s="2060">
        <f t="shared" si="69"/>
        <v>1</v>
      </c>
      <c r="E275" s="2060">
        <f t="shared" si="69"/>
        <v>0</v>
      </c>
      <c r="F275" s="2060">
        <f t="shared" si="69"/>
        <v>1</v>
      </c>
      <c r="G275" s="2060">
        <f t="shared" si="69"/>
        <v>0</v>
      </c>
      <c r="H275" s="2060">
        <f t="shared" si="69"/>
        <v>0</v>
      </c>
      <c r="I275" s="2086"/>
      <c r="J275" s="1910"/>
      <c r="K275" s="1911"/>
      <c r="L275" s="1911"/>
      <c r="M275" s="1912"/>
      <c r="N275" s="1912"/>
      <c r="O275" s="1912"/>
      <c r="P275" s="1976"/>
      <c r="Q275" s="1976"/>
      <c r="R275" s="2121"/>
      <c r="S275" s="2250"/>
      <c r="T275" s="1911"/>
      <c r="U275" s="1911"/>
      <c r="V275" s="1911"/>
      <c r="W275" s="1911"/>
      <c r="X275" s="1912"/>
      <c r="Y275" s="1818"/>
      <c r="Z275" s="1818"/>
      <c r="AA275" s="1818"/>
      <c r="AB275" s="1818"/>
      <c r="AC275" s="1818"/>
      <c r="AD275" s="1818"/>
      <c r="AE275" s="1818"/>
      <c r="AF275" s="1818"/>
      <c r="AG275" s="1818"/>
      <c r="AH275" s="1818"/>
      <c r="AI275" s="1818"/>
      <c r="AJ275" s="1818"/>
      <c r="AK275" s="1818"/>
      <c r="AL275" s="1818"/>
      <c r="AM275" s="1818"/>
      <c r="AN275" s="1818"/>
      <c r="AO275" s="1818"/>
      <c r="AP275" s="1818"/>
      <c r="AQ275" s="1818"/>
      <c r="AR275" s="1818"/>
      <c r="AS275" s="1818"/>
      <c r="AT275" s="1818"/>
      <c r="AU275" s="1818"/>
      <c r="AV275" s="1818"/>
      <c r="AW275" s="1818"/>
      <c r="AX275" s="1818"/>
      <c r="AY275" s="1818"/>
      <c r="AZ275" s="1818"/>
      <c r="BA275" s="1818"/>
      <c r="BB275" s="1818"/>
      <c r="BC275" s="1818"/>
      <c r="BD275" s="1818"/>
      <c r="BE275" s="1818"/>
      <c r="BF275" s="1818"/>
      <c r="BG275" s="1818"/>
      <c r="BH275" s="1818"/>
      <c r="BI275" s="1818"/>
      <c r="BJ275" s="1818"/>
      <c r="BK275" s="1818"/>
      <c r="BL275" s="1818"/>
      <c r="BM275" s="1818"/>
      <c r="BN275" s="1818"/>
      <c r="BO275" s="1818"/>
      <c r="BP275" s="1818"/>
      <c r="BQ275" s="1818"/>
      <c r="BR275" s="1818"/>
      <c r="BS275" s="1818"/>
      <c r="BT275" s="1818"/>
      <c r="BU275" s="1818"/>
      <c r="BV275" s="1818"/>
      <c r="BW275" s="1818"/>
      <c r="BX275" s="1818"/>
      <c r="BY275" s="1818"/>
      <c r="BZ275" s="1818"/>
      <c r="CA275" s="1890"/>
      <c r="CB275" s="1890"/>
      <c r="CC275" s="1890"/>
      <c r="CD275" s="1890"/>
      <c r="CE275" s="1890"/>
      <c r="CF275" s="1890"/>
      <c r="CG275" s="1890"/>
      <c r="CH275" s="1890"/>
      <c r="CI275" s="1890"/>
      <c r="CJ275" s="1890"/>
      <c r="CK275" s="1890"/>
      <c r="CL275" s="1890"/>
      <c r="CM275" s="1890"/>
      <c r="CN275" s="1890"/>
      <c r="CO275" s="1890"/>
      <c r="CP275" s="1890"/>
      <c r="CQ275" s="1890"/>
      <c r="CR275" s="1890"/>
      <c r="CS275" s="1890"/>
      <c r="CT275" s="1890"/>
      <c r="CU275" s="1890"/>
      <c r="CV275" s="1890"/>
      <c r="CW275" s="1890"/>
      <c r="CX275" s="1890"/>
      <c r="CY275" s="1890"/>
      <c r="CZ275" s="1890"/>
      <c r="DA275" s="1890"/>
      <c r="DB275" s="1890"/>
      <c r="DC275" s="1890"/>
      <c r="DD275" s="1890"/>
      <c r="DE275" s="1890"/>
      <c r="DF275" s="1890"/>
      <c r="DG275" s="1890"/>
      <c r="DH275" s="1890"/>
      <c r="DI275" s="1890"/>
      <c r="DJ275" s="1890"/>
      <c r="DK275" s="1890"/>
      <c r="DL275" s="1890"/>
      <c r="DM275" s="1890"/>
      <c r="DN275" s="1890"/>
      <c r="DO275" s="1890"/>
      <c r="DP275" s="1890"/>
      <c r="DQ275" s="1890"/>
      <c r="DR275" s="1890"/>
      <c r="DS275" s="1890"/>
      <c r="DT275" s="1890"/>
      <c r="DU275" s="1890"/>
      <c r="DV275" s="1890"/>
      <c r="DW275" s="1890"/>
      <c r="DX275" s="1890"/>
      <c r="DY275" s="1890"/>
      <c r="DZ275" s="1890"/>
      <c r="EA275" s="1890"/>
      <c r="EB275" s="1890"/>
      <c r="EC275" s="1890"/>
      <c r="ED275" s="1890"/>
      <c r="EE275" s="1890"/>
      <c r="EF275" s="1890"/>
      <c r="EG275" s="1890"/>
      <c r="EH275" s="1890"/>
      <c r="EI275" s="1890"/>
      <c r="EJ275" s="1890"/>
      <c r="EK275" s="1890"/>
      <c r="EL275" s="1890"/>
      <c r="EM275" s="1890"/>
      <c r="EN275" s="1890"/>
      <c r="EO275" s="1890"/>
      <c r="EP275" s="1890"/>
      <c r="EQ275" s="1890"/>
      <c r="ER275" s="1890"/>
      <c r="ES275" s="1890"/>
      <c r="ET275" s="1890"/>
      <c r="EU275" s="1890"/>
      <c r="EV275" s="1890"/>
      <c r="EW275" s="1890"/>
      <c r="EX275" s="1890"/>
      <c r="EY275" s="1890"/>
      <c r="EZ275" s="1890"/>
      <c r="FA275" s="1890"/>
      <c r="FB275" s="1890"/>
      <c r="FC275" s="1890"/>
      <c r="FD275" s="1890"/>
      <c r="FE275" s="1890"/>
      <c r="FF275" s="1890"/>
      <c r="FG275" s="1890"/>
      <c r="FH275" s="1890"/>
      <c r="FI275" s="1890"/>
      <c r="FJ275" s="1890"/>
      <c r="FK275" s="1890"/>
      <c r="FL275" s="1890"/>
      <c r="FM275" s="1890"/>
      <c r="FN275" s="1890"/>
      <c r="FO275" s="1890"/>
      <c r="FP275" s="1890"/>
      <c r="FQ275" s="1890"/>
      <c r="FR275" s="1890"/>
      <c r="FS275" s="1890"/>
      <c r="FT275" s="1890"/>
    </row>
    <row r="276" spans="1:176" s="1965" customFormat="1" ht="32.1" customHeight="1">
      <c r="A276" s="1899"/>
      <c r="B276" s="1805" t="s">
        <v>299</v>
      </c>
      <c r="C276" s="1837">
        <v>1</v>
      </c>
      <c r="D276" s="1829">
        <v>1</v>
      </c>
      <c r="E276" s="1846">
        <v>0</v>
      </c>
      <c r="F276" s="1829">
        <v>1</v>
      </c>
      <c r="G276" s="1846">
        <v>0</v>
      </c>
      <c r="H276" s="1850">
        <v>0</v>
      </c>
      <c r="I276" s="2286" t="s">
        <v>293</v>
      </c>
      <c r="J276" s="2217">
        <v>1</v>
      </c>
      <c r="K276" s="1917" t="s">
        <v>811</v>
      </c>
      <c r="L276" s="1794">
        <v>0</v>
      </c>
      <c r="M276" s="1948">
        <v>1</v>
      </c>
      <c r="N276" s="1941" t="s">
        <v>748</v>
      </c>
      <c r="O276" s="1941" t="s">
        <v>1060</v>
      </c>
      <c r="P276" s="1975">
        <v>1</v>
      </c>
      <c r="Q276" s="1975">
        <v>0</v>
      </c>
      <c r="R276" s="2121"/>
      <c r="S276" s="2255" t="s">
        <v>811</v>
      </c>
      <c r="T276" s="1794" t="s">
        <v>7564</v>
      </c>
      <c r="U276" s="1794" t="s">
        <v>748</v>
      </c>
      <c r="V276" s="1949" t="s">
        <v>6144</v>
      </c>
      <c r="W276" s="1949" t="s">
        <v>748</v>
      </c>
      <c r="X276" s="1941" t="s">
        <v>1060</v>
      </c>
      <c r="Y276" s="1818"/>
      <c r="Z276" s="1818"/>
      <c r="AA276" s="1818"/>
      <c r="AB276" s="1818"/>
      <c r="AC276" s="1818"/>
      <c r="AD276" s="1818"/>
      <c r="AE276" s="1818"/>
      <c r="AF276" s="1818"/>
      <c r="AG276" s="1818"/>
      <c r="AH276" s="1818"/>
      <c r="AI276" s="1818"/>
      <c r="AJ276" s="1818"/>
      <c r="AK276" s="1818"/>
      <c r="AL276" s="1818"/>
      <c r="AM276" s="1818"/>
      <c r="AN276" s="1818"/>
      <c r="AO276" s="1818"/>
      <c r="AP276" s="1818"/>
      <c r="AQ276" s="1818"/>
      <c r="AR276" s="1818"/>
      <c r="AS276" s="1818"/>
      <c r="AT276" s="1818"/>
      <c r="AU276" s="1818"/>
      <c r="AV276" s="1818"/>
      <c r="AW276" s="1818"/>
      <c r="AX276" s="1818"/>
      <c r="AY276" s="1818"/>
      <c r="AZ276" s="1818"/>
      <c r="BA276" s="1818"/>
      <c r="BB276" s="1818"/>
      <c r="BC276" s="1818"/>
      <c r="BD276" s="1818"/>
      <c r="BE276" s="1818"/>
      <c r="BF276" s="1818"/>
      <c r="BG276" s="1818"/>
      <c r="BH276" s="1818"/>
      <c r="BI276" s="1818"/>
      <c r="BJ276" s="1818"/>
      <c r="BK276" s="1818"/>
      <c r="BL276" s="1818"/>
      <c r="BM276" s="1818"/>
      <c r="BN276" s="1818"/>
      <c r="BO276" s="1818"/>
      <c r="BP276" s="1818"/>
      <c r="BQ276" s="1818"/>
      <c r="BR276" s="1818"/>
      <c r="BS276" s="1818"/>
      <c r="BT276" s="1818"/>
      <c r="BU276" s="1818"/>
      <c r="BV276" s="1818"/>
      <c r="BW276" s="1818"/>
      <c r="BX276" s="1818"/>
      <c r="BY276" s="1818"/>
      <c r="BZ276" s="1818"/>
      <c r="CA276" s="1890"/>
      <c r="CB276" s="1890"/>
      <c r="CC276" s="1890"/>
      <c r="CD276" s="1890"/>
      <c r="CE276" s="1890"/>
      <c r="CF276" s="1890"/>
      <c r="CG276" s="1890"/>
      <c r="CH276" s="1890"/>
      <c r="CI276" s="1890"/>
      <c r="CJ276" s="1890"/>
      <c r="CK276" s="1890"/>
      <c r="CL276" s="1890"/>
      <c r="CM276" s="1890"/>
      <c r="CN276" s="1890"/>
      <c r="CO276" s="1890"/>
      <c r="CP276" s="1890"/>
      <c r="CQ276" s="1890"/>
      <c r="CR276" s="1890"/>
      <c r="CS276" s="1890"/>
      <c r="CT276" s="1890"/>
      <c r="CU276" s="1890"/>
      <c r="CV276" s="1890"/>
      <c r="CW276" s="1890"/>
      <c r="CX276" s="1890"/>
      <c r="CY276" s="1890"/>
      <c r="CZ276" s="1890"/>
      <c r="DA276" s="1890"/>
      <c r="DB276" s="1890"/>
      <c r="DC276" s="1890"/>
      <c r="DD276" s="1890"/>
      <c r="DE276" s="1890"/>
      <c r="DF276" s="1890"/>
      <c r="DG276" s="1890"/>
      <c r="DH276" s="1890"/>
      <c r="DI276" s="1890"/>
      <c r="DJ276" s="1890"/>
      <c r="DK276" s="1890"/>
      <c r="DL276" s="1890"/>
      <c r="DM276" s="1890"/>
      <c r="DN276" s="1890"/>
      <c r="DO276" s="1890"/>
      <c r="DP276" s="1890"/>
      <c r="DQ276" s="1890"/>
      <c r="DR276" s="1890"/>
      <c r="DS276" s="1890"/>
      <c r="DT276" s="1890"/>
      <c r="DU276" s="1890"/>
      <c r="DV276" s="1890"/>
      <c r="DW276" s="1890"/>
      <c r="DX276" s="1890"/>
      <c r="DY276" s="1890"/>
      <c r="DZ276" s="1890"/>
      <c r="EA276" s="1890"/>
      <c r="EB276" s="1890"/>
      <c r="EC276" s="1890"/>
      <c r="ED276" s="1890"/>
      <c r="EE276" s="1890"/>
      <c r="EF276" s="1890"/>
      <c r="EG276" s="1890"/>
      <c r="EH276" s="1890"/>
      <c r="EI276" s="1890"/>
      <c r="EJ276" s="1890"/>
      <c r="EK276" s="1890"/>
      <c r="EL276" s="1890"/>
      <c r="EM276" s="1890"/>
      <c r="EN276" s="1890"/>
      <c r="EO276" s="1890"/>
      <c r="EP276" s="1890"/>
      <c r="EQ276" s="1890"/>
      <c r="ER276" s="1890"/>
      <c r="ES276" s="1890"/>
      <c r="ET276" s="1890"/>
      <c r="EU276" s="1890"/>
      <c r="EV276" s="1890"/>
      <c r="EW276" s="1890"/>
      <c r="EX276" s="1890"/>
      <c r="EY276" s="1890"/>
      <c r="EZ276" s="1890"/>
      <c r="FA276" s="1890"/>
      <c r="FB276" s="1890"/>
      <c r="FC276" s="1890"/>
      <c r="FD276" s="1890"/>
      <c r="FE276" s="1890"/>
      <c r="FF276" s="1890"/>
      <c r="FG276" s="1890"/>
      <c r="FH276" s="1890"/>
      <c r="FI276" s="1890"/>
      <c r="FJ276" s="1890"/>
      <c r="FK276" s="1890"/>
      <c r="FL276" s="1890"/>
      <c r="FM276" s="1890"/>
      <c r="FN276" s="1890"/>
      <c r="FO276" s="1890"/>
      <c r="FP276" s="1890"/>
      <c r="FQ276" s="1890"/>
      <c r="FR276" s="1890"/>
      <c r="FS276" s="1890"/>
      <c r="FT276" s="1890"/>
    </row>
    <row r="277" spans="1:176" s="1965" customFormat="1" ht="32.1" customHeight="1">
      <c r="A277" s="1899"/>
      <c r="B277" s="1804" t="s">
        <v>300</v>
      </c>
      <c r="C277" s="1837">
        <v>0</v>
      </c>
      <c r="D277" s="1848">
        <v>1</v>
      </c>
      <c r="E277" s="1846">
        <v>0</v>
      </c>
      <c r="F277" s="1844">
        <v>1</v>
      </c>
      <c r="G277" s="1847">
        <v>0</v>
      </c>
      <c r="H277" s="1839">
        <v>0</v>
      </c>
      <c r="I277" s="2086" t="s">
        <v>123</v>
      </c>
      <c r="J277" s="2217">
        <v>0</v>
      </c>
      <c r="K277" s="1917" t="s">
        <v>811</v>
      </c>
      <c r="L277" s="1794">
        <v>0</v>
      </c>
      <c r="M277" s="1948">
        <v>1</v>
      </c>
      <c r="N277" s="1941" t="s">
        <v>748</v>
      </c>
      <c r="O277" s="1941" t="s">
        <v>1060</v>
      </c>
      <c r="P277" s="1975">
        <v>1</v>
      </c>
      <c r="Q277" s="1975">
        <v>0</v>
      </c>
      <c r="R277" s="2121"/>
      <c r="S277" s="2324" t="s">
        <v>748</v>
      </c>
      <c r="T277" s="1794" t="s">
        <v>7565</v>
      </c>
      <c r="U277" s="1794" t="s">
        <v>748</v>
      </c>
      <c r="V277" s="1949" t="s">
        <v>6144</v>
      </c>
      <c r="W277" s="1949" t="s">
        <v>748</v>
      </c>
      <c r="X277" s="1941" t="s">
        <v>1060</v>
      </c>
      <c r="Y277" s="1818"/>
      <c r="Z277" s="1818"/>
      <c r="AA277" s="1818"/>
      <c r="AB277" s="1818"/>
      <c r="AC277" s="1818"/>
      <c r="AD277" s="1818"/>
      <c r="AE277" s="1818"/>
      <c r="AF277" s="1818"/>
      <c r="AG277" s="1818"/>
      <c r="AH277" s="1818"/>
      <c r="AI277" s="1818"/>
      <c r="AJ277" s="1818"/>
      <c r="AK277" s="1818"/>
      <c r="AL277" s="1818"/>
      <c r="AM277" s="1818"/>
      <c r="AN277" s="1818"/>
      <c r="AO277" s="1818"/>
      <c r="AP277" s="1818"/>
      <c r="AQ277" s="1818"/>
      <c r="AR277" s="1818"/>
      <c r="AS277" s="1818"/>
      <c r="AT277" s="1818"/>
      <c r="AU277" s="1818"/>
      <c r="AV277" s="1818"/>
      <c r="AW277" s="1818"/>
      <c r="AX277" s="1818"/>
      <c r="AY277" s="1818"/>
      <c r="AZ277" s="1818"/>
      <c r="BA277" s="1818"/>
      <c r="BB277" s="1818"/>
      <c r="BC277" s="1818"/>
      <c r="BD277" s="1818"/>
      <c r="BE277" s="1818"/>
      <c r="BF277" s="1818"/>
      <c r="BG277" s="1818"/>
      <c r="BH277" s="1818"/>
      <c r="BI277" s="1818"/>
      <c r="BJ277" s="1818"/>
      <c r="BK277" s="1818"/>
      <c r="BL277" s="1818"/>
      <c r="BM277" s="1818"/>
      <c r="BN277" s="1818"/>
      <c r="BO277" s="1818"/>
      <c r="BP277" s="1818"/>
      <c r="BQ277" s="1818"/>
      <c r="BR277" s="1818"/>
      <c r="BS277" s="1818"/>
      <c r="BT277" s="1818"/>
      <c r="BU277" s="1818"/>
      <c r="BV277" s="1818"/>
      <c r="BW277" s="1818"/>
      <c r="BX277" s="1818"/>
      <c r="BY277" s="1818"/>
      <c r="BZ277" s="1818"/>
      <c r="CA277" s="1890"/>
      <c r="CB277" s="1890"/>
      <c r="CC277" s="1890"/>
      <c r="CD277" s="1890"/>
      <c r="CE277" s="1890"/>
      <c r="CF277" s="1890"/>
      <c r="CG277" s="1890"/>
      <c r="CH277" s="1890"/>
      <c r="CI277" s="1890"/>
      <c r="CJ277" s="1890"/>
      <c r="CK277" s="1890"/>
      <c r="CL277" s="1890"/>
      <c r="CM277" s="1890"/>
      <c r="CN277" s="1890"/>
      <c r="CO277" s="1890"/>
      <c r="CP277" s="1890"/>
      <c r="CQ277" s="1890"/>
      <c r="CR277" s="1890"/>
      <c r="CS277" s="1890"/>
      <c r="CT277" s="1890"/>
      <c r="CU277" s="1890"/>
      <c r="CV277" s="1890"/>
      <c r="CW277" s="1890"/>
      <c r="CX277" s="1890"/>
      <c r="CY277" s="1890"/>
      <c r="CZ277" s="1890"/>
      <c r="DA277" s="1890"/>
      <c r="DB277" s="1890"/>
      <c r="DC277" s="1890"/>
      <c r="DD277" s="1890"/>
      <c r="DE277" s="1890"/>
      <c r="DF277" s="1890"/>
      <c r="DG277" s="1890"/>
      <c r="DH277" s="1890"/>
      <c r="DI277" s="1890"/>
      <c r="DJ277" s="1890"/>
      <c r="DK277" s="1890"/>
      <c r="DL277" s="1890"/>
      <c r="DM277" s="1890"/>
      <c r="DN277" s="1890"/>
      <c r="DO277" s="1890"/>
      <c r="DP277" s="1890"/>
      <c r="DQ277" s="1890"/>
      <c r="DR277" s="1890"/>
      <c r="DS277" s="1890"/>
      <c r="DT277" s="1890"/>
      <c r="DU277" s="1890"/>
      <c r="DV277" s="1890"/>
      <c r="DW277" s="1890"/>
      <c r="DX277" s="1890"/>
      <c r="DY277" s="1890"/>
      <c r="DZ277" s="1890"/>
      <c r="EA277" s="1890"/>
      <c r="EB277" s="1890"/>
      <c r="EC277" s="1890"/>
      <c r="ED277" s="1890"/>
      <c r="EE277" s="1890"/>
      <c r="EF277" s="1890"/>
      <c r="EG277" s="1890"/>
      <c r="EH277" s="1890"/>
      <c r="EI277" s="1890"/>
      <c r="EJ277" s="1890"/>
      <c r="EK277" s="1890"/>
      <c r="EL277" s="1890"/>
      <c r="EM277" s="1890"/>
      <c r="EN277" s="1890"/>
      <c r="EO277" s="1890"/>
      <c r="EP277" s="1890"/>
      <c r="EQ277" s="1890"/>
      <c r="ER277" s="1890"/>
      <c r="ES277" s="1890"/>
      <c r="ET277" s="1890"/>
      <c r="EU277" s="1890"/>
      <c r="EV277" s="1890"/>
      <c r="EW277" s="1890"/>
      <c r="EX277" s="1890"/>
      <c r="EY277" s="1890"/>
      <c r="EZ277" s="1890"/>
      <c r="FA277" s="1890"/>
      <c r="FB277" s="1890"/>
      <c r="FC277" s="1890"/>
      <c r="FD277" s="1890"/>
      <c r="FE277" s="1890"/>
      <c r="FF277" s="1890"/>
      <c r="FG277" s="1890"/>
      <c r="FH277" s="1890"/>
      <c r="FI277" s="1890"/>
      <c r="FJ277" s="1890"/>
      <c r="FK277" s="1890"/>
      <c r="FL277" s="1890"/>
      <c r="FM277" s="1890"/>
      <c r="FN277" s="1890"/>
      <c r="FO277" s="1890"/>
      <c r="FP277" s="1890"/>
      <c r="FQ277" s="1890"/>
      <c r="FR277" s="1890"/>
      <c r="FS277" s="1890"/>
      <c r="FT277" s="1890"/>
    </row>
    <row r="278" spans="1:176" s="1965" customFormat="1" ht="32.1" customHeight="1">
      <c r="A278" s="1899"/>
      <c r="B278" s="1804" t="s">
        <v>301</v>
      </c>
      <c r="C278" s="1837">
        <v>0</v>
      </c>
      <c r="D278" s="1848">
        <v>1</v>
      </c>
      <c r="E278" s="1829">
        <v>0</v>
      </c>
      <c r="F278" s="1848">
        <v>1</v>
      </c>
      <c r="G278" s="1847">
        <v>0</v>
      </c>
      <c r="H278" s="1839">
        <v>0</v>
      </c>
      <c r="I278" s="2086" t="s">
        <v>123</v>
      </c>
      <c r="J278" s="2217">
        <v>0</v>
      </c>
      <c r="K278" s="1917" t="s">
        <v>811</v>
      </c>
      <c r="L278" s="1794">
        <v>0</v>
      </c>
      <c r="M278" s="1917">
        <v>1</v>
      </c>
      <c r="N278" s="1941" t="s">
        <v>748</v>
      </c>
      <c r="O278" s="1941" t="s">
        <v>1060</v>
      </c>
      <c r="P278" s="1975">
        <v>1</v>
      </c>
      <c r="Q278" s="1975">
        <v>0</v>
      </c>
      <c r="R278" s="2121"/>
      <c r="S278" s="2255" t="s">
        <v>748</v>
      </c>
      <c r="T278" s="1794" t="s">
        <v>7566</v>
      </c>
      <c r="U278" s="1794" t="s">
        <v>5928</v>
      </c>
      <c r="V278" s="1794" t="s">
        <v>7915</v>
      </c>
      <c r="W278" s="1949" t="s">
        <v>748</v>
      </c>
      <c r="X278" s="1941" t="s">
        <v>1060</v>
      </c>
      <c r="Y278" s="1818"/>
      <c r="Z278" s="1818"/>
      <c r="AA278" s="1818"/>
      <c r="AB278" s="1818"/>
      <c r="AC278" s="1818"/>
      <c r="AD278" s="1818"/>
      <c r="AE278" s="1818"/>
      <c r="AF278" s="1818"/>
      <c r="AG278" s="1818"/>
      <c r="AH278" s="1818"/>
      <c r="AI278" s="1818"/>
      <c r="AJ278" s="1818"/>
      <c r="AK278" s="1818"/>
      <c r="AL278" s="1818"/>
      <c r="AM278" s="1818"/>
      <c r="AN278" s="1818"/>
      <c r="AO278" s="1818"/>
      <c r="AP278" s="1818"/>
      <c r="AQ278" s="1818"/>
      <c r="AR278" s="1818"/>
      <c r="AS278" s="1818"/>
      <c r="AT278" s="1818"/>
      <c r="AU278" s="1818"/>
      <c r="AV278" s="1818"/>
      <c r="AW278" s="1818"/>
      <c r="AX278" s="1818"/>
      <c r="AY278" s="1818"/>
      <c r="AZ278" s="1818"/>
      <c r="BA278" s="1818"/>
      <c r="BB278" s="1818"/>
      <c r="BC278" s="1818"/>
      <c r="BD278" s="1818"/>
      <c r="BE278" s="1818"/>
      <c r="BF278" s="1818"/>
      <c r="BG278" s="1818"/>
      <c r="BH278" s="1818"/>
      <c r="BI278" s="1818"/>
      <c r="BJ278" s="1818"/>
      <c r="BK278" s="1818"/>
      <c r="BL278" s="1818"/>
      <c r="BM278" s="1818"/>
      <c r="BN278" s="1818"/>
      <c r="BO278" s="1818"/>
      <c r="BP278" s="1818"/>
      <c r="BQ278" s="1818"/>
      <c r="BR278" s="1818"/>
      <c r="BS278" s="1818"/>
      <c r="BT278" s="1818"/>
      <c r="BU278" s="1818"/>
      <c r="BV278" s="1818"/>
      <c r="BW278" s="1818"/>
      <c r="BX278" s="1818"/>
      <c r="BY278" s="1818"/>
      <c r="BZ278" s="1818"/>
      <c r="CA278" s="1890"/>
      <c r="CB278" s="1890"/>
      <c r="CC278" s="1890"/>
      <c r="CD278" s="1890"/>
      <c r="CE278" s="1890"/>
      <c r="CF278" s="1890"/>
      <c r="CG278" s="1890"/>
      <c r="CH278" s="1890"/>
      <c r="CI278" s="1890"/>
      <c r="CJ278" s="1890"/>
      <c r="CK278" s="1890"/>
      <c r="CL278" s="1890"/>
      <c r="CM278" s="1890"/>
      <c r="CN278" s="1890"/>
      <c r="CO278" s="1890"/>
      <c r="CP278" s="1890"/>
      <c r="CQ278" s="1890"/>
      <c r="CR278" s="1890"/>
      <c r="CS278" s="1890"/>
      <c r="CT278" s="1890"/>
      <c r="CU278" s="1890"/>
      <c r="CV278" s="1890"/>
      <c r="CW278" s="1890"/>
      <c r="CX278" s="1890"/>
      <c r="CY278" s="1890"/>
      <c r="CZ278" s="1890"/>
      <c r="DA278" s="1890"/>
      <c r="DB278" s="1890"/>
      <c r="DC278" s="1890"/>
      <c r="DD278" s="1890"/>
      <c r="DE278" s="1890"/>
      <c r="DF278" s="1890"/>
      <c r="DG278" s="1890"/>
      <c r="DH278" s="1890"/>
      <c r="DI278" s="1890"/>
      <c r="DJ278" s="1890"/>
      <c r="DK278" s="1890"/>
      <c r="DL278" s="1890"/>
      <c r="DM278" s="1890"/>
      <c r="DN278" s="1890"/>
      <c r="DO278" s="1890"/>
      <c r="DP278" s="1890"/>
      <c r="DQ278" s="1890"/>
      <c r="DR278" s="1890"/>
      <c r="DS278" s="1890"/>
      <c r="DT278" s="1890"/>
      <c r="DU278" s="1890"/>
      <c r="DV278" s="1890"/>
      <c r="DW278" s="1890"/>
      <c r="DX278" s="1890"/>
      <c r="DY278" s="1890"/>
      <c r="DZ278" s="1890"/>
      <c r="EA278" s="1890"/>
      <c r="EB278" s="1890"/>
      <c r="EC278" s="1890"/>
      <c r="ED278" s="1890"/>
      <c r="EE278" s="1890"/>
      <c r="EF278" s="1890"/>
      <c r="EG278" s="1890"/>
      <c r="EH278" s="1890"/>
      <c r="EI278" s="1890"/>
      <c r="EJ278" s="1890"/>
      <c r="EK278" s="1890"/>
      <c r="EL278" s="1890"/>
      <c r="EM278" s="1890"/>
      <c r="EN278" s="1890"/>
      <c r="EO278" s="1890"/>
      <c r="EP278" s="1890"/>
      <c r="EQ278" s="1890"/>
      <c r="ER278" s="1890"/>
      <c r="ES278" s="1890"/>
      <c r="ET278" s="1890"/>
      <c r="EU278" s="1890"/>
      <c r="EV278" s="1890"/>
      <c r="EW278" s="1890"/>
      <c r="EX278" s="1890"/>
      <c r="EY278" s="1890"/>
      <c r="EZ278" s="1890"/>
      <c r="FA278" s="1890"/>
      <c r="FB278" s="1890"/>
      <c r="FC278" s="1890"/>
      <c r="FD278" s="1890"/>
      <c r="FE278" s="1890"/>
      <c r="FF278" s="1890"/>
      <c r="FG278" s="1890"/>
      <c r="FH278" s="1890"/>
      <c r="FI278" s="1890"/>
      <c r="FJ278" s="1890"/>
      <c r="FK278" s="1890"/>
      <c r="FL278" s="1890"/>
      <c r="FM278" s="1890"/>
      <c r="FN278" s="1890"/>
      <c r="FO278" s="1890"/>
      <c r="FP278" s="1890"/>
      <c r="FQ278" s="1890"/>
      <c r="FR278" s="1890"/>
      <c r="FS278" s="1890"/>
      <c r="FT278" s="1890"/>
    </row>
    <row r="279" spans="1:176" s="1965" customFormat="1" ht="32.1" customHeight="1">
      <c r="A279" s="2500"/>
      <c r="B279" s="2059" t="s">
        <v>302</v>
      </c>
      <c r="C279" s="2158">
        <f t="shared" ref="C279:G279" si="70">AVERAGE(C280:C281)</f>
        <v>1</v>
      </c>
      <c r="D279" s="2158">
        <f t="shared" si="70"/>
        <v>1</v>
      </c>
      <c r="E279" s="2158">
        <f t="shared" si="70"/>
        <v>1</v>
      </c>
      <c r="F279" s="2158">
        <f t="shared" si="70"/>
        <v>1</v>
      </c>
      <c r="G279" s="2158">
        <f t="shared" si="70"/>
        <v>1</v>
      </c>
      <c r="H279" s="2158">
        <f>AVERAGE(H280:H281)</f>
        <v>1</v>
      </c>
      <c r="I279" s="2086"/>
      <c r="J279" s="1910"/>
      <c r="K279" s="1912"/>
      <c r="L279" s="1911"/>
      <c r="M279" s="1978"/>
      <c r="N279" s="1912"/>
      <c r="O279" s="1912"/>
      <c r="P279" s="1976"/>
      <c r="Q279" s="1976"/>
      <c r="R279" s="2121"/>
      <c r="S279" s="2250"/>
      <c r="T279" s="1911"/>
      <c r="U279" s="1911"/>
      <c r="V279" s="1966"/>
      <c r="W279" s="1911"/>
      <c r="X279" s="1912" t="s">
        <v>960</v>
      </c>
      <c r="Y279" s="1818"/>
      <c r="Z279" s="1818"/>
      <c r="AA279" s="1818"/>
      <c r="AB279" s="1818"/>
      <c r="AC279" s="1818"/>
      <c r="AD279" s="1818"/>
      <c r="AE279" s="1818"/>
      <c r="AF279" s="1818"/>
      <c r="AG279" s="1818"/>
      <c r="AH279" s="1818"/>
      <c r="AI279" s="1818"/>
      <c r="AJ279" s="1818"/>
      <c r="AK279" s="1818"/>
      <c r="AL279" s="1818"/>
      <c r="AM279" s="1818"/>
      <c r="AN279" s="1818"/>
      <c r="AO279" s="1818"/>
      <c r="AP279" s="1818"/>
      <c r="AQ279" s="1818"/>
      <c r="AR279" s="1818"/>
      <c r="AS279" s="1818"/>
      <c r="AT279" s="1818"/>
      <c r="AU279" s="1818"/>
      <c r="AV279" s="1818"/>
      <c r="AW279" s="1818"/>
      <c r="AX279" s="1818"/>
      <c r="AY279" s="1818"/>
      <c r="AZ279" s="1818"/>
      <c r="BA279" s="1818"/>
      <c r="BB279" s="1818"/>
      <c r="BC279" s="1818"/>
      <c r="BD279" s="1818"/>
      <c r="BE279" s="1818"/>
      <c r="BF279" s="1818"/>
      <c r="BG279" s="1818"/>
      <c r="BH279" s="1818"/>
      <c r="BI279" s="1818"/>
      <c r="BJ279" s="1818"/>
      <c r="BK279" s="1818"/>
      <c r="BL279" s="1818"/>
      <c r="BM279" s="1818"/>
      <c r="BN279" s="1818"/>
      <c r="BO279" s="1818"/>
      <c r="BP279" s="1818"/>
      <c r="BQ279" s="1818"/>
      <c r="BR279" s="1818"/>
      <c r="BS279" s="1818"/>
      <c r="BT279" s="1818"/>
      <c r="BU279" s="1818"/>
      <c r="BV279" s="1818"/>
      <c r="BW279" s="1818"/>
      <c r="BX279" s="1818"/>
      <c r="BY279" s="1818"/>
      <c r="BZ279" s="1818"/>
      <c r="CA279" s="1890"/>
      <c r="CB279" s="1890"/>
      <c r="CC279" s="1890"/>
      <c r="CD279" s="1890"/>
      <c r="CE279" s="1890"/>
      <c r="CF279" s="1890"/>
      <c r="CG279" s="1890"/>
      <c r="CH279" s="1890"/>
      <c r="CI279" s="1890"/>
      <c r="CJ279" s="1890"/>
      <c r="CK279" s="1890"/>
      <c r="CL279" s="1890"/>
      <c r="CM279" s="1890"/>
      <c r="CN279" s="1890"/>
      <c r="CO279" s="1890"/>
      <c r="CP279" s="1890"/>
      <c r="CQ279" s="1890"/>
      <c r="CR279" s="1890"/>
      <c r="CS279" s="1890"/>
      <c r="CT279" s="1890"/>
      <c r="CU279" s="1890"/>
      <c r="CV279" s="1890"/>
      <c r="CW279" s="1890"/>
      <c r="CX279" s="1890"/>
      <c r="CY279" s="1890"/>
      <c r="CZ279" s="1890"/>
      <c r="DA279" s="1890"/>
      <c r="DB279" s="1890"/>
      <c r="DC279" s="1890"/>
      <c r="DD279" s="1890"/>
      <c r="DE279" s="1890"/>
      <c r="DF279" s="1890"/>
      <c r="DG279" s="1890"/>
      <c r="DH279" s="1890"/>
      <c r="DI279" s="1890"/>
      <c r="DJ279" s="1890"/>
      <c r="DK279" s="1890"/>
      <c r="DL279" s="1890"/>
      <c r="DM279" s="1890"/>
      <c r="DN279" s="1890"/>
      <c r="DO279" s="1890"/>
      <c r="DP279" s="1890"/>
      <c r="DQ279" s="1890"/>
      <c r="DR279" s="1890"/>
      <c r="DS279" s="1890"/>
      <c r="DT279" s="1890"/>
      <c r="DU279" s="1890"/>
      <c r="DV279" s="1890"/>
      <c r="DW279" s="1890"/>
      <c r="DX279" s="1890"/>
      <c r="DY279" s="1890"/>
      <c r="DZ279" s="1890"/>
      <c r="EA279" s="1890"/>
      <c r="EB279" s="1890"/>
      <c r="EC279" s="1890"/>
      <c r="ED279" s="1890"/>
      <c r="EE279" s="1890"/>
      <c r="EF279" s="1890"/>
      <c r="EG279" s="1890"/>
      <c r="EH279" s="1890"/>
      <c r="EI279" s="1890"/>
      <c r="EJ279" s="1890"/>
      <c r="EK279" s="1890"/>
      <c r="EL279" s="1890"/>
      <c r="EM279" s="1890"/>
      <c r="EN279" s="1890"/>
      <c r="EO279" s="1890"/>
      <c r="EP279" s="1890"/>
      <c r="EQ279" s="1890"/>
      <c r="ER279" s="1890"/>
      <c r="ES279" s="1890"/>
      <c r="ET279" s="1890"/>
      <c r="EU279" s="1890"/>
      <c r="EV279" s="1890"/>
      <c r="EW279" s="1890"/>
      <c r="EX279" s="1890"/>
      <c r="EY279" s="1890"/>
      <c r="EZ279" s="1890"/>
      <c r="FA279" s="1890"/>
      <c r="FB279" s="1890"/>
      <c r="FC279" s="1890"/>
      <c r="FD279" s="1890"/>
      <c r="FE279" s="1890"/>
      <c r="FF279" s="1890"/>
      <c r="FG279" s="1890"/>
      <c r="FH279" s="1890"/>
      <c r="FI279" s="1890"/>
      <c r="FJ279" s="1890"/>
      <c r="FK279" s="1890"/>
      <c r="FL279" s="1890"/>
      <c r="FM279" s="1890"/>
      <c r="FN279" s="1890"/>
      <c r="FO279" s="1890"/>
      <c r="FP279" s="1890"/>
      <c r="FQ279" s="1890"/>
      <c r="FR279" s="1890"/>
      <c r="FS279" s="1890"/>
      <c r="FT279" s="1890"/>
    </row>
    <row r="280" spans="1:176" s="1965" customFormat="1" ht="32.1" customHeight="1">
      <c r="A280" s="1899"/>
      <c r="B280" s="1804" t="s">
        <v>303</v>
      </c>
      <c r="C280" s="1837">
        <v>1</v>
      </c>
      <c r="D280" s="1848">
        <v>1</v>
      </c>
      <c r="E280" s="1829">
        <v>1</v>
      </c>
      <c r="F280" s="1832">
        <v>1</v>
      </c>
      <c r="G280" s="1847">
        <v>1</v>
      </c>
      <c r="H280" s="1839">
        <v>1</v>
      </c>
      <c r="I280" s="2086" t="s">
        <v>123</v>
      </c>
      <c r="J280" s="2217">
        <v>1</v>
      </c>
      <c r="K280" s="1917" t="s">
        <v>811</v>
      </c>
      <c r="L280" s="1794">
        <v>1</v>
      </c>
      <c r="M280" s="1927">
        <v>1</v>
      </c>
      <c r="N280" s="1941" t="s">
        <v>811</v>
      </c>
      <c r="O280" s="1941" t="s">
        <v>960</v>
      </c>
      <c r="P280" s="1975">
        <v>1</v>
      </c>
      <c r="Q280" s="1975">
        <v>0</v>
      </c>
      <c r="R280" s="2121"/>
      <c r="S280" s="2324" t="s">
        <v>811</v>
      </c>
      <c r="T280" s="1794" t="s">
        <v>7567</v>
      </c>
      <c r="U280" s="1794" t="s">
        <v>811</v>
      </c>
      <c r="V280" s="1802" t="s">
        <v>1035</v>
      </c>
      <c r="W280" s="1949" t="s">
        <v>811</v>
      </c>
      <c r="X280" s="1941" t="s">
        <v>960</v>
      </c>
      <c r="Y280" s="1818"/>
      <c r="Z280" s="1818"/>
      <c r="AA280" s="1818"/>
      <c r="AB280" s="1818"/>
      <c r="AC280" s="1818"/>
      <c r="AD280" s="1818"/>
      <c r="AE280" s="1818"/>
      <c r="AF280" s="1818"/>
      <c r="AG280" s="1818"/>
      <c r="AH280" s="1818"/>
      <c r="AI280" s="1818"/>
      <c r="AJ280" s="1818"/>
      <c r="AK280" s="1818"/>
      <c r="AL280" s="1818"/>
      <c r="AM280" s="1818"/>
      <c r="AN280" s="1818"/>
      <c r="AO280" s="1818"/>
      <c r="AP280" s="1818"/>
      <c r="AQ280" s="1818"/>
      <c r="AR280" s="1818"/>
      <c r="AS280" s="1818"/>
      <c r="AT280" s="1818"/>
      <c r="AU280" s="1818"/>
      <c r="AV280" s="1818"/>
      <c r="AW280" s="1818"/>
      <c r="AX280" s="1818"/>
      <c r="AY280" s="1818"/>
      <c r="AZ280" s="1818"/>
      <c r="BA280" s="1818"/>
      <c r="BB280" s="1818"/>
      <c r="BC280" s="1818"/>
      <c r="BD280" s="1818"/>
      <c r="BE280" s="1818"/>
      <c r="BF280" s="1818"/>
      <c r="BG280" s="1818"/>
      <c r="BH280" s="1818"/>
      <c r="BI280" s="1818"/>
      <c r="BJ280" s="1818"/>
      <c r="BK280" s="1818"/>
      <c r="BL280" s="1818"/>
      <c r="BM280" s="1818"/>
      <c r="BN280" s="1818"/>
      <c r="BO280" s="1818"/>
      <c r="BP280" s="1818"/>
      <c r="BQ280" s="1818"/>
      <c r="BR280" s="1818"/>
      <c r="BS280" s="1818"/>
      <c r="BT280" s="1818"/>
      <c r="BU280" s="1818"/>
      <c r="BV280" s="1818"/>
      <c r="BW280" s="1818"/>
      <c r="BX280" s="1818"/>
      <c r="BY280" s="1818"/>
      <c r="BZ280" s="1818"/>
      <c r="CA280" s="1890"/>
      <c r="CB280" s="1890"/>
      <c r="CC280" s="1890"/>
      <c r="CD280" s="1890"/>
      <c r="CE280" s="1890"/>
      <c r="CF280" s="1890"/>
      <c r="CG280" s="1890"/>
      <c r="CH280" s="1890"/>
      <c r="CI280" s="1890"/>
      <c r="CJ280" s="1890"/>
      <c r="CK280" s="1890"/>
      <c r="CL280" s="1890"/>
      <c r="CM280" s="1890"/>
      <c r="CN280" s="1890"/>
      <c r="CO280" s="1890"/>
      <c r="CP280" s="1890"/>
      <c r="CQ280" s="1890"/>
      <c r="CR280" s="1890"/>
      <c r="CS280" s="1890"/>
      <c r="CT280" s="1890"/>
      <c r="CU280" s="1890"/>
      <c r="CV280" s="1890"/>
      <c r="CW280" s="1890"/>
      <c r="CX280" s="1890"/>
      <c r="CY280" s="1890"/>
      <c r="CZ280" s="1890"/>
      <c r="DA280" s="1890"/>
      <c r="DB280" s="1890"/>
      <c r="DC280" s="1890"/>
      <c r="DD280" s="1890"/>
      <c r="DE280" s="1890"/>
      <c r="DF280" s="1890"/>
      <c r="DG280" s="1890"/>
      <c r="DH280" s="1890"/>
      <c r="DI280" s="1890"/>
      <c r="DJ280" s="1890"/>
      <c r="DK280" s="1890"/>
      <c r="DL280" s="1890"/>
      <c r="DM280" s="1890"/>
      <c r="DN280" s="1890"/>
      <c r="DO280" s="1890"/>
      <c r="DP280" s="1890"/>
      <c r="DQ280" s="1890"/>
      <c r="DR280" s="1890"/>
      <c r="DS280" s="1890"/>
      <c r="DT280" s="1890"/>
      <c r="DU280" s="1890"/>
      <c r="DV280" s="1890"/>
      <c r="DW280" s="1890"/>
      <c r="DX280" s="1890"/>
      <c r="DY280" s="1890"/>
      <c r="DZ280" s="1890"/>
      <c r="EA280" s="1890"/>
      <c r="EB280" s="1890"/>
      <c r="EC280" s="1890"/>
      <c r="ED280" s="1890"/>
      <c r="EE280" s="1890"/>
      <c r="EF280" s="1890"/>
      <c r="EG280" s="1890"/>
      <c r="EH280" s="1890"/>
      <c r="EI280" s="1890"/>
      <c r="EJ280" s="1890"/>
      <c r="EK280" s="1890"/>
      <c r="EL280" s="1890"/>
      <c r="EM280" s="1890"/>
      <c r="EN280" s="1890"/>
      <c r="EO280" s="1890"/>
      <c r="EP280" s="1890"/>
      <c r="EQ280" s="1890"/>
      <c r="ER280" s="1890"/>
      <c r="ES280" s="1890"/>
      <c r="ET280" s="1890"/>
      <c r="EU280" s="1890"/>
      <c r="EV280" s="1890"/>
      <c r="EW280" s="1890"/>
      <c r="EX280" s="1890"/>
      <c r="EY280" s="1890"/>
      <c r="EZ280" s="1890"/>
      <c r="FA280" s="1890"/>
      <c r="FB280" s="1890"/>
      <c r="FC280" s="1890"/>
      <c r="FD280" s="1890"/>
      <c r="FE280" s="1890"/>
      <c r="FF280" s="1890"/>
      <c r="FG280" s="1890"/>
      <c r="FH280" s="1890"/>
      <c r="FI280" s="1890"/>
      <c r="FJ280" s="1890"/>
      <c r="FK280" s="1890"/>
      <c r="FL280" s="1890"/>
      <c r="FM280" s="1890"/>
      <c r="FN280" s="1890"/>
      <c r="FO280" s="1890"/>
      <c r="FP280" s="1890"/>
      <c r="FQ280" s="1890"/>
      <c r="FR280" s="1890"/>
      <c r="FS280" s="1890"/>
      <c r="FT280" s="1890"/>
    </row>
    <row r="281" spans="1:176" s="1965" customFormat="1" ht="32.1" customHeight="1">
      <c r="A281" s="1899"/>
      <c r="B281" s="1804" t="s">
        <v>304</v>
      </c>
      <c r="C281" s="1837">
        <v>1</v>
      </c>
      <c r="D281" s="1848">
        <v>1</v>
      </c>
      <c r="E281" s="1829">
        <v>1</v>
      </c>
      <c r="F281" s="1832">
        <v>1</v>
      </c>
      <c r="G281" s="1847">
        <v>1</v>
      </c>
      <c r="H281" s="1839">
        <v>1</v>
      </c>
      <c r="I281" s="2086" t="s">
        <v>123</v>
      </c>
      <c r="J281" s="2217">
        <v>1</v>
      </c>
      <c r="K281" s="1917" t="s">
        <v>811</v>
      </c>
      <c r="L281" s="1794">
        <v>1</v>
      </c>
      <c r="M281" s="1927">
        <v>1</v>
      </c>
      <c r="N281" s="1941" t="s">
        <v>811</v>
      </c>
      <c r="O281" s="1941" t="s">
        <v>960</v>
      </c>
      <c r="P281" s="1975">
        <v>1</v>
      </c>
      <c r="Q281" s="1975">
        <v>0</v>
      </c>
      <c r="R281" s="2121"/>
      <c r="S281" s="2324" t="s">
        <v>811</v>
      </c>
      <c r="T281" s="1794" t="s">
        <v>7567</v>
      </c>
      <c r="U281" s="1794" t="s">
        <v>811</v>
      </c>
      <c r="V281" s="1802" t="s">
        <v>1035</v>
      </c>
      <c r="W281" s="1949" t="s">
        <v>811</v>
      </c>
      <c r="X281" s="1941" t="s">
        <v>960</v>
      </c>
      <c r="Y281" s="1818"/>
      <c r="Z281" s="1818"/>
      <c r="AA281" s="1818"/>
      <c r="AB281" s="1818"/>
      <c r="AC281" s="1818"/>
      <c r="AD281" s="1818"/>
      <c r="AE281" s="1818"/>
      <c r="AF281" s="1818"/>
      <c r="AG281" s="1818"/>
      <c r="AH281" s="1818"/>
      <c r="AI281" s="1818"/>
      <c r="AJ281" s="1818"/>
      <c r="AK281" s="1818"/>
      <c r="AL281" s="1818"/>
      <c r="AM281" s="1818"/>
      <c r="AN281" s="1818"/>
      <c r="AO281" s="1818"/>
      <c r="AP281" s="1818"/>
      <c r="AQ281" s="1818"/>
      <c r="AR281" s="1818"/>
      <c r="AS281" s="1818"/>
      <c r="AT281" s="1818"/>
      <c r="AU281" s="1818"/>
      <c r="AV281" s="1818"/>
      <c r="AW281" s="1818"/>
      <c r="AX281" s="1818"/>
      <c r="AY281" s="1818"/>
      <c r="AZ281" s="1818"/>
      <c r="BA281" s="1818"/>
      <c r="BB281" s="1818"/>
      <c r="BC281" s="1818"/>
      <c r="BD281" s="1818"/>
      <c r="BE281" s="1818"/>
      <c r="BF281" s="1818"/>
      <c r="BG281" s="1818"/>
      <c r="BH281" s="1818"/>
      <c r="BI281" s="1818"/>
      <c r="BJ281" s="1818"/>
      <c r="BK281" s="1818"/>
      <c r="BL281" s="1818"/>
      <c r="BM281" s="1818"/>
      <c r="BN281" s="1818"/>
      <c r="BO281" s="1818"/>
      <c r="BP281" s="1818"/>
      <c r="BQ281" s="1818"/>
      <c r="BR281" s="1818"/>
      <c r="BS281" s="1818"/>
      <c r="BT281" s="1818"/>
      <c r="BU281" s="1818"/>
      <c r="BV281" s="1818"/>
      <c r="BW281" s="1818"/>
      <c r="BX281" s="1818"/>
      <c r="BY281" s="1818"/>
      <c r="BZ281" s="1818"/>
      <c r="CA281" s="1890"/>
      <c r="CB281" s="1890"/>
      <c r="CC281" s="1890"/>
      <c r="CD281" s="1890"/>
      <c r="CE281" s="1890"/>
      <c r="CF281" s="1890"/>
      <c r="CG281" s="1890"/>
      <c r="CH281" s="1890"/>
      <c r="CI281" s="1890"/>
      <c r="CJ281" s="1890"/>
      <c r="CK281" s="1890"/>
      <c r="CL281" s="1890"/>
      <c r="CM281" s="1890"/>
      <c r="CN281" s="1890"/>
      <c r="CO281" s="1890"/>
      <c r="CP281" s="1890"/>
      <c r="CQ281" s="1890"/>
      <c r="CR281" s="1890"/>
      <c r="CS281" s="1890"/>
      <c r="CT281" s="1890"/>
      <c r="CU281" s="1890"/>
      <c r="CV281" s="1890"/>
      <c r="CW281" s="1890"/>
      <c r="CX281" s="1890"/>
      <c r="CY281" s="1890"/>
      <c r="CZ281" s="1890"/>
      <c r="DA281" s="1890"/>
      <c r="DB281" s="1890"/>
      <c r="DC281" s="1890"/>
      <c r="DD281" s="1890"/>
      <c r="DE281" s="1890"/>
      <c r="DF281" s="1890"/>
      <c r="DG281" s="1890"/>
      <c r="DH281" s="1890"/>
      <c r="DI281" s="1890"/>
      <c r="DJ281" s="1890"/>
      <c r="DK281" s="1890"/>
      <c r="DL281" s="1890"/>
      <c r="DM281" s="1890"/>
      <c r="DN281" s="1890"/>
      <c r="DO281" s="1890"/>
      <c r="DP281" s="1890"/>
      <c r="DQ281" s="1890"/>
      <c r="DR281" s="1890"/>
      <c r="DS281" s="1890"/>
      <c r="DT281" s="1890"/>
      <c r="DU281" s="1890"/>
      <c r="DV281" s="1890"/>
      <c r="DW281" s="1890"/>
      <c r="DX281" s="1890"/>
      <c r="DY281" s="1890"/>
      <c r="DZ281" s="1890"/>
      <c r="EA281" s="1890"/>
      <c r="EB281" s="1890"/>
      <c r="EC281" s="1890"/>
      <c r="ED281" s="1890"/>
      <c r="EE281" s="1890"/>
      <c r="EF281" s="1890"/>
      <c r="EG281" s="1890"/>
      <c r="EH281" s="1890"/>
      <c r="EI281" s="1890"/>
      <c r="EJ281" s="1890"/>
      <c r="EK281" s="1890"/>
      <c r="EL281" s="1890"/>
      <c r="EM281" s="1890"/>
      <c r="EN281" s="1890"/>
      <c r="EO281" s="1890"/>
      <c r="EP281" s="1890"/>
      <c r="EQ281" s="1890"/>
      <c r="ER281" s="1890"/>
      <c r="ES281" s="1890"/>
      <c r="ET281" s="1890"/>
      <c r="EU281" s="1890"/>
      <c r="EV281" s="1890"/>
      <c r="EW281" s="1890"/>
      <c r="EX281" s="1890"/>
      <c r="EY281" s="1890"/>
      <c r="EZ281" s="1890"/>
      <c r="FA281" s="1890"/>
      <c r="FB281" s="1890"/>
      <c r="FC281" s="1890"/>
      <c r="FD281" s="1890"/>
      <c r="FE281" s="1890"/>
      <c r="FF281" s="1890"/>
      <c r="FG281" s="1890"/>
      <c r="FH281" s="1890"/>
      <c r="FI281" s="1890"/>
      <c r="FJ281" s="1890"/>
      <c r="FK281" s="1890"/>
      <c r="FL281" s="1890"/>
      <c r="FM281" s="1890"/>
      <c r="FN281" s="1890"/>
      <c r="FO281" s="1890"/>
      <c r="FP281" s="1890"/>
      <c r="FQ281" s="1890"/>
      <c r="FR281" s="1890"/>
      <c r="FS281" s="1890"/>
      <c r="FT281" s="1890"/>
    </row>
    <row r="282" spans="1:176" s="1965" customFormat="1" ht="32.1" customHeight="1">
      <c r="A282" s="2500"/>
      <c r="B282" s="2059" t="s">
        <v>305</v>
      </c>
      <c r="C282" s="2158">
        <f t="shared" ref="C282:H282" si="71">AVERAGE(C283:C287)</f>
        <v>1</v>
      </c>
      <c r="D282" s="2158">
        <f t="shared" si="71"/>
        <v>1</v>
      </c>
      <c r="E282" s="2158">
        <f t="shared" si="71"/>
        <v>0.8</v>
      </c>
      <c r="F282" s="2158">
        <f t="shared" si="71"/>
        <v>1</v>
      </c>
      <c r="G282" s="2158">
        <f t="shared" si="71"/>
        <v>0.7</v>
      </c>
      <c r="H282" s="2158">
        <f t="shared" si="71"/>
        <v>1</v>
      </c>
      <c r="I282" s="2086"/>
      <c r="J282" s="1910"/>
      <c r="K282" s="1912"/>
      <c r="L282" s="1911"/>
      <c r="M282" s="1912"/>
      <c r="N282" s="1912"/>
      <c r="O282" s="1912"/>
      <c r="P282" s="1976"/>
      <c r="Q282" s="1976"/>
      <c r="R282" s="2121"/>
      <c r="S282" s="2250"/>
      <c r="T282" s="1911"/>
      <c r="U282" s="1911" t="s">
        <v>5929</v>
      </c>
      <c r="V282" s="1911"/>
      <c r="W282" s="1911"/>
      <c r="X282" s="1912" t="s">
        <v>960</v>
      </c>
      <c r="Y282" s="1818"/>
      <c r="Z282" s="1818"/>
      <c r="AA282" s="1818"/>
      <c r="AB282" s="1818"/>
      <c r="AC282" s="1818"/>
      <c r="AD282" s="1818"/>
      <c r="AE282" s="1818"/>
      <c r="AF282" s="1818"/>
      <c r="AG282" s="1818"/>
      <c r="AH282" s="1818"/>
      <c r="AI282" s="1818"/>
      <c r="AJ282" s="1818"/>
      <c r="AK282" s="1818"/>
      <c r="AL282" s="1818"/>
      <c r="AM282" s="1818"/>
      <c r="AN282" s="1818"/>
      <c r="AO282" s="1818"/>
      <c r="AP282" s="1818"/>
      <c r="AQ282" s="1818"/>
      <c r="AR282" s="1818"/>
      <c r="AS282" s="1818"/>
      <c r="AT282" s="1818"/>
      <c r="AU282" s="1818"/>
      <c r="AV282" s="1818"/>
      <c r="AW282" s="1818"/>
      <c r="AX282" s="1818"/>
      <c r="AY282" s="1818"/>
      <c r="AZ282" s="1818"/>
      <c r="BA282" s="1818"/>
      <c r="BB282" s="1818"/>
      <c r="BC282" s="1818"/>
      <c r="BD282" s="1818"/>
      <c r="BE282" s="1818"/>
      <c r="BF282" s="1818"/>
      <c r="BG282" s="1818"/>
      <c r="BH282" s="1818"/>
      <c r="BI282" s="1818"/>
      <c r="BJ282" s="1818"/>
      <c r="BK282" s="1818"/>
      <c r="BL282" s="1818"/>
      <c r="BM282" s="1818"/>
      <c r="BN282" s="1818"/>
      <c r="BO282" s="1818"/>
      <c r="BP282" s="1818"/>
      <c r="BQ282" s="1818"/>
      <c r="BR282" s="1818"/>
      <c r="BS282" s="1818"/>
      <c r="BT282" s="1818"/>
      <c r="BU282" s="1818"/>
      <c r="BV282" s="1818"/>
      <c r="BW282" s="1818"/>
      <c r="BX282" s="1818"/>
      <c r="BY282" s="1818"/>
      <c r="BZ282" s="1818"/>
      <c r="CA282" s="1890"/>
      <c r="CB282" s="1890"/>
      <c r="CC282" s="1890"/>
      <c r="CD282" s="1890"/>
      <c r="CE282" s="1890"/>
      <c r="CF282" s="1890"/>
      <c r="CG282" s="1890"/>
      <c r="CH282" s="1890"/>
      <c r="CI282" s="1890"/>
      <c r="CJ282" s="1890"/>
      <c r="CK282" s="1890"/>
      <c r="CL282" s="1890"/>
      <c r="CM282" s="1890"/>
      <c r="CN282" s="1890"/>
      <c r="CO282" s="1890"/>
      <c r="CP282" s="1890"/>
      <c r="CQ282" s="1890"/>
      <c r="CR282" s="1890"/>
      <c r="CS282" s="1890"/>
      <c r="CT282" s="1890"/>
      <c r="CU282" s="1890"/>
      <c r="CV282" s="1890"/>
      <c r="CW282" s="1890"/>
      <c r="CX282" s="1890"/>
      <c r="CY282" s="1890"/>
      <c r="CZ282" s="1890"/>
      <c r="DA282" s="1890"/>
      <c r="DB282" s="1890"/>
      <c r="DC282" s="1890"/>
      <c r="DD282" s="1890"/>
      <c r="DE282" s="1890"/>
      <c r="DF282" s="1890"/>
      <c r="DG282" s="1890"/>
      <c r="DH282" s="1890"/>
      <c r="DI282" s="1890"/>
      <c r="DJ282" s="1890"/>
      <c r="DK282" s="1890"/>
      <c r="DL282" s="1890"/>
      <c r="DM282" s="1890"/>
      <c r="DN282" s="1890"/>
      <c r="DO282" s="1890"/>
      <c r="DP282" s="1890"/>
      <c r="DQ282" s="1890"/>
      <c r="DR282" s="1890"/>
      <c r="DS282" s="1890"/>
      <c r="DT282" s="1890"/>
      <c r="DU282" s="1890"/>
      <c r="DV282" s="1890"/>
      <c r="DW282" s="1890"/>
      <c r="DX282" s="1890"/>
      <c r="DY282" s="1890"/>
      <c r="DZ282" s="1890"/>
      <c r="EA282" s="1890"/>
      <c r="EB282" s="1890"/>
      <c r="EC282" s="1890"/>
      <c r="ED282" s="1890"/>
      <c r="EE282" s="1890"/>
      <c r="EF282" s="1890"/>
      <c r="EG282" s="1890"/>
      <c r="EH282" s="1890"/>
      <c r="EI282" s="1890"/>
      <c r="EJ282" s="1890"/>
      <c r="EK282" s="1890"/>
      <c r="EL282" s="1890"/>
      <c r="EM282" s="1890"/>
      <c r="EN282" s="1890"/>
      <c r="EO282" s="1890"/>
      <c r="EP282" s="1890"/>
      <c r="EQ282" s="1890"/>
      <c r="ER282" s="1890"/>
      <c r="ES282" s="1890"/>
      <c r="ET282" s="1890"/>
      <c r="EU282" s="1890"/>
      <c r="EV282" s="1890"/>
      <c r="EW282" s="1890"/>
      <c r="EX282" s="1890"/>
      <c r="EY282" s="1890"/>
      <c r="EZ282" s="1890"/>
      <c r="FA282" s="1890"/>
      <c r="FB282" s="1890"/>
      <c r="FC282" s="1890"/>
      <c r="FD282" s="1890"/>
      <c r="FE282" s="1890"/>
      <c r="FF282" s="1890"/>
      <c r="FG282" s="1890"/>
      <c r="FH282" s="1890"/>
      <c r="FI282" s="1890"/>
      <c r="FJ282" s="1890"/>
      <c r="FK282" s="1890"/>
      <c r="FL282" s="1890"/>
      <c r="FM282" s="1890"/>
      <c r="FN282" s="1890"/>
      <c r="FO282" s="1890"/>
      <c r="FP282" s="1890"/>
      <c r="FQ282" s="1890"/>
      <c r="FR282" s="1890"/>
      <c r="FS282" s="1890"/>
      <c r="FT282" s="1890"/>
    </row>
    <row r="283" spans="1:176" s="1965" customFormat="1" ht="32.1" customHeight="1">
      <c r="A283" s="1899"/>
      <c r="B283" s="1804" t="s">
        <v>306</v>
      </c>
      <c r="C283" s="1837">
        <v>1</v>
      </c>
      <c r="D283" s="1848">
        <v>1</v>
      </c>
      <c r="E283" s="1829">
        <v>1</v>
      </c>
      <c r="F283" s="1832">
        <v>1</v>
      </c>
      <c r="G283" s="1847">
        <v>1</v>
      </c>
      <c r="H283" s="1839">
        <v>1</v>
      </c>
      <c r="I283" s="2086" t="s">
        <v>123</v>
      </c>
      <c r="J283" s="2217">
        <v>1</v>
      </c>
      <c r="K283" s="1917" t="s">
        <v>1134</v>
      </c>
      <c r="L283" s="1794">
        <v>1</v>
      </c>
      <c r="M283" s="1927">
        <v>1</v>
      </c>
      <c r="N283" s="1941" t="s">
        <v>811</v>
      </c>
      <c r="O283" s="1941" t="s">
        <v>960</v>
      </c>
      <c r="P283" s="1975">
        <v>1</v>
      </c>
      <c r="Q283" s="1975">
        <v>0</v>
      </c>
      <c r="R283" s="2121"/>
      <c r="S283" s="2324" t="s">
        <v>9161</v>
      </c>
      <c r="T283" s="1794" t="s">
        <v>7568</v>
      </c>
      <c r="U283" s="1794" t="s">
        <v>5930</v>
      </c>
      <c r="V283" s="1802" t="s">
        <v>1037</v>
      </c>
      <c r="W283" s="1949" t="s">
        <v>811</v>
      </c>
      <c r="X283" s="1941" t="s">
        <v>960</v>
      </c>
      <c r="Y283" s="1818"/>
      <c r="Z283" s="1818"/>
      <c r="AA283" s="1818"/>
      <c r="AB283" s="1818"/>
      <c r="AC283" s="1818"/>
      <c r="AD283" s="1818"/>
      <c r="AE283" s="1818"/>
      <c r="AF283" s="1818"/>
      <c r="AG283" s="1818"/>
      <c r="AH283" s="1818"/>
      <c r="AI283" s="1818"/>
      <c r="AJ283" s="1818"/>
      <c r="AK283" s="1818"/>
      <c r="AL283" s="1818"/>
      <c r="AM283" s="1818"/>
      <c r="AN283" s="1818"/>
      <c r="AO283" s="1818"/>
      <c r="AP283" s="1818"/>
      <c r="AQ283" s="1818"/>
      <c r="AR283" s="1818"/>
      <c r="AS283" s="1818"/>
      <c r="AT283" s="1818"/>
      <c r="AU283" s="1818"/>
      <c r="AV283" s="1818"/>
      <c r="AW283" s="1818"/>
      <c r="AX283" s="1818"/>
      <c r="AY283" s="1818"/>
      <c r="AZ283" s="1818"/>
      <c r="BA283" s="1818"/>
      <c r="BB283" s="1818"/>
      <c r="BC283" s="1818"/>
      <c r="BD283" s="1818"/>
      <c r="BE283" s="1818"/>
      <c r="BF283" s="1818"/>
      <c r="BG283" s="1818"/>
      <c r="BH283" s="1818"/>
      <c r="BI283" s="1818"/>
      <c r="BJ283" s="1818"/>
      <c r="BK283" s="1818"/>
      <c r="BL283" s="1818"/>
      <c r="BM283" s="1818"/>
      <c r="BN283" s="1818"/>
      <c r="BO283" s="1818"/>
      <c r="BP283" s="1818"/>
      <c r="BQ283" s="1818"/>
      <c r="BR283" s="1818"/>
      <c r="BS283" s="1818"/>
      <c r="BT283" s="1818"/>
      <c r="BU283" s="1818"/>
      <c r="BV283" s="1818"/>
      <c r="BW283" s="1818"/>
      <c r="BX283" s="1818"/>
      <c r="BY283" s="1818"/>
      <c r="BZ283" s="1818"/>
      <c r="CA283" s="1890"/>
      <c r="CB283" s="1890"/>
      <c r="CC283" s="1890"/>
      <c r="CD283" s="1890"/>
      <c r="CE283" s="1890"/>
      <c r="CF283" s="1890"/>
      <c r="CG283" s="1890"/>
      <c r="CH283" s="1890"/>
      <c r="CI283" s="1890"/>
      <c r="CJ283" s="1890"/>
      <c r="CK283" s="1890"/>
      <c r="CL283" s="1890"/>
      <c r="CM283" s="1890"/>
      <c r="CN283" s="1890"/>
      <c r="CO283" s="1890"/>
      <c r="CP283" s="1890"/>
      <c r="CQ283" s="1890"/>
      <c r="CR283" s="1890"/>
      <c r="CS283" s="1890"/>
      <c r="CT283" s="1890"/>
      <c r="CU283" s="1890"/>
      <c r="CV283" s="1890"/>
      <c r="CW283" s="1890"/>
      <c r="CX283" s="1890"/>
      <c r="CY283" s="1890"/>
      <c r="CZ283" s="1890"/>
      <c r="DA283" s="1890"/>
      <c r="DB283" s="1890"/>
      <c r="DC283" s="1890"/>
      <c r="DD283" s="1890"/>
      <c r="DE283" s="1890"/>
      <c r="DF283" s="1890"/>
      <c r="DG283" s="1890"/>
      <c r="DH283" s="1890"/>
      <c r="DI283" s="1890"/>
      <c r="DJ283" s="1890"/>
      <c r="DK283" s="1890"/>
      <c r="DL283" s="1890"/>
      <c r="DM283" s="1890"/>
      <c r="DN283" s="1890"/>
      <c r="DO283" s="1890"/>
      <c r="DP283" s="1890"/>
      <c r="DQ283" s="1890"/>
      <c r="DR283" s="1890"/>
      <c r="DS283" s="1890"/>
      <c r="DT283" s="1890"/>
      <c r="DU283" s="1890"/>
      <c r="DV283" s="1890"/>
      <c r="DW283" s="1890"/>
      <c r="DX283" s="1890"/>
      <c r="DY283" s="1890"/>
      <c r="DZ283" s="1890"/>
      <c r="EA283" s="1890"/>
      <c r="EB283" s="1890"/>
      <c r="EC283" s="1890"/>
      <c r="ED283" s="1890"/>
      <c r="EE283" s="1890"/>
      <c r="EF283" s="1890"/>
      <c r="EG283" s="1890"/>
      <c r="EH283" s="1890"/>
      <c r="EI283" s="1890"/>
      <c r="EJ283" s="1890"/>
      <c r="EK283" s="1890"/>
      <c r="EL283" s="1890"/>
      <c r="EM283" s="1890"/>
      <c r="EN283" s="1890"/>
      <c r="EO283" s="1890"/>
      <c r="EP283" s="1890"/>
      <c r="EQ283" s="1890"/>
      <c r="ER283" s="1890"/>
      <c r="ES283" s="1890"/>
      <c r="ET283" s="1890"/>
      <c r="EU283" s="1890"/>
      <c r="EV283" s="1890"/>
      <c r="EW283" s="1890"/>
      <c r="EX283" s="1890"/>
      <c r="EY283" s="1890"/>
      <c r="EZ283" s="1890"/>
      <c r="FA283" s="1890"/>
      <c r="FB283" s="1890"/>
      <c r="FC283" s="1890"/>
      <c r="FD283" s="1890"/>
      <c r="FE283" s="1890"/>
      <c r="FF283" s="1890"/>
      <c r="FG283" s="1890"/>
      <c r="FH283" s="1890"/>
      <c r="FI283" s="1890"/>
      <c r="FJ283" s="1890"/>
      <c r="FK283" s="1890"/>
      <c r="FL283" s="1890"/>
      <c r="FM283" s="1890"/>
      <c r="FN283" s="1890"/>
      <c r="FO283" s="1890"/>
      <c r="FP283" s="1890"/>
      <c r="FQ283" s="1890"/>
      <c r="FR283" s="1890"/>
      <c r="FS283" s="1890"/>
      <c r="FT283" s="1890"/>
    </row>
    <row r="284" spans="1:176" s="1965" customFormat="1" ht="32.1" customHeight="1">
      <c r="A284" s="1899"/>
      <c r="B284" s="1804" t="s">
        <v>307</v>
      </c>
      <c r="C284" s="1837">
        <v>1</v>
      </c>
      <c r="D284" s="1848">
        <v>1</v>
      </c>
      <c r="E284" s="1829">
        <v>1</v>
      </c>
      <c r="F284" s="1832">
        <v>1</v>
      </c>
      <c r="G284" s="1847">
        <v>1</v>
      </c>
      <c r="H284" s="1839">
        <v>1</v>
      </c>
      <c r="I284" s="2086" t="s">
        <v>123</v>
      </c>
      <c r="J284" s="2217">
        <v>1</v>
      </c>
      <c r="K284" s="1917" t="s">
        <v>1134</v>
      </c>
      <c r="L284" s="1794">
        <v>1</v>
      </c>
      <c r="M284" s="1927">
        <v>1</v>
      </c>
      <c r="N284" s="1941" t="s">
        <v>811</v>
      </c>
      <c r="O284" s="1941" t="s">
        <v>960</v>
      </c>
      <c r="P284" s="1975">
        <v>1</v>
      </c>
      <c r="Q284" s="1975">
        <v>0</v>
      </c>
      <c r="R284" s="2121"/>
      <c r="S284" s="2324" t="s">
        <v>811</v>
      </c>
      <c r="T284" s="1794" t="s">
        <v>7569</v>
      </c>
      <c r="U284" s="1794" t="s">
        <v>5931</v>
      </c>
      <c r="V284" s="1802" t="s">
        <v>1039</v>
      </c>
      <c r="W284" s="1949" t="s">
        <v>811</v>
      </c>
      <c r="X284" s="1941" t="s">
        <v>960</v>
      </c>
      <c r="Y284" s="1818"/>
      <c r="Z284" s="1818"/>
      <c r="AA284" s="1818"/>
      <c r="AB284" s="1818"/>
      <c r="AC284" s="1818"/>
      <c r="AD284" s="1818"/>
      <c r="AE284" s="1818"/>
      <c r="AF284" s="1818"/>
      <c r="AG284" s="1818"/>
      <c r="AH284" s="1818"/>
      <c r="AI284" s="1818"/>
      <c r="AJ284" s="1818"/>
      <c r="AK284" s="1818"/>
      <c r="AL284" s="1818"/>
      <c r="AM284" s="1818"/>
      <c r="AN284" s="1818"/>
      <c r="AO284" s="1818"/>
      <c r="AP284" s="1818"/>
      <c r="AQ284" s="1818"/>
      <c r="AR284" s="1818"/>
      <c r="AS284" s="1818"/>
      <c r="AT284" s="1818"/>
      <c r="AU284" s="1818"/>
      <c r="AV284" s="1818"/>
      <c r="AW284" s="1818"/>
      <c r="AX284" s="1818"/>
      <c r="AY284" s="1818"/>
      <c r="AZ284" s="1818"/>
      <c r="BA284" s="1818"/>
      <c r="BB284" s="1818"/>
      <c r="BC284" s="1818"/>
      <c r="BD284" s="1818"/>
      <c r="BE284" s="1818"/>
      <c r="BF284" s="1818"/>
      <c r="BG284" s="1818"/>
      <c r="BH284" s="1818"/>
      <c r="BI284" s="1818"/>
      <c r="BJ284" s="1818"/>
      <c r="BK284" s="1818"/>
      <c r="BL284" s="1818"/>
      <c r="BM284" s="1818"/>
      <c r="BN284" s="1818"/>
      <c r="BO284" s="1818"/>
      <c r="BP284" s="1818"/>
      <c r="BQ284" s="1818"/>
      <c r="BR284" s="1818"/>
      <c r="BS284" s="1818"/>
      <c r="BT284" s="1818"/>
      <c r="BU284" s="1818"/>
      <c r="BV284" s="1818"/>
      <c r="BW284" s="1818"/>
      <c r="BX284" s="1818"/>
      <c r="BY284" s="1818"/>
      <c r="BZ284" s="1818"/>
      <c r="CA284" s="1890"/>
      <c r="CB284" s="1890"/>
      <c r="CC284" s="1890"/>
      <c r="CD284" s="1890"/>
      <c r="CE284" s="1890"/>
      <c r="CF284" s="1890"/>
      <c r="CG284" s="1890"/>
      <c r="CH284" s="1890"/>
      <c r="CI284" s="1890"/>
      <c r="CJ284" s="1890"/>
      <c r="CK284" s="1890"/>
      <c r="CL284" s="1890"/>
      <c r="CM284" s="1890"/>
      <c r="CN284" s="1890"/>
      <c r="CO284" s="1890"/>
      <c r="CP284" s="1890"/>
      <c r="CQ284" s="1890"/>
      <c r="CR284" s="1890"/>
      <c r="CS284" s="1890"/>
      <c r="CT284" s="1890"/>
      <c r="CU284" s="1890"/>
      <c r="CV284" s="1890"/>
      <c r="CW284" s="1890"/>
      <c r="CX284" s="1890"/>
      <c r="CY284" s="1890"/>
      <c r="CZ284" s="1890"/>
      <c r="DA284" s="1890"/>
      <c r="DB284" s="1890"/>
      <c r="DC284" s="1890"/>
      <c r="DD284" s="1890"/>
      <c r="DE284" s="1890"/>
      <c r="DF284" s="1890"/>
      <c r="DG284" s="1890"/>
      <c r="DH284" s="1890"/>
      <c r="DI284" s="1890"/>
      <c r="DJ284" s="1890"/>
      <c r="DK284" s="1890"/>
      <c r="DL284" s="1890"/>
      <c r="DM284" s="1890"/>
      <c r="DN284" s="1890"/>
      <c r="DO284" s="1890"/>
      <c r="DP284" s="1890"/>
      <c r="DQ284" s="1890"/>
      <c r="DR284" s="1890"/>
      <c r="DS284" s="1890"/>
      <c r="DT284" s="1890"/>
      <c r="DU284" s="1890"/>
      <c r="DV284" s="1890"/>
      <c r="DW284" s="1890"/>
      <c r="DX284" s="1890"/>
      <c r="DY284" s="1890"/>
      <c r="DZ284" s="1890"/>
      <c r="EA284" s="1890"/>
      <c r="EB284" s="1890"/>
      <c r="EC284" s="1890"/>
      <c r="ED284" s="1890"/>
      <c r="EE284" s="1890"/>
      <c r="EF284" s="1890"/>
      <c r="EG284" s="1890"/>
      <c r="EH284" s="1890"/>
      <c r="EI284" s="1890"/>
      <c r="EJ284" s="1890"/>
      <c r="EK284" s="1890"/>
      <c r="EL284" s="1890"/>
      <c r="EM284" s="1890"/>
      <c r="EN284" s="1890"/>
      <c r="EO284" s="1890"/>
      <c r="EP284" s="1890"/>
      <c r="EQ284" s="1890"/>
      <c r="ER284" s="1890"/>
      <c r="ES284" s="1890"/>
      <c r="ET284" s="1890"/>
      <c r="EU284" s="1890"/>
      <c r="EV284" s="1890"/>
      <c r="EW284" s="1890"/>
      <c r="EX284" s="1890"/>
      <c r="EY284" s="1890"/>
      <c r="EZ284" s="1890"/>
      <c r="FA284" s="1890"/>
      <c r="FB284" s="1890"/>
      <c r="FC284" s="1890"/>
      <c r="FD284" s="1890"/>
      <c r="FE284" s="1890"/>
      <c r="FF284" s="1890"/>
      <c r="FG284" s="1890"/>
      <c r="FH284" s="1890"/>
      <c r="FI284" s="1890"/>
      <c r="FJ284" s="1890"/>
      <c r="FK284" s="1890"/>
      <c r="FL284" s="1890"/>
      <c r="FM284" s="1890"/>
      <c r="FN284" s="1890"/>
      <c r="FO284" s="1890"/>
      <c r="FP284" s="1890"/>
      <c r="FQ284" s="1890"/>
      <c r="FR284" s="1890"/>
      <c r="FS284" s="1890"/>
      <c r="FT284" s="1890"/>
    </row>
    <row r="285" spans="1:176" s="1965" customFormat="1" ht="32.1" customHeight="1">
      <c r="A285" s="1899"/>
      <c r="B285" s="1804" t="s">
        <v>308</v>
      </c>
      <c r="C285" s="1837">
        <v>1</v>
      </c>
      <c r="D285" s="1848">
        <v>1</v>
      </c>
      <c r="E285" s="1829">
        <v>1</v>
      </c>
      <c r="F285" s="1832">
        <v>1</v>
      </c>
      <c r="G285" s="1848">
        <v>0.5</v>
      </c>
      <c r="H285" s="1839">
        <v>1</v>
      </c>
      <c r="I285" s="2086" t="s">
        <v>123</v>
      </c>
      <c r="J285" s="2217">
        <v>1</v>
      </c>
      <c r="K285" s="1917" t="s">
        <v>1134</v>
      </c>
      <c r="L285" s="1794">
        <v>1</v>
      </c>
      <c r="M285" s="1927">
        <v>1</v>
      </c>
      <c r="N285" s="1941" t="s">
        <v>8352</v>
      </c>
      <c r="O285" s="1941" t="s">
        <v>960</v>
      </c>
      <c r="P285" s="1975">
        <v>1</v>
      </c>
      <c r="Q285" s="1975">
        <v>0</v>
      </c>
      <c r="R285" s="2121"/>
      <c r="S285" s="2324" t="s">
        <v>811</v>
      </c>
      <c r="T285" s="1794" t="s">
        <v>7570</v>
      </c>
      <c r="U285" s="1794" t="s">
        <v>811</v>
      </c>
      <c r="V285" s="1802" t="s">
        <v>7916</v>
      </c>
      <c r="W285" s="1949" t="s">
        <v>8357</v>
      </c>
      <c r="X285" s="1941" t="s">
        <v>960</v>
      </c>
      <c r="Y285" s="1818"/>
      <c r="Z285" s="1818"/>
      <c r="AA285" s="1818"/>
      <c r="AB285" s="1818"/>
      <c r="AC285" s="1818"/>
      <c r="AD285" s="1818"/>
      <c r="AE285" s="1818"/>
      <c r="AF285" s="1818"/>
      <c r="AG285" s="1818"/>
      <c r="AH285" s="1818"/>
      <c r="AI285" s="1818"/>
      <c r="AJ285" s="1818"/>
      <c r="AK285" s="1818"/>
      <c r="AL285" s="1818"/>
      <c r="AM285" s="1818"/>
      <c r="AN285" s="1818"/>
      <c r="AO285" s="1818"/>
      <c r="AP285" s="1818"/>
      <c r="AQ285" s="1818"/>
      <c r="AR285" s="1818"/>
      <c r="AS285" s="1818"/>
      <c r="AT285" s="1818"/>
      <c r="AU285" s="1818"/>
      <c r="AV285" s="1818"/>
      <c r="AW285" s="1818"/>
      <c r="AX285" s="1818"/>
      <c r="AY285" s="1818"/>
      <c r="AZ285" s="1818"/>
      <c r="BA285" s="1818"/>
      <c r="BB285" s="1818"/>
      <c r="BC285" s="1818"/>
      <c r="BD285" s="1818"/>
      <c r="BE285" s="1818"/>
      <c r="BF285" s="1818"/>
      <c r="BG285" s="1818"/>
      <c r="BH285" s="1818"/>
      <c r="BI285" s="1818"/>
      <c r="BJ285" s="1818"/>
      <c r="BK285" s="1818"/>
      <c r="BL285" s="1818"/>
      <c r="BM285" s="1818"/>
      <c r="BN285" s="1818"/>
      <c r="BO285" s="1818"/>
      <c r="BP285" s="1818"/>
      <c r="BQ285" s="1818"/>
      <c r="BR285" s="1818"/>
      <c r="BS285" s="1818"/>
      <c r="BT285" s="1818"/>
      <c r="BU285" s="1818"/>
      <c r="BV285" s="1818"/>
      <c r="BW285" s="1818"/>
      <c r="BX285" s="1818"/>
      <c r="BY285" s="1818"/>
      <c r="BZ285" s="1818"/>
      <c r="CA285" s="1890"/>
      <c r="CB285" s="1890"/>
      <c r="CC285" s="1890"/>
      <c r="CD285" s="1890"/>
      <c r="CE285" s="1890"/>
      <c r="CF285" s="1890"/>
      <c r="CG285" s="1890"/>
      <c r="CH285" s="1890"/>
      <c r="CI285" s="1890"/>
      <c r="CJ285" s="1890"/>
      <c r="CK285" s="1890"/>
      <c r="CL285" s="1890"/>
      <c r="CM285" s="1890"/>
      <c r="CN285" s="1890"/>
      <c r="CO285" s="1890"/>
      <c r="CP285" s="1890"/>
      <c r="CQ285" s="1890"/>
      <c r="CR285" s="1890"/>
      <c r="CS285" s="1890"/>
      <c r="CT285" s="1890"/>
      <c r="CU285" s="1890"/>
      <c r="CV285" s="1890"/>
      <c r="CW285" s="1890"/>
      <c r="CX285" s="1890"/>
      <c r="CY285" s="1890"/>
      <c r="CZ285" s="1890"/>
      <c r="DA285" s="1890"/>
      <c r="DB285" s="1890"/>
      <c r="DC285" s="1890"/>
      <c r="DD285" s="1890"/>
      <c r="DE285" s="1890"/>
      <c r="DF285" s="1890"/>
      <c r="DG285" s="1890"/>
      <c r="DH285" s="1890"/>
      <c r="DI285" s="1890"/>
      <c r="DJ285" s="1890"/>
      <c r="DK285" s="1890"/>
      <c r="DL285" s="1890"/>
      <c r="DM285" s="1890"/>
      <c r="DN285" s="1890"/>
      <c r="DO285" s="1890"/>
      <c r="DP285" s="1890"/>
      <c r="DQ285" s="1890"/>
      <c r="DR285" s="1890"/>
      <c r="DS285" s="1890"/>
      <c r="DT285" s="1890"/>
      <c r="DU285" s="1890"/>
      <c r="DV285" s="1890"/>
      <c r="DW285" s="1890"/>
      <c r="DX285" s="1890"/>
      <c r="DY285" s="1890"/>
      <c r="DZ285" s="1890"/>
      <c r="EA285" s="1890"/>
      <c r="EB285" s="1890"/>
      <c r="EC285" s="1890"/>
      <c r="ED285" s="1890"/>
      <c r="EE285" s="1890"/>
      <c r="EF285" s="1890"/>
      <c r="EG285" s="1890"/>
      <c r="EH285" s="1890"/>
      <c r="EI285" s="1890"/>
      <c r="EJ285" s="1890"/>
      <c r="EK285" s="1890"/>
      <c r="EL285" s="1890"/>
      <c r="EM285" s="1890"/>
      <c r="EN285" s="1890"/>
      <c r="EO285" s="1890"/>
      <c r="EP285" s="1890"/>
      <c r="EQ285" s="1890"/>
      <c r="ER285" s="1890"/>
      <c r="ES285" s="1890"/>
      <c r="ET285" s="1890"/>
      <c r="EU285" s="1890"/>
      <c r="EV285" s="1890"/>
      <c r="EW285" s="1890"/>
      <c r="EX285" s="1890"/>
      <c r="EY285" s="1890"/>
      <c r="EZ285" s="1890"/>
      <c r="FA285" s="1890"/>
      <c r="FB285" s="1890"/>
      <c r="FC285" s="1890"/>
      <c r="FD285" s="1890"/>
      <c r="FE285" s="1890"/>
      <c r="FF285" s="1890"/>
      <c r="FG285" s="1890"/>
      <c r="FH285" s="1890"/>
      <c r="FI285" s="1890"/>
      <c r="FJ285" s="1890"/>
      <c r="FK285" s="1890"/>
      <c r="FL285" s="1890"/>
      <c r="FM285" s="1890"/>
      <c r="FN285" s="1890"/>
      <c r="FO285" s="1890"/>
      <c r="FP285" s="1890"/>
      <c r="FQ285" s="1890"/>
      <c r="FR285" s="1890"/>
      <c r="FS285" s="1890"/>
      <c r="FT285" s="1890"/>
    </row>
    <row r="286" spans="1:176" s="1965" customFormat="1" ht="32.1" customHeight="1">
      <c r="A286" s="1899"/>
      <c r="B286" s="1804" t="s">
        <v>309</v>
      </c>
      <c r="C286" s="1837">
        <v>1</v>
      </c>
      <c r="D286" s="1848">
        <v>1</v>
      </c>
      <c r="E286" s="1829">
        <v>0</v>
      </c>
      <c r="F286" s="1832">
        <v>1</v>
      </c>
      <c r="G286" s="1848">
        <v>0.5</v>
      </c>
      <c r="H286" s="1839">
        <v>1</v>
      </c>
      <c r="I286" s="2086" t="s">
        <v>310</v>
      </c>
      <c r="J286" s="2217">
        <v>1</v>
      </c>
      <c r="K286" s="1917" t="s">
        <v>1134</v>
      </c>
      <c r="L286" s="1794">
        <v>0</v>
      </c>
      <c r="M286" s="1927">
        <v>1</v>
      </c>
      <c r="N286" s="1941" t="s">
        <v>8353</v>
      </c>
      <c r="O286" s="1941" t="s">
        <v>960</v>
      </c>
      <c r="P286" s="1975">
        <v>1</v>
      </c>
      <c r="Q286" s="1975">
        <v>0</v>
      </c>
      <c r="R286" s="2121"/>
      <c r="S286" s="2324" t="s">
        <v>811</v>
      </c>
      <c r="T286" s="1794" t="s">
        <v>7571</v>
      </c>
      <c r="U286" s="1794" t="s">
        <v>748</v>
      </c>
      <c r="V286" s="1802" t="s">
        <v>6146</v>
      </c>
      <c r="W286" s="1949" t="s">
        <v>8357</v>
      </c>
      <c r="X286" s="1941" t="s">
        <v>960</v>
      </c>
      <c r="Y286" s="1818"/>
      <c r="Z286" s="1818"/>
      <c r="AA286" s="1818"/>
      <c r="AB286" s="1818"/>
      <c r="AC286" s="1818"/>
      <c r="AD286" s="1818"/>
      <c r="AE286" s="1818"/>
      <c r="AF286" s="1818"/>
      <c r="AG286" s="1818"/>
      <c r="AH286" s="1818"/>
      <c r="AI286" s="1818"/>
      <c r="AJ286" s="1818"/>
      <c r="AK286" s="1818"/>
      <c r="AL286" s="1818"/>
      <c r="AM286" s="1818"/>
      <c r="AN286" s="1818"/>
      <c r="AO286" s="1818"/>
      <c r="AP286" s="1818"/>
      <c r="AQ286" s="1818"/>
      <c r="AR286" s="1818"/>
      <c r="AS286" s="1818"/>
      <c r="AT286" s="1818"/>
      <c r="AU286" s="1818"/>
      <c r="AV286" s="1818"/>
      <c r="AW286" s="1818"/>
      <c r="AX286" s="1818"/>
      <c r="AY286" s="1818"/>
      <c r="AZ286" s="1818"/>
      <c r="BA286" s="1818"/>
      <c r="BB286" s="1818"/>
      <c r="BC286" s="1818"/>
      <c r="BD286" s="1818"/>
      <c r="BE286" s="1818"/>
      <c r="BF286" s="1818"/>
      <c r="BG286" s="1818"/>
      <c r="BH286" s="1818"/>
      <c r="BI286" s="1818"/>
      <c r="BJ286" s="1818"/>
      <c r="BK286" s="1818"/>
      <c r="BL286" s="1818"/>
      <c r="BM286" s="1818"/>
      <c r="BN286" s="1818"/>
      <c r="BO286" s="1818"/>
      <c r="BP286" s="1818"/>
      <c r="BQ286" s="1818"/>
      <c r="BR286" s="1818"/>
      <c r="BS286" s="1818"/>
      <c r="BT286" s="1818"/>
      <c r="BU286" s="1818"/>
      <c r="BV286" s="1818"/>
      <c r="BW286" s="1818"/>
      <c r="BX286" s="1818"/>
      <c r="BY286" s="1818"/>
      <c r="BZ286" s="1818"/>
      <c r="CA286" s="1890"/>
      <c r="CB286" s="1890"/>
      <c r="CC286" s="1890"/>
      <c r="CD286" s="1890"/>
      <c r="CE286" s="1890"/>
      <c r="CF286" s="1890"/>
      <c r="CG286" s="1890"/>
      <c r="CH286" s="1890"/>
      <c r="CI286" s="1890"/>
      <c r="CJ286" s="1890"/>
      <c r="CK286" s="1890"/>
      <c r="CL286" s="1890"/>
      <c r="CM286" s="1890"/>
      <c r="CN286" s="1890"/>
      <c r="CO286" s="1890"/>
      <c r="CP286" s="1890"/>
      <c r="CQ286" s="1890"/>
      <c r="CR286" s="1890"/>
      <c r="CS286" s="1890"/>
      <c r="CT286" s="1890"/>
      <c r="CU286" s="1890"/>
      <c r="CV286" s="1890"/>
      <c r="CW286" s="1890"/>
      <c r="CX286" s="1890"/>
      <c r="CY286" s="1890"/>
      <c r="CZ286" s="1890"/>
      <c r="DA286" s="1890"/>
      <c r="DB286" s="1890"/>
      <c r="DC286" s="1890"/>
      <c r="DD286" s="1890"/>
      <c r="DE286" s="1890"/>
      <c r="DF286" s="1890"/>
      <c r="DG286" s="1890"/>
      <c r="DH286" s="1890"/>
      <c r="DI286" s="1890"/>
      <c r="DJ286" s="1890"/>
      <c r="DK286" s="1890"/>
      <c r="DL286" s="1890"/>
      <c r="DM286" s="1890"/>
      <c r="DN286" s="1890"/>
      <c r="DO286" s="1890"/>
      <c r="DP286" s="1890"/>
      <c r="DQ286" s="1890"/>
      <c r="DR286" s="1890"/>
      <c r="DS286" s="1890"/>
      <c r="DT286" s="1890"/>
      <c r="DU286" s="1890"/>
      <c r="DV286" s="1890"/>
      <c r="DW286" s="1890"/>
      <c r="DX286" s="1890"/>
      <c r="DY286" s="1890"/>
      <c r="DZ286" s="1890"/>
      <c r="EA286" s="1890"/>
      <c r="EB286" s="1890"/>
      <c r="EC286" s="1890"/>
      <c r="ED286" s="1890"/>
      <c r="EE286" s="1890"/>
      <c r="EF286" s="1890"/>
      <c r="EG286" s="1890"/>
      <c r="EH286" s="1890"/>
      <c r="EI286" s="1890"/>
      <c r="EJ286" s="1890"/>
      <c r="EK286" s="1890"/>
      <c r="EL286" s="1890"/>
      <c r="EM286" s="1890"/>
      <c r="EN286" s="1890"/>
      <c r="EO286" s="1890"/>
      <c r="EP286" s="1890"/>
      <c r="EQ286" s="1890"/>
      <c r="ER286" s="1890"/>
      <c r="ES286" s="1890"/>
      <c r="ET286" s="1890"/>
      <c r="EU286" s="1890"/>
      <c r="EV286" s="1890"/>
      <c r="EW286" s="1890"/>
      <c r="EX286" s="1890"/>
      <c r="EY286" s="1890"/>
      <c r="EZ286" s="1890"/>
      <c r="FA286" s="1890"/>
      <c r="FB286" s="1890"/>
      <c r="FC286" s="1890"/>
      <c r="FD286" s="1890"/>
      <c r="FE286" s="1890"/>
      <c r="FF286" s="1890"/>
      <c r="FG286" s="1890"/>
      <c r="FH286" s="1890"/>
      <c r="FI286" s="1890"/>
      <c r="FJ286" s="1890"/>
      <c r="FK286" s="1890"/>
      <c r="FL286" s="1890"/>
      <c r="FM286" s="1890"/>
      <c r="FN286" s="1890"/>
      <c r="FO286" s="1890"/>
      <c r="FP286" s="1890"/>
      <c r="FQ286" s="1890"/>
      <c r="FR286" s="1890"/>
      <c r="FS286" s="1890"/>
      <c r="FT286" s="1890"/>
    </row>
    <row r="287" spans="1:176" s="1965" customFormat="1" ht="32.1" customHeight="1">
      <c r="A287" s="1899"/>
      <c r="B287" s="1804" t="s">
        <v>311</v>
      </c>
      <c r="C287" s="1837">
        <v>1</v>
      </c>
      <c r="D287" s="1848">
        <v>1</v>
      </c>
      <c r="E287" s="1829">
        <v>1</v>
      </c>
      <c r="F287" s="1865">
        <v>1</v>
      </c>
      <c r="G287" s="1848">
        <v>0.5</v>
      </c>
      <c r="H287" s="1839">
        <v>1</v>
      </c>
      <c r="I287" s="2286" t="s">
        <v>123</v>
      </c>
      <c r="J287" s="2217">
        <v>1</v>
      </c>
      <c r="K287" s="1917" t="s">
        <v>1134</v>
      </c>
      <c r="L287" s="1794">
        <v>1</v>
      </c>
      <c r="M287" s="1980">
        <v>1</v>
      </c>
      <c r="N287" s="1941" t="s">
        <v>8353</v>
      </c>
      <c r="O287" s="1941" t="s">
        <v>960</v>
      </c>
      <c r="P287" s="1975">
        <v>1</v>
      </c>
      <c r="Q287" s="1975">
        <v>0</v>
      </c>
      <c r="R287" s="2121"/>
      <c r="S287" s="2324" t="s">
        <v>811</v>
      </c>
      <c r="T287" s="1794" t="s">
        <v>7572</v>
      </c>
      <c r="U287" s="1794" t="s">
        <v>5932</v>
      </c>
      <c r="V287" s="2326" t="s">
        <v>1042</v>
      </c>
      <c r="W287" s="1949" t="s">
        <v>8357</v>
      </c>
      <c r="X287" s="1941" t="s">
        <v>960</v>
      </c>
      <c r="Y287" s="1818"/>
      <c r="Z287" s="1818"/>
      <c r="AA287" s="1818"/>
      <c r="AB287" s="1818"/>
      <c r="AC287" s="1818"/>
      <c r="AD287" s="1818"/>
      <c r="AE287" s="1818"/>
      <c r="AF287" s="1818"/>
      <c r="AG287" s="1818"/>
      <c r="AH287" s="1818"/>
      <c r="AI287" s="1818"/>
      <c r="AJ287" s="1818"/>
      <c r="AK287" s="1818"/>
      <c r="AL287" s="1818"/>
      <c r="AM287" s="1818"/>
      <c r="AN287" s="1818"/>
      <c r="AO287" s="1818"/>
      <c r="AP287" s="1818"/>
      <c r="AQ287" s="1818"/>
      <c r="AR287" s="1818"/>
      <c r="AS287" s="1818"/>
      <c r="AT287" s="1818"/>
      <c r="AU287" s="1818"/>
      <c r="AV287" s="1818"/>
      <c r="AW287" s="1818"/>
      <c r="AX287" s="1818"/>
      <c r="AY287" s="1818"/>
      <c r="AZ287" s="1818"/>
      <c r="BA287" s="1818"/>
      <c r="BB287" s="1818"/>
      <c r="BC287" s="1818"/>
      <c r="BD287" s="1818"/>
      <c r="BE287" s="1818"/>
      <c r="BF287" s="1818"/>
      <c r="BG287" s="1818"/>
      <c r="BH287" s="1818"/>
      <c r="BI287" s="1818"/>
      <c r="BJ287" s="1818"/>
      <c r="BK287" s="1818"/>
      <c r="BL287" s="1818"/>
      <c r="BM287" s="1818"/>
      <c r="BN287" s="1818"/>
      <c r="BO287" s="1818"/>
      <c r="BP287" s="1818"/>
      <c r="BQ287" s="1818"/>
      <c r="BR287" s="1818"/>
      <c r="BS287" s="1818"/>
      <c r="BT287" s="1818"/>
      <c r="BU287" s="1818"/>
      <c r="BV287" s="1818"/>
      <c r="BW287" s="1818"/>
      <c r="BX287" s="1818"/>
      <c r="BY287" s="1818"/>
      <c r="BZ287" s="1818"/>
      <c r="CA287" s="1890"/>
      <c r="CB287" s="1890"/>
      <c r="CC287" s="1890"/>
      <c r="CD287" s="1890"/>
      <c r="CE287" s="1890"/>
      <c r="CF287" s="1890"/>
      <c r="CG287" s="1890"/>
      <c r="CH287" s="1890"/>
      <c r="CI287" s="1890"/>
      <c r="CJ287" s="1890"/>
      <c r="CK287" s="1890"/>
      <c r="CL287" s="1890"/>
      <c r="CM287" s="1890"/>
      <c r="CN287" s="1890"/>
      <c r="CO287" s="1890"/>
      <c r="CP287" s="1890"/>
      <c r="CQ287" s="1890"/>
      <c r="CR287" s="1890"/>
      <c r="CS287" s="1890"/>
      <c r="CT287" s="1890"/>
      <c r="CU287" s="1890"/>
      <c r="CV287" s="1890"/>
      <c r="CW287" s="1890"/>
      <c r="CX287" s="1890"/>
      <c r="CY287" s="1890"/>
      <c r="CZ287" s="1890"/>
      <c r="DA287" s="1890"/>
      <c r="DB287" s="1890"/>
      <c r="DC287" s="1890"/>
      <c r="DD287" s="1890"/>
      <c r="DE287" s="1890"/>
      <c r="DF287" s="1890"/>
      <c r="DG287" s="1890"/>
      <c r="DH287" s="1890"/>
      <c r="DI287" s="1890"/>
      <c r="DJ287" s="1890"/>
      <c r="DK287" s="1890"/>
      <c r="DL287" s="1890"/>
      <c r="DM287" s="1890"/>
      <c r="DN287" s="1890"/>
      <c r="DO287" s="1890"/>
      <c r="DP287" s="1890"/>
      <c r="DQ287" s="1890"/>
      <c r="DR287" s="1890"/>
      <c r="DS287" s="1890"/>
      <c r="DT287" s="1890"/>
      <c r="DU287" s="1890"/>
      <c r="DV287" s="1890"/>
      <c r="DW287" s="1890"/>
      <c r="DX287" s="1890"/>
      <c r="DY287" s="1890"/>
      <c r="DZ287" s="1890"/>
      <c r="EA287" s="1890"/>
      <c r="EB287" s="1890"/>
      <c r="EC287" s="1890"/>
      <c r="ED287" s="1890"/>
      <c r="EE287" s="1890"/>
      <c r="EF287" s="1890"/>
      <c r="EG287" s="1890"/>
      <c r="EH287" s="1890"/>
      <c r="EI287" s="1890"/>
      <c r="EJ287" s="1890"/>
      <c r="EK287" s="1890"/>
      <c r="EL287" s="1890"/>
      <c r="EM287" s="1890"/>
      <c r="EN287" s="1890"/>
      <c r="EO287" s="1890"/>
      <c r="EP287" s="1890"/>
      <c r="EQ287" s="1890"/>
      <c r="ER287" s="1890"/>
      <c r="ES287" s="1890"/>
      <c r="ET287" s="1890"/>
      <c r="EU287" s="1890"/>
      <c r="EV287" s="1890"/>
      <c r="EW287" s="1890"/>
      <c r="EX287" s="1890"/>
      <c r="EY287" s="1890"/>
      <c r="EZ287" s="1890"/>
      <c r="FA287" s="1890"/>
      <c r="FB287" s="1890"/>
      <c r="FC287" s="1890"/>
      <c r="FD287" s="1890"/>
      <c r="FE287" s="1890"/>
      <c r="FF287" s="1890"/>
      <c r="FG287" s="1890"/>
      <c r="FH287" s="1890"/>
      <c r="FI287" s="1890"/>
      <c r="FJ287" s="1890"/>
      <c r="FK287" s="1890"/>
      <c r="FL287" s="1890"/>
      <c r="FM287" s="1890"/>
      <c r="FN287" s="1890"/>
      <c r="FO287" s="1890"/>
      <c r="FP287" s="1890"/>
      <c r="FQ287" s="1890"/>
      <c r="FR287" s="1890"/>
      <c r="FS287" s="1890"/>
      <c r="FT287" s="1890"/>
    </row>
    <row r="288" spans="1:176" s="1965" customFormat="1" ht="54" customHeight="1">
      <c r="A288" s="1899"/>
      <c r="B288" s="1820" t="s">
        <v>312</v>
      </c>
      <c r="C288" s="1837">
        <v>1</v>
      </c>
      <c r="D288" s="1848">
        <v>1</v>
      </c>
      <c r="E288" s="1829">
        <v>0</v>
      </c>
      <c r="F288" s="1832">
        <v>1</v>
      </c>
      <c r="G288" s="1848">
        <v>1</v>
      </c>
      <c r="H288" s="1839">
        <v>1</v>
      </c>
      <c r="I288" s="2086" t="s">
        <v>123</v>
      </c>
      <c r="J288" s="2217">
        <v>1</v>
      </c>
      <c r="K288" s="1917" t="s">
        <v>1134</v>
      </c>
      <c r="L288" s="1794">
        <v>0</v>
      </c>
      <c r="M288" s="1927">
        <v>1</v>
      </c>
      <c r="N288" s="1917" t="s">
        <v>811</v>
      </c>
      <c r="O288" s="1917" t="s">
        <v>6804</v>
      </c>
      <c r="P288" s="1975">
        <v>1</v>
      </c>
      <c r="Q288" s="1975">
        <v>0</v>
      </c>
      <c r="R288" s="2121"/>
      <c r="S288" s="2248" t="s">
        <v>8163</v>
      </c>
      <c r="T288" s="1794" t="s">
        <v>7573</v>
      </c>
      <c r="U288" s="1794" t="s">
        <v>748</v>
      </c>
      <c r="V288" s="1802" t="s">
        <v>1046</v>
      </c>
      <c r="W288" s="1794" t="s">
        <v>5460</v>
      </c>
      <c r="X288" s="1917" t="s">
        <v>6804</v>
      </c>
      <c r="Y288" s="1818"/>
      <c r="Z288" s="1818"/>
      <c r="AA288" s="1818"/>
      <c r="AB288" s="1818"/>
      <c r="AC288" s="1818"/>
      <c r="AD288" s="1818"/>
      <c r="AE288" s="1818"/>
      <c r="AF288" s="1818"/>
      <c r="AG288" s="1818"/>
      <c r="AH288" s="1818"/>
      <c r="AI288" s="1818"/>
      <c r="AJ288" s="1818"/>
      <c r="AK288" s="1818"/>
      <c r="AL288" s="1818"/>
      <c r="AM288" s="1818"/>
      <c r="AN288" s="1818"/>
      <c r="AO288" s="1818"/>
      <c r="AP288" s="1818"/>
      <c r="AQ288" s="1818"/>
      <c r="AR288" s="1818"/>
      <c r="AS288" s="1818"/>
      <c r="AT288" s="1818"/>
      <c r="AU288" s="1818"/>
      <c r="AV288" s="1818"/>
      <c r="AW288" s="1818"/>
      <c r="AX288" s="1818"/>
      <c r="AY288" s="1818"/>
      <c r="AZ288" s="1818"/>
      <c r="BA288" s="1818"/>
      <c r="BB288" s="1818"/>
      <c r="BC288" s="1818"/>
      <c r="BD288" s="1818"/>
      <c r="BE288" s="1818"/>
      <c r="BF288" s="1818"/>
      <c r="BG288" s="1818"/>
      <c r="BH288" s="1818"/>
      <c r="BI288" s="1818"/>
      <c r="BJ288" s="1818"/>
      <c r="BK288" s="1818"/>
      <c r="BL288" s="1818"/>
      <c r="BM288" s="1818"/>
      <c r="BN288" s="1818"/>
      <c r="BO288" s="1818"/>
      <c r="BP288" s="1818"/>
      <c r="BQ288" s="1818"/>
      <c r="BR288" s="1818"/>
      <c r="BS288" s="1818"/>
      <c r="BT288" s="1818"/>
      <c r="BU288" s="1818"/>
      <c r="BV288" s="1818"/>
      <c r="BW288" s="1818"/>
      <c r="BX288" s="1818"/>
      <c r="BY288" s="1818"/>
      <c r="BZ288" s="1818"/>
      <c r="CA288" s="1890"/>
      <c r="CB288" s="1890"/>
      <c r="CC288" s="1890"/>
      <c r="CD288" s="1890"/>
      <c r="CE288" s="1890"/>
      <c r="CF288" s="1890"/>
      <c r="CG288" s="1890"/>
      <c r="CH288" s="1890"/>
      <c r="CI288" s="1890"/>
      <c r="CJ288" s="1890"/>
      <c r="CK288" s="1890"/>
      <c r="CL288" s="1890"/>
      <c r="CM288" s="1890"/>
      <c r="CN288" s="1890"/>
      <c r="CO288" s="1890"/>
      <c r="CP288" s="1890"/>
      <c r="CQ288" s="1890"/>
      <c r="CR288" s="1890"/>
      <c r="CS288" s="1890"/>
      <c r="CT288" s="1890"/>
      <c r="CU288" s="1890"/>
      <c r="CV288" s="1890"/>
      <c r="CW288" s="1890"/>
      <c r="CX288" s="1890"/>
      <c r="CY288" s="1890"/>
      <c r="CZ288" s="1890"/>
      <c r="DA288" s="1890"/>
      <c r="DB288" s="1890"/>
      <c r="DC288" s="1890"/>
      <c r="DD288" s="1890"/>
      <c r="DE288" s="1890"/>
      <c r="DF288" s="1890"/>
      <c r="DG288" s="1890"/>
      <c r="DH288" s="1890"/>
      <c r="DI288" s="1890"/>
      <c r="DJ288" s="1890"/>
      <c r="DK288" s="1890"/>
      <c r="DL288" s="1890"/>
      <c r="DM288" s="1890"/>
      <c r="DN288" s="1890"/>
      <c r="DO288" s="1890"/>
      <c r="DP288" s="1890"/>
      <c r="DQ288" s="1890"/>
      <c r="DR288" s="1890"/>
      <c r="DS288" s="1890"/>
      <c r="DT288" s="1890"/>
      <c r="DU288" s="1890"/>
      <c r="DV288" s="1890"/>
      <c r="DW288" s="1890"/>
      <c r="DX288" s="1890"/>
      <c r="DY288" s="1890"/>
      <c r="DZ288" s="1890"/>
      <c r="EA288" s="1890"/>
      <c r="EB288" s="1890"/>
      <c r="EC288" s="1890"/>
      <c r="ED288" s="1890"/>
      <c r="EE288" s="1890"/>
      <c r="EF288" s="1890"/>
      <c r="EG288" s="1890"/>
      <c r="EH288" s="1890"/>
      <c r="EI288" s="1890"/>
      <c r="EJ288" s="1890"/>
      <c r="EK288" s="1890"/>
      <c r="EL288" s="1890"/>
      <c r="EM288" s="1890"/>
      <c r="EN288" s="1890"/>
      <c r="EO288" s="1890"/>
      <c r="EP288" s="1890"/>
      <c r="EQ288" s="1890"/>
      <c r="ER288" s="1890"/>
      <c r="ES288" s="1890"/>
      <c r="ET288" s="1890"/>
      <c r="EU288" s="1890"/>
      <c r="EV288" s="1890"/>
      <c r="EW288" s="1890"/>
      <c r="EX288" s="1890"/>
      <c r="EY288" s="1890"/>
      <c r="EZ288" s="1890"/>
      <c r="FA288" s="1890"/>
      <c r="FB288" s="1890"/>
      <c r="FC288" s="1890"/>
      <c r="FD288" s="1890"/>
      <c r="FE288" s="1890"/>
      <c r="FF288" s="1890"/>
      <c r="FG288" s="1890"/>
      <c r="FH288" s="1890"/>
      <c r="FI288" s="1890"/>
      <c r="FJ288" s="1890"/>
      <c r="FK288" s="1890"/>
      <c r="FL288" s="1890"/>
      <c r="FM288" s="1890"/>
      <c r="FN288" s="1890"/>
      <c r="FO288" s="1890"/>
      <c r="FP288" s="1890"/>
      <c r="FQ288" s="1890"/>
      <c r="FR288" s="1890"/>
      <c r="FS288" s="1890"/>
      <c r="FT288" s="1890"/>
    </row>
    <row r="289" spans="1:176" s="1965" customFormat="1" ht="32.1" customHeight="1">
      <c r="A289" s="2499" t="s">
        <v>313</v>
      </c>
      <c r="B289" s="2084" t="s">
        <v>314</v>
      </c>
      <c r="C289" s="2097">
        <f t="shared" ref="C289:H289" si="72">AVERAGE(C290,C291,C295,C304,C305,C308,C309)</f>
        <v>0.55287114845938368</v>
      </c>
      <c r="D289" s="2097">
        <f t="shared" si="72"/>
        <v>0.57200280112044821</v>
      </c>
      <c r="E289" s="2097">
        <f t="shared" si="72"/>
        <v>0.22619999999999998</v>
      </c>
      <c r="F289" s="2097">
        <f t="shared" si="72"/>
        <v>0.60592605042016801</v>
      </c>
      <c r="G289" s="2097">
        <f t="shared" si="72"/>
        <v>0.32522521008403354</v>
      </c>
      <c r="H289" s="2097">
        <f t="shared" si="72"/>
        <v>0.35626750700280108</v>
      </c>
      <c r="I289" s="2086"/>
      <c r="J289" s="2119"/>
      <c r="K289" s="2119"/>
      <c r="L289" s="2095"/>
      <c r="M289" s="2098"/>
      <c r="N289" s="2098"/>
      <c r="O289" s="2098"/>
      <c r="P289" s="2120"/>
      <c r="Q289" s="2120"/>
      <c r="R289" s="2121"/>
      <c r="S289" s="2119"/>
      <c r="T289" s="2119"/>
      <c r="U289" s="2095"/>
      <c r="V289" s="2098"/>
      <c r="W289" s="2098"/>
      <c r="X289" s="2098"/>
      <c r="Y289" s="1818"/>
      <c r="Z289" s="1818"/>
      <c r="AA289" s="1818"/>
      <c r="AB289" s="1818"/>
      <c r="AC289" s="1818"/>
      <c r="AD289" s="1818"/>
      <c r="AE289" s="1818"/>
      <c r="AF289" s="1818"/>
      <c r="AG289" s="1818"/>
      <c r="AH289" s="1818"/>
      <c r="AI289" s="1818"/>
      <c r="AJ289" s="1818"/>
      <c r="AK289" s="1818"/>
      <c r="AL289" s="1818"/>
      <c r="AM289" s="1818"/>
      <c r="AN289" s="1818"/>
      <c r="AO289" s="1818"/>
      <c r="AP289" s="1818"/>
      <c r="AQ289" s="1818"/>
      <c r="AR289" s="1818"/>
      <c r="AS289" s="1818"/>
      <c r="AT289" s="1818"/>
      <c r="AU289" s="1818"/>
      <c r="AV289" s="1818"/>
      <c r="AW289" s="1818"/>
      <c r="AX289" s="1818"/>
      <c r="AY289" s="1818"/>
      <c r="AZ289" s="1818"/>
      <c r="BA289" s="1818"/>
      <c r="BB289" s="1818"/>
      <c r="BC289" s="1818"/>
      <c r="BD289" s="1818"/>
      <c r="BE289" s="1818"/>
      <c r="BF289" s="1818"/>
      <c r="BG289" s="1818"/>
      <c r="BH289" s="1818"/>
      <c r="BI289" s="1818"/>
      <c r="BJ289" s="1818"/>
      <c r="BK289" s="1818"/>
      <c r="BL289" s="1818"/>
      <c r="BM289" s="1818"/>
      <c r="BN289" s="1818"/>
      <c r="BO289" s="1818"/>
      <c r="BP289" s="1818"/>
      <c r="BQ289" s="1818"/>
      <c r="BR289" s="1818"/>
      <c r="BS289" s="1818"/>
      <c r="BT289" s="1818"/>
      <c r="BU289" s="1818"/>
      <c r="BV289" s="1818"/>
      <c r="BW289" s="1818"/>
      <c r="BX289" s="1818"/>
      <c r="BY289" s="1818"/>
      <c r="BZ289" s="1818"/>
      <c r="CA289" s="1890"/>
      <c r="CB289" s="1890"/>
      <c r="CC289" s="1890"/>
      <c r="CD289" s="1890"/>
      <c r="CE289" s="1890"/>
      <c r="CF289" s="1890"/>
      <c r="CG289" s="1890"/>
      <c r="CH289" s="1890"/>
      <c r="CI289" s="1890"/>
      <c r="CJ289" s="1890"/>
      <c r="CK289" s="1890"/>
      <c r="CL289" s="1890"/>
      <c r="CM289" s="1890"/>
      <c r="CN289" s="1890"/>
      <c r="CO289" s="1890"/>
      <c r="CP289" s="1890"/>
      <c r="CQ289" s="1890"/>
      <c r="CR289" s="1890"/>
      <c r="CS289" s="1890"/>
      <c r="CT289" s="1890"/>
      <c r="CU289" s="1890"/>
      <c r="CV289" s="1890"/>
      <c r="CW289" s="1890"/>
      <c r="CX289" s="1890"/>
      <c r="CY289" s="1890"/>
      <c r="CZ289" s="1890"/>
      <c r="DA289" s="1890"/>
      <c r="DB289" s="1890"/>
      <c r="DC289" s="1890"/>
      <c r="DD289" s="1890"/>
      <c r="DE289" s="1890"/>
      <c r="DF289" s="1890"/>
      <c r="DG289" s="1890"/>
      <c r="DH289" s="1890"/>
      <c r="DI289" s="1890"/>
      <c r="DJ289" s="1890"/>
      <c r="DK289" s="1890"/>
      <c r="DL289" s="1890"/>
      <c r="DM289" s="1890"/>
      <c r="DN289" s="1890"/>
      <c r="DO289" s="1890"/>
      <c r="DP289" s="1890"/>
      <c r="DQ289" s="1890"/>
      <c r="DR289" s="1890"/>
      <c r="DS289" s="1890"/>
      <c r="DT289" s="1890"/>
      <c r="DU289" s="1890"/>
      <c r="DV289" s="1890"/>
      <c r="DW289" s="1890"/>
      <c r="DX289" s="1890"/>
      <c r="DY289" s="1890"/>
      <c r="DZ289" s="1890"/>
      <c r="EA289" s="1890"/>
      <c r="EB289" s="1890"/>
      <c r="EC289" s="1890"/>
      <c r="ED289" s="1890"/>
      <c r="EE289" s="1890"/>
      <c r="EF289" s="1890"/>
      <c r="EG289" s="1890"/>
      <c r="EH289" s="1890"/>
      <c r="EI289" s="1890"/>
      <c r="EJ289" s="1890"/>
      <c r="EK289" s="1890"/>
      <c r="EL289" s="1890"/>
      <c r="EM289" s="1890"/>
      <c r="EN289" s="1890"/>
      <c r="EO289" s="1890"/>
      <c r="EP289" s="1890"/>
      <c r="EQ289" s="1890"/>
      <c r="ER289" s="1890"/>
      <c r="ES289" s="1890"/>
      <c r="ET289" s="1890"/>
      <c r="EU289" s="1890"/>
      <c r="EV289" s="1890"/>
      <c r="EW289" s="1890"/>
      <c r="EX289" s="1890"/>
      <c r="EY289" s="1890"/>
      <c r="EZ289" s="1890"/>
      <c r="FA289" s="1890"/>
      <c r="FB289" s="1890"/>
      <c r="FC289" s="1890"/>
      <c r="FD289" s="1890"/>
      <c r="FE289" s="1890"/>
      <c r="FF289" s="1890"/>
      <c r="FG289" s="1890"/>
      <c r="FH289" s="1890"/>
      <c r="FI289" s="1890"/>
      <c r="FJ289" s="1890"/>
      <c r="FK289" s="1890"/>
      <c r="FL289" s="1890"/>
      <c r="FM289" s="1890"/>
      <c r="FN289" s="1890"/>
      <c r="FO289" s="1890"/>
      <c r="FP289" s="1890"/>
      <c r="FQ289" s="1890"/>
      <c r="FR289" s="1890"/>
      <c r="FS289" s="1890"/>
      <c r="FT289" s="1890"/>
    </row>
    <row r="290" spans="1:176" s="1965" customFormat="1" ht="188.25" customHeight="1">
      <c r="A290" s="1899"/>
      <c r="B290" s="1820" t="s">
        <v>315</v>
      </c>
      <c r="C290" s="1837">
        <v>0.5</v>
      </c>
      <c r="D290" s="1829">
        <v>1</v>
      </c>
      <c r="E290" s="1829">
        <v>0.5</v>
      </c>
      <c r="F290" s="1837">
        <v>0.5</v>
      </c>
      <c r="G290" s="1829">
        <v>1</v>
      </c>
      <c r="H290" s="1850">
        <v>0.5</v>
      </c>
      <c r="I290" s="2286" t="s">
        <v>316</v>
      </c>
      <c r="J290" s="2218" t="s">
        <v>6225</v>
      </c>
      <c r="K290" s="1917" t="s">
        <v>811</v>
      </c>
      <c r="L290" s="1794" t="s">
        <v>2115</v>
      </c>
      <c r="M290" s="1927" t="s">
        <v>9016</v>
      </c>
      <c r="N290" s="1917" t="s">
        <v>1068</v>
      </c>
      <c r="O290" s="1917" t="s">
        <v>9187</v>
      </c>
      <c r="P290" s="1917">
        <v>1</v>
      </c>
      <c r="Q290" s="1917">
        <v>0</v>
      </c>
      <c r="R290" s="2100"/>
      <c r="S290" s="2255" t="s">
        <v>5427</v>
      </c>
      <c r="T290" s="1794" t="s">
        <v>7574</v>
      </c>
      <c r="U290" s="1794" t="s">
        <v>7275</v>
      </c>
      <c r="V290" s="1981" t="s">
        <v>6147</v>
      </c>
      <c r="W290" s="1917" t="s">
        <v>8358</v>
      </c>
      <c r="X290" s="1917" t="s">
        <v>9188</v>
      </c>
      <c r="Y290" s="1818"/>
      <c r="Z290" s="1818"/>
      <c r="AA290" s="1818"/>
      <c r="AB290" s="1818"/>
      <c r="AC290" s="1818"/>
      <c r="AD290" s="1818"/>
      <c r="AE290" s="1818"/>
      <c r="AF290" s="1818"/>
      <c r="AG290" s="1818"/>
      <c r="AH290" s="1818"/>
      <c r="AI290" s="1818"/>
      <c r="AJ290" s="1818"/>
      <c r="AK290" s="1818"/>
      <c r="AL290" s="1818"/>
      <c r="AM290" s="1818"/>
      <c r="AN290" s="1818"/>
      <c r="AO290" s="1818"/>
      <c r="AP290" s="1818"/>
      <c r="AQ290" s="1818"/>
      <c r="AR290" s="1818"/>
      <c r="AS290" s="1818"/>
      <c r="AT290" s="1818"/>
      <c r="AU290" s="1818"/>
      <c r="AV290" s="1818"/>
      <c r="AW290" s="1818"/>
      <c r="AX290" s="1818"/>
      <c r="AY290" s="1818"/>
      <c r="AZ290" s="1818"/>
      <c r="BA290" s="1818"/>
      <c r="BB290" s="1818"/>
      <c r="BC290" s="1818"/>
      <c r="BD290" s="1818"/>
      <c r="BE290" s="1818"/>
      <c r="BF290" s="1818"/>
      <c r="BG290" s="1818"/>
      <c r="BH290" s="1818"/>
      <c r="BI290" s="1818"/>
      <c r="BJ290" s="1818"/>
      <c r="BK290" s="1818"/>
      <c r="BL290" s="1818"/>
      <c r="BM290" s="1818"/>
      <c r="BN290" s="1818"/>
      <c r="BO290" s="1818"/>
      <c r="BP290" s="1818"/>
      <c r="BQ290" s="1818"/>
      <c r="BR290" s="1818"/>
      <c r="BS290" s="1818"/>
      <c r="BT290" s="1818"/>
      <c r="BU290" s="1818"/>
      <c r="BV290" s="1818"/>
      <c r="BW290" s="1818"/>
      <c r="BX290" s="1818"/>
      <c r="BY290" s="1818"/>
      <c r="BZ290" s="1818"/>
      <c r="CA290" s="1890"/>
      <c r="CB290" s="1890"/>
      <c r="CC290" s="1890"/>
      <c r="CD290" s="1890"/>
      <c r="CE290" s="1890"/>
      <c r="CF290" s="1890"/>
      <c r="CG290" s="1890"/>
      <c r="CH290" s="1890"/>
      <c r="CI290" s="1890"/>
      <c r="CJ290" s="1890"/>
      <c r="CK290" s="1890"/>
      <c r="CL290" s="1890"/>
      <c r="CM290" s="1890"/>
      <c r="CN290" s="1890"/>
      <c r="CO290" s="1890"/>
      <c r="CP290" s="1890"/>
      <c r="CQ290" s="1890"/>
      <c r="CR290" s="1890"/>
      <c r="CS290" s="1890"/>
      <c r="CT290" s="1890"/>
      <c r="CU290" s="1890"/>
      <c r="CV290" s="1890"/>
      <c r="CW290" s="1890"/>
      <c r="CX290" s="1890"/>
      <c r="CY290" s="1890"/>
      <c r="CZ290" s="1890"/>
      <c r="DA290" s="1890"/>
      <c r="DB290" s="1890"/>
      <c r="DC290" s="1890"/>
      <c r="DD290" s="1890"/>
      <c r="DE290" s="1890"/>
      <c r="DF290" s="1890"/>
      <c r="DG290" s="1890"/>
      <c r="DH290" s="1890"/>
      <c r="DI290" s="1890"/>
      <c r="DJ290" s="1890"/>
      <c r="DK290" s="1890"/>
      <c r="DL290" s="1890"/>
      <c r="DM290" s="1890"/>
      <c r="DN290" s="1890"/>
      <c r="DO290" s="1890"/>
      <c r="DP290" s="1890"/>
      <c r="DQ290" s="1890"/>
      <c r="DR290" s="1890"/>
      <c r="DS290" s="1890"/>
      <c r="DT290" s="1890"/>
      <c r="DU290" s="1890"/>
      <c r="DV290" s="1890"/>
      <c r="DW290" s="1890"/>
      <c r="DX290" s="1890"/>
      <c r="DY290" s="1890"/>
      <c r="DZ290" s="1890"/>
      <c r="EA290" s="1890"/>
      <c r="EB290" s="1890"/>
      <c r="EC290" s="1890"/>
      <c r="ED290" s="1890"/>
      <c r="EE290" s="1890"/>
      <c r="EF290" s="1890"/>
      <c r="EG290" s="1890"/>
      <c r="EH290" s="1890"/>
      <c r="EI290" s="1890"/>
      <c r="EJ290" s="1890"/>
      <c r="EK290" s="1890"/>
      <c r="EL290" s="1890"/>
      <c r="EM290" s="1890"/>
      <c r="EN290" s="1890"/>
      <c r="EO290" s="1890"/>
      <c r="EP290" s="1890"/>
      <c r="EQ290" s="1890"/>
      <c r="ER290" s="1890"/>
      <c r="ES290" s="1890"/>
      <c r="ET290" s="1890"/>
      <c r="EU290" s="1890"/>
      <c r="EV290" s="1890"/>
      <c r="EW290" s="1890"/>
      <c r="EX290" s="1890"/>
      <c r="EY290" s="1890"/>
      <c r="EZ290" s="1890"/>
      <c r="FA290" s="1890"/>
      <c r="FB290" s="1890"/>
      <c r="FC290" s="1890"/>
      <c r="FD290" s="1890"/>
      <c r="FE290" s="1890"/>
      <c r="FF290" s="1890"/>
      <c r="FG290" s="1890"/>
      <c r="FH290" s="1890"/>
      <c r="FI290" s="1890"/>
      <c r="FJ290" s="1890"/>
      <c r="FK290" s="1890"/>
      <c r="FL290" s="1890"/>
      <c r="FM290" s="1890"/>
      <c r="FN290" s="1890"/>
      <c r="FO290" s="1890"/>
      <c r="FP290" s="1890"/>
      <c r="FQ290" s="1890"/>
      <c r="FR290" s="1890"/>
      <c r="FS290" s="1890"/>
      <c r="FT290" s="1890"/>
    </row>
    <row r="291" spans="1:176" s="1965" customFormat="1" ht="32.1" customHeight="1">
      <c r="A291" s="2500"/>
      <c r="B291" s="2059" t="s">
        <v>317</v>
      </c>
      <c r="C291" s="2060">
        <f t="shared" ref="C291:G291" si="73">AVERAGE(C292:C294)</f>
        <v>0.33333333333333331</v>
      </c>
      <c r="D291" s="2060">
        <f t="shared" si="73"/>
        <v>0.66666666666666663</v>
      </c>
      <c r="E291" s="2060">
        <f t="shared" si="73"/>
        <v>0</v>
      </c>
      <c r="F291" s="2060">
        <f t="shared" si="73"/>
        <v>0.5</v>
      </c>
      <c r="G291" s="2060">
        <f t="shared" si="73"/>
        <v>0</v>
      </c>
      <c r="H291" s="2060">
        <f>AVERAGE(H292:H294)</f>
        <v>0.66666666666666663</v>
      </c>
      <c r="I291" s="2086"/>
      <c r="J291" s="1910"/>
      <c r="K291" s="1912"/>
      <c r="L291" s="1911"/>
      <c r="M291" s="1912"/>
      <c r="N291" s="1912"/>
      <c r="O291" s="1912"/>
      <c r="P291" s="1982"/>
      <c r="Q291" s="1982"/>
      <c r="R291" s="2295"/>
      <c r="S291" s="2250"/>
      <c r="T291" s="1911"/>
      <c r="U291" s="1911"/>
      <c r="V291" s="1967"/>
      <c r="W291" s="1912"/>
      <c r="X291" s="1912"/>
      <c r="Y291" s="1818"/>
      <c r="Z291" s="1818"/>
      <c r="AA291" s="1818"/>
      <c r="AB291" s="1818"/>
      <c r="AC291" s="1818"/>
      <c r="AD291" s="1818"/>
      <c r="AE291" s="1818"/>
      <c r="AF291" s="1818"/>
      <c r="AG291" s="1818"/>
      <c r="AH291" s="1818"/>
      <c r="AI291" s="1818"/>
      <c r="AJ291" s="1818"/>
      <c r="AK291" s="1818"/>
      <c r="AL291" s="1818"/>
      <c r="AM291" s="1818"/>
      <c r="AN291" s="1818"/>
      <c r="AO291" s="1818"/>
      <c r="AP291" s="1818"/>
      <c r="AQ291" s="1818"/>
      <c r="AR291" s="1818"/>
      <c r="AS291" s="1818"/>
      <c r="AT291" s="1818"/>
      <c r="AU291" s="1818"/>
      <c r="AV291" s="1818"/>
      <c r="AW291" s="1818"/>
      <c r="AX291" s="1818"/>
      <c r="AY291" s="1818"/>
      <c r="AZ291" s="1818"/>
      <c r="BA291" s="1818"/>
      <c r="BB291" s="1818"/>
      <c r="BC291" s="1818"/>
      <c r="BD291" s="1818"/>
      <c r="BE291" s="1818"/>
      <c r="BF291" s="1818"/>
      <c r="BG291" s="1818"/>
      <c r="BH291" s="1818"/>
      <c r="BI291" s="1818"/>
      <c r="BJ291" s="1818"/>
      <c r="BK291" s="1818"/>
      <c r="BL291" s="1818"/>
      <c r="BM291" s="1818"/>
      <c r="BN291" s="1818"/>
      <c r="BO291" s="1818"/>
      <c r="BP291" s="1818"/>
      <c r="BQ291" s="1818"/>
      <c r="BR291" s="1818"/>
      <c r="BS291" s="1818"/>
      <c r="BT291" s="1818"/>
      <c r="BU291" s="1818"/>
      <c r="BV291" s="1818"/>
      <c r="BW291" s="1818"/>
      <c r="BX291" s="1818"/>
      <c r="BY291" s="1818"/>
      <c r="BZ291" s="1818"/>
      <c r="CA291" s="1890"/>
      <c r="CB291" s="1890"/>
      <c r="CC291" s="1890"/>
      <c r="CD291" s="1890"/>
      <c r="CE291" s="1890"/>
      <c r="CF291" s="1890"/>
      <c r="CG291" s="1890"/>
      <c r="CH291" s="1890"/>
      <c r="CI291" s="1890"/>
      <c r="CJ291" s="1890"/>
      <c r="CK291" s="1890"/>
      <c r="CL291" s="1890"/>
      <c r="CM291" s="1890"/>
      <c r="CN291" s="1890"/>
      <c r="CO291" s="1890"/>
      <c r="CP291" s="1890"/>
      <c r="CQ291" s="1890"/>
      <c r="CR291" s="1890"/>
      <c r="CS291" s="1890"/>
      <c r="CT291" s="1890"/>
      <c r="CU291" s="1890"/>
      <c r="CV291" s="1890"/>
      <c r="CW291" s="1890"/>
      <c r="CX291" s="1890"/>
      <c r="CY291" s="1890"/>
      <c r="CZ291" s="1890"/>
      <c r="DA291" s="1890"/>
      <c r="DB291" s="1890"/>
      <c r="DC291" s="1890"/>
      <c r="DD291" s="1890"/>
      <c r="DE291" s="1890"/>
      <c r="DF291" s="1890"/>
      <c r="DG291" s="1890"/>
      <c r="DH291" s="1890"/>
      <c r="DI291" s="1890"/>
      <c r="DJ291" s="1890"/>
      <c r="DK291" s="1890"/>
      <c r="DL291" s="1890"/>
      <c r="DM291" s="1890"/>
      <c r="DN291" s="1890"/>
      <c r="DO291" s="1890"/>
      <c r="DP291" s="1890"/>
      <c r="DQ291" s="1890"/>
      <c r="DR291" s="1890"/>
      <c r="DS291" s="1890"/>
      <c r="DT291" s="1890"/>
      <c r="DU291" s="1890"/>
      <c r="DV291" s="1890"/>
      <c r="DW291" s="1890"/>
      <c r="DX291" s="1890"/>
      <c r="DY291" s="1890"/>
      <c r="DZ291" s="1890"/>
      <c r="EA291" s="1890"/>
      <c r="EB291" s="1890"/>
      <c r="EC291" s="1890"/>
      <c r="ED291" s="1890"/>
      <c r="EE291" s="1890"/>
      <c r="EF291" s="1890"/>
      <c r="EG291" s="1890"/>
      <c r="EH291" s="1890"/>
      <c r="EI291" s="1890"/>
      <c r="EJ291" s="1890"/>
      <c r="EK291" s="1890"/>
      <c r="EL291" s="1890"/>
      <c r="EM291" s="1890"/>
      <c r="EN291" s="1890"/>
      <c r="EO291" s="1890"/>
      <c r="EP291" s="1890"/>
      <c r="EQ291" s="1890"/>
      <c r="ER291" s="1890"/>
      <c r="ES291" s="1890"/>
      <c r="ET291" s="1890"/>
      <c r="EU291" s="1890"/>
      <c r="EV291" s="1890"/>
      <c r="EW291" s="1890"/>
      <c r="EX291" s="1890"/>
      <c r="EY291" s="1890"/>
      <c r="EZ291" s="1890"/>
      <c r="FA291" s="1890"/>
      <c r="FB291" s="1890"/>
      <c r="FC291" s="1890"/>
      <c r="FD291" s="1890"/>
      <c r="FE291" s="1890"/>
      <c r="FF291" s="1890"/>
      <c r="FG291" s="1890"/>
      <c r="FH291" s="1890"/>
      <c r="FI291" s="1890"/>
      <c r="FJ291" s="1890"/>
      <c r="FK291" s="1890"/>
      <c r="FL291" s="1890"/>
      <c r="FM291" s="1890"/>
      <c r="FN291" s="1890"/>
      <c r="FO291" s="1890"/>
      <c r="FP291" s="1890"/>
      <c r="FQ291" s="1890"/>
      <c r="FR291" s="1890"/>
      <c r="FS291" s="1890"/>
      <c r="FT291" s="1890"/>
    </row>
    <row r="292" spans="1:176" s="1965" customFormat="1" ht="32.1" customHeight="1">
      <c r="A292" s="2501"/>
      <c r="B292" s="1804" t="s">
        <v>318</v>
      </c>
      <c r="C292" s="1837">
        <v>0</v>
      </c>
      <c r="D292" s="1829">
        <v>1</v>
      </c>
      <c r="E292" s="1829">
        <v>0</v>
      </c>
      <c r="F292" s="1846">
        <v>0</v>
      </c>
      <c r="G292" s="1829">
        <v>0</v>
      </c>
      <c r="H292" s="1850">
        <v>0</v>
      </c>
      <c r="I292" s="2086" t="s">
        <v>38</v>
      </c>
      <c r="J292" s="2217">
        <v>0</v>
      </c>
      <c r="K292" s="1917" t="s">
        <v>948</v>
      </c>
      <c r="L292" s="1794">
        <v>0</v>
      </c>
      <c r="M292" s="1917">
        <v>0</v>
      </c>
      <c r="N292" s="1941" t="s">
        <v>748</v>
      </c>
      <c r="O292" s="1941" t="s">
        <v>748</v>
      </c>
      <c r="P292" s="1975">
        <v>1</v>
      </c>
      <c r="Q292" s="1975">
        <v>0</v>
      </c>
      <c r="R292" s="2121"/>
      <c r="S292" s="2324" t="s">
        <v>748</v>
      </c>
      <c r="T292" s="1794" t="s">
        <v>7575</v>
      </c>
      <c r="U292" s="1794" t="s">
        <v>5934</v>
      </c>
      <c r="V292" s="1939" t="s">
        <v>763</v>
      </c>
      <c r="W292" s="1941" t="s">
        <v>8359</v>
      </c>
      <c r="X292" s="1941" t="s">
        <v>748</v>
      </c>
      <c r="Y292" s="1818"/>
      <c r="Z292" s="1818"/>
      <c r="AA292" s="1818"/>
      <c r="AB292" s="1818"/>
      <c r="AC292" s="1818"/>
      <c r="AD292" s="1818"/>
      <c r="AE292" s="1818"/>
      <c r="AF292" s="1818"/>
      <c r="AG292" s="1818"/>
      <c r="AH292" s="1818"/>
      <c r="AI292" s="1818"/>
      <c r="AJ292" s="1818"/>
      <c r="AK292" s="1818"/>
      <c r="AL292" s="1818"/>
      <c r="AM292" s="1818"/>
      <c r="AN292" s="1818"/>
      <c r="AO292" s="1818"/>
      <c r="AP292" s="1818"/>
      <c r="AQ292" s="1818"/>
      <c r="AR292" s="1818"/>
      <c r="AS292" s="1818"/>
      <c r="AT292" s="1818"/>
      <c r="AU292" s="1818"/>
      <c r="AV292" s="1818"/>
      <c r="AW292" s="1818"/>
      <c r="AX292" s="1818"/>
      <c r="AY292" s="1818"/>
      <c r="AZ292" s="1818"/>
      <c r="BA292" s="1818"/>
      <c r="BB292" s="1818"/>
      <c r="BC292" s="1818"/>
      <c r="BD292" s="1818"/>
      <c r="BE292" s="1818"/>
      <c r="BF292" s="1818"/>
      <c r="BG292" s="1818"/>
      <c r="BH292" s="1818"/>
      <c r="BI292" s="1818"/>
      <c r="BJ292" s="1818"/>
      <c r="BK292" s="1818"/>
      <c r="BL292" s="1818"/>
      <c r="BM292" s="1818"/>
      <c r="BN292" s="1818"/>
      <c r="BO292" s="1818"/>
      <c r="BP292" s="1818"/>
      <c r="BQ292" s="1818"/>
      <c r="BR292" s="1818"/>
      <c r="BS292" s="1818"/>
      <c r="BT292" s="1818"/>
      <c r="BU292" s="1818"/>
      <c r="BV292" s="1818"/>
      <c r="BW292" s="1818"/>
      <c r="BX292" s="1818"/>
      <c r="BY292" s="1818"/>
      <c r="BZ292" s="1818"/>
      <c r="CA292" s="1890"/>
      <c r="CB292" s="1890"/>
      <c r="CC292" s="1890"/>
      <c r="CD292" s="1890"/>
      <c r="CE292" s="1890"/>
      <c r="CF292" s="1890"/>
      <c r="CG292" s="1890"/>
      <c r="CH292" s="1890"/>
      <c r="CI292" s="1890"/>
      <c r="CJ292" s="1890"/>
      <c r="CK292" s="1890"/>
      <c r="CL292" s="1890"/>
      <c r="CM292" s="1890"/>
      <c r="CN292" s="1890"/>
      <c r="CO292" s="1890"/>
      <c r="CP292" s="1890"/>
      <c r="CQ292" s="1890"/>
      <c r="CR292" s="1890"/>
      <c r="CS292" s="1890"/>
      <c r="CT292" s="1890"/>
      <c r="CU292" s="1890"/>
      <c r="CV292" s="1890"/>
      <c r="CW292" s="1890"/>
      <c r="CX292" s="1890"/>
      <c r="CY292" s="1890"/>
      <c r="CZ292" s="1890"/>
      <c r="DA292" s="1890"/>
      <c r="DB292" s="1890"/>
      <c r="DC292" s="1890"/>
      <c r="DD292" s="1890"/>
      <c r="DE292" s="1890"/>
      <c r="DF292" s="1890"/>
      <c r="DG292" s="1890"/>
      <c r="DH292" s="1890"/>
      <c r="DI292" s="1890"/>
      <c r="DJ292" s="1890"/>
      <c r="DK292" s="1890"/>
      <c r="DL292" s="1890"/>
      <c r="DM292" s="1890"/>
      <c r="DN292" s="1890"/>
      <c r="DO292" s="1890"/>
      <c r="DP292" s="1890"/>
      <c r="DQ292" s="1890"/>
      <c r="DR292" s="1890"/>
      <c r="DS292" s="1890"/>
      <c r="DT292" s="1890"/>
      <c r="DU292" s="1890"/>
      <c r="DV292" s="1890"/>
      <c r="DW292" s="1890"/>
      <c r="DX292" s="1890"/>
      <c r="DY292" s="1890"/>
      <c r="DZ292" s="1890"/>
      <c r="EA292" s="1890"/>
      <c r="EB292" s="1890"/>
      <c r="EC292" s="1890"/>
      <c r="ED292" s="1890"/>
      <c r="EE292" s="1890"/>
      <c r="EF292" s="1890"/>
      <c r="EG292" s="1890"/>
      <c r="EH292" s="1890"/>
      <c r="EI292" s="1890"/>
      <c r="EJ292" s="1890"/>
      <c r="EK292" s="1890"/>
      <c r="EL292" s="1890"/>
      <c r="EM292" s="1890"/>
      <c r="EN292" s="1890"/>
      <c r="EO292" s="1890"/>
      <c r="EP292" s="1890"/>
      <c r="EQ292" s="1890"/>
      <c r="ER292" s="1890"/>
      <c r="ES292" s="1890"/>
      <c r="ET292" s="1890"/>
      <c r="EU292" s="1890"/>
      <c r="EV292" s="1890"/>
      <c r="EW292" s="1890"/>
      <c r="EX292" s="1890"/>
      <c r="EY292" s="1890"/>
      <c r="EZ292" s="1890"/>
      <c r="FA292" s="1890"/>
      <c r="FB292" s="1890"/>
      <c r="FC292" s="1890"/>
      <c r="FD292" s="1890"/>
      <c r="FE292" s="1890"/>
      <c r="FF292" s="1890"/>
      <c r="FG292" s="1890"/>
      <c r="FH292" s="1890"/>
      <c r="FI292" s="1890"/>
      <c r="FJ292" s="1890"/>
      <c r="FK292" s="1890"/>
      <c r="FL292" s="1890"/>
      <c r="FM292" s="1890"/>
      <c r="FN292" s="1890"/>
      <c r="FO292" s="1890"/>
      <c r="FP292" s="1890"/>
      <c r="FQ292" s="1890"/>
      <c r="FR292" s="1890"/>
      <c r="FS292" s="1890"/>
      <c r="FT292" s="1890"/>
    </row>
    <row r="293" spans="1:176" s="1965" customFormat="1" ht="32.1" customHeight="1">
      <c r="A293" s="2501"/>
      <c r="B293" s="1804" t="s">
        <v>7122</v>
      </c>
      <c r="C293" s="1837">
        <v>1</v>
      </c>
      <c r="D293" s="1829">
        <v>1</v>
      </c>
      <c r="E293" s="1846">
        <v>0</v>
      </c>
      <c r="F293" s="1837">
        <v>1</v>
      </c>
      <c r="G293" s="1829">
        <v>0</v>
      </c>
      <c r="H293" s="1850">
        <v>1</v>
      </c>
      <c r="I293" s="2086" t="s">
        <v>38</v>
      </c>
      <c r="J293" s="2217">
        <v>1</v>
      </c>
      <c r="K293" s="1917" t="s">
        <v>5427</v>
      </c>
      <c r="L293" s="1794">
        <v>0</v>
      </c>
      <c r="M293" s="1927">
        <v>1</v>
      </c>
      <c r="N293" s="1941" t="s">
        <v>748</v>
      </c>
      <c r="O293" s="1941" t="s">
        <v>960</v>
      </c>
      <c r="P293" s="1975">
        <v>1</v>
      </c>
      <c r="Q293" s="1975">
        <v>0</v>
      </c>
      <c r="R293" s="2121"/>
      <c r="S293" s="2324" t="s">
        <v>811</v>
      </c>
      <c r="T293" s="1794" t="s">
        <v>7576</v>
      </c>
      <c r="U293" s="1794" t="s">
        <v>763</v>
      </c>
      <c r="V293" s="1981" t="s">
        <v>9018</v>
      </c>
      <c r="W293" s="1941" t="s">
        <v>8359</v>
      </c>
      <c r="X293" s="1941" t="s">
        <v>960</v>
      </c>
      <c r="Y293" s="1818"/>
      <c r="Z293" s="1818"/>
      <c r="AA293" s="1818"/>
      <c r="AB293" s="1818"/>
      <c r="AC293" s="1818"/>
      <c r="AD293" s="1818"/>
      <c r="AE293" s="1818"/>
      <c r="AF293" s="1818"/>
      <c r="AG293" s="1818"/>
      <c r="AH293" s="1818"/>
      <c r="AI293" s="1818"/>
      <c r="AJ293" s="1818"/>
      <c r="AK293" s="1818"/>
      <c r="AL293" s="1818"/>
      <c r="AM293" s="1818"/>
      <c r="AN293" s="1818"/>
      <c r="AO293" s="1818"/>
      <c r="AP293" s="1818"/>
      <c r="AQ293" s="1818"/>
      <c r="AR293" s="1818"/>
      <c r="AS293" s="1818"/>
      <c r="AT293" s="1818"/>
      <c r="AU293" s="1818"/>
      <c r="AV293" s="1818"/>
      <c r="AW293" s="1818"/>
      <c r="AX293" s="1818"/>
      <c r="AY293" s="1818"/>
      <c r="AZ293" s="1818"/>
      <c r="BA293" s="1818"/>
      <c r="BB293" s="1818"/>
      <c r="BC293" s="1818"/>
      <c r="BD293" s="1818"/>
      <c r="BE293" s="1818"/>
      <c r="BF293" s="1818"/>
      <c r="BG293" s="1818"/>
      <c r="BH293" s="1818"/>
      <c r="BI293" s="1818"/>
      <c r="BJ293" s="1818"/>
      <c r="BK293" s="1818"/>
      <c r="BL293" s="1818"/>
      <c r="BM293" s="1818"/>
      <c r="BN293" s="1818"/>
      <c r="BO293" s="1818"/>
      <c r="BP293" s="1818"/>
      <c r="BQ293" s="1818"/>
      <c r="BR293" s="1818"/>
      <c r="BS293" s="1818"/>
      <c r="BT293" s="1818"/>
      <c r="BU293" s="1818"/>
      <c r="BV293" s="1818"/>
      <c r="BW293" s="1818"/>
      <c r="BX293" s="1818"/>
      <c r="BY293" s="1818"/>
      <c r="BZ293" s="1818"/>
      <c r="CA293" s="1890"/>
      <c r="CB293" s="1890"/>
      <c r="CC293" s="1890"/>
      <c r="CD293" s="1890"/>
      <c r="CE293" s="1890"/>
      <c r="CF293" s="1890"/>
      <c r="CG293" s="1890"/>
      <c r="CH293" s="1890"/>
      <c r="CI293" s="1890"/>
      <c r="CJ293" s="1890"/>
      <c r="CK293" s="1890"/>
      <c r="CL293" s="1890"/>
      <c r="CM293" s="1890"/>
      <c r="CN293" s="1890"/>
      <c r="CO293" s="1890"/>
      <c r="CP293" s="1890"/>
      <c r="CQ293" s="1890"/>
      <c r="CR293" s="1890"/>
      <c r="CS293" s="1890"/>
      <c r="CT293" s="1890"/>
      <c r="CU293" s="1890"/>
      <c r="CV293" s="1890"/>
      <c r="CW293" s="1890"/>
      <c r="CX293" s="1890"/>
      <c r="CY293" s="1890"/>
      <c r="CZ293" s="1890"/>
      <c r="DA293" s="1890"/>
      <c r="DB293" s="1890"/>
      <c r="DC293" s="1890"/>
      <c r="DD293" s="1890"/>
      <c r="DE293" s="1890"/>
      <c r="DF293" s="1890"/>
      <c r="DG293" s="1890"/>
      <c r="DH293" s="1890"/>
      <c r="DI293" s="1890"/>
      <c r="DJ293" s="1890"/>
      <c r="DK293" s="1890"/>
      <c r="DL293" s="1890"/>
      <c r="DM293" s="1890"/>
      <c r="DN293" s="1890"/>
      <c r="DO293" s="1890"/>
      <c r="DP293" s="1890"/>
      <c r="DQ293" s="1890"/>
      <c r="DR293" s="1890"/>
      <c r="DS293" s="1890"/>
      <c r="DT293" s="1890"/>
      <c r="DU293" s="1890"/>
      <c r="DV293" s="1890"/>
      <c r="DW293" s="1890"/>
      <c r="DX293" s="1890"/>
      <c r="DY293" s="1890"/>
      <c r="DZ293" s="1890"/>
      <c r="EA293" s="1890"/>
      <c r="EB293" s="1890"/>
      <c r="EC293" s="1890"/>
      <c r="ED293" s="1890"/>
      <c r="EE293" s="1890"/>
      <c r="EF293" s="1890"/>
      <c r="EG293" s="1890"/>
      <c r="EH293" s="1890"/>
      <c r="EI293" s="1890"/>
      <c r="EJ293" s="1890"/>
      <c r="EK293" s="1890"/>
      <c r="EL293" s="1890"/>
      <c r="EM293" s="1890"/>
      <c r="EN293" s="1890"/>
      <c r="EO293" s="1890"/>
      <c r="EP293" s="1890"/>
      <c r="EQ293" s="1890"/>
      <c r="ER293" s="1890"/>
      <c r="ES293" s="1890"/>
      <c r="ET293" s="1890"/>
      <c r="EU293" s="1890"/>
      <c r="EV293" s="1890"/>
      <c r="EW293" s="1890"/>
      <c r="EX293" s="1890"/>
      <c r="EY293" s="1890"/>
      <c r="EZ293" s="1890"/>
      <c r="FA293" s="1890"/>
      <c r="FB293" s="1890"/>
      <c r="FC293" s="1890"/>
      <c r="FD293" s="1890"/>
      <c r="FE293" s="1890"/>
      <c r="FF293" s="1890"/>
      <c r="FG293" s="1890"/>
      <c r="FH293" s="1890"/>
      <c r="FI293" s="1890"/>
      <c r="FJ293" s="1890"/>
      <c r="FK293" s="1890"/>
      <c r="FL293" s="1890"/>
      <c r="FM293" s="1890"/>
      <c r="FN293" s="1890"/>
      <c r="FO293" s="1890"/>
      <c r="FP293" s="1890"/>
      <c r="FQ293" s="1890"/>
      <c r="FR293" s="1890"/>
      <c r="FS293" s="1890"/>
      <c r="FT293" s="1890"/>
    </row>
    <row r="294" spans="1:176" s="1965" customFormat="1" ht="32.1" customHeight="1">
      <c r="A294" s="2501"/>
      <c r="B294" s="1804" t="s">
        <v>7123</v>
      </c>
      <c r="C294" s="1837">
        <v>0</v>
      </c>
      <c r="D294" s="1829">
        <v>0</v>
      </c>
      <c r="E294" s="1846">
        <v>0</v>
      </c>
      <c r="F294" s="1829">
        <v>0.5</v>
      </c>
      <c r="G294" s="1829">
        <v>0</v>
      </c>
      <c r="H294" s="1850">
        <v>1</v>
      </c>
      <c r="I294" s="2086" t="s">
        <v>38</v>
      </c>
      <c r="J294" s="2217">
        <v>0</v>
      </c>
      <c r="K294" s="1917" t="s">
        <v>5427</v>
      </c>
      <c r="L294" s="1794">
        <v>0</v>
      </c>
      <c r="M294" s="1794">
        <v>0.5</v>
      </c>
      <c r="N294" s="1941" t="s">
        <v>748</v>
      </c>
      <c r="O294" s="1941" t="s">
        <v>960</v>
      </c>
      <c r="P294" s="1975">
        <v>1</v>
      </c>
      <c r="Q294" s="1975">
        <v>0</v>
      </c>
      <c r="R294" s="2121"/>
      <c r="S294" s="2324" t="s">
        <v>748</v>
      </c>
      <c r="T294" s="1794" t="s">
        <v>7577</v>
      </c>
      <c r="U294" s="1794" t="s">
        <v>763</v>
      </c>
      <c r="V294" s="1939" t="s">
        <v>9017</v>
      </c>
      <c r="W294" s="1941" t="s">
        <v>8359</v>
      </c>
      <c r="X294" s="1941" t="s">
        <v>960</v>
      </c>
      <c r="Y294" s="1818"/>
      <c r="Z294" s="1818"/>
      <c r="AA294" s="1818"/>
      <c r="AB294" s="1818"/>
      <c r="AC294" s="1818"/>
      <c r="AD294" s="1818"/>
      <c r="AE294" s="1818"/>
      <c r="AF294" s="1818"/>
      <c r="AG294" s="1818"/>
      <c r="AH294" s="1818"/>
      <c r="AI294" s="1818"/>
      <c r="AJ294" s="1818"/>
      <c r="AK294" s="1818"/>
      <c r="AL294" s="1818"/>
      <c r="AM294" s="1818"/>
      <c r="AN294" s="1818"/>
      <c r="AO294" s="1818"/>
      <c r="AP294" s="1818"/>
      <c r="AQ294" s="1818"/>
      <c r="AR294" s="1818"/>
      <c r="AS294" s="1818"/>
      <c r="AT294" s="1818"/>
      <c r="AU294" s="1818"/>
      <c r="AV294" s="1818"/>
      <c r="AW294" s="1818"/>
      <c r="AX294" s="1818"/>
      <c r="AY294" s="1818"/>
      <c r="AZ294" s="1818"/>
      <c r="BA294" s="1818"/>
      <c r="BB294" s="1818"/>
      <c r="BC294" s="1818"/>
      <c r="BD294" s="1818"/>
      <c r="BE294" s="1818"/>
      <c r="BF294" s="1818"/>
      <c r="BG294" s="1818"/>
      <c r="BH294" s="1818"/>
      <c r="BI294" s="1818"/>
      <c r="BJ294" s="1818"/>
      <c r="BK294" s="1818"/>
      <c r="BL294" s="1818"/>
      <c r="BM294" s="1818"/>
      <c r="BN294" s="1818"/>
      <c r="BO294" s="1818"/>
      <c r="BP294" s="1818"/>
      <c r="BQ294" s="1818"/>
      <c r="BR294" s="1818"/>
      <c r="BS294" s="1818"/>
      <c r="BT294" s="1818"/>
      <c r="BU294" s="1818"/>
      <c r="BV294" s="1818"/>
      <c r="BW294" s="1818"/>
      <c r="BX294" s="1818"/>
      <c r="BY294" s="1818"/>
      <c r="BZ294" s="1818"/>
      <c r="CA294" s="1890"/>
      <c r="CB294" s="1890"/>
      <c r="CC294" s="1890"/>
      <c r="CD294" s="1890"/>
      <c r="CE294" s="1890"/>
      <c r="CF294" s="1890"/>
      <c r="CG294" s="1890"/>
      <c r="CH294" s="1890"/>
      <c r="CI294" s="1890"/>
      <c r="CJ294" s="1890"/>
      <c r="CK294" s="1890"/>
      <c r="CL294" s="1890"/>
      <c r="CM294" s="1890"/>
      <c r="CN294" s="1890"/>
      <c r="CO294" s="1890"/>
      <c r="CP294" s="1890"/>
      <c r="CQ294" s="1890"/>
      <c r="CR294" s="1890"/>
      <c r="CS294" s="1890"/>
      <c r="CT294" s="1890"/>
      <c r="CU294" s="1890"/>
      <c r="CV294" s="1890"/>
      <c r="CW294" s="1890"/>
      <c r="CX294" s="1890"/>
      <c r="CY294" s="1890"/>
      <c r="CZ294" s="1890"/>
      <c r="DA294" s="1890"/>
      <c r="DB294" s="1890"/>
      <c r="DC294" s="1890"/>
      <c r="DD294" s="1890"/>
      <c r="DE294" s="1890"/>
      <c r="DF294" s="1890"/>
      <c r="DG294" s="1890"/>
      <c r="DH294" s="1890"/>
      <c r="DI294" s="1890"/>
      <c r="DJ294" s="1890"/>
      <c r="DK294" s="1890"/>
      <c r="DL294" s="1890"/>
      <c r="DM294" s="1890"/>
      <c r="DN294" s="1890"/>
      <c r="DO294" s="1890"/>
      <c r="DP294" s="1890"/>
      <c r="DQ294" s="1890"/>
      <c r="DR294" s="1890"/>
      <c r="DS294" s="1890"/>
      <c r="DT294" s="1890"/>
      <c r="DU294" s="1890"/>
      <c r="DV294" s="1890"/>
      <c r="DW294" s="1890"/>
      <c r="DX294" s="1890"/>
      <c r="DY294" s="1890"/>
      <c r="DZ294" s="1890"/>
      <c r="EA294" s="1890"/>
      <c r="EB294" s="1890"/>
      <c r="EC294" s="1890"/>
      <c r="ED294" s="1890"/>
      <c r="EE294" s="1890"/>
      <c r="EF294" s="1890"/>
      <c r="EG294" s="1890"/>
      <c r="EH294" s="1890"/>
      <c r="EI294" s="1890"/>
      <c r="EJ294" s="1890"/>
      <c r="EK294" s="1890"/>
      <c r="EL294" s="1890"/>
      <c r="EM294" s="1890"/>
      <c r="EN294" s="1890"/>
      <c r="EO294" s="1890"/>
      <c r="EP294" s="1890"/>
      <c r="EQ294" s="1890"/>
      <c r="ER294" s="1890"/>
      <c r="ES294" s="1890"/>
      <c r="ET294" s="1890"/>
      <c r="EU294" s="1890"/>
      <c r="EV294" s="1890"/>
      <c r="EW294" s="1890"/>
      <c r="EX294" s="1890"/>
      <c r="EY294" s="1890"/>
      <c r="EZ294" s="1890"/>
      <c r="FA294" s="1890"/>
      <c r="FB294" s="1890"/>
      <c r="FC294" s="1890"/>
      <c r="FD294" s="1890"/>
      <c r="FE294" s="1890"/>
      <c r="FF294" s="1890"/>
      <c r="FG294" s="1890"/>
      <c r="FH294" s="1890"/>
      <c r="FI294" s="1890"/>
      <c r="FJ294" s="1890"/>
      <c r="FK294" s="1890"/>
      <c r="FL294" s="1890"/>
      <c r="FM294" s="1890"/>
      <c r="FN294" s="1890"/>
      <c r="FO294" s="1890"/>
      <c r="FP294" s="1890"/>
      <c r="FQ294" s="1890"/>
      <c r="FR294" s="1890"/>
      <c r="FS294" s="1890"/>
      <c r="FT294" s="1890"/>
    </row>
    <row r="295" spans="1:176" ht="32.1" customHeight="1">
      <c r="A295" s="2500"/>
      <c r="B295" s="2059" t="s">
        <v>322</v>
      </c>
      <c r="C295" s="2060">
        <f>AVERAGE(C296:C303)</f>
        <v>0.625</v>
      </c>
      <c r="D295" s="2060">
        <f t="shared" ref="D295:H295" si="74">AVERAGE(D296:D303)</f>
        <v>0.375</v>
      </c>
      <c r="E295" s="2060">
        <f t="shared" si="74"/>
        <v>0</v>
      </c>
      <c r="F295" s="2060">
        <f t="shared" si="74"/>
        <v>0.5</v>
      </c>
      <c r="G295" s="2060">
        <f t="shared" si="74"/>
        <v>0</v>
      </c>
      <c r="H295" s="2060">
        <f t="shared" si="74"/>
        <v>0.8125</v>
      </c>
      <c r="I295" s="2286" t="s">
        <v>323</v>
      </c>
      <c r="J295" s="1910"/>
      <c r="K295" s="1912"/>
      <c r="L295" s="1911"/>
      <c r="M295" s="1912"/>
      <c r="N295" s="1912"/>
      <c r="O295" s="1912"/>
      <c r="P295" s="1976"/>
      <c r="Q295" s="1976"/>
      <c r="R295" s="2121"/>
      <c r="S295" s="2250"/>
      <c r="T295" s="1911"/>
      <c r="U295" s="1911"/>
      <c r="V295" s="1967"/>
      <c r="W295" s="1912"/>
      <c r="X295" s="1912" t="s">
        <v>8753</v>
      </c>
    </row>
    <row r="296" spans="1:176" ht="32.1" customHeight="1">
      <c r="A296" s="2501"/>
      <c r="B296" s="1804" t="s">
        <v>324</v>
      </c>
      <c r="C296" s="1837">
        <v>0</v>
      </c>
      <c r="D296" s="1829">
        <v>1</v>
      </c>
      <c r="E296" s="1846">
        <v>0</v>
      </c>
      <c r="F296" s="1829">
        <v>0</v>
      </c>
      <c r="G296" s="1829">
        <v>0</v>
      </c>
      <c r="H296" s="1850">
        <v>0</v>
      </c>
      <c r="I296" s="2086"/>
      <c r="J296" s="2217">
        <v>0</v>
      </c>
      <c r="K296" s="1917" t="s">
        <v>811</v>
      </c>
      <c r="L296" s="1794">
        <v>0</v>
      </c>
      <c r="M296" s="1917">
        <v>0</v>
      </c>
      <c r="N296" s="1941" t="s">
        <v>748</v>
      </c>
      <c r="O296" s="1917" t="s">
        <v>748</v>
      </c>
      <c r="P296" s="1975">
        <v>1</v>
      </c>
      <c r="Q296" s="1975">
        <v>0</v>
      </c>
      <c r="R296" s="2121"/>
      <c r="S296" s="2255" t="s">
        <v>748</v>
      </c>
      <c r="T296" s="1794" t="s">
        <v>7578</v>
      </c>
      <c r="U296" s="1794" t="s">
        <v>748</v>
      </c>
      <c r="V296" s="1939" t="s">
        <v>748</v>
      </c>
      <c r="W296" s="1917" t="s">
        <v>8359</v>
      </c>
      <c r="X296" s="1917" t="s">
        <v>748</v>
      </c>
    </row>
    <row r="297" spans="1:176" ht="32.1" customHeight="1">
      <c r="A297" s="2501"/>
      <c r="B297" s="1804" t="s">
        <v>325</v>
      </c>
      <c r="C297" s="1837">
        <v>1</v>
      </c>
      <c r="D297" s="1829">
        <v>1</v>
      </c>
      <c r="E297" s="1846">
        <v>0</v>
      </c>
      <c r="F297" s="1829">
        <v>1</v>
      </c>
      <c r="G297" s="1829">
        <v>0</v>
      </c>
      <c r="H297" s="1850">
        <v>1</v>
      </c>
      <c r="I297" s="2086"/>
      <c r="J297" s="2217">
        <v>1</v>
      </c>
      <c r="K297" s="1917" t="s">
        <v>811</v>
      </c>
      <c r="L297" s="1794">
        <v>0</v>
      </c>
      <c r="M297" s="1917">
        <v>1</v>
      </c>
      <c r="N297" s="1941" t="s">
        <v>748</v>
      </c>
      <c r="O297" s="1917" t="s">
        <v>960</v>
      </c>
      <c r="P297" s="1975">
        <v>1</v>
      </c>
      <c r="Q297" s="1975">
        <v>0</v>
      </c>
      <c r="R297" s="2121"/>
      <c r="S297" s="2255" t="s">
        <v>811</v>
      </c>
      <c r="T297" s="1794"/>
      <c r="U297" s="1794" t="s">
        <v>748</v>
      </c>
      <c r="V297" s="1939" t="s">
        <v>811</v>
      </c>
      <c r="W297" s="1917" t="s">
        <v>8360</v>
      </c>
      <c r="X297" s="1917" t="s">
        <v>960</v>
      </c>
    </row>
    <row r="298" spans="1:176" ht="111" customHeight="1">
      <c r="A298" s="1899"/>
      <c r="B298" s="1804" t="s">
        <v>326</v>
      </c>
      <c r="C298" s="1837">
        <v>1</v>
      </c>
      <c r="D298" s="1829">
        <v>0</v>
      </c>
      <c r="E298" s="1846">
        <v>0</v>
      </c>
      <c r="F298" s="1829">
        <v>0</v>
      </c>
      <c r="G298" s="1829">
        <v>0</v>
      </c>
      <c r="H298" s="1850">
        <v>1</v>
      </c>
      <c r="I298" s="2086"/>
      <c r="J298" s="2217">
        <v>1</v>
      </c>
      <c r="K298" s="1917" t="s">
        <v>748</v>
      </c>
      <c r="L298" s="1794">
        <v>0</v>
      </c>
      <c r="M298" s="1917">
        <v>0</v>
      </c>
      <c r="N298" s="1941" t="s">
        <v>748</v>
      </c>
      <c r="O298" s="1917" t="s">
        <v>960</v>
      </c>
      <c r="P298" s="1975">
        <v>1</v>
      </c>
      <c r="Q298" s="1975">
        <v>0</v>
      </c>
      <c r="R298" s="2121"/>
      <c r="S298" s="2248" t="s">
        <v>8164</v>
      </c>
      <c r="T298" s="1794" t="s">
        <v>9148</v>
      </c>
      <c r="U298" s="1794" t="s">
        <v>748</v>
      </c>
      <c r="V298" s="1939" t="s">
        <v>748</v>
      </c>
      <c r="W298" s="1917" t="s">
        <v>8360</v>
      </c>
      <c r="X298" s="1917" t="s">
        <v>960</v>
      </c>
    </row>
    <row r="299" spans="1:176" ht="32.1" customHeight="1">
      <c r="A299" s="2501"/>
      <c r="B299" s="1804" t="s">
        <v>327</v>
      </c>
      <c r="C299" s="1837">
        <v>0</v>
      </c>
      <c r="D299" s="1829">
        <v>0</v>
      </c>
      <c r="E299" s="1846">
        <v>0</v>
      </c>
      <c r="F299" s="1829">
        <v>1</v>
      </c>
      <c r="G299" s="1829">
        <v>0</v>
      </c>
      <c r="H299" s="1850">
        <v>1</v>
      </c>
      <c r="I299" s="2086"/>
      <c r="J299" s="2217">
        <v>0</v>
      </c>
      <c r="K299" s="1915" t="s">
        <v>748</v>
      </c>
      <c r="L299" s="1794">
        <v>0</v>
      </c>
      <c r="M299" s="1917">
        <v>1</v>
      </c>
      <c r="N299" s="1941" t="s">
        <v>748</v>
      </c>
      <c r="O299" s="1917" t="s">
        <v>960</v>
      </c>
      <c r="P299" s="1975">
        <v>1</v>
      </c>
      <c r="Q299" s="1975">
        <v>0</v>
      </c>
      <c r="R299" s="2121"/>
      <c r="S299" s="2324" t="s">
        <v>748</v>
      </c>
      <c r="T299" s="1794" t="s">
        <v>9149</v>
      </c>
      <c r="U299" s="1794" t="s">
        <v>748</v>
      </c>
      <c r="V299" s="1939" t="s">
        <v>811</v>
      </c>
      <c r="W299" s="1917" t="s">
        <v>8360</v>
      </c>
      <c r="X299" s="1917" t="s">
        <v>960</v>
      </c>
    </row>
    <row r="300" spans="1:176" ht="32.1" customHeight="1">
      <c r="A300" s="2501"/>
      <c r="B300" s="1804" t="s">
        <v>328</v>
      </c>
      <c r="C300" s="1837">
        <v>1</v>
      </c>
      <c r="D300" s="1829">
        <v>0</v>
      </c>
      <c r="E300" s="1846">
        <v>0</v>
      </c>
      <c r="F300" s="1829">
        <v>1</v>
      </c>
      <c r="G300" s="1829">
        <v>0</v>
      </c>
      <c r="H300" s="1850">
        <v>1</v>
      </c>
      <c r="I300" s="2086"/>
      <c r="J300" s="2217">
        <v>1</v>
      </c>
      <c r="K300" s="1917" t="s">
        <v>748</v>
      </c>
      <c r="L300" s="1794">
        <v>0</v>
      </c>
      <c r="M300" s="1917">
        <v>1</v>
      </c>
      <c r="N300" s="1941" t="s">
        <v>748</v>
      </c>
      <c r="O300" s="1917" t="s">
        <v>960</v>
      </c>
      <c r="P300" s="1975">
        <v>1</v>
      </c>
      <c r="Q300" s="1975">
        <v>0</v>
      </c>
      <c r="R300" s="2121"/>
      <c r="S300" s="2255" t="s">
        <v>9161</v>
      </c>
      <c r="T300" s="1794" t="s">
        <v>7579</v>
      </c>
      <c r="U300" s="1794" t="s">
        <v>748</v>
      </c>
      <c r="V300" s="1939" t="s">
        <v>811</v>
      </c>
      <c r="W300" s="1917" t="s">
        <v>8360</v>
      </c>
      <c r="X300" s="1917" t="s">
        <v>960</v>
      </c>
    </row>
    <row r="301" spans="1:176" ht="32.1" customHeight="1">
      <c r="A301" s="2501"/>
      <c r="B301" s="1804" t="s">
        <v>329</v>
      </c>
      <c r="C301" s="1837">
        <v>1</v>
      </c>
      <c r="D301" s="1829">
        <v>0</v>
      </c>
      <c r="E301" s="1846">
        <v>0</v>
      </c>
      <c r="F301" s="1829">
        <v>0</v>
      </c>
      <c r="G301" s="1829">
        <v>0</v>
      </c>
      <c r="H301" s="1850">
        <v>0.5</v>
      </c>
      <c r="I301" s="2086"/>
      <c r="J301" s="2217">
        <v>1</v>
      </c>
      <c r="K301" s="1917" t="s">
        <v>748</v>
      </c>
      <c r="L301" s="1794">
        <v>0</v>
      </c>
      <c r="M301" s="1917">
        <v>0</v>
      </c>
      <c r="N301" s="1941" t="s">
        <v>748</v>
      </c>
      <c r="O301" s="1983" t="s">
        <v>5678</v>
      </c>
      <c r="P301" s="1975">
        <v>1</v>
      </c>
      <c r="Q301" s="1975">
        <v>0</v>
      </c>
      <c r="R301" s="2121"/>
      <c r="S301" s="2255" t="s">
        <v>811</v>
      </c>
      <c r="T301" s="1794" t="s">
        <v>7580</v>
      </c>
      <c r="U301" s="1794" t="s">
        <v>748</v>
      </c>
      <c r="V301" s="1939" t="s">
        <v>748</v>
      </c>
      <c r="W301" s="1917" t="s">
        <v>8360</v>
      </c>
      <c r="X301" s="1983" t="s">
        <v>5678</v>
      </c>
    </row>
    <row r="302" spans="1:176" ht="32.1" customHeight="1">
      <c r="A302" s="2501"/>
      <c r="B302" s="1804" t="s">
        <v>330</v>
      </c>
      <c r="C302" s="1837">
        <v>1</v>
      </c>
      <c r="D302" s="1829">
        <v>1</v>
      </c>
      <c r="E302" s="1846">
        <v>0</v>
      </c>
      <c r="F302" s="1829">
        <v>1</v>
      </c>
      <c r="G302" s="1829">
        <v>0</v>
      </c>
      <c r="H302" s="1850">
        <v>1</v>
      </c>
      <c r="I302" s="2086"/>
      <c r="J302" s="2217">
        <v>1</v>
      </c>
      <c r="K302" s="1917" t="s">
        <v>6304</v>
      </c>
      <c r="L302" s="1794">
        <v>0</v>
      </c>
      <c r="M302" s="1917">
        <v>1</v>
      </c>
      <c r="N302" s="1941" t="s">
        <v>748</v>
      </c>
      <c r="O302" s="1917" t="s">
        <v>960</v>
      </c>
      <c r="P302" s="1975">
        <v>1</v>
      </c>
      <c r="Q302" s="1975">
        <v>0</v>
      </c>
      <c r="R302" s="2121"/>
      <c r="S302" s="2255" t="s">
        <v>811</v>
      </c>
      <c r="T302" s="1794" t="s">
        <v>7581</v>
      </c>
      <c r="U302" s="1794" t="s">
        <v>748</v>
      </c>
      <c r="V302" s="1939" t="s">
        <v>811</v>
      </c>
      <c r="W302" s="1917" t="s">
        <v>8360</v>
      </c>
      <c r="X302" s="1917" t="s">
        <v>960</v>
      </c>
    </row>
    <row r="303" spans="1:176" ht="48.75" customHeight="1">
      <c r="A303" s="2501"/>
      <c r="B303" s="1804" t="s">
        <v>331</v>
      </c>
      <c r="C303" s="1837">
        <v>0</v>
      </c>
      <c r="D303" s="1829">
        <v>0</v>
      </c>
      <c r="E303" s="1846">
        <v>0</v>
      </c>
      <c r="F303" s="1829">
        <v>0</v>
      </c>
      <c r="G303" s="1829">
        <v>0</v>
      </c>
      <c r="H303" s="1850">
        <v>1</v>
      </c>
      <c r="I303" s="2086"/>
      <c r="J303" s="2217">
        <v>0</v>
      </c>
      <c r="K303" s="1917" t="s">
        <v>968</v>
      </c>
      <c r="L303" s="1794">
        <v>0</v>
      </c>
      <c r="M303" s="1917">
        <v>0</v>
      </c>
      <c r="N303" s="1941" t="s">
        <v>748</v>
      </c>
      <c r="O303" s="1917" t="s">
        <v>960</v>
      </c>
      <c r="P303" s="1975">
        <v>1</v>
      </c>
      <c r="Q303" s="1975">
        <v>0</v>
      </c>
      <c r="R303" s="2121"/>
      <c r="S303" s="2255" t="s">
        <v>748</v>
      </c>
      <c r="T303" s="1794" t="s">
        <v>9150</v>
      </c>
      <c r="U303" s="1794" t="s">
        <v>748</v>
      </c>
      <c r="V303" s="1939" t="s">
        <v>6150</v>
      </c>
      <c r="W303" s="1917" t="s">
        <v>8360</v>
      </c>
      <c r="X303" s="1917" t="s">
        <v>960</v>
      </c>
    </row>
    <row r="304" spans="1:176" ht="32.1" customHeight="1">
      <c r="A304" s="2501"/>
      <c r="B304" s="1820" t="s">
        <v>7128</v>
      </c>
      <c r="C304" s="1837">
        <v>1</v>
      </c>
      <c r="D304" s="1829">
        <v>0</v>
      </c>
      <c r="E304" s="1829">
        <v>0</v>
      </c>
      <c r="F304" s="1829">
        <v>1</v>
      </c>
      <c r="G304" s="1829">
        <v>1</v>
      </c>
      <c r="H304" s="1850">
        <v>0</v>
      </c>
      <c r="I304" s="2086" t="s">
        <v>38</v>
      </c>
      <c r="J304" s="2217">
        <v>1</v>
      </c>
      <c r="K304" s="1917" t="s">
        <v>748</v>
      </c>
      <c r="L304" s="1794">
        <v>0</v>
      </c>
      <c r="M304" s="1949">
        <v>1</v>
      </c>
      <c r="N304" s="1941" t="s">
        <v>8354</v>
      </c>
      <c r="O304" s="1941" t="s">
        <v>748</v>
      </c>
      <c r="P304" s="1984">
        <v>1</v>
      </c>
      <c r="Q304" s="1984">
        <v>0</v>
      </c>
      <c r="R304" s="2297"/>
      <c r="S304" s="2248" t="s">
        <v>8165</v>
      </c>
      <c r="T304" s="1794" t="s">
        <v>7582</v>
      </c>
      <c r="U304" s="1794" t="s">
        <v>7276</v>
      </c>
      <c r="V304" s="1985" t="s">
        <v>8581</v>
      </c>
      <c r="W304" s="1941" t="s">
        <v>8361</v>
      </c>
      <c r="X304" s="1941" t="s">
        <v>748</v>
      </c>
    </row>
    <row r="305" spans="1:78" ht="32.1" customHeight="1">
      <c r="A305" s="2500"/>
      <c r="B305" s="2059" t="s">
        <v>333</v>
      </c>
      <c r="C305" s="2060">
        <f>AVERAGE(C306:C307)</f>
        <v>1</v>
      </c>
      <c r="D305" s="2060">
        <f t="shared" ref="D305:G305" si="75">AVERAGE(D306:D307)</f>
        <v>0.5</v>
      </c>
      <c r="E305" s="2060">
        <f t="shared" si="75"/>
        <v>0</v>
      </c>
      <c r="F305" s="2060">
        <f t="shared" si="75"/>
        <v>1</v>
      </c>
      <c r="G305" s="2060">
        <f t="shared" si="75"/>
        <v>0</v>
      </c>
      <c r="H305" s="2060">
        <f>AVERAGE(H306:H307)</f>
        <v>0</v>
      </c>
      <c r="I305" s="2286" t="s">
        <v>334</v>
      </c>
      <c r="J305" s="1910"/>
      <c r="K305" s="1912"/>
      <c r="L305" s="1911"/>
      <c r="M305" s="1911"/>
      <c r="N305" s="1912"/>
      <c r="O305" s="1912"/>
      <c r="P305" s="1976"/>
      <c r="Q305" s="1976"/>
      <c r="R305" s="2121"/>
      <c r="S305" s="2250"/>
      <c r="T305" s="1911"/>
      <c r="U305" s="1911"/>
      <c r="V305" s="1967"/>
      <c r="W305" s="1912"/>
      <c r="X305" s="1912"/>
    </row>
    <row r="306" spans="1:78" ht="32.1" customHeight="1">
      <c r="A306" s="2501"/>
      <c r="B306" s="1804" t="s">
        <v>335</v>
      </c>
      <c r="C306" s="1837">
        <v>1</v>
      </c>
      <c r="D306" s="1829">
        <v>0.5</v>
      </c>
      <c r="E306" s="1829">
        <v>0</v>
      </c>
      <c r="F306" s="1837">
        <v>1</v>
      </c>
      <c r="G306" s="1829">
        <v>0</v>
      </c>
      <c r="H306" s="1850">
        <v>0</v>
      </c>
      <c r="I306" s="2086"/>
      <c r="J306" s="2217">
        <v>1</v>
      </c>
      <c r="K306" s="1917" t="s">
        <v>5427</v>
      </c>
      <c r="L306" s="1794">
        <v>0</v>
      </c>
      <c r="M306" s="1802">
        <v>1</v>
      </c>
      <c r="N306" s="1941" t="s">
        <v>748</v>
      </c>
      <c r="O306" s="1917" t="s">
        <v>748</v>
      </c>
      <c r="P306" s="1975">
        <v>1</v>
      </c>
      <c r="Q306" s="1975">
        <v>0</v>
      </c>
      <c r="R306" s="2121"/>
      <c r="S306" s="2255" t="s">
        <v>811</v>
      </c>
      <c r="T306" s="1794" t="s">
        <v>7583</v>
      </c>
      <c r="U306" s="1794" t="s">
        <v>748</v>
      </c>
      <c r="V306" s="1981" t="s">
        <v>6151</v>
      </c>
      <c r="W306" s="1917" t="s">
        <v>8362</v>
      </c>
      <c r="X306" s="1917" t="s">
        <v>748</v>
      </c>
    </row>
    <row r="307" spans="1:78" ht="32.1" customHeight="1">
      <c r="A307" s="2501"/>
      <c r="B307" s="1804" t="s">
        <v>336</v>
      </c>
      <c r="C307" s="1837">
        <v>1</v>
      </c>
      <c r="D307" s="1829">
        <v>0.5</v>
      </c>
      <c r="E307" s="1829">
        <v>0</v>
      </c>
      <c r="F307" s="1837">
        <v>1</v>
      </c>
      <c r="G307" s="1829">
        <v>0</v>
      </c>
      <c r="H307" s="1850">
        <v>0</v>
      </c>
      <c r="I307" s="2086"/>
      <c r="J307" s="2217">
        <v>1</v>
      </c>
      <c r="K307" s="1917" t="s">
        <v>5427</v>
      </c>
      <c r="L307" s="1794">
        <v>0</v>
      </c>
      <c r="M307" s="1802">
        <v>1</v>
      </c>
      <c r="N307" s="1941" t="s">
        <v>748</v>
      </c>
      <c r="O307" s="1941" t="s">
        <v>748</v>
      </c>
      <c r="P307" s="1975">
        <v>1</v>
      </c>
      <c r="Q307" s="1975">
        <v>0</v>
      </c>
      <c r="R307" s="2121"/>
      <c r="S307" s="2255" t="s">
        <v>811</v>
      </c>
      <c r="T307" s="1794" t="s">
        <v>7584</v>
      </c>
      <c r="U307" s="1794" t="s">
        <v>748</v>
      </c>
      <c r="V307" s="1981" t="s">
        <v>6152</v>
      </c>
      <c r="W307" s="1941" t="s">
        <v>8362</v>
      </c>
      <c r="X307" s="1941" t="s">
        <v>748</v>
      </c>
    </row>
    <row r="308" spans="1:78" s="1893" customFormat="1" ht="50.1" customHeight="1">
      <c r="A308" s="2504"/>
      <c r="B308" s="2057" t="s">
        <v>9129</v>
      </c>
      <c r="C308" s="2380">
        <f>IF(J308&gt;$P308,1,(J308-$Q308)/($P308-$Q308))</f>
        <v>0.16176470588235292</v>
      </c>
      <c r="D308" s="2380">
        <f t="shared" ref="D308:H309" si="76">IF(K308&gt;$P308,1,(K308-$Q308)/($P308-$Q308))</f>
        <v>0.88235294117647067</v>
      </c>
      <c r="E308" s="2380">
        <f t="shared" si="76"/>
        <v>1</v>
      </c>
      <c r="F308" s="2380">
        <f t="shared" si="76"/>
        <v>0.45588235294117652</v>
      </c>
      <c r="G308" s="2380">
        <f t="shared" si="76"/>
        <v>6.6176470588235198E-2</v>
      </c>
      <c r="H308" s="2380">
        <f t="shared" si="76"/>
        <v>0.51470588235294124</v>
      </c>
      <c r="I308" s="2086" t="s">
        <v>338</v>
      </c>
      <c r="J308" s="2381">
        <v>12</v>
      </c>
      <c r="K308" s="2381">
        <v>21.8</v>
      </c>
      <c r="L308" s="2381">
        <v>34.5</v>
      </c>
      <c r="M308" s="2381">
        <v>16</v>
      </c>
      <c r="N308" s="2381">
        <v>10.7</v>
      </c>
      <c r="O308" s="2222">
        <v>16.8</v>
      </c>
      <c r="P308" s="2317">
        <v>23.4</v>
      </c>
      <c r="Q308" s="2317">
        <v>9.8000000000000007</v>
      </c>
      <c r="R308" s="2298"/>
      <c r="S308" s="2382" t="s">
        <v>7143</v>
      </c>
      <c r="T308" s="2382" t="s">
        <v>7144</v>
      </c>
      <c r="U308" s="2382" t="s">
        <v>7145</v>
      </c>
      <c r="V308" s="2383" t="s">
        <v>7146</v>
      </c>
      <c r="W308" s="2382" t="s">
        <v>7147</v>
      </c>
      <c r="X308" s="2222">
        <v>16.8</v>
      </c>
      <c r="Y308" s="1818"/>
      <c r="Z308" s="1818"/>
      <c r="AA308" s="1818"/>
      <c r="AB308" s="1818"/>
      <c r="AC308" s="1818"/>
      <c r="AD308" s="1818"/>
      <c r="AE308" s="1818"/>
      <c r="AF308" s="1818"/>
      <c r="AG308" s="1818"/>
      <c r="AH308" s="1818"/>
      <c r="AI308" s="1818"/>
      <c r="AJ308" s="1818"/>
      <c r="AK308" s="1818"/>
      <c r="AL308" s="1818"/>
      <c r="AM308" s="1818"/>
      <c r="AN308" s="1818"/>
      <c r="AO308" s="1818"/>
      <c r="AP308" s="1818"/>
      <c r="AQ308" s="1818"/>
      <c r="AR308" s="1818"/>
      <c r="AS308" s="1818"/>
      <c r="AT308" s="1818"/>
      <c r="AU308" s="1818"/>
      <c r="AV308" s="1818"/>
      <c r="AW308" s="1818"/>
      <c r="AX308" s="1818"/>
      <c r="AY308" s="1818"/>
      <c r="AZ308" s="1818"/>
      <c r="BA308" s="1818"/>
      <c r="BB308" s="1818"/>
      <c r="BC308" s="1818"/>
      <c r="BD308" s="1818"/>
      <c r="BE308" s="1818"/>
      <c r="BF308" s="1818"/>
      <c r="BG308" s="1818"/>
      <c r="BH308" s="1818"/>
      <c r="BI308" s="1818"/>
      <c r="BJ308" s="1818"/>
      <c r="BK308" s="1818"/>
      <c r="BL308" s="1818"/>
      <c r="BM308" s="1818"/>
      <c r="BN308" s="1818"/>
      <c r="BO308" s="1818"/>
      <c r="BP308" s="1818"/>
      <c r="BQ308" s="1818"/>
      <c r="BR308" s="1818"/>
      <c r="BS308" s="1818"/>
      <c r="BT308" s="1818"/>
      <c r="BU308" s="1818"/>
      <c r="BV308" s="1818"/>
      <c r="BW308" s="1818"/>
      <c r="BX308" s="1818"/>
      <c r="BY308" s="1818"/>
      <c r="BZ308" s="1818"/>
    </row>
    <row r="309" spans="1:78" s="1891" customFormat="1" ht="84.95" customHeight="1">
      <c r="A309" s="1899"/>
      <c r="B309" s="1851" t="s">
        <v>7129</v>
      </c>
      <c r="C309" s="1866">
        <f>IF(J309&gt;$P309,1,(J309-$Q309)/($P309-$Q309))</f>
        <v>0.25</v>
      </c>
      <c r="D309" s="1866">
        <f t="shared" si="76"/>
        <v>0.57999999999999996</v>
      </c>
      <c r="E309" s="1866">
        <f t="shared" si="76"/>
        <v>8.3400000000000002E-2</v>
      </c>
      <c r="F309" s="1866">
        <f t="shared" si="76"/>
        <v>0.28559999999999997</v>
      </c>
      <c r="G309" s="1850">
        <f t="shared" si="76"/>
        <v>0.2104</v>
      </c>
      <c r="H309" s="1866">
        <f t="shared" si="76"/>
        <v>0</v>
      </c>
      <c r="I309" s="2086" t="s">
        <v>5350</v>
      </c>
      <c r="J309" s="1950">
        <v>12.5</v>
      </c>
      <c r="K309" s="1950">
        <v>29</v>
      </c>
      <c r="L309" s="1949">
        <v>4.17</v>
      </c>
      <c r="M309" s="1950">
        <v>14.28</v>
      </c>
      <c r="N309" s="1949">
        <v>10.52</v>
      </c>
      <c r="O309" s="1950">
        <v>0</v>
      </c>
      <c r="P309" s="1952">
        <v>50</v>
      </c>
      <c r="Q309" s="1952">
        <v>0</v>
      </c>
      <c r="R309" s="2292"/>
      <c r="S309" s="1952" t="s">
        <v>9099</v>
      </c>
      <c r="T309" s="1952" t="s">
        <v>7585</v>
      </c>
      <c r="U309" s="1794" t="s">
        <v>7277</v>
      </c>
      <c r="V309" s="1952" t="s">
        <v>7917</v>
      </c>
      <c r="W309" s="1939" t="s">
        <v>9165</v>
      </c>
      <c r="X309" s="1950">
        <v>0</v>
      </c>
      <c r="Y309" s="1818"/>
      <c r="Z309" s="1818"/>
      <c r="AA309" s="1818"/>
      <c r="AB309" s="1818"/>
      <c r="AC309" s="1818"/>
      <c r="AD309" s="1818"/>
      <c r="AE309" s="1818"/>
      <c r="AF309" s="1818"/>
      <c r="AG309" s="1818"/>
      <c r="AH309" s="1818"/>
      <c r="AI309" s="1818"/>
      <c r="AJ309" s="1818"/>
      <c r="AK309" s="1818"/>
      <c r="AL309" s="1818"/>
      <c r="AM309" s="1818"/>
      <c r="AN309" s="1818"/>
      <c r="AO309" s="1818"/>
      <c r="AP309" s="1818"/>
      <c r="AQ309" s="1818"/>
      <c r="AR309" s="1818"/>
      <c r="AS309" s="1818"/>
      <c r="AT309" s="1818"/>
      <c r="AU309" s="1818"/>
      <c r="AV309" s="1818"/>
      <c r="AW309" s="1818"/>
      <c r="AX309" s="1818"/>
      <c r="AY309" s="1818"/>
      <c r="AZ309" s="1818"/>
      <c r="BA309" s="1818"/>
      <c r="BB309" s="1818"/>
      <c r="BC309" s="1818"/>
      <c r="BD309" s="1818"/>
      <c r="BE309" s="1818"/>
      <c r="BF309" s="1818"/>
      <c r="BG309" s="1818"/>
      <c r="BH309" s="1818"/>
      <c r="BI309" s="1818"/>
      <c r="BJ309" s="1818"/>
      <c r="BK309" s="1818"/>
      <c r="BL309" s="1818"/>
      <c r="BM309" s="1818"/>
      <c r="BN309" s="1818"/>
      <c r="BO309" s="1818"/>
      <c r="BP309" s="1818"/>
      <c r="BQ309" s="1818"/>
      <c r="BR309" s="1818"/>
      <c r="BS309" s="1818"/>
      <c r="BT309" s="1818"/>
      <c r="BU309" s="1818"/>
      <c r="BV309" s="1818"/>
      <c r="BW309" s="1818"/>
      <c r="BX309" s="1818"/>
      <c r="BY309" s="1818"/>
      <c r="BZ309" s="1818"/>
    </row>
    <row r="310" spans="1:78" ht="32.1" customHeight="1">
      <c r="A310" s="2499" t="s">
        <v>5328</v>
      </c>
      <c r="B310" s="2080" t="s">
        <v>9309</v>
      </c>
      <c r="C310" s="2081">
        <f>AVERAGE(C311,C348,C363)</f>
        <v>0.78623941550770804</v>
      </c>
      <c r="D310" s="2081">
        <f t="shared" ref="D310:H310" si="77">AVERAGE(D311,D348,D363)</f>
        <v>0.87636829069755906</v>
      </c>
      <c r="E310" s="2081">
        <f t="shared" si="77"/>
        <v>0.60130848149140836</v>
      </c>
      <c r="F310" s="2081">
        <f t="shared" si="77"/>
        <v>0.86138583638583643</v>
      </c>
      <c r="G310" s="2081">
        <f t="shared" si="77"/>
        <v>0.79420111279867378</v>
      </c>
      <c r="H310" s="2081">
        <f t="shared" si="77"/>
        <v>0.62085306292623366</v>
      </c>
      <c r="I310" s="2076"/>
      <c r="J310" s="2077"/>
      <c r="K310" s="2077"/>
      <c r="L310" s="2077"/>
      <c r="M310" s="2077"/>
      <c r="N310" s="2077"/>
      <c r="O310" s="2077"/>
      <c r="P310" s="2077"/>
      <c r="Q310" s="2077"/>
      <c r="R310" s="2083"/>
      <c r="S310" s="2077"/>
      <c r="T310" s="2077"/>
      <c r="U310" s="2077"/>
      <c r="V310" s="2077"/>
      <c r="W310" s="2077"/>
      <c r="X310" s="2077"/>
    </row>
    <row r="311" spans="1:78" ht="44.25" customHeight="1">
      <c r="A311" s="2503" t="s">
        <v>341</v>
      </c>
      <c r="B311" s="2084" t="s">
        <v>342</v>
      </c>
      <c r="C311" s="2085">
        <f>AVERAGE(C312,C315,C318,C321,C322,C323,C327,C330,C333,C336,C339,C342,C343,C346,C347)</f>
        <v>0.57300396080883875</v>
      </c>
      <c r="D311" s="2085">
        <f>AVERAGE(D312,D315,D318,D321,D322,D323,D327,D330,D333,D336,D339,D342,D343,D346,D347)</f>
        <v>0.72731915780696255</v>
      </c>
      <c r="E311" s="2085">
        <f t="shared" ref="E311:G311" si="78">AVERAGE(E312,E315,E318,E321,E322,E323,E327,E330,E333,E336,E339,E342,E343,E346,E347)</f>
        <v>0.54499687304565347</v>
      </c>
      <c r="F311" s="2085">
        <f t="shared" si="78"/>
        <v>0.74487179487179489</v>
      </c>
      <c r="G311" s="2085">
        <f t="shared" si="78"/>
        <v>0.55224619553887844</v>
      </c>
      <c r="H311" s="2085">
        <f>AVERAGE(H312,H315,H318,H321,H322,H323,H327,H330,H333,H336,H339,H342,H343,H346,H347)</f>
        <v>0.45184490306441527</v>
      </c>
      <c r="I311" s="2086"/>
      <c r="J311" s="2087"/>
      <c r="K311" s="2087"/>
      <c r="L311" s="2087"/>
      <c r="M311" s="2087"/>
      <c r="N311" s="2087"/>
      <c r="O311" s="2087"/>
      <c r="P311" s="2087"/>
      <c r="Q311" s="2087"/>
      <c r="R311" s="2088"/>
      <c r="S311" s="2087"/>
      <c r="T311" s="2087"/>
      <c r="U311" s="2087"/>
      <c r="V311" s="2087"/>
      <c r="W311" s="2087"/>
      <c r="X311" s="2087"/>
    </row>
    <row r="312" spans="1:78" s="1891" customFormat="1" ht="32.1" customHeight="1">
      <c r="A312" s="2508"/>
      <c r="B312" s="2122" t="s">
        <v>6998</v>
      </c>
      <c r="C312" s="2123">
        <f>AVERAGE(C313:C314)</f>
        <v>0.5</v>
      </c>
      <c r="D312" s="2123">
        <f t="shared" ref="D312:H312" si="79">AVERAGE(D313:D314)</f>
        <v>1</v>
      </c>
      <c r="E312" s="2123">
        <f t="shared" si="79"/>
        <v>1</v>
      </c>
      <c r="F312" s="2123">
        <f t="shared" si="79"/>
        <v>0.5</v>
      </c>
      <c r="G312" s="2123">
        <f t="shared" si="79"/>
        <v>1</v>
      </c>
      <c r="H312" s="2123">
        <f t="shared" si="79"/>
        <v>0.5</v>
      </c>
      <c r="I312" s="2086"/>
      <c r="J312" s="1958"/>
      <c r="K312" s="1958"/>
      <c r="L312" s="1958"/>
      <c r="M312" s="1958"/>
      <c r="N312" s="1958"/>
      <c r="O312" s="1958"/>
      <c r="P312" s="1958"/>
      <c r="Q312" s="1958"/>
      <c r="R312" s="2088"/>
      <c r="S312" s="2437"/>
      <c r="T312" s="1958"/>
      <c r="U312" s="1958"/>
      <c r="V312" s="1958"/>
      <c r="W312" s="1958"/>
      <c r="X312" s="1958"/>
      <c r="Y312" s="1818"/>
      <c r="Z312" s="1818"/>
      <c r="AA312" s="1818"/>
      <c r="AB312" s="1818"/>
      <c r="AC312" s="1818"/>
      <c r="AD312" s="1818"/>
      <c r="AE312" s="1818"/>
      <c r="AF312" s="1818"/>
      <c r="AG312" s="1818"/>
      <c r="AH312" s="1818"/>
      <c r="AI312" s="1818"/>
      <c r="AJ312" s="1818"/>
      <c r="AK312" s="1818"/>
      <c r="AL312" s="1818"/>
      <c r="AM312" s="1818"/>
      <c r="AN312" s="1818"/>
      <c r="AO312" s="1818"/>
      <c r="AP312" s="1818"/>
      <c r="AQ312" s="1818"/>
      <c r="AR312" s="1818"/>
      <c r="AS312" s="1818"/>
      <c r="AT312" s="1818"/>
    </row>
    <row r="313" spans="1:78" s="1816" customFormat="1" ht="33.950000000000003" customHeight="1">
      <c r="A313" s="2507"/>
      <c r="B313" s="1855" t="s">
        <v>6951</v>
      </c>
      <c r="C313" s="1853">
        <v>1</v>
      </c>
      <c r="D313" s="1853">
        <v>1</v>
      </c>
      <c r="E313" s="1854">
        <v>1</v>
      </c>
      <c r="F313" s="1853">
        <v>1</v>
      </c>
      <c r="G313" s="1853">
        <v>1</v>
      </c>
      <c r="H313" s="1852">
        <v>1</v>
      </c>
      <c r="I313" s="2086"/>
      <c r="J313" s="1956">
        <v>1</v>
      </c>
      <c r="K313" s="1956" t="s">
        <v>7383</v>
      </c>
      <c r="L313" s="1956">
        <v>1</v>
      </c>
      <c r="M313" s="1956">
        <v>1</v>
      </c>
      <c r="N313" s="1956" t="s">
        <v>811</v>
      </c>
      <c r="O313" s="1956" t="s">
        <v>8754</v>
      </c>
      <c r="P313" s="1956"/>
      <c r="Q313" s="1956"/>
      <c r="R313" s="2088"/>
      <c r="S313" s="2256" t="s">
        <v>9052</v>
      </c>
      <c r="T313" s="2257" t="s">
        <v>7586</v>
      </c>
      <c r="U313" s="1794" t="s">
        <v>7278</v>
      </c>
      <c r="V313" s="1956" t="s">
        <v>7918</v>
      </c>
      <c r="W313" s="1956" t="s">
        <v>8363</v>
      </c>
      <c r="X313" s="1956" t="s">
        <v>8754</v>
      </c>
      <c r="Y313" s="1748"/>
      <c r="Z313" s="1748"/>
      <c r="AA313" s="1748"/>
      <c r="AB313" s="1748"/>
      <c r="AC313" s="1748"/>
      <c r="AD313" s="1748"/>
      <c r="AE313" s="1748"/>
      <c r="AF313" s="1748"/>
      <c r="AG313" s="1748"/>
      <c r="AH313" s="1748"/>
      <c r="AI313" s="1748"/>
      <c r="AJ313" s="1748"/>
      <c r="AK313" s="1748"/>
      <c r="AL313" s="1748"/>
      <c r="AM313" s="1748"/>
      <c r="AN313" s="1748"/>
      <c r="AO313" s="1748"/>
      <c r="AP313" s="1748"/>
      <c r="AQ313" s="1748"/>
      <c r="AR313" s="1748"/>
      <c r="AS313" s="1748"/>
      <c r="AT313" s="1748"/>
    </row>
    <row r="314" spans="1:78" s="1816" customFormat="1" ht="186.95" customHeight="1">
      <c r="A314" s="1899"/>
      <c r="B314" s="1855" t="s">
        <v>6959</v>
      </c>
      <c r="C314" s="1829">
        <v>0</v>
      </c>
      <c r="D314" s="1853">
        <v>1</v>
      </c>
      <c r="E314" s="1854">
        <v>1</v>
      </c>
      <c r="F314" s="1853">
        <v>0</v>
      </c>
      <c r="G314" s="1853">
        <v>1</v>
      </c>
      <c r="H314" s="1852">
        <v>0</v>
      </c>
      <c r="I314" s="2086"/>
      <c r="J314" s="1794">
        <v>0</v>
      </c>
      <c r="K314" s="1956" t="s">
        <v>960</v>
      </c>
      <c r="L314" s="1956">
        <v>1</v>
      </c>
      <c r="M314" s="1956">
        <v>0</v>
      </c>
      <c r="N314" s="1956" t="s">
        <v>1134</v>
      </c>
      <c r="O314" s="1956" t="s">
        <v>748</v>
      </c>
      <c r="P314" s="1956"/>
      <c r="Q314" s="1956"/>
      <c r="R314" s="2088"/>
      <c r="S314" s="1981" t="s">
        <v>9053</v>
      </c>
      <c r="T314" s="1956" t="s">
        <v>7587</v>
      </c>
      <c r="U314" s="1794" t="s">
        <v>7279</v>
      </c>
      <c r="V314" s="1956" t="s">
        <v>7919</v>
      </c>
      <c r="W314" s="1956" t="s">
        <v>8364</v>
      </c>
      <c r="X314" s="1956" t="s">
        <v>748</v>
      </c>
      <c r="Y314" s="1748"/>
      <c r="Z314" s="1748"/>
      <c r="AA314" s="1748"/>
      <c r="AB314" s="1748"/>
      <c r="AC314" s="1748"/>
      <c r="AD314" s="1748"/>
      <c r="AE314" s="1748"/>
      <c r="AF314" s="1748"/>
      <c r="AG314" s="1748"/>
      <c r="AH314" s="1748"/>
      <c r="AI314" s="1748"/>
      <c r="AJ314" s="1748"/>
      <c r="AK314" s="1748"/>
      <c r="AL314" s="1748"/>
      <c r="AM314" s="1748"/>
      <c r="AN314" s="1748"/>
      <c r="AO314" s="1748"/>
      <c r="AP314" s="1748"/>
      <c r="AQ314" s="1748"/>
      <c r="AR314" s="1748"/>
      <c r="AS314" s="1748"/>
      <c r="AT314" s="1748"/>
    </row>
    <row r="315" spans="1:78" s="1816" customFormat="1" ht="26.1" customHeight="1">
      <c r="A315" s="2508"/>
      <c r="B315" s="2122" t="s">
        <v>6999</v>
      </c>
      <c r="C315" s="2123">
        <f>AVERAGE(C316:C317)</f>
        <v>0.5</v>
      </c>
      <c r="D315" s="2123">
        <f t="shared" ref="D315:H315" si="80">AVERAGE(D316:D317)</f>
        <v>1</v>
      </c>
      <c r="E315" s="2123">
        <f t="shared" si="80"/>
        <v>1</v>
      </c>
      <c r="F315" s="2123">
        <f t="shared" si="80"/>
        <v>0.5</v>
      </c>
      <c r="G315" s="2123">
        <f t="shared" si="80"/>
        <v>1</v>
      </c>
      <c r="H315" s="2123">
        <f t="shared" si="80"/>
        <v>0.5</v>
      </c>
      <c r="I315" s="2086"/>
      <c r="J315" s="1958"/>
      <c r="K315" s="1958"/>
      <c r="L315" s="1958"/>
      <c r="M315" s="1958"/>
      <c r="N315" s="1958"/>
      <c r="O315" s="1958"/>
      <c r="P315" s="1958"/>
      <c r="Q315" s="1958"/>
      <c r="R315" s="2088"/>
      <c r="S315" s="2260"/>
      <c r="T315" s="1958"/>
      <c r="U315" s="1958"/>
      <c r="V315" s="1958"/>
      <c r="W315" s="1958"/>
      <c r="X315" s="1958"/>
      <c r="Y315" s="1748"/>
      <c r="Z315" s="1748"/>
      <c r="AA315" s="1748"/>
      <c r="AB315" s="1748"/>
      <c r="AC315" s="1748"/>
      <c r="AD315" s="1748"/>
      <c r="AE315" s="1748"/>
      <c r="AF315" s="1748"/>
      <c r="AG315" s="1748"/>
      <c r="AH315" s="1748"/>
      <c r="AI315" s="1748"/>
      <c r="AJ315" s="1748"/>
      <c r="AK315" s="1748"/>
      <c r="AL315" s="1748"/>
      <c r="AM315" s="1748"/>
      <c r="AN315" s="1748"/>
      <c r="AO315" s="1748"/>
      <c r="AP315" s="1748"/>
      <c r="AQ315" s="1748"/>
      <c r="AR315" s="1748"/>
      <c r="AS315" s="1748"/>
      <c r="AT315" s="1748"/>
    </row>
    <row r="316" spans="1:78" s="1816" customFormat="1" ht="44.1" customHeight="1">
      <c r="A316" s="2507"/>
      <c r="B316" s="1855" t="s">
        <v>6952</v>
      </c>
      <c r="C316" s="1853">
        <v>1</v>
      </c>
      <c r="D316" s="1853">
        <v>1</v>
      </c>
      <c r="E316" s="1854">
        <v>1</v>
      </c>
      <c r="F316" s="1853">
        <v>1</v>
      </c>
      <c r="G316" s="1853">
        <v>1</v>
      </c>
      <c r="H316" s="1852">
        <v>1</v>
      </c>
      <c r="I316" s="2086"/>
      <c r="J316" s="1956">
        <v>1</v>
      </c>
      <c r="K316" s="1956" t="s">
        <v>960</v>
      </c>
      <c r="L316" s="1956">
        <v>1</v>
      </c>
      <c r="M316" s="1956">
        <v>1</v>
      </c>
      <c r="N316" s="1956" t="s">
        <v>811</v>
      </c>
      <c r="O316" s="1956" t="s">
        <v>8755</v>
      </c>
      <c r="P316" s="1956"/>
      <c r="Q316" s="1956"/>
      <c r="R316" s="2088"/>
      <c r="S316" s="2256" t="s">
        <v>9054</v>
      </c>
      <c r="T316" s="1956" t="s">
        <v>7588</v>
      </c>
      <c r="U316" s="1794" t="s">
        <v>7280</v>
      </c>
      <c r="V316" s="1956" t="s">
        <v>7918</v>
      </c>
      <c r="W316" s="1956"/>
      <c r="X316" s="1956" t="s">
        <v>8755</v>
      </c>
      <c r="Y316" s="1748"/>
      <c r="Z316" s="1748"/>
      <c r="AA316" s="1748"/>
      <c r="AB316" s="1748"/>
      <c r="AC316" s="1748"/>
      <c r="AD316" s="1748"/>
      <c r="AE316" s="1748"/>
      <c r="AF316" s="1748"/>
      <c r="AG316" s="1748"/>
      <c r="AH316" s="1748"/>
      <c r="AI316" s="1748"/>
      <c r="AJ316" s="1748"/>
      <c r="AK316" s="1748"/>
      <c r="AL316" s="1748"/>
      <c r="AM316" s="1748"/>
      <c r="AN316" s="1748"/>
      <c r="AO316" s="1748"/>
      <c r="AP316" s="1748"/>
      <c r="AQ316" s="1748"/>
      <c r="AR316" s="1748"/>
      <c r="AS316" s="1748"/>
      <c r="AT316" s="1748"/>
    </row>
    <row r="317" spans="1:78" s="1816" customFormat="1" ht="213" customHeight="1">
      <c r="A317" s="1899"/>
      <c r="B317" s="1855" t="s">
        <v>6957</v>
      </c>
      <c r="C317" s="1829">
        <v>0</v>
      </c>
      <c r="D317" s="1853">
        <v>1</v>
      </c>
      <c r="E317" s="1854">
        <v>1</v>
      </c>
      <c r="F317" s="1853">
        <v>0</v>
      </c>
      <c r="G317" s="1853">
        <v>1</v>
      </c>
      <c r="H317" s="1852">
        <v>0</v>
      </c>
      <c r="I317" s="2086"/>
      <c r="J317" s="1794">
        <v>0</v>
      </c>
      <c r="K317" s="1956" t="s">
        <v>960</v>
      </c>
      <c r="L317" s="1956">
        <v>1</v>
      </c>
      <c r="M317" s="1956" t="s">
        <v>1060</v>
      </c>
      <c r="N317" s="1956" t="s">
        <v>811</v>
      </c>
      <c r="O317" s="1956" t="s">
        <v>748</v>
      </c>
      <c r="P317" s="1956"/>
      <c r="Q317" s="1956"/>
      <c r="R317" s="2088"/>
      <c r="S317" s="2256" t="s">
        <v>9055</v>
      </c>
      <c r="T317" s="1956" t="s">
        <v>7587</v>
      </c>
      <c r="U317" s="1794" t="s">
        <v>7279</v>
      </c>
      <c r="V317" s="1956" t="s">
        <v>7919</v>
      </c>
      <c r="W317" s="1956" t="s">
        <v>8365</v>
      </c>
      <c r="X317" s="1956" t="s">
        <v>748</v>
      </c>
      <c r="Y317" s="1748"/>
      <c r="Z317" s="1748"/>
      <c r="AA317" s="1748"/>
      <c r="AB317" s="1748"/>
      <c r="AC317" s="1748"/>
      <c r="AD317" s="1748"/>
      <c r="AE317" s="1748"/>
      <c r="AF317" s="1748"/>
      <c r="AG317" s="1748"/>
      <c r="AH317" s="1748"/>
      <c r="AI317" s="1748"/>
      <c r="AJ317" s="1748"/>
      <c r="AK317" s="1748"/>
      <c r="AL317" s="1748"/>
      <c r="AM317" s="1748"/>
      <c r="AN317" s="1748"/>
      <c r="AO317" s="1748"/>
      <c r="AP317" s="1748"/>
      <c r="AQ317" s="1748"/>
      <c r="AR317" s="1748"/>
      <c r="AS317" s="1748"/>
      <c r="AT317" s="1748"/>
    </row>
    <row r="318" spans="1:78" s="1816" customFormat="1" ht="29.1" customHeight="1">
      <c r="A318" s="2500"/>
      <c r="B318" s="2122" t="s">
        <v>7000</v>
      </c>
      <c r="C318" s="2123">
        <f>AVERAGE(C319:C320)</f>
        <v>0.5</v>
      </c>
      <c r="D318" s="2123">
        <f t="shared" ref="D318:H318" si="81">AVERAGE(D319:D320)</f>
        <v>0.5</v>
      </c>
      <c r="E318" s="2123">
        <f t="shared" si="81"/>
        <v>0.75</v>
      </c>
      <c r="F318" s="2123">
        <f t="shared" si="81"/>
        <v>0.5</v>
      </c>
      <c r="G318" s="2123">
        <f t="shared" si="81"/>
        <v>1</v>
      </c>
      <c r="H318" s="2123">
        <f t="shared" si="81"/>
        <v>0.5</v>
      </c>
      <c r="I318" s="2086"/>
      <c r="J318" s="1911"/>
      <c r="K318" s="1958"/>
      <c r="L318" s="1958"/>
      <c r="M318" s="1958"/>
      <c r="N318" s="1958"/>
      <c r="O318" s="1958"/>
      <c r="P318" s="1958"/>
      <c r="Q318" s="1958"/>
      <c r="R318" s="2088"/>
      <c r="S318" s="2258"/>
      <c r="T318" s="1956"/>
      <c r="U318" s="1956"/>
      <c r="V318" s="1956"/>
      <c r="W318" s="1956"/>
      <c r="X318" s="1956"/>
      <c r="Y318" s="1748"/>
      <c r="Z318" s="1748"/>
      <c r="AA318" s="1748"/>
      <c r="AB318" s="1748"/>
      <c r="AC318" s="1748"/>
      <c r="AD318" s="1748"/>
      <c r="AE318" s="1748"/>
      <c r="AF318" s="1748"/>
      <c r="AG318" s="1748"/>
      <c r="AH318" s="1748"/>
      <c r="AI318" s="1748"/>
      <c r="AJ318" s="1748"/>
      <c r="AK318" s="1748"/>
      <c r="AL318" s="1748"/>
      <c r="AM318" s="1748"/>
      <c r="AN318" s="1748"/>
      <c r="AO318" s="1748"/>
      <c r="AP318" s="1748"/>
      <c r="AQ318" s="1748"/>
      <c r="AR318" s="1748"/>
      <c r="AS318" s="1748"/>
      <c r="AT318" s="1748"/>
    </row>
    <row r="319" spans="1:78" s="1816" customFormat="1" ht="47.1" customHeight="1">
      <c r="A319" s="1899"/>
      <c r="B319" s="1855" t="s">
        <v>6953</v>
      </c>
      <c r="C319" s="1852">
        <v>1</v>
      </c>
      <c r="D319" s="1852">
        <v>1</v>
      </c>
      <c r="E319" s="1852">
        <v>1</v>
      </c>
      <c r="F319" s="1852">
        <v>1</v>
      </c>
      <c r="G319" s="1852">
        <v>1</v>
      </c>
      <c r="H319" s="1852">
        <v>1</v>
      </c>
      <c r="I319" s="2086"/>
      <c r="J319" s="1794">
        <v>1</v>
      </c>
      <c r="K319" s="1956" t="s">
        <v>960</v>
      </c>
      <c r="L319" s="1956">
        <v>1</v>
      </c>
      <c r="M319" s="1956">
        <v>1</v>
      </c>
      <c r="N319" s="1956" t="s">
        <v>811</v>
      </c>
      <c r="O319" s="1956" t="s">
        <v>8756</v>
      </c>
      <c r="P319" s="1956"/>
      <c r="Q319" s="1956"/>
      <c r="R319" s="2088"/>
      <c r="S319" s="2256" t="s">
        <v>9056</v>
      </c>
      <c r="T319" s="1956" t="s">
        <v>7589</v>
      </c>
      <c r="U319" s="1794" t="s">
        <v>7281</v>
      </c>
      <c r="V319" s="1956" t="s">
        <v>7918</v>
      </c>
      <c r="W319" s="1956" t="s">
        <v>8366</v>
      </c>
      <c r="X319" s="1956" t="s">
        <v>8756</v>
      </c>
      <c r="Y319" s="1748"/>
      <c r="Z319" s="1748"/>
      <c r="AA319" s="1748"/>
      <c r="AB319" s="1748"/>
      <c r="AC319" s="1748"/>
      <c r="AD319" s="1748"/>
      <c r="AE319" s="1748"/>
      <c r="AF319" s="1748"/>
      <c r="AG319" s="1748"/>
      <c r="AH319" s="1748"/>
      <c r="AI319" s="1748"/>
      <c r="AJ319" s="1748"/>
      <c r="AK319" s="1748"/>
      <c r="AL319" s="1748"/>
      <c r="AM319" s="1748"/>
      <c r="AN319" s="1748"/>
      <c r="AO319" s="1748"/>
      <c r="AP319" s="1748"/>
      <c r="AQ319" s="1748"/>
      <c r="AR319" s="1748"/>
      <c r="AS319" s="1748"/>
      <c r="AT319" s="1748"/>
    </row>
    <row r="320" spans="1:78" s="1816" customFormat="1" ht="273.95" customHeight="1">
      <c r="A320" s="1899"/>
      <c r="B320" s="1855" t="s">
        <v>6958</v>
      </c>
      <c r="C320" s="1850">
        <v>0</v>
      </c>
      <c r="D320" s="1850">
        <v>0</v>
      </c>
      <c r="E320" s="1852">
        <v>0.5</v>
      </c>
      <c r="F320" s="1852">
        <v>0</v>
      </c>
      <c r="G320" s="1852">
        <v>1</v>
      </c>
      <c r="H320" s="1852">
        <v>0</v>
      </c>
      <c r="I320" s="2086"/>
      <c r="J320" s="1794">
        <v>0</v>
      </c>
      <c r="K320" s="1799" t="s">
        <v>1060</v>
      </c>
      <c r="L320" s="1956">
        <v>0.5</v>
      </c>
      <c r="M320" s="1956">
        <v>0</v>
      </c>
      <c r="N320" s="1956" t="s">
        <v>811</v>
      </c>
      <c r="O320" s="1956" t="s">
        <v>763</v>
      </c>
      <c r="P320" s="1956"/>
      <c r="Q320" s="1956"/>
      <c r="R320" s="2088"/>
      <c r="S320" s="2256" t="s">
        <v>9057</v>
      </c>
      <c r="T320" s="2029" t="s">
        <v>9019</v>
      </c>
      <c r="U320" s="1956" t="s">
        <v>7282</v>
      </c>
      <c r="V320" s="1956" t="s">
        <v>7919</v>
      </c>
      <c r="W320" s="1956" t="s">
        <v>8367</v>
      </c>
      <c r="X320" s="1956" t="s">
        <v>763</v>
      </c>
      <c r="Y320" s="1748"/>
      <c r="Z320" s="1748"/>
      <c r="AA320" s="1748"/>
      <c r="AB320" s="1748"/>
      <c r="AC320" s="1748"/>
      <c r="AD320" s="1748"/>
      <c r="AE320" s="1748"/>
      <c r="AF320" s="1748"/>
      <c r="AG320" s="1748"/>
      <c r="AH320" s="1748"/>
      <c r="AI320" s="1748"/>
      <c r="AJ320" s="1748"/>
      <c r="AK320" s="1748"/>
      <c r="AL320" s="1748"/>
      <c r="AM320" s="1748"/>
      <c r="AN320" s="1748"/>
      <c r="AO320" s="1748"/>
      <c r="AP320" s="1748"/>
      <c r="AQ320" s="1748"/>
      <c r="AR320" s="1748"/>
      <c r="AS320" s="1748"/>
      <c r="AT320" s="1748"/>
    </row>
    <row r="321" spans="1:46" s="1816" customFormat="1" ht="111.95" customHeight="1">
      <c r="A321" s="2504"/>
      <c r="B321" s="2061" t="s">
        <v>7152</v>
      </c>
      <c r="C321" s="2303">
        <f>IF(J321&gt;$P321,1,IF(J321&lt;$Q321,0,(J321-$Q321)/($P321-$Q321)))</f>
        <v>1</v>
      </c>
      <c r="D321" s="2303">
        <f t="shared" ref="D321" si="82">IF(K321&gt;$P321,1,IF(K321&lt;$Q321,0,(K321-$Q321)/($P321-$Q321)))</f>
        <v>1</v>
      </c>
      <c r="E321" s="2303">
        <f t="shared" ref="E321" si="83">IF(L321&gt;$P321,1,IF(L321&lt;$Q321,0,(L321-$Q321)/($P321-$Q321)))</f>
        <v>0</v>
      </c>
      <c r="F321" s="2303">
        <f t="shared" ref="F321" si="84">IF(M321&gt;$P321,1,IF(M321&lt;$Q321,0,(M321-$Q321)/($P321-$Q321)))</f>
        <v>1</v>
      </c>
      <c r="G321" s="2303">
        <f t="shared" ref="G321" si="85">IF(N321&gt;$P321,1,IF(N321&lt;$Q321,0,(N321-$Q321)/($P321-$Q321)))</f>
        <v>1</v>
      </c>
      <c r="H321" s="2303">
        <f t="shared" ref="H321" si="86">IF(O321&gt;$P321,1,IF(O321&lt;$Q321,0,(O321-$Q321)/($P321-$Q321)))</f>
        <v>1</v>
      </c>
      <c r="I321" s="2086"/>
      <c r="J321" s="2384">
        <v>0.5625</v>
      </c>
      <c r="K321" s="2384">
        <v>0.88239999999999996</v>
      </c>
      <c r="L321" s="2062">
        <v>0</v>
      </c>
      <c r="M321" s="2384">
        <v>0.5333</v>
      </c>
      <c r="N321" s="2384">
        <v>0.27800000000000002</v>
      </c>
      <c r="O321" s="2384">
        <v>0.52400000000000002</v>
      </c>
      <c r="P321" s="2384">
        <v>0.27300000000000002</v>
      </c>
      <c r="Q321" s="2062">
        <v>0</v>
      </c>
      <c r="R321" s="2088"/>
      <c r="S321" s="2062" t="s">
        <v>9175</v>
      </c>
      <c r="T321" s="2062" t="s">
        <v>9177</v>
      </c>
      <c r="U321" s="2062" t="s">
        <v>9176</v>
      </c>
      <c r="V321" s="2062" t="s">
        <v>9178</v>
      </c>
      <c r="W321" s="2062" t="s">
        <v>9179</v>
      </c>
      <c r="X321" s="2384" t="s">
        <v>9180</v>
      </c>
      <c r="Y321" s="1748"/>
      <c r="Z321" s="1748"/>
      <c r="AA321" s="1748"/>
      <c r="AB321" s="1748"/>
      <c r="AC321" s="1748"/>
      <c r="AD321" s="1748"/>
      <c r="AE321" s="1748"/>
      <c r="AF321" s="1748"/>
      <c r="AG321" s="1748"/>
      <c r="AH321" s="1748"/>
      <c r="AI321" s="1748"/>
      <c r="AJ321" s="1748"/>
      <c r="AK321" s="1748"/>
      <c r="AL321" s="1748"/>
      <c r="AM321" s="1748"/>
      <c r="AN321" s="1748"/>
      <c r="AO321" s="1748"/>
      <c r="AP321" s="1748"/>
      <c r="AQ321" s="1748"/>
      <c r="AR321" s="1748"/>
      <c r="AS321" s="1748"/>
      <c r="AT321" s="1748"/>
    </row>
    <row r="322" spans="1:46" s="1816" customFormat="1" ht="32.1" customHeight="1">
      <c r="A322" s="1899"/>
      <c r="B322" s="1867" t="s">
        <v>7001</v>
      </c>
      <c r="C322" s="1837">
        <v>1</v>
      </c>
      <c r="D322" s="1853">
        <v>1</v>
      </c>
      <c r="E322" s="1854">
        <v>0.5</v>
      </c>
      <c r="F322" s="1853">
        <v>0.5</v>
      </c>
      <c r="G322" s="1853">
        <v>0</v>
      </c>
      <c r="H322" s="1852">
        <v>1</v>
      </c>
      <c r="I322" s="2086"/>
      <c r="J322" s="2217">
        <v>1</v>
      </c>
      <c r="K322" s="1956" t="s">
        <v>811</v>
      </c>
      <c r="L322" s="1956">
        <v>0.5</v>
      </c>
      <c r="M322" s="1956">
        <v>0.5</v>
      </c>
      <c r="N322" s="1794" t="s">
        <v>748</v>
      </c>
      <c r="O322" s="1956" t="s">
        <v>8757</v>
      </c>
      <c r="P322" s="1956"/>
      <c r="Q322" s="1956"/>
      <c r="R322" s="2088"/>
      <c r="S322" s="2259" t="s">
        <v>9058</v>
      </c>
      <c r="T322" s="1956" t="s">
        <v>7590</v>
      </c>
      <c r="U322" s="1956" t="s">
        <v>7283</v>
      </c>
      <c r="V322" s="1956" t="s">
        <v>7920</v>
      </c>
      <c r="W322" s="1956"/>
      <c r="X322" s="1956" t="s">
        <v>8757</v>
      </c>
      <c r="Y322" s="1748"/>
      <c r="Z322" s="1748"/>
      <c r="AA322" s="1748"/>
      <c r="AB322" s="1748"/>
      <c r="AC322" s="1748"/>
      <c r="AD322" s="1748"/>
      <c r="AE322" s="1748"/>
      <c r="AF322" s="1748"/>
      <c r="AG322" s="1748"/>
      <c r="AH322" s="1748"/>
      <c r="AI322" s="1748"/>
      <c r="AJ322" s="1748"/>
      <c r="AK322" s="1748"/>
      <c r="AL322" s="1748"/>
      <c r="AM322" s="1748"/>
      <c r="AN322" s="1748"/>
      <c r="AO322" s="1748"/>
      <c r="AP322" s="1748"/>
      <c r="AQ322" s="1748"/>
      <c r="AR322" s="1748"/>
      <c r="AS322" s="1748"/>
      <c r="AT322" s="1748"/>
    </row>
    <row r="323" spans="1:46" s="1816" customFormat="1" ht="32.1" customHeight="1">
      <c r="A323" s="2500"/>
      <c r="B323" s="2122" t="s">
        <v>7002</v>
      </c>
      <c r="C323" s="2123">
        <f>AVERAGE(C324:C326)</f>
        <v>0.83333333333333337</v>
      </c>
      <c r="D323" s="2123">
        <f t="shared" ref="D323:G323" si="87">AVERAGE(D324:D326)</f>
        <v>0.83333333333333337</v>
      </c>
      <c r="E323" s="2123">
        <f t="shared" si="87"/>
        <v>0.5</v>
      </c>
      <c r="F323" s="2123">
        <f t="shared" si="87"/>
        <v>1</v>
      </c>
      <c r="G323" s="2123">
        <f t="shared" si="87"/>
        <v>0.66666666666666663</v>
      </c>
      <c r="H323" s="2123">
        <f>AVERAGE(H324:H326)</f>
        <v>1</v>
      </c>
      <c r="I323" s="2086"/>
      <c r="J323" s="1910"/>
      <c r="K323" s="1958"/>
      <c r="L323" s="1958"/>
      <c r="M323" s="1958"/>
      <c r="N323" s="1911"/>
      <c r="O323" s="1958"/>
      <c r="P323" s="1958"/>
      <c r="Q323" s="1958"/>
      <c r="R323" s="2088"/>
      <c r="S323" s="2260"/>
      <c r="T323" s="1958"/>
      <c r="U323" s="1958"/>
      <c r="V323" s="1958"/>
      <c r="W323" s="1958"/>
      <c r="X323" s="1958" t="s">
        <v>8758</v>
      </c>
      <c r="Y323" s="1748"/>
      <c r="Z323" s="1748"/>
      <c r="AA323" s="1748"/>
      <c r="AB323" s="1748"/>
      <c r="AC323" s="1748"/>
      <c r="AD323" s="1748"/>
      <c r="AE323" s="1748"/>
      <c r="AF323" s="1748"/>
      <c r="AG323" s="1748"/>
      <c r="AH323" s="1748"/>
      <c r="AI323" s="1748"/>
      <c r="AJ323" s="1748"/>
      <c r="AK323" s="1748"/>
      <c r="AL323" s="1748"/>
      <c r="AM323" s="1748"/>
      <c r="AN323" s="1748"/>
      <c r="AO323" s="1748"/>
      <c r="AP323" s="1748"/>
      <c r="AQ323" s="1748"/>
      <c r="AR323" s="1748"/>
      <c r="AS323" s="1748"/>
      <c r="AT323" s="1748"/>
    </row>
    <row r="324" spans="1:46" s="1816" customFormat="1" ht="32.1" customHeight="1">
      <c r="A324" s="1899"/>
      <c r="B324" s="1855" t="s">
        <v>7003</v>
      </c>
      <c r="C324" s="1837">
        <v>1</v>
      </c>
      <c r="D324" s="1853">
        <v>1</v>
      </c>
      <c r="E324" s="1854">
        <v>0.5</v>
      </c>
      <c r="F324" s="1853">
        <v>1</v>
      </c>
      <c r="G324" s="1853">
        <v>1</v>
      </c>
      <c r="H324" s="1852">
        <v>1</v>
      </c>
      <c r="I324" s="2086"/>
      <c r="J324" s="2217">
        <v>1</v>
      </c>
      <c r="K324" s="1956" t="s">
        <v>811</v>
      </c>
      <c r="L324" s="1956">
        <v>0.5</v>
      </c>
      <c r="M324" s="1956">
        <v>1</v>
      </c>
      <c r="N324" s="1794" t="s">
        <v>811</v>
      </c>
      <c r="O324" s="1956" t="s">
        <v>8759</v>
      </c>
      <c r="P324" s="1956"/>
      <c r="Q324" s="1956"/>
      <c r="R324" s="2088"/>
      <c r="S324" s="2327" t="s">
        <v>9059</v>
      </c>
      <c r="T324" s="1956" t="s">
        <v>7591</v>
      </c>
      <c r="U324" s="1956" t="s">
        <v>7284</v>
      </c>
      <c r="V324" s="1956" t="s">
        <v>7921</v>
      </c>
      <c r="W324" s="1956" t="s">
        <v>8375</v>
      </c>
      <c r="X324" s="1956" t="s">
        <v>8759</v>
      </c>
      <c r="Y324" s="1748"/>
      <c r="Z324" s="1748"/>
      <c r="AA324" s="1748"/>
      <c r="AB324" s="1748"/>
      <c r="AC324" s="1748"/>
      <c r="AD324" s="1748"/>
      <c r="AE324" s="1748"/>
      <c r="AF324" s="1748"/>
      <c r="AG324" s="1748"/>
      <c r="AH324" s="1748"/>
      <c r="AI324" s="1748"/>
      <c r="AJ324" s="1748"/>
      <c r="AK324" s="1748"/>
      <c r="AL324" s="1748"/>
      <c r="AM324" s="1748"/>
      <c r="AN324" s="1748"/>
      <c r="AO324" s="1748"/>
      <c r="AP324" s="1748"/>
      <c r="AQ324" s="1748"/>
      <c r="AR324" s="1748"/>
      <c r="AS324" s="1748"/>
      <c r="AT324" s="1748"/>
    </row>
    <row r="325" spans="1:46" s="1816" customFormat="1" ht="32.25" customHeight="1">
      <c r="A325" s="1899"/>
      <c r="B325" s="1855" t="s">
        <v>7004</v>
      </c>
      <c r="C325" s="1837">
        <v>1</v>
      </c>
      <c r="D325" s="1853">
        <v>1</v>
      </c>
      <c r="E325" s="1854">
        <v>0.5</v>
      </c>
      <c r="F325" s="1853">
        <v>1</v>
      </c>
      <c r="G325" s="1853">
        <v>1</v>
      </c>
      <c r="H325" s="1852">
        <v>1</v>
      </c>
      <c r="I325" s="2086"/>
      <c r="J325" s="2217">
        <v>1</v>
      </c>
      <c r="K325" s="1956" t="s">
        <v>1134</v>
      </c>
      <c r="L325" s="1956">
        <v>0.5</v>
      </c>
      <c r="M325" s="1956">
        <v>1</v>
      </c>
      <c r="N325" s="1794" t="s">
        <v>811</v>
      </c>
      <c r="O325" s="1956" t="s">
        <v>8760</v>
      </c>
      <c r="P325" s="1956"/>
      <c r="Q325" s="1956"/>
      <c r="R325" s="2088"/>
      <c r="S325" s="2258" t="s">
        <v>9060</v>
      </c>
      <c r="T325" s="1956" t="s">
        <v>7592</v>
      </c>
      <c r="U325" s="1956" t="s">
        <v>7285</v>
      </c>
      <c r="V325" s="1956" t="s">
        <v>948</v>
      </c>
      <c r="W325" s="1956" t="s">
        <v>8376</v>
      </c>
      <c r="X325" s="1956" t="s">
        <v>8760</v>
      </c>
      <c r="Y325" s="1748"/>
      <c r="Z325" s="1748"/>
      <c r="AA325" s="1748"/>
      <c r="AB325" s="1748"/>
      <c r="AC325" s="1748"/>
      <c r="AD325" s="1748"/>
      <c r="AE325" s="1748"/>
      <c r="AF325" s="1748"/>
      <c r="AG325" s="1748"/>
      <c r="AH325" s="1748"/>
      <c r="AI325" s="1748"/>
      <c r="AJ325" s="1748"/>
      <c r="AK325" s="1748"/>
      <c r="AL325" s="1748"/>
      <c r="AM325" s="1748"/>
      <c r="AN325" s="1748"/>
      <c r="AO325" s="1748"/>
      <c r="AP325" s="1748"/>
      <c r="AQ325" s="1748"/>
      <c r="AR325" s="1748"/>
      <c r="AS325" s="1748"/>
      <c r="AT325" s="1748"/>
    </row>
    <row r="326" spans="1:46" s="1816" customFormat="1" ht="66.75" customHeight="1">
      <c r="A326" s="1899"/>
      <c r="B326" s="1855" t="s">
        <v>7005</v>
      </c>
      <c r="C326" s="1837">
        <v>0.5</v>
      </c>
      <c r="D326" s="1853">
        <v>0.5</v>
      </c>
      <c r="E326" s="1854">
        <v>0.5</v>
      </c>
      <c r="F326" s="1853">
        <v>1</v>
      </c>
      <c r="G326" s="1829">
        <v>0</v>
      </c>
      <c r="H326" s="1852">
        <v>1</v>
      </c>
      <c r="I326" s="2086"/>
      <c r="J326" s="2218" t="s">
        <v>6225</v>
      </c>
      <c r="K326" s="1956" t="s">
        <v>2454</v>
      </c>
      <c r="L326" s="1956">
        <v>0.5</v>
      </c>
      <c r="M326" s="1956">
        <v>1</v>
      </c>
      <c r="N326" s="1794" t="s">
        <v>748</v>
      </c>
      <c r="O326" s="1956" t="s">
        <v>8761</v>
      </c>
      <c r="P326" s="1956"/>
      <c r="Q326" s="1956"/>
      <c r="R326" s="2088"/>
      <c r="S326" s="2258" t="s">
        <v>9061</v>
      </c>
      <c r="T326" s="1956" t="s">
        <v>7593</v>
      </c>
      <c r="U326" s="1956" t="s">
        <v>7286</v>
      </c>
      <c r="V326" s="1956" t="s">
        <v>7922</v>
      </c>
      <c r="W326" s="1939" t="s">
        <v>748</v>
      </c>
      <c r="X326" s="1956" t="s">
        <v>8761</v>
      </c>
      <c r="Y326" s="1748"/>
      <c r="Z326" s="1748"/>
      <c r="AA326" s="1748"/>
      <c r="AB326" s="1748"/>
      <c r="AC326" s="1748"/>
      <c r="AD326" s="1748"/>
      <c r="AE326" s="1748"/>
      <c r="AF326" s="1748"/>
      <c r="AG326" s="1748"/>
      <c r="AH326" s="1748"/>
      <c r="AI326" s="1748"/>
      <c r="AJ326" s="1748"/>
      <c r="AK326" s="1748"/>
      <c r="AL326" s="1748"/>
      <c r="AM326" s="1748"/>
      <c r="AN326" s="1748"/>
      <c r="AO326" s="1748"/>
      <c r="AP326" s="1748"/>
      <c r="AQ326" s="1748"/>
      <c r="AR326" s="1748"/>
      <c r="AS326" s="1748"/>
      <c r="AT326" s="1748"/>
    </row>
    <row r="327" spans="1:46" s="1816" customFormat="1" ht="23.1" customHeight="1">
      <c r="A327" s="2500"/>
      <c r="B327" s="2122" t="s">
        <v>7006</v>
      </c>
      <c r="C327" s="2123">
        <f>AVERAGE(C328:C329)</f>
        <v>0</v>
      </c>
      <c r="D327" s="2123">
        <f t="shared" ref="D327:H327" si="88">AVERAGE(D328:D329)</f>
        <v>1</v>
      </c>
      <c r="E327" s="2123">
        <f t="shared" si="88"/>
        <v>0</v>
      </c>
      <c r="F327" s="2123">
        <f t="shared" si="88"/>
        <v>0.5</v>
      </c>
      <c r="G327" s="2123">
        <f t="shared" si="88"/>
        <v>0</v>
      </c>
      <c r="H327" s="2123">
        <f t="shared" si="88"/>
        <v>0</v>
      </c>
      <c r="I327" s="2086"/>
      <c r="J327" s="1910"/>
      <c r="K327" s="1958"/>
      <c r="L327" s="1958"/>
      <c r="M327" s="1958"/>
      <c r="N327" s="1911"/>
      <c r="O327" s="1958"/>
      <c r="P327" s="1958"/>
      <c r="Q327" s="1958"/>
      <c r="R327" s="2088"/>
      <c r="S327" s="2260"/>
      <c r="T327" s="1958"/>
      <c r="U327" s="1958"/>
      <c r="V327" s="1958"/>
      <c r="W327" s="1967"/>
      <c r="X327" s="1958"/>
      <c r="Y327" s="1748"/>
      <c r="Z327" s="1748"/>
      <c r="AA327" s="1748"/>
      <c r="AB327" s="1748"/>
      <c r="AC327" s="1748"/>
      <c r="AD327" s="1748"/>
      <c r="AE327" s="1748"/>
      <c r="AF327" s="1748"/>
      <c r="AG327" s="1748"/>
      <c r="AH327" s="1748"/>
      <c r="AI327" s="1748"/>
      <c r="AJ327" s="1748"/>
      <c r="AK327" s="1748"/>
      <c r="AL327" s="1748"/>
      <c r="AM327" s="1748"/>
      <c r="AN327" s="1748"/>
      <c r="AO327" s="1748"/>
      <c r="AP327" s="1748"/>
      <c r="AQ327" s="1748"/>
      <c r="AR327" s="1748"/>
      <c r="AS327" s="1748"/>
      <c r="AT327" s="1748"/>
    </row>
    <row r="328" spans="1:46" s="1816" customFormat="1" ht="165" customHeight="1">
      <c r="A328" s="1899"/>
      <c r="B328" s="1855" t="s">
        <v>7007</v>
      </c>
      <c r="C328" s="1837">
        <v>0</v>
      </c>
      <c r="D328" s="1829">
        <v>1</v>
      </c>
      <c r="E328" s="1846">
        <v>0</v>
      </c>
      <c r="F328" s="1829">
        <v>1</v>
      </c>
      <c r="G328" s="1829">
        <v>0</v>
      </c>
      <c r="H328" s="1850">
        <v>0</v>
      </c>
      <c r="I328" s="2086"/>
      <c r="J328" s="2217">
        <v>0</v>
      </c>
      <c r="K328" s="1956" t="s">
        <v>811</v>
      </c>
      <c r="L328" s="1956">
        <v>0</v>
      </c>
      <c r="M328" s="1956">
        <v>1</v>
      </c>
      <c r="N328" s="1794" t="s">
        <v>748</v>
      </c>
      <c r="O328" s="1956" t="s">
        <v>8762</v>
      </c>
      <c r="P328" s="1956"/>
      <c r="Q328" s="1956"/>
      <c r="R328" s="2088"/>
      <c r="S328" s="2258" t="s">
        <v>9062</v>
      </c>
      <c r="T328" s="1794" t="s">
        <v>7594</v>
      </c>
      <c r="U328" s="1794" t="s">
        <v>7287</v>
      </c>
      <c r="V328" s="1794" t="s">
        <v>811</v>
      </c>
      <c r="W328" s="1939" t="s">
        <v>748</v>
      </c>
      <c r="X328" s="1956" t="s">
        <v>8762</v>
      </c>
      <c r="Y328" s="1748"/>
      <c r="Z328" s="1748"/>
      <c r="AA328" s="1748"/>
      <c r="AB328" s="1748"/>
      <c r="AC328" s="1748"/>
      <c r="AD328" s="1748"/>
      <c r="AE328" s="1748"/>
      <c r="AF328" s="1748"/>
      <c r="AG328" s="1748"/>
      <c r="AH328" s="1748"/>
      <c r="AI328" s="1748"/>
      <c r="AJ328" s="1748"/>
      <c r="AK328" s="1748"/>
      <c r="AL328" s="1748"/>
      <c r="AM328" s="1748"/>
      <c r="AN328" s="1748"/>
      <c r="AO328" s="1748"/>
      <c r="AP328" s="1748"/>
      <c r="AQ328" s="1748"/>
      <c r="AR328" s="1748"/>
      <c r="AS328" s="1748"/>
      <c r="AT328" s="1748"/>
    </row>
    <row r="329" spans="1:46" s="1816" customFormat="1" ht="111.95" customHeight="1">
      <c r="A329" s="1899"/>
      <c r="B329" s="1855" t="s">
        <v>7057</v>
      </c>
      <c r="C329" s="1837">
        <v>0</v>
      </c>
      <c r="D329" s="1829" t="s">
        <v>877</v>
      </c>
      <c r="E329" s="1846">
        <v>0</v>
      </c>
      <c r="F329" s="1829">
        <v>0</v>
      </c>
      <c r="G329" s="1829" t="s">
        <v>877</v>
      </c>
      <c r="H329" s="1850" t="s">
        <v>877</v>
      </c>
      <c r="I329" s="2086"/>
      <c r="J329" s="2217">
        <v>0</v>
      </c>
      <c r="K329" s="1799" t="s">
        <v>877</v>
      </c>
      <c r="L329" s="1956">
        <v>0</v>
      </c>
      <c r="M329" s="1956">
        <v>0</v>
      </c>
      <c r="N329" s="1794" t="s">
        <v>9083</v>
      </c>
      <c r="O329" s="1956" t="s">
        <v>8763</v>
      </c>
      <c r="P329" s="1956"/>
      <c r="Q329" s="1956"/>
      <c r="R329" s="2088"/>
      <c r="S329" s="1795" t="s">
        <v>9063</v>
      </c>
      <c r="T329" s="2029" t="s">
        <v>9020</v>
      </c>
      <c r="U329" s="1794" t="s">
        <v>748</v>
      </c>
      <c r="V329" s="1794">
        <v>0</v>
      </c>
      <c r="W329" s="1939" t="s">
        <v>9083</v>
      </c>
      <c r="X329" s="1956" t="s">
        <v>8763</v>
      </c>
      <c r="Y329" s="1748"/>
      <c r="Z329" s="1748"/>
      <c r="AA329" s="1748"/>
      <c r="AB329" s="1748"/>
      <c r="AC329" s="1748"/>
      <c r="AD329" s="1748"/>
      <c r="AE329" s="1748"/>
      <c r="AF329" s="1748"/>
      <c r="AG329" s="1748"/>
      <c r="AH329" s="1748"/>
      <c r="AI329" s="1748"/>
      <c r="AJ329" s="1748"/>
      <c r="AK329" s="1748"/>
      <c r="AL329" s="1748"/>
      <c r="AM329" s="1748"/>
      <c r="AN329" s="1748"/>
      <c r="AO329" s="1748"/>
      <c r="AP329" s="1748"/>
      <c r="AQ329" s="1748"/>
      <c r="AR329" s="1748"/>
      <c r="AS329" s="1748"/>
      <c r="AT329" s="1748"/>
    </row>
    <row r="330" spans="1:46" s="1816" customFormat="1" ht="21" customHeight="1">
      <c r="A330" s="2500"/>
      <c r="B330" s="2122" t="s">
        <v>7008</v>
      </c>
      <c r="C330" s="2123">
        <f>AVERAGE(C331:C332)</f>
        <v>0.75</v>
      </c>
      <c r="D330" s="2123">
        <f t="shared" ref="D330:H330" si="89">AVERAGE(D331:D332)</f>
        <v>0.75</v>
      </c>
      <c r="E330" s="2123">
        <f t="shared" si="89"/>
        <v>1</v>
      </c>
      <c r="F330" s="2123">
        <f t="shared" si="89"/>
        <v>1</v>
      </c>
      <c r="G330" s="2123">
        <f>AVERAGE(G331:G332)</f>
        <v>1</v>
      </c>
      <c r="H330" s="2123">
        <f t="shared" si="89"/>
        <v>0</v>
      </c>
      <c r="I330" s="2086"/>
      <c r="J330" s="1910"/>
      <c r="K330" s="1958"/>
      <c r="L330" s="1958"/>
      <c r="M330" s="1958"/>
      <c r="N330" s="1911"/>
      <c r="O330" s="1958"/>
      <c r="P330" s="1958"/>
      <c r="Q330" s="1958"/>
      <c r="R330" s="2088"/>
      <c r="S330" s="2260"/>
      <c r="T330" s="1958"/>
      <c r="U330" s="1958"/>
      <c r="V330" s="1958"/>
      <c r="W330" s="2124"/>
      <c r="X330" s="1958"/>
      <c r="Y330" s="1748"/>
      <c r="Z330" s="1748"/>
      <c r="AA330" s="1748"/>
      <c r="AB330" s="1748"/>
      <c r="AC330" s="1748"/>
      <c r="AD330" s="1748"/>
      <c r="AE330" s="1748"/>
      <c r="AF330" s="1748"/>
      <c r="AG330" s="1748"/>
      <c r="AH330" s="1748"/>
      <c r="AI330" s="1748"/>
      <c r="AJ330" s="1748"/>
      <c r="AK330" s="1748"/>
      <c r="AL330" s="1748"/>
      <c r="AM330" s="1748"/>
      <c r="AN330" s="1748"/>
      <c r="AO330" s="1748"/>
      <c r="AP330" s="1748"/>
      <c r="AQ330" s="1748"/>
      <c r="AR330" s="1748"/>
      <c r="AS330" s="1748"/>
      <c r="AT330" s="1748"/>
    </row>
    <row r="331" spans="1:46" s="1816" customFormat="1" ht="18.95" customHeight="1">
      <c r="A331" s="1899"/>
      <c r="B331" s="1855" t="s">
        <v>7009</v>
      </c>
      <c r="C331" s="1837">
        <v>1</v>
      </c>
      <c r="D331" s="1853">
        <v>1</v>
      </c>
      <c r="E331" s="1854">
        <v>1</v>
      </c>
      <c r="F331" s="1853">
        <v>1</v>
      </c>
      <c r="G331" s="1853">
        <v>1</v>
      </c>
      <c r="H331" s="1852">
        <v>0</v>
      </c>
      <c r="I331" s="2086"/>
      <c r="J331" s="2217">
        <v>1</v>
      </c>
      <c r="K331" s="1956" t="s">
        <v>5016</v>
      </c>
      <c r="L331" s="1956">
        <v>1</v>
      </c>
      <c r="M331" s="1956">
        <v>1</v>
      </c>
      <c r="N331" s="1794" t="s">
        <v>811</v>
      </c>
      <c r="O331" s="1956" t="s">
        <v>8764</v>
      </c>
      <c r="P331" s="1956"/>
      <c r="Q331" s="1956"/>
      <c r="R331" s="2088"/>
      <c r="S331" s="2256" t="s">
        <v>9064</v>
      </c>
      <c r="T331" s="1956" t="s">
        <v>7595</v>
      </c>
      <c r="U331" s="1956" t="s">
        <v>7288</v>
      </c>
      <c r="V331" s="1956" t="s">
        <v>811</v>
      </c>
      <c r="W331" s="1986" t="s">
        <v>811</v>
      </c>
      <c r="X331" s="1956" t="s">
        <v>8764</v>
      </c>
      <c r="Y331" s="1748"/>
      <c r="Z331" s="1748"/>
      <c r="AA331" s="1748"/>
      <c r="AB331" s="1748"/>
      <c r="AC331" s="1748"/>
      <c r="AD331" s="1748"/>
      <c r="AE331" s="1748"/>
      <c r="AF331" s="1748"/>
      <c r="AG331" s="1748"/>
      <c r="AH331" s="1748"/>
      <c r="AI331" s="1748"/>
      <c r="AJ331" s="1748"/>
      <c r="AK331" s="1748"/>
      <c r="AL331" s="1748"/>
      <c r="AM331" s="1748"/>
      <c r="AN331" s="1748"/>
      <c r="AO331" s="1748"/>
      <c r="AP331" s="1748"/>
      <c r="AQ331" s="1748"/>
      <c r="AR331" s="1748"/>
      <c r="AS331" s="1748"/>
      <c r="AT331" s="1748"/>
    </row>
    <row r="332" spans="1:46" s="1816" customFormat="1" ht="108.95" customHeight="1">
      <c r="A332" s="1899"/>
      <c r="B332" s="1855" t="s">
        <v>7056</v>
      </c>
      <c r="C332" s="1837">
        <v>0.5</v>
      </c>
      <c r="D332" s="1853">
        <v>0.5</v>
      </c>
      <c r="E332" s="1854">
        <v>1</v>
      </c>
      <c r="F332" s="1829" t="s">
        <v>877</v>
      </c>
      <c r="G332" s="1829" t="s">
        <v>877</v>
      </c>
      <c r="H332" s="1852">
        <v>0</v>
      </c>
      <c r="I332" s="2086"/>
      <c r="J332" s="2218" t="s">
        <v>6225</v>
      </c>
      <c r="K332" s="1956" t="s">
        <v>7384</v>
      </c>
      <c r="L332" s="1956">
        <v>1</v>
      </c>
      <c r="M332" s="1956" t="s">
        <v>877</v>
      </c>
      <c r="N332" s="1802" t="s">
        <v>9084</v>
      </c>
      <c r="O332" s="1956" t="s">
        <v>8765</v>
      </c>
      <c r="P332" s="1956"/>
      <c r="Q332" s="1956"/>
      <c r="R332" s="2088"/>
      <c r="S332" s="2256" t="s">
        <v>9065</v>
      </c>
      <c r="T332" s="1956" t="s">
        <v>7596</v>
      </c>
      <c r="U332" s="1956" t="s">
        <v>7289</v>
      </c>
      <c r="V332" s="1956" t="s">
        <v>7923</v>
      </c>
      <c r="W332" s="2247" t="s">
        <v>9084</v>
      </c>
      <c r="X332" s="1956" t="s">
        <v>8765</v>
      </c>
      <c r="Y332" s="1748"/>
      <c r="Z332" s="1748"/>
      <c r="AA332" s="1748"/>
      <c r="AB332" s="1748"/>
      <c r="AC332" s="1748"/>
      <c r="AD332" s="1748"/>
      <c r="AE332" s="1748"/>
      <c r="AF332" s="1748"/>
      <c r="AG332" s="1748"/>
      <c r="AH332" s="1748"/>
      <c r="AI332" s="1748"/>
      <c r="AJ332" s="1748"/>
      <c r="AK332" s="1748"/>
      <c r="AL332" s="1748"/>
      <c r="AM332" s="1748"/>
      <c r="AN332" s="1748"/>
      <c r="AO332" s="1748"/>
      <c r="AP332" s="1748"/>
      <c r="AQ332" s="1748"/>
      <c r="AR332" s="1748"/>
      <c r="AS332" s="1748"/>
      <c r="AT332" s="1748"/>
    </row>
    <row r="333" spans="1:46" s="1816" customFormat="1" ht="21.95" customHeight="1">
      <c r="A333" s="2500"/>
      <c r="B333" s="2122" t="s">
        <v>7010</v>
      </c>
      <c r="C333" s="2123">
        <f>AVERAGE(C334:C335)</f>
        <v>0.75</v>
      </c>
      <c r="D333" s="2123">
        <f t="shared" ref="D333:H333" si="90">AVERAGE(D334:D335)</f>
        <v>1</v>
      </c>
      <c r="E333" s="2123">
        <f t="shared" si="90"/>
        <v>1</v>
      </c>
      <c r="F333" s="2123">
        <f t="shared" si="90"/>
        <v>0.75</v>
      </c>
      <c r="G333" s="2123">
        <f t="shared" si="90"/>
        <v>0.75</v>
      </c>
      <c r="H333" s="2123">
        <f t="shared" si="90"/>
        <v>0.75</v>
      </c>
      <c r="I333" s="2086"/>
      <c r="J333" s="1910"/>
      <c r="K333" s="1958"/>
      <c r="L333" s="1958"/>
      <c r="M333" s="1958"/>
      <c r="N333" s="1911"/>
      <c r="O333" s="1958"/>
      <c r="P333" s="1958"/>
      <c r="Q333" s="1958"/>
      <c r="R333" s="2088"/>
      <c r="S333" s="2260"/>
      <c r="T333" s="1958"/>
      <c r="U333" s="1958"/>
      <c r="V333" s="1958"/>
      <c r="W333" s="2124"/>
      <c r="X333" s="1958"/>
      <c r="Y333" s="1748"/>
      <c r="Z333" s="1748"/>
      <c r="AA333" s="1748"/>
      <c r="AB333" s="1748"/>
      <c r="AC333" s="1748"/>
      <c r="AD333" s="1748"/>
      <c r="AE333" s="1748"/>
      <c r="AF333" s="1748"/>
      <c r="AG333" s="1748"/>
      <c r="AH333" s="1748"/>
      <c r="AI333" s="1748"/>
      <c r="AJ333" s="1748"/>
      <c r="AK333" s="1748"/>
      <c r="AL333" s="1748"/>
      <c r="AM333" s="1748"/>
      <c r="AN333" s="1748"/>
      <c r="AO333" s="1748"/>
      <c r="AP333" s="1748"/>
      <c r="AQ333" s="1748"/>
      <c r="AR333" s="1748"/>
      <c r="AS333" s="1748"/>
      <c r="AT333" s="1748"/>
    </row>
    <row r="334" spans="1:46" s="1816" customFormat="1" ht="33.950000000000003" customHeight="1">
      <c r="A334" s="1899"/>
      <c r="B334" s="1855" t="s">
        <v>7011</v>
      </c>
      <c r="C334" s="1837">
        <v>1</v>
      </c>
      <c r="D334" s="1853">
        <v>1</v>
      </c>
      <c r="E334" s="1854">
        <v>1</v>
      </c>
      <c r="F334" s="1853">
        <v>1</v>
      </c>
      <c r="G334" s="1853">
        <v>1</v>
      </c>
      <c r="H334" s="1852">
        <v>1</v>
      </c>
      <c r="I334" s="2086"/>
      <c r="J334" s="2217">
        <v>1</v>
      </c>
      <c r="K334" s="1956" t="s">
        <v>811</v>
      </c>
      <c r="L334" s="1956">
        <v>1</v>
      </c>
      <c r="M334" s="1956">
        <v>1</v>
      </c>
      <c r="N334" s="1794" t="s">
        <v>960</v>
      </c>
      <c r="O334" s="1956" t="s">
        <v>8766</v>
      </c>
      <c r="P334" s="1956"/>
      <c r="Q334" s="1956"/>
      <c r="R334" s="2088"/>
      <c r="S334" s="2256" t="s">
        <v>9066</v>
      </c>
      <c r="T334" s="1956" t="s">
        <v>7597</v>
      </c>
      <c r="U334" s="1956" t="s">
        <v>7290</v>
      </c>
      <c r="V334" s="1956" t="s">
        <v>7924</v>
      </c>
      <c r="W334" s="1986" t="s">
        <v>8368</v>
      </c>
      <c r="X334" s="1956" t="s">
        <v>8766</v>
      </c>
      <c r="Y334" s="1748"/>
      <c r="Z334" s="1748"/>
      <c r="AA334" s="1748"/>
      <c r="AB334" s="1748"/>
      <c r="AC334" s="1748"/>
      <c r="AD334" s="1748"/>
      <c r="AE334" s="1748"/>
      <c r="AF334" s="1748"/>
      <c r="AG334" s="1748"/>
      <c r="AH334" s="1748"/>
      <c r="AI334" s="1748"/>
      <c r="AJ334" s="1748"/>
      <c r="AK334" s="1748"/>
      <c r="AL334" s="1748"/>
      <c r="AM334" s="1748"/>
      <c r="AN334" s="1748"/>
      <c r="AO334" s="1748"/>
      <c r="AP334" s="1748"/>
      <c r="AQ334" s="1748"/>
      <c r="AR334" s="1748"/>
      <c r="AS334" s="1748"/>
      <c r="AT334" s="1748"/>
    </row>
    <row r="335" spans="1:46" s="1816" customFormat="1" ht="66.95" customHeight="1">
      <c r="A335" s="1899"/>
      <c r="B335" s="1855" t="s">
        <v>7054</v>
      </c>
      <c r="C335" s="1837">
        <v>0.5</v>
      </c>
      <c r="D335" s="1853">
        <v>1</v>
      </c>
      <c r="E335" s="1854">
        <v>1</v>
      </c>
      <c r="F335" s="1853">
        <v>0.5</v>
      </c>
      <c r="G335" s="1853">
        <v>0.5</v>
      </c>
      <c r="H335" s="1852">
        <v>0.5</v>
      </c>
      <c r="I335" s="2086"/>
      <c r="J335" s="2218" t="s">
        <v>6225</v>
      </c>
      <c r="K335" s="1956" t="s">
        <v>811</v>
      </c>
      <c r="L335" s="1956">
        <v>1</v>
      </c>
      <c r="M335" s="1956" t="s">
        <v>6225</v>
      </c>
      <c r="N335" s="1794" t="s">
        <v>2454</v>
      </c>
      <c r="O335" s="1956" t="s">
        <v>8767</v>
      </c>
      <c r="P335" s="1956"/>
      <c r="Q335" s="1956"/>
      <c r="R335" s="2088"/>
      <c r="S335" s="2256" t="s">
        <v>9067</v>
      </c>
      <c r="T335" s="1956" t="s">
        <v>7598</v>
      </c>
      <c r="U335" s="1956" t="s">
        <v>7291</v>
      </c>
      <c r="V335" s="1956">
        <v>0.5</v>
      </c>
      <c r="W335" s="1939" t="s">
        <v>8369</v>
      </c>
      <c r="X335" s="1956" t="s">
        <v>8767</v>
      </c>
      <c r="Y335" s="1748"/>
      <c r="Z335" s="1748"/>
      <c r="AA335" s="1748"/>
      <c r="AB335" s="1748"/>
      <c r="AC335" s="1748"/>
      <c r="AD335" s="1748"/>
      <c r="AE335" s="1748"/>
      <c r="AF335" s="1748"/>
      <c r="AG335" s="1748"/>
      <c r="AH335" s="1748"/>
      <c r="AI335" s="1748"/>
      <c r="AJ335" s="1748"/>
      <c r="AK335" s="1748"/>
      <c r="AL335" s="1748"/>
      <c r="AM335" s="1748"/>
      <c r="AN335" s="1748"/>
      <c r="AO335" s="1748"/>
      <c r="AP335" s="1748"/>
      <c r="AQ335" s="1748"/>
      <c r="AR335" s="1748"/>
      <c r="AS335" s="1748"/>
      <c r="AT335" s="1748"/>
    </row>
    <row r="336" spans="1:46" s="1816" customFormat="1" ht="20.100000000000001" customHeight="1">
      <c r="A336" s="2500"/>
      <c r="B336" s="2122" t="s">
        <v>7012</v>
      </c>
      <c r="C336" s="2123">
        <f>AVERAGE(C337:C338)</f>
        <v>1</v>
      </c>
      <c r="D336" s="2123">
        <f t="shared" ref="D336:H336" si="91">AVERAGE(D337:D338)</f>
        <v>1</v>
      </c>
      <c r="E336" s="2123">
        <f t="shared" si="91"/>
        <v>1</v>
      </c>
      <c r="F336" s="2123">
        <f t="shared" si="91"/>
        <v>0.75</v>
      </c>
      <c r="G336" s="2123">
        <f t="shared" si="91"/>
        <v>0.75</v>
      </c>
      <c r="H336" s="2123">
        <f t="shared" si="91"/>
        <v>1</v>
      </c>
      <c r="I336" s="2086"/>
      <c r="J336" s="1910"/>
      <c r="K336" s="1958"/>
      <c r="L336" s="1958"/>
      <c r="M336" s="1958"/>
      <c r="N336" s="1911"/>
      <c r="O336" s="1958"/>
      <c r="P336" s="1958"/>
      <c r="Q336" s="1958"/>
      <c r="R336" s="2088"/>
      <c r="S336" s="2260"/>
      <c r="T336" s="1958"/>
      <c r="U336" s="1958"/>
      <c r="V336" s="1958"/>
      <c r="W336" s="1967"/>
      <c r="X336" s="1958"/>
      <c r="Y336" s="1748"/>
      <c r="Z336" s="1748"/>
      <c r="AA336" s="1748"/>
      <c r="AB336" s="1748"/>
      <c r="AC336" s="1748"/>
      <c r="AD336" s="1748"/>
      <c r="AE336" s="1748"/>
      <c r="AF336" s="1748"/>
      <c r="AG336" s="1748"/>
      <c r="AH336" s="1748"/>
      <c r="AI336" s="1748"/>
      <c r="AJ336" s="1748"/>
      <c r="AK336" s="1748"/>
      <c r="AL336" s="1748"/>
      <c r="AM336" s="1748"/>
      <c r="AN336" s="1748"/>
      <c r="AO336" s="1748"/>
      <c r="AP336" s="1748"/>
      <c r="AQ336" s="1748"/>
      <c r="AR336" s="1748"/>
      <c r="AS336" s="1748"/>
      <c r="AT336" s="1748"/>
    </row>
    <row r="337" spans="1:78" s="1816" customFormat="1" ht="33" customHeight="1">
      <c r="A337" s="1899"/>
      <c r="B337" s="1855" t="s">
        <v>7013</v>
      </c>
      <c r="C337" s="1837">
        <v>1</v>
      </c>
      <c r="D337" s="1853">
        <v>1</v>
      </c>
      <c r="E337" s="1854">
        <v>1</v>
      </c>
      <c r="F337" s="1853">
        <v>1</v>
      </c>
      <c r="G337" s="1853">
        <v>1</v>
      </c>
      <c r="H337" s="1852">
        <v>1</v>
      </c>
      <c r="I337" s="2086"/>
      <c r="J337" s="2217">
        <v>1</v>
      </c>
      <c r="K337" s="1956" t="s">
        <v>1134</v>
      </c>
      <c r="L337" s="1956">
        <v>1</v>
      </c>
      <c r="M337" s="1956">
        <v>1</v>
      </c>
      <c r="N337" s="1794" t="s">
        <v>960</v>
      </c>
      <c r="O337" s="1956" t="s">
        <v>8768</v>
      </c>
      <c r="P337" s="1956"/>
      <c r="Q337" s="1956"/>
      <c r="R337" s="2088"/>
      <c r="S337" s="2256" t="s">
        <v>9068</v>
      </c>
      <c r="T337" s="1956" t="s">
        <v>7599</v>
      </c>
      <c r="U337" s="1956" t="s">
        <v>7292</v>
      </c>
      <c r="V337" s="1956" t="s">
        <v>811</v>
      </c>
      <c r="W337" s="1939" t="s">
        <v>8370</v>
      </c>
      <c r="X337" s="1956" t="s">
        <v>8768</v>
      </c>
      <c r="Y337" s="1748"/>
      <c r="Z337" s="1748"/>
      <c r="AA337" s="1748"/>
      <c r="AB337" s="1748"/>
      <c r="AC337" s="1748"/>
      <c r="AD337" s="1748"/>
      <c r="AE337" s="1748"/>
      <c r="AF337" s="1748"/>
      <c r="AG337" s="1748"/>
      <c r="AH337" s="1748"/>
      <c r="AI337" s="1748"/>
      <c r="AJ337" s="1748"/>
      <c r="AK337" s="1748"/>
      <c r="AL337" s="1748"/>
      <c r="AM337" s="1748"/>
      <c r="AN337" s="1748"/>
      <c r="AO337" s="1748"/>
      <c r="AP337" s="1748"/>
      <c r="AQ337" s="1748"/>
      <c r="AR337" s="1748"/>
      <c r="AS337" s="1748"/>
      <c r="AT337" s="1748"/>
    </row>
    <row r="338" spans="1:78" s="1816" customFormat="1" ht="201.75" customHeight="1">
      <c r="A338" s="1899"/>
      <c r="B338" s="1855" t="s">
        <v>7058</v>
      </c>
      <c r="C338" s="1837">
        <v>1</v>
      </c>
      <c r="D338" s="1853">
        <v>1</v>
      </c>
      <c r="E338" s="1854">
        <v>1</v>
      </c>
      <c r="F338" s="1829">
        <v>0.5</v>
      </c>
      <c r="G338" s="1853">
        <v>0.5</v>
      </c>
      <c r="H338" s="1852">
        <v>1</v>
      </c>
      <c r="I338" s="2086"/>
      <c r="J338" s="2217">
        <v>1</v>
      </c>
      <c r="K338" s="1956" t="s">
        <v>1134</v>
      </c>
      <c r="L338" s="1956">
        <v>1</v>
      </c>
      <c r="M338" s="1794" t="s">
        <v>8582</v>
      </c>
      <c r="N338" s="1794" t="s">
        <v>2454</v>
      </c>
      <c r="O338" s="1956" t="s">
        <v>8769</v>
      </c>
      <c r="P338" s="1956"/>
      <c r="Q338" s="1956"/>
      <c r="R338" s="2088"/>
      <c r="S338" s="2256" t="s">
        <v>9069</v>
      </c>
      <c r="T338" s="1956" t="s">
        <v>7600</v>
      </c>
      <c r="U338" s="1956" t="s">
        <v>7293</v>
      </c>
      <c r="V338" s="1794" t="s">
        <v>9121</v>
      </c>
      <c r="W338" s="1939" t="s">
        <v>8371</v>
      </c>
      <c r="X338" s="1956" t="s">
        <v>8769</v>
      </c>
      <c r="Y338" s="1748"/>
      <c r="Z338" s="1748"/>
      <c r="AA338" s="1748"/>
      <c r="AB338" s="1748"/>
      <c r="AC338" s="1748"/>
      <c r="AD338" s="1748"/>
      <c r="AE338" s="1748"/>
      <c r="AF338" s="1748"/>
      <c r="AG338" s="1748"/>
      <c r="AH338" s="1748"/>
      <c r="AI338" s="1748"/>
      <c r="AJ338" s="1748"/>
      <c r="AK338" s="1748"/>
      <c r="AL338" s="1748"/>
      <c r="AM338" s="1748"/>
      <c r="AN338" s="1748"/>
      <c r="AO338" s="1748"/>
      <c r="AP338" s="1748"/>
      <c r="AQ338" s="1748"/>
      <c r="AR338" s="1748"/>
      <c r="AS338" s="1748"/>
      <c r="AT338" s="1748"/>
    </row>
    <row r="339" spans="1:78" s="1816" customFormat="1" ht="17.100000000000001" customHeight="1">
      <c r="A339" s="2500"/>
      <c r="B339" s="2122" t="s">
        <v>7014</v>
      </c>
      <c r="C339" s="2123">
        <f>AVERAGE(C340:C341)</f>
        <v>0</v>
      </c>
      <c r="D339" s="2123">
        <f t="shared" ref="D339:H339" si="92">AVERAGE(D340:D341)</f>
        <v>0</v>
      </c>
      <c r="E339" s="2123">
        <f t="shared" si="92"/>
        <v>0</v>
      </c>
      <c r="F339" s="2123">
        <f t="shared" si="92"/>
        <v>0.5</v>
      </c>
      <c r="G339" s="2123">
        <f t="shared" si="92"/>
        <v>0</v>
      </c>
      <c r="H339" s="2123">
        <f t="shared" si="92"/>
        <v>0.25</v>
      </c>
      <c r="I339" s="2086"/>
      <c r="J339" s="1910"/>
      <c r="K339" s="1958"/>
      <c r="L339" s="1958"/>
      <c r="M339" s="1958"/>
      <c r="N339" s="1911"/>
      <c r="O339" s="1958"/>
      <c r="P339" s="1958"/>
      <c r="Q339" s="1958"/>
      <c r="R339" s="2088"/>
      <c r="S339" s="2260"/>
      <c r="T339" s="1958"/>
      <c r="U339" s="1958"/>
      <c r="V339" s="1958"/>
      <c r="W339" s="1967"/>
      <c r="X339" s="1958"/>
      <c r="Y339" s="1748"/>
      <c r="Z339" s="1748"/>
      <c r="AA339" s="1748"/>
      <c r="AB339" s="1748"/>
      <c r="AC339" s="1748"/>
      <c r="AD339" s="1748"/>
      <c r="AE339" s="1748"/>
      <c r="AF339" s="1748"/>
      <c r="AG339" s="1748"/>
      <c r="AH339" s="1748"/>
      <c r="AI339" s="1748"/>
      <c r="AJ339" s="1748"/>
      <c r="AK339" s="1748"/>
      <c r="AL339" s="1748"/>
      <c r="AM339" s="1748"/>
      <c r="AN339" s="1748"/>
      <c r="AO339" s="1748"/>
      <c r="AP339" s="1748"/>
      <c r="AQ339" s="1748"/>
      <c r="AR339" s="1748"/>
      <c r="AS339" s="1748"/>
      <c r="AT339" s="1748"/>
    </row>
    <row r="340" spans="1:78" s="1816" customFormat="1" ht="198.95" customHeight="1">
      <c r="A340" s="1899"/>
      <c r="B340" s="1855" t="s">
        <v>7015</v>
      </c>
      <c r="C340" s="1837">
        <v>0</v>
      </c>
      <c r="D340" s="1829">
        <v>0</v>
      </c>
      <c r="E340" s="1846">
        <v>0</v>
      </c>
      <c r="F340" s="1829">
        <v>1</v>
      </c>
      <c r="G340" s="1829">
        <v>0</v>
      </c>
      <c r="H340" s="1850">
        <v>0.5</v>
      </c>
      <c r="I340" s="2086"/>
      <c r="J340" s="2217">
        <v>0</v>
      </c>
      <c r="K340" s="1956" t="s">
        <v>748</v>
      </c>
      <c r="L340" s="1956">
        <v>0</v>
      </c>
      <c r="M340" s="1956">
        <v>1</v>
      </c>
      <c r="N340" s="1794" t="s">
        <v>2454</v>
      </c>
      <c r="O340" s="1956" t="s">
        <v>8770</v>
      </c>
      <c r="P340" s="1956"/>
      <c r="Q340" s="1956"/>
      <c r="R340" s="2088"/>
      <c r="S340" s="2256" t="s">
        <v>9070</v>
      </c>
      <c r="T340" s="1956" t="s">
        <v>7601</v>
      </c>
      <c r="U340" s="1956" t="s">
        <v>7294</v>
      </c>
      <c r="V340" s="1956" t="s">
        <v>7925</v>
      </c>
      <c r="W340" s="1939" t="s">
        <v>8372</v>
      </c>
      <c r="X340" s="1956" t="s">
        <v>8770</v>
      </c>
      <c r="Y340" s="1748"/>
      <c r="Z340" s="1748"/>
      <c r="AA340" s="1748"/>
      <c r="AB340" s="1748"/>
      <c r="AC340" s="1748"/>
      <c r="AD340" s="1748"/>
      <c r="AE340" s="1748"/>
      <c r="AF340" s="1748"/>
      <c r="AG340" s="1748"/>
      <c r="AH340" s="1748"/>
      <c r="AI340" s="1748"/>
      <c r="AJ340" s="1748"/>
      <c r="AK340" s="1748"/>
      <c r="AL340" s="1748"/>
      <c r="AM340" s="1748"/>
      <c r="AN340" s="1748"/>
      <c r="AO340" s="1748"/>
      <c r="AP340" s="1748"/>
      <c r="AQ340" s="1748"/>
      <c r="AR340" s="1748"/>
      <c r="AS340" s="1748"/>
      <c r="AT340" s="1748"/>
    </row>
    <row r="341" spans="1:78" s="1816" customFormat="1" ht="174.95" customHeight="1">
      <c r="A341" s="1899"/>
      <c r="B341" s="1855" t="s">
        <v>7059</v>
      </c>
      <c r="C341" s="1837" t="s">
        <v>877</v>
      </c>
      <c r="D341" s="1829" t="s">
        <v>877</v>
      </c>
      <c r="E341" s="1846" t="s">
        <v>877</v>
      </c>
      <c r="F341" s="1829">
        <v>0</v>
      </c>
      <c r="G341" s="1829" t="s">
        <v>877</v>
      </c>
      <c r="H341" s="1850">
        <v>0</v>
      </c>
      <c r="I341" s="2086"/>
      <c r="J341" s="2217">
        <v>0</v>
      </c>
      <c r="K341" s="1956" t="s">
        <v>877</v>
      </c>
      <c r="L341" s="1956">
        <v>0</v>
      </c>
      <c r="M341" s="1956">
        <v>0</v>
      </c>
      <c r="N341" s="1794" t="s">
        <v>877</v>
      </c>
      <c r="O341" s="1956" t="s">
        <v>8771</v>
      </c>
      <c r="P341" s="1956"/>
      <c r="Q341" s="1956"/>
      <c r="R341" s="2088"/>
      <c r="S341" s="2219" t="s">
        <v>9071</v>
      </c>
      <c r="T341" s="1956"/>
      <c r="U341" s="1956" t="s">
        <v>7295</v>
      </c>
      <c r="V341" s="1956" t="s">
        <v>7926</v>
      </c>
      <c r="W341" s="1939" t="s">
        <v>9085</v>
      </c>
      <c r="X341" s="1956" t="s">
        <v>8771</v>
      </c>
      <c r="Y341" s="1748"/>
      <c r="Z341" s="1748"/>
      <c r="AA341" s="1748"/>
      <c r="AB341" s="1748"/>
      <c r="AC341" s="1748"/>
      <c r="AD341" s="1748"/>
      <c r="AE341" s="1748"/>
      <c r="AF341" s="1748"/>
      <c r="AG341" s="1748"/>
      <c r="AH341" s="1748"/>
      <c r="AI341" s="1748"/>
      <c r="AJ341" s="1748"/>
      <c r="AK341" s="1748"/>
      <c r="AL341" s="1748"/>
      <c r="AM341" s="1748"/>
      <c r="AN341" s="1748"/>
      <c r="AO341" s="1748"/>
      <c r="AP341" s="1748"/>
      <c r="AQ341" s="1748"/>
      <c r="AR341" s="1748"/>
      <c r="AS341" s="1748"/>
      <c r="AT341" s="1748"/>
    </row>
    <row r="342" spans="1:78" s="1816" customFormat="1" ht="59.25" customHeight="1">
      <c r="A342" s="1899"/>
      <c r="B342" s="1867" t="s">
        <v>7055</v>
      </c>
      <c r="C342" s="1837">
        <v>1</v>
      </c>
      <c r="D342" s="1829">
        <v>1</v>
      </c>
      <c r="E342" s="1846">
        <v>0</v>
      </c>
      <c r="F342" s="1829">
        <v>1</v>
      </c>
      <c r="G342" s="1829">
        <v>0</v>
      </c>
      <c r="H342" s="1850">
        <v>0</v>
      </c>
      <c r="I342" s="2086"/>
      <c r="J342" s="2217">
        <v>1</v>
      </c>
      <c r="K342" s="1956" t="s">
        <v>811</v>
      </c>
      <c r="L342" s="1956">
        <v>0</v>
      </c>
      <c r="M342" s="1956">
        <v>1</v>
      </c>
      <c r="N342" s="1794" t="s">
        <v>748</v>
      </c>
      <c r="O342" s="1956" t="s">
        <v>8772</v>
      </c>
      <c r="P342" s="1956"/>
      <c r="Q342" s="1956"/>
      <c r="R342" s="2088"/>
      <c r="S342" s="2256" t="s">
        <v>9072</v>
      </c>
      <c r="T342" s="1956" t="s">
        <v>7602</v>
      </c>
      <c r="U342" s="1956" t="s">
        <v>748</v>
      </c>
      <c r="V342" s="1956" t="s">
        <v>7927</v>
      </c>
      <c r="W342" s="1939" t="s">
        <v>748</v>
      </c>
      <c r="X342" s="1956" t="s">
        <v>8772</v>
      </c>
      <c r="Y342" s="1748"/>
      <c r="Z342" s="1748"/>
      <c r="AA342" s="1748"/>
      <c r="AB342" s="1748"/>
      <c r="AC342" s="1748"/>
      <c r="AD342" s="1748"/>
      <c r="AE342" s="1748"/>
      <c r="AF342" s="1748"/>
      <c r="AG342" s="1748"/>
      <c r="AH342" s="1748"/>
      <c r="AI342" s="1748"/>
      <c r="AJ342" s="1748"/>
      <c r="AK342" s="1748"/>
      <c r="AL342" s="1748"/>
      <c r="AM342" s="1748"/>
      <c r="AN342" s="1748"/>
      <c r="AO342" s="1748"/>
      <c r="AP342" s="1748"/>
      <c r="AQ342" s="1748"/>
      <c r="AR342" s="1748"/>
      <c r="AS342" s="1748"/>
      <c r="AT342" s="1748"/>
    </row>
    <row r="343" spans="1:78" s="1816" customFormat="1" ht="20.100000000000001" customHeight="1">
      <c r="A343" s="2500"/>
      <c r="B343" s="2122" t="s">
        <v>7016</v>
      </c>
      <c r="C343" s="2123">
        <f>AVERAGE(C344:C345)</f>
        <v>0.5</v>
      </c>
      <c r="D343" s="2123">
        <f t="shared" ref="D343:H343" si="93">AVERAGE(D344:D345)</f>
        <v>0.5</v>
      </c>
      <c r="E343" s="2123">
        <f t="shared" si="93"/>
        <v>0.25</v>
      </c>
      <c r="F343" s="2123">
        <f t="shared" si="93"/>
        <v>0.75</v>
      </c>
      <c r="G343" s="2123">
        <f t="shared" si="93"/>
        <v>0.5</v>
      </c>
      <c r="H343" s="2123">
        <f t="shared" si="93"/>
        <v>0</v>
      </c>
      <c r="I343" s="2086"/>
      <c r="J343" s="1910"/>
      <c r="K343" s="1958"/>
      <c r="L343" s="1958"/>
      <c r="M343" s="1958"/>
      <c r="N343" s="1911"/>
      <c r="O343" s="1958"/>
      <c r="P343" s="1958"/>
      <c r="Q343" s="1958"/>
      <c r="R343" s="2088"/>
      <c r="S343" s="2260"/>
      <c r="T343" s="1958"/>
      <c r="U343" s="1958"/>
      <c r="V343" s="1958"/>
      <c r="W343" s="1967"/>
      <c r="X343" s="1958"/>
      <c r="Y343" s="1748"/>
      <c r="Z343" s="1748"/>
      <c r="AA343" s="1748"/>
      <c r="AB343" s="1748"/>
      <c r="AC343" s="1748"/>
      <c r="AD343" s="1748"/>
      <c r="AE343" s="1748"/>
      <c r="AF343" s="1748"/>
      <c r="AG343" s="1748"/>
      <c r="AH343" s="1748"/>
      <c r="AI343" s="1748"/>
      <c r="AJ343" s="1748"/>
      <c r="AK343" s="1748"/>
      <c r="AL343" s="1748"/>
      <c r="AM343" s="1748"/>
      <c r="AN343" s="1748"/>
      <c r="AO343" s="1748"/>
      <c r="AP343" s="1748"/>
      <c r="AQ343" s="1748"/>
      <c r="AR343" s="1748"/>
      <c r="AS343" s="1748"/>
      <c r="AT343" s="1748"/>
    </row>
    <row r="344" spans="1:78" s="1816" customFormat="1" ht="32.1" customHeight="1">
      <c r="A344" s="1899"/>
      <c r="B344" s="1855" t="s">
        <v>7017</v>
      </c>
      <c r="C344" s="1837">
        <v>1</v>
      </c>
      <c r="D344" s="1853">
        <v>1</v>
      </c>
      <c r="E344" s="1854">
        <v>0.5</v>
      </c>
      <c r="F344" s="1853">
        <v>1</v>
      </c>
      <c r="G344" s="1853">
        <v>1</v>
      </c>
      <c r="H344" s="1852">
        <v>0</v>
      </c>
      <c r="I344" s="2086"/>
      <c r="J344" s="2217">
        <v>1</v>
      </c>
      <c r="K344" s="1956" t="s">
        <v>811</v>
      </c>
      <c r="L344" s="1956">
        <v>0.5</v>
      </c>
      <c r="M344" s="1956">
        <v>1</v>
      </c>
      <c r="N344" s="1794" t="s">
        <v>960</v>
      </c>
      <c r="O344" s="1956" t="s">
        <v>8773</v>
      </c>
      <c r="P344" s="1956"/>
      <c r="Q344" s="1956"/>
      <c r="R344" s="2088"/>
      <c r="S344" s="2256" t="s">
        <v>9073</v>
      </c>
      <c r="T344" s="1956" t="s">
        <v>7603</v>
      </c>
      <c r="U344" s="1956" t="s">
        <v>7296</v>
      </c>
      <c r="V344" s="1956" t="s">
        <v>9000</v>
      </c>
      <c r="W344" s="1939" t="s">
        <v>8373</v>
      </c>
      <c r="X344" s="1956" t="s">
        <v>8773</v>
      </c>
      <c r="Y344" s="1748"/>
      <c r="Z344" s="1748"/>
      <c r="AA344" s="1748"/>
      <c r="AB344" s="1748"/>
      <c r="AC344" s="1748"/>
      <c r="AD344" s="1748"/>
      <c r="AE344" s="1748"/>
      <c r="AF344" s="1748"/>
      <c r="AG344" s="1748"/>
      <c r="AH344" s="1748"/>
      <c r="AI344" s="1748"/>
      <c r="AJ344" s="1748"/>
      <c r="AK344" s="1748"/>
      <c r="AL344" s="1748"/>
      <c r="AM344" s="1748"/>
      <c r="AN344" s="1748"/>
      <c r="AO344" s="1748"/>
      <c r="AP344" s="1748"/>
      <c r="AQ344" s="1748"/>
      <c r="AR344" s="1748"/>
      <c r="AS344" s="1748"/>
      <c r="AT344" s="1748"/>
    </row>
    <row r="345" spans="1:78" s="1816" customFormat="1" ht="81" customHeight="1">
      <c r="A345" s="1899"/>
      <c r="B345" s="1855" t="s">
        <v>7018</v>
      </c>
      <c r="C345" s="1837">
        <v>0</v>
      </c>
      <c r="D345" s="1853">
        <v>0</v>
      </c>
      <c r="E345" s="1854">
        <v>0</v>
      </c>
      <c r="F345" s="1853">
        <v>0.5</v>
      </c>
      <c r="G345" s="1853">
        <v>0</v>
      </c>
      <c r="H345" s="1850" t="s">
        <v>877</v>
      </c>
      <c r="I345" s="2086"/>
      <c r="J345" s="2217">
        <v>0</v>
      </c>
      <c r="K345" s="1956" t="s">
        <v>748</v>
      </c>
      <c r="L345" s="1956">
        <v>0</v>
      </c>
      <c r="M345" s="1956" t="s">
        <v>6225</v>
      </c>
      <c r="N345" s="1794" t="s">
        <v>1060</v>
      </c>
      <c r="O345" s="1956" t="s">
        <v>8774</v>
      </c>
      <c r="P345" s="1956"/>
      <c r="Q345" s="1956"/>
      <c r="R345" s="2088"/>
      <c r="S345" s="2256" t="s">
        <v>9074</v>
      </c>
      <c r="T345" s="1956"/>
      <c r="U345" s="1956" t="s">
        <v>7297</v>
      </c>
      <c r="V345" s="1956" t="s">
        <v>7928</v>
      </c>
      <c r="W345" s="1939" t="s">
        <v>8374</v>
      </c>
      <c r="X345" s="1956" t="s">
        <v>8774</v>
      </c>
      <c r="Y345" s="1748"/>
      <c r="Z345" s="1748"/>
      <c r="AA345" s="1748"/>
      <c r="AB345" s="1748"/>
      <c r="AC345" s="1748"/>
      <c r="AD345" s="1748"/>
      <c r="AE345" s="1748"/>
      <c r="AF345" s="1748"/>
      <c r="AG345" s="1748"/>
      <c r="AH345" s="1748"/>
      <c r="AI345" s="1748"/>
      <c r="AJ345" s="1748"/>
      <c r="AK345" s="1748"/>
      <c r="AL345" s="1748"/>
      <c r="AM345" s="1748"/>
      <c r="AN345" s="1748"/>
      <c r="AO345" s="1748"/>
      <c r="AP345" s="1748"/>
      <c r="AQ345" s="1748"/>
      <c r="AR345" s="1748"/>
      <c r="AS345" s="1748"/>
      <c r="AT345" s="1748"/>
    </row>
    <row r="346" spans="1:78" s="1893" customFormat="1" ht="84" customHeight="1">
      <c r="A346" s="2504"/>
      <c r="B346" s="2057" t="s">
        <v>7131</v>
      </c>
      <c r="C346" s="2303">
        <f t="shared" ref="C346:H346" si="94">IF(J346&gt;$P346,1,IF(J346&lt;$Q346,0,(J346-$Q346)/($P346-$Q346)))</f>
        <v>0.14634146341463414</v>
      </c>
      <c r="D346" s="2303">
        <f t="shared" si="94"/>
        <v>0.13414634146341461</v>
      </c>
      <c r="E346" s="2303">
        <f t="shared" si="94"/>
        <v>0.46341463414634143</v>
      </c>
      <c r="F346" s="2303">
        <f t="shared" si="94"/>
        <v>1</v>
      </c>
      <c r="G346" s="2303">
        <f t="shared" si="94"/>
        <v>0.28048780487804875</v>
      </c>
      <c r="H346" s="2303">
        <f t="shared" si="94"/>
        <v>8.5365853658536592E-2</v>
      </c>
      <c r="I346" s="2086" t="s">
        <v>338</v>
      </c>
      <c r="J346" s="2385">
        <v>-0.78</v>
      </c>
      <c r="K346" s="2385">
        <v>-0.8</v>
      </c>
      <c r="L346" s="2385">
        <v>-0.26</v>
      </c>
      <c r="M346" s="2385">
        <v>0.74</v>
      </c>
      <c r="N346" s="2385">
        <v>-0.56000000000000005</v>
      </c>
      <c r="O346" s="2385">
        <v>-0.88</v>
      </c>
      <c r="P346" s="2222">
        <v>0.62</v>
      </c>
      <c r="Q346" s="2222">
        <v>-1.02</v>
      </c>
      <c r="R346" s="2100"/>
      <c r="S346" s="2386"/>
      <c r="T346" s="2385"/>
      <c r="U346" s="2385"/>
      <c r="V346" s="2385"/>
      <c r="W346" s="2385"/>
      <c r="X346" s="2385"/>
      <c r="Y346" s="1818"/>
      <c r="Z346" s="1818"/>
      <c r="AA346" s="1818"/>
      <c r="AB346" s="1818"/>
      <c r="AC346" s="1818"/>
      <c r="AD346" s="1818"/>
      <c r="AE346" s="1818"/>
      <c r="AF346" s="1818"/>
      <c r="AG346" s="1818"/>
      <c r="AH346" s="1818"/>
      <c r="AI346" s="1818"/>
      <c r="AJ346" s="1818"/>
      <c r="AK346" s="1818"/>
      <c r="AL346" s="1818"/>
      <c r="AM346" s="1818"/>
      <c r="AN346" s="1818"/>
      <c r="AO346" s="1818"/>
      <c r="AP346" s="1818"/>
      <c r="AQ346" s="1818"/>
      <c r="AR346" s="1818"/>
      <c r="AS346" s="1818"/>
      <c r="AT346" s="1818"/>
      <c r="AU346" s="1818"/>
      <c r="AV346" s="1818"/>
      <c r="AW346" s="1818"/>
      <c r="AX346" s="1818"/>
      <c r="AY346" s="1818"/>
      <c r="AZ346" s="1818"/>
      <c r="BA346" s="1818"/>
      <c r="BB346" s="1818"/>
      <c r="BC346" s="1818"/>
      <c r="BD346" s="1818"/>
      <c r="BE346" s="1818"/>
      <c r="BF346" s="1818"/>
      <c r="BG346" s="1818"/>
      <c r="BH346" s="1818"/>
      <c r="BI346" s="1818"/>
      <c r="BJ346" s="1818"/>
      <c r="BK346" s="1818"/>
      <c r="BL346" s="1818"/>
      <c r="BM346" s="1818"/>
      <c r="BN346" s="1818"/>
      <c r="BO346" s="1818"/>
      <c r="BP346" s="1818"/>
      <c r="BQ346" s="1818"/>
      <c r="BR346" s="1818"/>
      <c r="BS346" s="1818"/>
      <c r="BT346" s="1818"/>
      <c r="BU346" s="1818"/>
      <c r="BV346" s="1818"/>
      <c r="BW346" s="1818"/>
      <c r="BX346" s="1818"/>
      <c r="BY346" s="1818"/>
      <c r="BZ346" s="1818"/>
    </row>
    <row r="347" spans="1:78" s="1893" customFormat="1" ht="32.1" customHeight="1">
      <c r="A347" s="2504"/>
      <c r="B347" s="2057" t="s">
        <v>7130</v>
      </c>
      <c r="C347" s="2303">
        <f t="shared" ref="C347:H347" si="95">IF(J347&lt;$P347,1,IF(J347&gt;$Q347,0,(J347-$Q347)/($P347-$Q347)))</f>
        <v>0.11538461538461539</v>
      </c>
      <c r="D347" s="2303">
        <f t="shared" si="95"/>
        <v>0.19230769230769232</v>
      </c>
      <c r="E347" s="2303">
        <f t="shared" si="95"/>
        <v>0.71153846153846156</v>
      </c>
      <c r="F347" s="2303">
        <f t="shared" si="95"/>
        <v>0.92307692307692313</v>
      </c>
      <c r="G347" s="2303">
        <f t="shared" si="95"/>
        <v>0.33653846153846156</v>
      </c>
      <c r="H347" s="2303">
        <f t="shared" si="95"/>
        <v>0.19230769230769232</v>
      </c>
      <c r="I347" s="2086" t="s">
        <v>338</v>
      </c>
      <c r="J347" s="2385">
        <v>130</v>
      </c>
      <c r="K347" s="2385">
        <v>122</v>
      </c>
      <c r="L347" s="2385">
        <v>68</v>
      </c>
      <c r="M347" s="2385">
        <v>46</v>
      </c>
      <c r="N347" s="2385">
        <v>107</v>
      </c>
      <c r="O347" s="2385">
        <v>122</v>
      </c>
      <c r="P347" s="2315">
        <v>38</v>
      </c>
      <c r="Q347" s="2315">
        <v>142</v>
      </c>
      <c r="R347" s="2297"/>
      <c r="S347" s="2386"/>
      <c r="T347" s="2385"/>
      <c r="U347" s="2385"/>
      <c r="V347" s="2385"/>
      <c r="W347" s="2385"/>
      <c r="X347" s="2385"/>
      <c r="Y347" s="1818"/>
      <c r="Z347" s="1818"/>
      <c r="AA347" s="1818"/>
      <c r="AB347" s="1818"/>
      <c r="AC347" s="1818"/>
      <c r="AD347" s="1818"/>
      <c r="AE347" s="1818"/>
      <c r="AF347" s="1818"/>
      <c r="AG347" s="1818"/>
      <c r="AH347" s="1818"/>
      <c r="AI347" s="1818"/>
      <c r="AJ347" s="1818"/>
      <c r="AK347" s="1818"/>
      <c r="AL347" s="1818"/>
      <c r="AM347" s="1818"/>
      <c r="AN347" s="1818"/>
      <c r="AO347" s="1818"/>
      <c r="AP347" s="1818"/>
      <c r="AQ347" s="1818"/>
      <c r="AR347" s="1818"/>
      <c r="AS347" s="1818"/>
      <c r="AT347" s="1818"/>
      <c r="AU347" s="1818"/>
      <c r="AV347" s="1818"/>
      <c r="AW347" s="1818"/>
      <c r="AX347" s="1818"/>
      <c r="AY347" s="1818"/>
      <c r="AZ347" s="1818"/>
      <c r="BA347" s="1818"/>
      <c r="BB347" s="1818"/>
      <c r="BC347" s="1818"/>
      <c r="BD347" s="1818"/>
      <c r="BE347" s="1818"/>
      <c r="BF347" s="1818"/>
      <c r="BG347" s="1818"/>
      <c r="BH347" s="1818"/>
      <c r="BI347" s="1818"/>
      <c r="BJ347" s="1818"/>
      <c r="BK347" s="1818"/>
      <c r="BL347" s="1818"/>
      <c r="BM347" s="1818"/>
      <c r="BN347" s="1818"/>
      <c r="BO347" s="1818"/>
      <c r="BP347" s="1818"/>
      <c r="BQ347" s="1818"/>
      <c r="BR347" s="1818"/>
      <c r="BS347" s="1818"/>
      <c r="BT347" s="1818"/>
      <c r="BU347" s="1818"/>
      <c r="BV347" s="1818"/>
      <c r="BW347" s="1818"/>
      <c r="BX347" s="1818"/>
      <c r="BY347" s="1818"/>
      <c r="BZ347" s="1818"/>
    </row>
    <row r="348" spans="1:78" ht="32.1" customHeight="1">
      <c r="A348" s="2499" t="s">
        <v>345</v>
      </c>
      <c r="B348" s="2084" t="s">
        <v>346</v>
      </c>
      <c r="C348" s="2085">
        <f>AVERAGE(C349:C362)</f>
        <v>0.7857142857142857</v>
      </c>
      <c r="D348" s="2085">
        <f t="shared" ref="D348:H348" si="96">AVERAGE(D349:D362)</f>
        <v>0.9642857142857143</v>
      </c>
      <c r="E348" s="2085">
        <f t="shared" si="96"/>
        <v>0.32142857142857145</v>
      </c>
      <c r="F348" s="2085">
        <f t="shared" si="96"/>
        <v>0.9642857142857143</v>
      </c>
      <c r="G348" s="2085">
        <f t="shared" si="96"/>
        <v>0.8928571428571429</v>
      </c>
      <c r="H348" s="2085">
        <f t="shared" si="96"/>
        <v>0.7857142857142857</v>
      </c>
      <c r="I348" s="2086"/>
      <c r="J348" s="2087"/>
      <c r="K348" s="2087"/>
      <c r="L348" s="2087"/>
      <c r="M348" s="2087"/>
      <c r="N348" s="2087"/>
      <c r="O348" s="2087"/>
      <c r="P348" s="2087"/>
      <c r="Q348" s="2087"/>
      <c r="R348" s="2088"/>
      <c r="S348" s="2087"/>
      <c r="T348" s="2087"/>
      <c r="U348" s="2087"/>
      <c r="V348" s="2087"/>
      <c r="W348" s="2087"/>
      <c r="X348" s="2087"/>
    </row>
    <row r="349" spans="1:78" ht="32.1" customHeight="1">
      <c r="A349" s="2501"/>
      <c r="B349" s="1820" t="s">
        <v>347</v>
      </c>
      <c r="C349" s="1837">
        <v>1</v>
      </c>
      <c r="D349" s="1868">
        <v>1</v>
      </c>
      <c r="E349" s="1829">
        <v>1</v>
      </c>
      <c r="F349" s="1869">
        <v>1</v>
      </c>
      <c r="G349" s="1848">
        <v>1</v>
      </c>
      <c r="H349" s="1827">
        <v>1</v>
      </c>
      <c r="I349" s="2086" t="s">
        <v>38</v>
      </c>
      <c r="J349" s="2217">
        <v>1</v>
      </c>
      <c r="K349" s="1952" t="s">
        <v>811</v>
      </c>
      <c r="L349" s="1794">
        <v>1</v>
      </c>
      <c r="M349" s="1987">
        <v>1</v>
      </c>
      <c r="N349" s="1917" t="s">
        <v>811</v>
      </c>
      <c r="O349" s="1917" t="s">
        <v>8775</v>
      </c>
      <c r="P349" s="1915">
        <v>1</v>
      </c>
      <c r="Q349" s="1915">
        <v>0</v>
      </c>
      <c r="R349" s="2096"/>
      <c r="S349" s="2248" t="s">
        <v>8166</v>
      </c>
      <c r="T349" s="1952" t="s">
        <v>7604</v>
      </c>
      <c r="U349" s="1794" t="s">
        <v>5937</v>
      </c>
      <c r="V349" s="1987" t="s">
        <v>1468</v>
      </c>
      <c r="W349" s="1917" t="s">
        <v>8406</v>
      </c>
      <c r="X349" s="1917" t="s">
        <v>8775</v>
      </c>
    </row>
    <row r="350" spans="1:78" ht="32.1" customHeight="1">
      <c r="A350" s="2501"/>
      <c r="B350" s="1820" t="s">
        <v>348</v>
      </c>
      <c r="C350" s="1837">
        <v>1</v>
      </c>
      <c r="D350" s="1868">
        <v>1</v>
      </c>
      <c r="E350" s="1829">
        <v>0</v>
      </c>
      <c r="F350" s="1869">
        <v>1</v>
      </c>
      <c r="G350" s="1848">
        <v>1</v>
      </c>
      <c r="H350" s="1827">
        <v>1</v>
      </c>
      <c r="I350" s="2086" t="s">
        <v>38</v>
      </c>
      <c r="J350" s="2217">
        <v>1</v>
      </c>
      <c r="K350" s="1952" t="s">
        <v>4417</v>
      </c>
      <c r="L350" s="1794">
        <v>0</v>
      </c>
      <c r="M350" s="1987">
        <v>1</v>
      </c>
      <c r="N350" s="1941" t="s">
        <v>960</v>
      </c>
      <c r="O350" s="1941" t="s">
        <v>8776</v>
      </c>
      <c r="P350" s="1915">
        <v>1</v>
      </c>
      <c r="Q350" s="1915">
        <v>0</v>
      </c>
      <c r="R350" s="2096"/>
      <c r="S350" s="2248" t="s">
        <v>8167</v>
      </c>
      <c r="T350" s="1952" t="s">
        <v>7605</v>
      </c>
      <c r="U350" s="1794" t="s">
        <v>6736</v>
      </c>
      <c r="V350" s="1987" t="s">
        <v>7929</v>
      </c>
      <c r="W350" s="1941" t="s">
        <v>8407</v>
      </c>
      <c r="X350" s="1941" t="s">
        <v>8776</v>
      </c>
    </row>
    <row r="351" spans="1:78" ht="32.1" customHeight="1">
      <c r="A351" s="2501"/>
      <c r="B351" s="1820" t="s">
        <v>349</v>
      </c>
      <c r="C351" s="1837">
        <v>1</v>
      </c>
      <c r="D351" s="1868">
        <v>1</v>
      </c>
      <c r="E351" s="1829">
        <v>0</v>
      </c>
      <c r="F351" s="1844">
        <v>1</v>
      </c>
      <c r="G351" s="1848">
        <v>1</v>
      </c>
      <c r="H351" s="1827">
        <v>1</v>
      </c>
      <c r="I351" s="2086" t="s">
        <v>91</v>
      </c>
      <c r="J351" s="2217">
        <v>1</v>
      </c>
      <c r="K351" s="1952" t="s">
        <v>811</v>
      </c>
      <c r="L351" s="1794">
        <v>0</v>
      </c>
      <c r="M351" s="1935">
        <v>1</v>
      </c>
      <c r="N351" s="1941" t="s">
        <v>960</v>
      </c>
      <c r="O351" s="1941" t="s">
        <v>8777</v>
      </c>
      <c r="P351" s="1915">
        <v>1</v>
      </c>
      <c r="Q351" s="1915">
        <v>0</v>
      </c>
      <c r="R351" s="2096"/>
      <c r="S351" s="2248" t="s">
        <v>8168</v>
      </c>
      <c r="T351" s="1915"/>
      <c r="U351" s="1794" t="s">
        <v>7298</v>
      </c>
      <c r="V351" s="1935" t="s">
        <v>7930</v>
      </c>
      <c r="W351" s="1941" t="s">
        <v>8408</v>
      </c>
      <c r="X351" s="1941" t="s">
        <v>8777</v>
      </c>
    </row>
    <row r="352" spans="1:78" ht="32.1" customHeight="1">
      <c r="A352" s="2501"/>
      <c r="B352" s="1820" t="s">
        <v>350</v>
      </c>
      <c r="C352" s="1837">
        <v>0</v>
      </c>
      <c r="D352" s="1868">
        <v>1</v>
      </c>
      <c r="E352" s="1829">
        <v>0</v>
      </c>
      <c r="F352" s="1869">
        <v>1</v>
      </c>
      <c r="G352" s="1848">
        <v>1</v>
      </c>
      <c r="H352" s="1827">
        <v>1</v>
      </c>
      <c r="I352" s="2086" t="s">
        <v>38</v>
      </c>
      <c r="J352" s="2218" t="s">
        <v>8139</v>
      </c>
      <c r="K352" s="1952" t="s">
        <v>811</v>
      </c>
      <c r="L352" s="1794">
        <v>0</v>
      </c>
      <c r="M352" s="1962">
        <v>1</v>
      </c>
      <c r="N352" s="1917" t="s">
        <v>960</v>
      </c>
      <c r="O352" s="1917" t="s">
        <v>8778</v>
      </c>
      <c r="P352" s="1915">
        <v>1</v>
      </c>
      <c r="Q352" s="1915">
        <v>0</v>
      </c>
      <c r="R352" s="2096"/>
      <c r="S352" s="2248" t="s">
        <v>8169</v>
      </c>
      <c r="T352" s="1915"/>
      <c r="U352" s="1794" t="s">
        <v>5939</v>
      </c>
      <c r="V352" s="1962" t="s">
        <v>1485</v>
      </c>
      <c r="W352" s="1917" t="s">
        <v>8409</v>
      </c>
      <c r="X352" s="1917" t="s">
        <v>8778</v>
      </c>
    </row>
    <row r="353" spans="1:176" ht="32.1" customHeight="1">
      <c r="A353" s="2501"/>
      <c r="B353" s="1820" t="s">
        <v>351</v>
      </c>
      <c r="C353" s="1837">
        <v>1</v>
      </c>
      <c r="D353" s="1868">
        <v>1</v>
      </c>
      <c r="E353" s="1829">
        <v>1</v>
      </c>
      <c r="F353" s="1869">
        <v>1</v>
      </c>
      <c r="G353" s="1848">
        <v>1</v>
      </c>
      <c r="H353" s="1827">
        <v>1</v>
      </c>
      <c r="I353" s="2086" t="s">
        <v>123</v>
      </c>
      <c r="J353" s="2217">
        <v>1</v>
      </c>
      <c r="K353" s="1952" t="s">
        <v>1134</v>
      </c>
      <c r="L353" s="1794">
        <v>1</v>
      </c>
      <c r="M353" s="1962">
        <v>1</v>
      </c>
      <c r="N353" s="1941" t="s">
        <v>960</v>
      </c>
      <c r="O353" s="1941" t="s">
        <v>8779</v>
      </c>
      <c r="P353" s="1915">
        <v>1</v>
      </c>
      <c r="Q353" s="1915">
        <v>0</v>
      </c>
      <c r="R353" s="2096"/>
      <c r="S353" s="2248" t="s">
        <v>8170</v>
      </c>
      <c r="T353" s="1952" t="s">
        <v>7606</v>
      </c>
      <c r="U353" s="1794" t="s">
        <v>5940</v>
      </c>
      <c r="V353" s="1962" t="s">
        <v>7931</v>
      </c>
      <c r="W353" s="1941" t="s">
        <v>8410</v>
      </c>
      <c r="X353" s="1941" t="s">
        <v>8779</v>
      </c>
    </row>
    <row r="354" spans="1:176" ht="32.1" customHeight="1">
      <c r="A354" s="2501"/>
      <c r="B354" s="1820" t="s">
        <v>352</v>
      </c>
      <c r="C354" s="1837">
        <v>0.5</v>
      </c>
      <c r="D354" s="1829">
        <v>1</v>
      </c>
      <c r="E354" s="1829">
        <v>0.5</v>
      </c>
      <c r="F354" s="1837">
        <v>1</v>
      </c>
      <c r="G354" s="1829">
        <v>1</v>
      </c>
      <c r="H354" s="1850">
        <v>1</v>
      </c>
      <c r="I354" s="2086" t="s">
        <v>123</v>
      </c>
      <c r="J354" s="2218" t="s">
        <v>6225</v>
      </c>
      <c r="K354" s="1952" t="s">
        <v>811</v>
      </c>
      <c r="L354" s="1794">
        <v>0.5</v>
      </c>
      <c r="M354" s="1962">
        <v>1</v>
      </c>
      <c r="N354" s="1917" t="s">
        <v>960</v>
      </c>
      <c r="O354" s="1917" t="s">
        <v>8780</v>
      </c>
      <c r="P354" s="1915">
        <v>1</v>
      </c>
      <c r="Q354" s="1915">
        <v>0</v>
      </c>
      <c r="R354" s="2096"/>
      <c r="S354" s="2248" t="s">
        <v>8171</v>
      </c>
      <c r="T354" s="1952" t="s">
        <v>7607</v>
      </c>
      <c r="U354" s="1794" t="s">
        <v>7299</v>
      </c>
      <c r="V354" s="1962" t="s">
        <v>1497</v>
      </c>
      <c r="W354" s="1917" t="s">
        <v>8411</v>
      </c>
      <c r="X354" s="1917" t="s">
        <v>8780</v>
      </c>
    </row>
    <row r="355" spans="1:176" ht="32.1" customHeight="1">
      <c r="A355" s="2501"/>
      <c r="B355" s="1820" t="s">
        <v>353</v>
      </c>
      <c r="C355" s="1837">
        <v>0.5</v>
      </c>
      <c r="D355" s="1829">
        <v>1</v>
      </c>
      <c r="E355" s="1829">
        <v>0.5</v>
      </c>
      <c r="F355" s="1837">
        <v>1</v>
      </c>
      <c r="G355" s="1829">
        <v>1</v>
      </c>
      <c r="H355" s="1850">
        <v>1</v>
      </c>
      <c r="I355" s="2086" t="s">
        <v>123</v>
      </c>
      <c r="J355" s="2218" t="s">
        <v>6225</v>
      </c>
      <c r="K355" s="1952" t="s">
        <v>948</v>
      </c>
      <c r="L355" s="1794">
        <v>0.5</v>
      </c>
      <c r="M355" s="1962">
        <v>1</v>
      </c>
      <c r="N355" s="1917" t="s">
        <v>960</v>
      </c>
      <c r="O355" s="1917" t="s">
        <v>8781</v>
      </c>
      <c r="P355" s="1915">
        <v>1</v>
      </c>
      <c r="Q355" s="1915">
        <v>0</v>
      </c>
      <c r="R355" s="2096"/>
      <c r="S355" s="2248" t="s">
        <v>8172</v>
      </c>
      <c r="T355" s="1952" t="s">
        <v>7608</v>
      </c>
      <c r="U355" s="1794" t="s">
        <v>7300</v>
      </c>
      <c r="V355" s="1962" t="s">
        <v>6155</v>
      </c>
      <c r="W355" s="1917" t="s">
        <v>8412</v>
      </c>
      <c r="X355" s="1917" t="s">
        <v>8781</v>
      </c>
    </row>
    <row r="356" spans="1:176" ht="32.1" customHeight="1">
      <c r="A356" s="2501"/>
      <c r="B356" s="1820" t="s">
        <v>354</v>
      </c>
      <c r="C356" s="1837">
        <v>1</v>
      </c>
      <c r="D356" s="1829">
        <v>1</v>
      </c>
      <c r="E356" s="1829">
        <v>0</v>
      </c>
      <c r="F356" s="1837">
        <v>1</v>
      </c>
      <c r="G356" s="1829">
        <v>0.5</v>
      </c>
      <c r="H356" s="1850">
        <v>0.5</v>
      </c>
      <c r="I356" s="2086" t="s">
        <v>91</v>
      </c>
      <c r="J356" s="2217">
        <v>1</v>
      </c>
      <c r="K356" s="1794" t="s">
        <v>1134</v>
      </c>
      <c r="L356" s="1916">
        <v>0</v>
      </c>
      <c r="M356" s="1962">
        <v>1</v>
      </c>
      <c r="N356" s="1935" t="s">
        <v>5427</v>
      </c>
      <c r="O356" s="1935" t="s">
        <v>8782</v>
      </c>
      <c r="P356" s="1916">
        <v>1</v>
      </c>
      <c r="Q356" s="1916">
        <v>0</v>
      </c>
      <c r="R356" s="2096"/>
      <c r="S356" s="2248" t="s">
        <v>8173</v>
      </c>
      <c r="T356" s="1794" t="s">
        <v>9120</v>
      </c>
      <c r="U356" s="1916" t="s">
        <v>5943</v>
      </c>
      <c r="V356" s="1962" t="s">
        <v>7932</v>
      </c>
      <c r="W356" s="1917" t="s">
        <v>8413</v>
      </c>
      <c r="X356" s="1935" t="s">
        <v>8782</v>
      </c>
    </row>
    <row r="357" spans="1:176" ht="131.1" customHeight="1">
      <c r="A357" s="1899"/>
      <c r="B357" s="1820" t="s">
        <v>355</v>
      </c>
      <c r="C357" s="1837">
        <v>0.5</v>
      </c>
      <c r="D357" s="1829">
        <v>0.5</v>
      </c>
      <c r="E357" s="1829">
        <v>0.5</v>
      </c>
      <c r="F357" s="1837">
        <v>0.5</v>
      </c>
      <c r="G357" s="1829">
        <v>0.5</v>
      </c>
      <c r="H357" s="1850">
        <v>0.5</v>
      </c>
      <c r="I357" s="2086" t="s">
        <v>91</v>
      </c>
      <c r="J357" s="2218" t="s">
        <v>6225</v>
      </c>
      <c r="K357" s="1952" t="s">
        <v>2454</v>
      </c>
      <c r="L357" s="1916">
        <v>0.5</v>
      </c>
      <c r="M357" s="1802" t="s">
        <v>7161</v>
      </c>
      <c r="N357" s="1935" t="s">
        <v>748</v>
      </c>
      <c r="O357" s="1935" t="s">
        <v>8783</v>
      </c>
      <c r="P357" s="1916">
        <v>1</v>
      </c>
      <c r="Q357" s="1916">
        <v>0</v>
      </c>
      <c r="R357" s="2096"/>
      <c r="S357" s="2248" t="s">
        <v>8174</v>
      </c>
      <c r="T357" s="1952" t="s">
        <v>7609</v>
      </c>
      <c r="U357" s="1916" t="s">
        <v>7301</v>
      </c>
      <c r="V357" s="1962" t="s">
        <v>7933</v>
      </c>
      <c r="W357" s="1917" t="s">
        <v>5470</v>
      </c>
      <c r="X357" s="1935" t="s">
        <v>8783</v>
      </c>
    </row>
    <row r="358" spans="1:176" ht="32.1" customHeight="1">
      <c r="A358" s="1899"/>
      <c r="B358" s="1820" t="s">
        <v>356</v>
      </c>
      <c r="C358" s="1837">
        <v>1</v>
      </c>
      <c r="D358" s="1829">
        <v>1</v>
      </c>
      <c r="E358" s="1829">
        <v>0</v>
      </c>
      <c r="F358" s="1829">
        <v>1</v>
      </c>
      <c r="G358" s="1829">
        <v>1</v>
      </c>
      <c r="H358" s="1850">
        <v>0</v>
      </c>
      <c r="I358" s="2086" t="s">
        <v>38</v>
      </c>
      <c r="J358" s="2217">
        <v>1</v>
      </c>
      <c r="K358" s="1952" t="s">
        <v>5016</v>
      </c>
      <c r="L358" s="1916">
        <v>0</v>
      </c>
      <c r="M358" s="1935">
        <v>1</v>
      </c>
      <c r="N358" s="1935" t="s">
        <v>811</v>
      </c>
      <c r="O358" s="1935" t="s">
        <v>8784</v>
      </c>
      <c r="P358" s="1916">
        <v>1</v>
      </c>
      <c r="Q358" s="1916">
        <v>0</v>
      </c>
      <c r="R358" s="2096"/>
      <c r="S358" s="2248" t="s">
        <v>8175</v>
      </c>
      <c r="T358" s="1952" t="s">
        <v>7610</v>
      </c>
      <c r="U358" s="1916" t="s">
        <v>7302</v>
      </c>
      <c r="V358" s="1935" t="s">
        <v>6157</v>
      </c>
      <c r="W358" s="1917" t="s">
        <v>8414</v>
      </c>
      <c r="X358" s="1935" t="s">
        <v>8784</v>
      </c>
    </row>
    <row r="359" spans="1:176" ht="32.1" customHeight="1">
      <c r="A359" s="1899"/>
      <c r="B359" s="1820" t="s">
        <v>357</v>
      </c>
      <c r="C359" s="1837">
        <v>1</v>
      </c>
      <c r="D359" s="1829">
        <v>1</v>
      </c>
      <c r="E359" s="1829">
        <v>0</v>
      </c>
      <c r="F359" s="1829">
        <v>1</v>
      </c>
      <c r="G359" s="1829">
        <v>1</v>
      </c>
      <c r="H359" s="1850">
        <v>1</v>
      </c>
      <c r="I359" s="2086" t="s">
        <v>91</v>
      </c>
      <c r="J359" s="2217">
        <v>1</v>
      </c>
      <c r="K359" s="1952" t="s">
        <v>4417</v>
      </c>
      <c r="L359" s="1916">
        <v>0</v>
      </c>
      <c r="M359" s="1935">
        <v>1</v>
      </c>
      <c r="N359" s="1935" t="s">
        <v>960</v>
      </c>
      <c r="O359" s="1935" t="s">
        <v>8785</v>
      </c>
      <c r="P359" s="1916">
        <v>1</v>
      </c>
      <c r="Q359" s="1916">
        <v>0</v>
      </c>
      <c r="R359" s="2096"/>
      <c r="S359" s="2248" t="s">
        <v>8176</v>
      </c>
      <c r="T359" s="1952" t="s">
        <v>7611</v>
      </c>
      <c r="U359" s="1794" t="s">
        <v>748</v>
      </c>
      <c r="V359" s="1935" t="s">
        <v>7934</v>
      </c>
      <c r="W359" s="1935" t="s">
        <v>8415</v>
      </c>
      <c r="X359" s="1935" t="s">
        <v>8785</v>
      </c>
    </row>
    <row r="360" spans="1:176" ht="93.95" customHeight="1">
      <c r="A360" s="1899"/>
      <c r="B360" s="1820" t="s">
        <v>358</v>
      </c>
      <c r="C360" s="1837">
        <v>1</v>
      </c>
      <c r="D360" s="1829">
        <v>1</v>
      </c>
      <c r="E360" s="1829">
        <v>1</v>
      </c>
      <c r="F360" s="1829">
        <v>1</v>
      </c>
      <c r="G360" s="1829">
        <v>0.5</v>
      </c>
      <c r="H360" s="1850">
        <v>0.5</v>
      </c>
      <c r="I360" s="2086" t="s">
        <v>91</v>
      </c>
      <c r="J360" s="2217">
        <v>1</v>
      </c>
      <c r="K360" s="1952" t="s">
        <v>1134</v>
      </c>
      <c r="L360" s="1916">
        <v>1</v>
      </c>
      <c r="M360" s="1935">
        <v>1</v>
      </c>
      <c r="N360" s="1948" t="s">
        <v>748</v>
      </c>
      <c r="O360" s="1948" t="s">
        <v>8786</v>
      </c>
      <c r="P360" s="1916">
        <v>1</v>
      </c>
      <c r="Q360" s="1916">
        <v>0</v>
      </c>
      <c r="R360" s="2096"/>
      <c r="S360" s="2248" t="s">
        <v>8177</v>
      </c>
      <c r="T360" s="1915"/>
      <c r="U360" s="1794" t="s">
        <v>5946</v>
      </c>
      <c r="V360" s="1935" t="s">
        <v>7935</v>
      </c>
      <c r="W360" s="1948" t="s">
        <v>8416</v>
      </c>
      <c r="X360" s="1948" t="s">
        <v>8786</v>
      </c>
    </row>
    <row r="361" spans="1:176" s="1965" customFormat="1" ht="45" customHeight="1">
      <c r="A361" s="2501"/>
      <c r="B361" s="1820" t="s">
        <v>359</v>
      </c>
      <c r="C361" s="1837">
        <v>0.5</v>
      </c>
      <c r="D361" s="1829">
        <v>1</v>
      </c>
      <c r="E361" s="1846">
        <v>0</v>
      </c>
      <c r="F361" s="1829">
        <v>1</v>
      </c>
      <c r="G361" s="1829">
        <v>1</v>
      </c>
      <c r="H361" s="1850">
        <v>0.5</v>
      </c>
      <c r="I361" s="2086" t="s">
        <v>91</v>
      </c>
      <c r="J361" s="2218" t="s">
        <v>6225</v>
      </c>
      <c r="K361" s="1952" t="s">
        <v>811</v>
      </c>
      <c r="L361" s="1916">
        <v>0</v>
      </c>
      <c r="M361" s="1935">
        <v>1</v>
      </c>
      <c r="N361" s="1935" t="s">
        <v>811</v>
      </c>
      <c r="O361" s="1935" t="s">
        <v>8787</v>
      </c>
      <c r="P361" s="1916">
        <v>1</v>
      </c>
      <c r="Q361" s="1916">
        <v>0</v>
      </c>
      <c r="R361" s="2096"/>
      <c r="S361" s="2248" t="s">
        <v>8178</v>
      </c>
      <c r="T361" s="1952" t="s">
        <v>7612</v>
      </c>
      <c r="U361" s="1794" t="s">
        <v>748</v>
      </c>
      <c r="V361" s="1935" t="s">
        <v>1535</v>
      </c>
      <c r="W361" s="1917" t="s">
        <v>5473</v>
      </c>
      <c r="X361" s="1935" t="s">
        <v>8787</v>
      </c>
      <c r="Y361" s="1818"/>
      <c r="Z361" s="1818"/>
      <c r="AA361" s="1818"/>
      <c r="AB361" s="1818"/>
      <c r="AC361" s="1818"/>
      <c r="AD361" s="1818"/>
      <c r="AE361" s="1818"/>
      <c r="AF361" s="1818"/>
      <c r="AG361" s="1818"/>
      <c r="AH361" s="1818"/>
      <c r="AI361" s="1818"/>
      <c r="AJ361" s="1818"/>
      <c r="AK361" s="1818"/>
      <c r="AL361" s="1818"/>
      <c r="AM361" s="1818"/>
      <c r="AN361" s="1818"/>
      <c r="AO361" s="1818"/>
      <c r="AP361" s="1818"/>
      <c r="AQ361" s="1818"/>
      <c r="AR361" s="1818"/>
      <c r="AS361" s="1818"/>
      <c r="AT361" s="1818"/>
      <c r="AU361" s="1818"/>
      <c r="AV361" s="1818"/>
      <c r="AW361" s="1818"/>
      <c r="AX361" s="1818"/>
      <c r="AY361" s="1818"/>
      <c r="AZ361" s="1818"/>
      <c r="BA361" s="1818"/>
      <c r="BB361" s="1818"/>
      <c r="BC361" s="1818"/>
      <c r="BD361" s="1818"/>
      <c r="BE361" s="1818"/>
      <c r="BF361" s="1818"/>
      <c r="BG361" s="1818"/>
      <c r="BH361" s="1818"/>
      <c r="BI361" s="1818"/>
      <c r="BJ361" s="1818"/>
      <c r="BK361" s="1818"/>
      <c r="BL361" s="1818"/>
      <c r="BM361" s="1818"/>
      <c r="BN361" s="1818"/>
      <c r="BO361" s="1818"/>
      <c r="BP361" s="1818"/>
      <c r="BQ361" s="1818"/>
      <c r="BR361" s="1818"/>
      <c r="BS361" s="1818"/>
      <c r="BT361" s="1818"/>
      <c r="BU361" s="1818"/>
      <c r="BV361" s="1818"/>
      <c r="BW361" s="1818"/>
      <c r="BX361" s="1818"/>
      <c r="BY361" s="1818"/>
      <c r="BZ361" s="1818"/>
      <c r="CA361" s="1890"/>
      <c r="CB361" s="1890"/>
      <c r="CC361" s="1890"/>
      <c r="CD361" s="1890"/>
      <c r="CE361" s="1890"/>
      <c r="CF361" s="1890"/>
      <c r="CG361" s="1890"/>
      <c r="CH361" s="1890"/>
      <c r="CI361" s="1890"/>
      <c r="CJ361" s="1890"/>
      <c r="CK361" s="1890"/>
      <c r="CL361" s="1890"/>
      <c r="CM361" s="1890"/>
      <c r="CN361" s="1890"/>
      <c r="CO361" s="1890"/>
      <c r="CP361" s="1890"/>
      <c r="CQ361" s="1890"/>
      <c r="CR361" s="1890"/>
      <c r="CS361" s="1890"/>
      <c r="CT361" s="1890"/>
      <c r="CU361" s="1890"/>
      <c r="CV361" s="1890"/>
      <c r="CW361" s="1890"/>
      <c r="CX361" s="1890"/>
      <c r="CY361" s="1890"/>
      <c r="CZ361" s="1890"/>
      <c r="DA361" s="1890"/>
      <c r="DB361" s="1890"/>
      <c r="DC361" s="1890"/>
      <c r="DD361" s="1890"/>
      <c r="DE361" s="1890"/>
      <c r="DF361" s="1890"/>
      <c r="DG361" s="1890"/>
      <c r="DH361" s="1890"/>
      <c r="DI361" s="1890"/>
      <c r="DJ361" s="1890"/>
      <c r="DK361" s="1890"/>
      <c r="DL361" s="1890"/>
      <c r="DM361" s="1890"/>
      <c r="DN361" s="1890"/>
      <c r="DO361" s="1890"/>
      <c r="DP361" s="1890"/>
      <c r="DQ361" s="1890"/>
      <c r="DR361" s="1890"/>
      <c r="DS361" s="1890"/>
      <c r="DT361" s="1890"/>
      <c r="DU361" s="1890"/>
      <c r="DV361" s="1890"/>
      <c r="DW361" s="1890"/>
      <c r="DX361" s="1890"/>
      <c r="DY361" s="1890"/>
      <c r="DZ361" s="1890"/>
      <c r="EA361" s="1890"/>
      <c r="EB361" s="1890"/>
      <c r="EC361" s="1890"/>
      <c r="ED361" s="1890"/>
      <c r="EE361" s="1890"/>
      <c r="EF361" s="1890"/>
      <c r="EG361" s="1890"/>
      <c r="EH361" s="1890"/>
      <c r="EI361" s="1890"/>
      <c r="EJ361" s="1890"/>
      <c r="EK361" s="1890"/>
      <c r="EL361" s="1890"/>
      <c r="EM361" s="1890"/>
      <c r="EN361" s="1890"/>
      <c r="EO361" s="1890"/>
      <c r="EP361" s="1890"/>
      <c r="EQ361" s="1890"/>
      <c r="ER361" s="1890"/>
      <c r="ES361" s="1890"/>
      <c r="ET361" s="1890"/>
      <c r="EU361" s="1890"/>
      <c r="EV361" s="1890"/>
      <c r="EW361" s="1890"/>
      <c r="EX361" s="1890"/>
      <c r="EY361" s="1890"/>
      <c r="EZ361" s="1890"/>
      <c r="FA361" s="1890"/>
      <c r="FB361" s="1890"/>
      <c r="FC361" s="1890"/>
      <c r="FD361" s="1890"/>
      <c r="FE361" s="1890"/>
      <c r="FF361" s="1890"/>
      <c r="FG361" s="1890"/>
      <c r="FH361" s="1890"/>
      <c r="FI361" s="1890"/>
      <c r="FJ361" s="1890"/>
      <c r="FK361" s="1890"/>
      <c r="FL361" s="1890"/>
      <c r="FM361" s="1890"/>
      <c r="FN361" s="1890"/>
      <c r="FO361" s="1890"/>
      <c r="FP361" s="1890"/>
      <c r="FQ361" s="1890"/>
      <c r="FR361" s="1890"/>
      <c r="FS361" s="1890"/>
      <c r="FT361" s="1890"/>
    </row>
    <row r="362" spans="1:176" s="1965" customFormat="1" ht="32.1" customHeight="1">
      <c r="A362" s="2501"/>
      <c r="B362" s="1820" t="s">
        <v>360</v>
      </c>
      <c r="C362" s="1837">
        <v>1</v>
      </c>
      <c r="D362" s="1868">
        <v>1</v>
      </c>
      <c r="E362" s="1858">
        <v>0</v>
      </c>
      <c r="F362" s="1844">
        <v>1</v>
      </c>
      <c r="G362" s="1844">
        <v>1</v>
      </c>
      <c r="H362" s="1827">
        <v>1</v>
      </c>
      <c r="I362" s="2086" t="s">
        <v>38</v>
      </c>
      <c r="J362" s="2217">
        <v>1</v>
      </c>
      <c r="K362" s="1952" t="s">
        <v>811</v>
      </c>
      <c r="L362" s="1916">
        <v>0</v>
      </c>
      <c r="M362" s="1948">
        <v>1</v>
      </c>
      <c r="N362" s="1935" t="s">
        <v>811</v>
      </c>
      <c r="O362" s="1935" t="s">
        <v>8788</v>
      </c>
      <c r="P362" s="1916">
        <v>1</v>
      </c>
      <c r="Q362" s="1916">
        <v>0</v>
      </c>
      <c r="R362" s="2096"/>
      <c r="S362" s="2248" t="s">
        <v>8179</v>
      </c>
      <c r="T362" s="1952" t="s">
        <v>7613</v>
      </c>
      <c r="U362" s="1794" t="s">
        <v>748</v>
      </c>
      <c r="V362" s="1948" t="s">
        <v>6160</v>
      </c>
      <c r="W362" s="1917" t="s">
        <v>1541</v>
      </c>
      <c r="X362" s="1935" t="s">
        <v>8788</v>
      </c>
      <c r="Y362" s="1818"/>
      <c r="Z362" s="1818"/>
      <c r="AA362" s="1818"/>
      <c r="AB362" s="1818"/>
      <c r="AC362" s="1818"/>
      <c r="AD362" s="1818"/>
      <c r="AE362" s="1818"/>
      <c r="AF362" s="1818"/>
      <c r="AG362" s="1818"/>
      <c r="AH362" s="1818"/>
      <c r="AI362" s="1818"/>
      <c r="AJ362" s="1818"/>
      <c r="AK362" s="1818"/>
      <c r="AL362" s="1818"/>
      <c r="AM362" s="1818"/>
      <c r="AN362" s="1818"/>
      <c r="AO362" s="1818"/>
      <c r="AP362" s="1818"/>
      <c r="AQ362" s="1818"/>
      <c r="AR362" s="1818"/>
      <c r="AS362" s="1818"/>
      <c r="AT362" s="1818"/>
      <c r="AU362" s="1818"/>
      <c r="AV362" s="1818"/>
      <c r="AW362" s="1818"/>
      <c r="AX362" s="1818"/>
      <c r="AY362" s="1818"/>
      <c r="AZ362" s="1818"/>
      <c r="BA362" s="1818"/>
      <c r="BB362" s="1818"/>
      <c r="BC362" s="1818"/>
      <c r="BD362" s="1818"/>
      <c r="BE362" s="1818"/>
      <c r="BF362" s="1818"/>
      <c r="BG362" s="1818"/>
      <c r="BH362" s="1818"/>
      <c r="BI362" s="1818"/>
      <c r="BJ362" s="1818"/>
      <c r="BK362" s="1818"/>
      <c r="BL362" s="1818"/>
      <c r="BM362" s="1818"/>
      <c r="BN362" s="1818"/>
      <c r="BO362" s="1818"/>
      <c r="BP362" s="1818"/>
      <c r="BQ362" s="1818"/>
      <c r="BR362" s="1818"/>
      <c r="BS362" s="1818"/>
      <c r="BT362" s="1818"/>
      <c r="BU362" s="1818"/>
      <c r="BV362" s="1818"/>
      <c r="BW362" s="1818"/>
      <c r="BX362" s="1818"/>
      <c r="BY362" s="1818"/>
      <c r="BZ362" s="1818"/>
      <c r="CA362" s="1890"/>
      <c r="CB362" s="1890"/>
      <c r="CC362" s="1890"/>
      <c r="CD362" s="1890"/>
      <c r="CE362" s="1890"/>
      <c r="CF362" s="1890"/>
      <c r="CG362" s="1890"/>
      <c r="CH362" s="1890"/>
      <c r="CI362" s="1890"/>
      <c r="CJ362" s="1890"/>
      <c r="CK362" s="1890"/>
      <c r="CL362" s="1890"/>
      <c r="CM362" s="1890"/>
      <c r="CN362" s="1890"/>
      <c r="CO362" s="1890"/>
      <c r="CP362" s="1890"/>
      <c r="CQ362" s="1890"/>
      <c r="CR362" s="1890"/>
      <c r="CS362" s="1890"/>
      <c r="CT362" s="1890"/>
      <c r="CU362" s="1890"/>
      <c r="CV362" s="1890"/>
      <c r="CW362" s="1890"/>
      <c r="CX362" s="1890"/>
      <c r="CY362" s="1890"/>
      <c r="CZ362" s="1890"/>
      <c r="DA362" s="1890"/>
      <c r="DB362" s="1890"/>
      <c r="DC362" s="1890"/>
      <c r="DD362" s="1890"/>
      <c r="DE362" s="1890"/>
      <c r="DF362" s="1890"/>
      <c r="DG362" s="1890"/>
      <c r="DH362" s="1890"/>
      <c r="DI362" s="1890"/>
      <c r="DJ362" s="1890"/>
      <c r="DK362" s="1890"/>
      <c r="DL362" s="1890"/>
      <c r="DM362" s="1890"/>
      <c r="DN362" s="1890"/>
      <c r="DO362" s="1890"/>
      <c r="DP362" s="1890"/>
      <c r="DQ362" s="1890"/>
      <c r="DR362" s="1890"/>
      <c r="DS362" s="1890"/>
      <c r="DT362" s="1890"/>
      <c r="DU362" s="1890"/>
      <c r="DV362" s="1890"/>
      <c r="DW362" s="1890"/>
      <c r="DX362" s="1890"/>
      <c r="DY362" s="1890"/>
      <c r="DZ362" s="1890"/>
      <c r="EA362" s="1890"/>
      <c r="EB362" s="1890"/>
      <c r="EC362" s="1890"/>
      <c r="ED362" s="1890"/>
      <c r="EE362" s="1890"/>
      <c r="EF362" s="1890"/>
      <c r="EG362" s="1890"/>
      <c r="EH362" s="1890"/>
      <c r="EI362" s="1890"/>
      <c r="EJ362" s="1890"/>
      <c r="EK362" s="1890"/>
      <c r="EL362" s="1890"/>
      <c r="EM362" s="1890"/>
      <c r="EN362" s="1890"/>
      <c r="EO362" s="1890"/>
      <c r="EP362" s="1890"/>
      <c r="EQ362" s="1890"/>
      <c r="ER362" s="1890"/>
      <c r="ES362" s="1890"/>
      <c r="ET362" s="1890"/>
      <c r="EU362" s="1890"/>
      <c r="EV362" s="1890"/>
      <c r="EW362" s="1890"/>
      <c r="EX362" s="1890"/>
      <c r="EY362" s="1890"/>
      <c r="EZ362" s="1890"/>
      <c r="FA362" s="1890"/>
      <c r="FB362" s="1890"/>
      <c r="FC362" s="1890"/>
      <c r="FD362" s="1890"/>
      <c r="FE362" s="1890"/>
      <c r="FF362" s="1890"/>
      <c r="FG362" s="1890"/>
      <c r="FH362" s="1890"/>
      <c r="FI362" s="1890"/>
      <c r="FJ362" s="1890"/>
      <c r="FK362" s="1890"/>
      <c r="FL362" s="1890"/>
      <c r="FM362" s="1890"/>
      <c r="FN362" s="1890"/>
      <c r="FO362" s="1890"/>
      <c r="FP362" s="1890"/>
      <c r="FQ362" s="1890"/>
      <c r="FR362" s="1890"/>
      <c r="FS362" s="1890"/>
      <c r="FT362" s="1890"/>
    </row>
    <row r="363" spans="1:176" s="1965" customFormat="1" ht="75" customHeight="1">
      <c r="A363" s="2499" t="s">
        <v>361</v>
      </c>
      <c r="B363" s="2084" t="s">
        <v>9011</v>
      </c>
      <c r="C363" s="2085">
        <f>AVERAGE(C364:C371)</f>
        <v>1</v>
      </c>
      <c r="D363" s="2085">
        <f t="shared" ref="D363:H363" si="97">AVERAGE(D364:D371)</f>
        <v>0.9375</v>
      </c>
      <c r="E363" s="2085">
        <f t="shared" si="97"/>
        <v>0.9375</v>
      </c>
      <c r="F363" s="2085">
        <f t="shared" si="97"/>
        <v>0.875</v>
      </c>
      <c r="G363" s="2085">
        <f t="shared" si="97"/>
        <v>0.9375</v>
      </c>
      <c r="H363" s="2085">
        <f t="shared" si="97"/>
        <v>0.625</v>
      </c>
      <c r="I363" s="2086" t="s">
        <v>9010</v>
      </c>
      <c r="J363" s="2087"/>
      <c r="K363" s="2087"/>
      <c r="L363" s="2087"/>
      <c r="M363" s="2087"/>
      <c r="N363" s="2087"/>
      <c r="O363" s="2087"/>
      <c r="P363" s="2087"/>
      <c r="Q363" s="2087"/>
      <c r="R363" s="2088"/>
      <c r="S363" s="2087"/>
      <c r="T363" s="2087"/>
      <c r="U363" s="2087"/>
      <c r="V363" s="2087"/>
      <c r="W363" s="2087"/>
      <c r="X363" s="2087"/>
      <c r="Y363" s="1818"/>
      <c r="Z363" s="1818"/>
      <c r="AA363" s="1818"/>
      <c r="AB363" s="1818"/>
      <c r="AC363" s="1818"/>
      <c r="AD363" s="1818"/>
      <c r="AE363" s="1818"/>
      <c r="AF363" s="1818"/>
      <c r="AG363" s="1818"/>
      <c r="AH363" s="1818"/>
      <c r="AI363" s="1818"/>
      <c r="AJ363" s="1818"/>
      <c r="AK363" s="1818"/>
      <c r="AL363" s="1818"/>
      <c r="AM363" s="1818"/>
      <c r="AN363" s="1818"/>
      <c r="AO363" s="1818"/>
      <c r="AP363" s="1818"/>
      <c r="AQ363" s="1818"/>
      <c r="AR363" s="1818"/>
      <c r="AS363" s="1818"/>
      <c r="AT363" s="1818"/>
      <c r="AU363" s="1818"/>
      <c r="AV363" s="1818"/>
      <c r="AW363" s="1818"/>
      <c r="AX363" s="1818"/>
      <c r="AY363" s="1818"/>
      <c r="AZ363" s="1818"/>
      <c r="BA363" s="1818"/>
      <c r="BB363" s="1818"/>
      <c r="BC363" s="1818"/>
      <c r="BD363" s="1818"/>
      <c r="BE363" s="1818"/>
      <c r="BF363" s="1818"/>
      <c r="BG363" s="1818"/>
      <c r="BH363" s="1818"/>
      <c r="BI363" s="1818"/>
      <c r="BJ363" s="1818"/>
      <c r="BK363" s="1818"/>
      <c r="BL363" s="1818"/>
      <c r="BM363" s="1818"/>
      <c r="BN363" s="1818"/>
      <c r="BO363" s="1818"/>
      <c r="BP363" s="1818"/>
      <c r="BQ363" s="1818"/>
      <c r="BR363" s="1818"/>
      <c r="BS363" s="1818"/>
      <c r="BT363" s="1818"/>
      <c r="BU363" s="1818"/>
      <c r="BV363" s="1818"/>
      <c r="BW363" s="1818"/>
      <c r="BX363" s="1818"/>
      <c r="BY363" s="1818"/>
      <c r="BZ363" s="1818"/>
      <c r="CA363" s="1890"/>
      <c r="CB363" s="1890"/>
      <c r="CC363" s="1890"/>
      <c r="CD363" s="1890"/>
      <c r="CE363" s="1890"/>
      <c r="CF363" s="1890"/>
      <c r="CG363" s="1890"/>
      <c r="CH363" s="1890"/>
      <c r="CI363" s="1890"/>
      <c r="CJ363" s="1890"/>
      <c r="CK363" s="1890"/>
      <c r="CL363" s="1890"/>
      <c r="CM363" s="1890"/>
      <c r="CN363" s="1890"/>
      <c r="CO363" s="1890"/>
      <c r="CP363" s="1890"/>
      <c r="CQ363" s="1890"/>
      <c r="CR363" s="1890"/>
      <c r="CS363" s="1890"/>
      <c r="CT363" s="1890"/>
      <c r="CU363" s="1890"/>
      <c r="CV363" s="1890"/>
      <c r="CW363" s="1890"/>
      <c r="CX363" s="1890"/>
      <c r="CY363" s="1890"/>
      <c r="CZ363" s="1890"/>
      <c r="DA363" s="1890"/>
      <c r="DB363" s="1890"/>
      <c r="DC363" s="1890"/>
      <c r="DD363" s="1890"/>
      <c r="DE363" s="1890"/>
      <c r="DF363" s="1890"/>
      <c r="DG363" s="1890"/>
      <c r="DH363" s="1890"/>
      <c r="DI363" s="1890"/>
      <c r="DJ363" s="1890"/>
      <c r="DK363" s="1890"/>
      <c r="DL363" s="1890"/>
      <c r="DM363" s="1890"/>
      <c r="DN363" s="1890"/>
      <c r="DO363" s="1890"/>
      <c r="DP363" s="1890"/>
      <c r="DQ363" s="1890"/>
      <c r="DR363" s="1890"/>
      <c r="DS363" s="1890"/>
      <c r="DT363" s="1890"/>
      <c r="DU363" s="1890"/>
      <c r="DV363" s="1890"/>
      <c r="DW363" s="1890"/>
      <c r="DX363" s="1890"/>
      <c r="DY363" s="1890"/>
      <c r="DZ363" s="1890"/>
      <c r="EA363" s="1890"/>
      <c r="EB363" s="1890"/>
      <c r="EC363" s="1890"/>
      <c r="ED363" s="1890"/>
      <c r="EE363" s="1890"/>
      <c r="EF363" s="1890"/>
      <c r="EG363" s="1890"/>
      <c r="EH363" s="1890"/>
      <c r="EI363" s="1890"/>
      <c r="EJ363" s="1890"/>
      <c r="EK363" s="1890"/>
      <c r="EL363" s="1890"/>
      <c r="EM363" s="1890"/>
      <c r="EN363" s="1890"/>
      <c r="EO363" s="1890"/>
      <c r="EP363" s="1890"/>
      <c r="EQ363" s="1890"/>
      <c r="ER363" s="1890"/>
      <c r="ES363" s="1890"/>
      <c r="ET363" s="1890"/>
      <c r="EU363" s="1890"/>
      <c r="EV363" s="1890"/>
      <c r="EW363" s="1890"/>
      <c r="EX363" s="1890"/>
      <c r="EY363" s="1890"/>
      <c r="EZ363" s="1890"/>
      <c r="FA363" s="1890"/>
      <c r="FB363" s="1890"/>
      <c r="FC363" s="1890"/>
      <c r="FD363" s="1890"/>
      <c r="FE363" s="1890"/>
      <c r="FF363" s="1890"/>
      <c r="FG363" s="1890"/>
      <c r="FH363" s="1890"/>
      <c r="FI363" s="1890"/>
      <c r="FJ363" s="1890"/>
      <c r="FK363" s="1890"/>
      <c r="FL363" s="1890"/>
      <c r="FM363" s="1890"/>
      <c r="FN363" s="1890"/>
      <c r="FO363" s="1890"/>
      <c r="FP363" s="1890"/>
      <c r="FQ363" s="1890"/>
      <c r="FR363" s="1890"/>
      <c r="FS363" s="1890"/>
      <c r="FT363" s="1890"/>
    </row>
    <row r="364" spans="1:176" s="1965" customFormat="1" ht="32.1" customHeight="1">
      <c r="A364" s="2501"/>
      <c r="B364" s="1820" t="s">
        <v>363</v>
      </c>
      <c r="C364" s="2211">
        <v>1</v>
      </c>
      <c r="D364" s="1868">
        <v>1</v>
      </c>
      <c r="E364" s="1830">
        <v>1</v>
      </c>
      <c r="F364" s="1844">
        <v>1</v>
      </c>
      <c r="G364" s="1829">
        <v>1</v>
      </c>
      <c r="H364" s="1839">
        <v>1</v>
      </c>
      <c r="I364" s="2086" t="s">
        <v>38</v>
      </c>
      <c r="J364" s="2219">
        <v>1</v>
      </c>
      <c r="K364" s="1952" t="s">
        <v>4417</v>
      </c>
      <c r="L364" s="1916">
        <v>1</v>
      </c>
      <c r="M364" s="1948">
        <v>1</v>
      </c>
      <c r="N364" s="1949" t="s">
        <v>9119</v>
      </c>
      <c r="O364" s="1948" t="s">
        <v>8789</v>
      </c>
      <c r="P364" s="1916">
        <v>1</v>
      </c>
      <c r="Q364" s="1916">
        <v>0</v>
      </c>
      <c r="R364" s="2096"/>
      <c r="S364" s="2258" t="s">
        <v>9075</v>
      </c>
      <c r="T364" s="1952" t="s">
        <v>7614</v>
      </c>
      <c r="U364" s="1794" t="s">
        <v>8514</v>
      </c>
      <c r="V364" s="1948" t="s">
        <v>7936</v>
      </c>
      <c r="W364" s="1941" t="s">
        <v>8417</v>
      </c>
      <c r="X364" s="1948" t="s">
        <v>8789</v>
      </c>
      <c r="Y364" s="1818"/>
      <c r="Z364" s="1818"/>
      <c r="AA364" s="1818"/>
      <c r="AB364" s="1818"/>
      <c r="AC364" s="1818"/>
      <c r="AD364" s="1818"/>
      <c r="AE364" s="1818"/>
      <c r="AF364" s="1818"/>
      <c r="AG364" s="1818"/>
      <c r="AH364" s="1818"/>
      <c r="AI364" s="1818"/>
      <c r="AJ364" s="1818"/>
      <c r="AK364" s="1818"/>
      <c r="AL364" s="1818"/>
      <c r="AM364" s="1818"/>
      <c r="AN364" s="1818"/>
      <c r="AO364" s="1818"/>
      <c r="AP364" s="1818"/>
      <c r="AQ364" s="1818"/>
      <c r="AR364" s="1818"/>
      <c r="AS364" s="1818"/>
      <c r="AT364" s="1818"/>
      <c r="AU364" s="1818"/>
      <c r="AV364" s="1818"/>
      <c r="AW364" s="1818"/>
      <c r="AX364" s="1818"/>
      <c r="AY364" s="1818"/>
      <c r="AZ364" s="1818"/>
      <c r="BA364" s="1818"/>
      <c r="BB364" s="1818"/>
      <c r="BC364" s="1818"/>
      <c r="BD364" s="1818"/>
      <c r="BE364" s="1818"/>
      <c r="BF364" s="1818"/>
      <c r="BG364" s="1818"/>
      <c r="BH364" s="1818"/>
      <c r="BI364" s="1818"/>
      <c r="BJ364" s="1818"/>
      <c r="BK364" s="1818"/>
      <c r="BL364" s="1818"/>
      <c r="BM364" s="1818"/>
      <c r="BN364" s="1818"/>
      <c r="BO364" s="1818"/>
      <c r="BP364" s="1818"/>
      <c r="BQ364" s="1818"/>
      <c r="BR364" s="1818"/>
      <c r="BS364" s="1818"/>
      <c r="BT364" s="1818"/>
      <c r="BU364" s="1818"/>
      <c r="BV364" s="1818"/>
      <c r="BW364" s="1818"/>
      <c r="BX364" s="1818"/>
      <c r="BY364" s="1818"/>
      <c r="BZ364" s="1818"/>
      <c r="CA364" s="1890"/>
      <c r="CB364" s="1890"/>
      <c r="CC364" s="1890"/>
      <c r="CD364" s="1890"/>
      <c r="CE364" s="1890"/>
      <c r="CF364" s="1890"/>
      <c r="CG364" s="1890"/>
      <c r="CH364" s="1890"/>
      <c r="CI364" s="1890"/>
      <c r="CJ364" s="1890"/>
      <c r="CK364" s="1890"/>
      <c r="CL364" s="1890"/>
      <c r="CM364" s="1890"/>
      <c r="CN364" s="1890"/>
      <c r="CO364" s="1890"/>
      <c r="CP364" s="1890"/>
      <c r="CQ364" s="1890"/>
      <c r="CR364" s="1890"/>
      <c r="CS364" s="1890"/>
      <c r="CT364" s="1890"/>
      <c r="CU364" s="1890"/>
      <c r="CV364" s="1890"/>
      <c r="CW364" s="1890"/>
      <c r="CX364" s="1890"/>
      <c r="CY364" s="1890"/>
      <c r="CZ364" s="1890"/>
      <c r="DA364" s="1890"/>
      <c r="DB364" s="1890"/>
      <c r="DC364" s="1890"/>
      <c r="DD364" s="1890"/>
      <c r="DE364" s="1890"/>
      <c r="DF364" s="1890"/>
      <c r="DG364" s="1890"/>
      <c r="DH364" s="1890"/>
      <c r="DI364" s="1890"/>
      <c r="DJ364" s="1890"/>
      <c r="DK364" s="1890"/>
      <c r="DL364" s="1890"/>
      <c r="DM364" s="1890"/>
      <c r="DN364" s="1890"/>
      <c r="DO364" s="1890"/>
      <c r="DP364" s="1890"/>
      <c r="DQ364" s="1890"/>
      <c r="DR364" s="1890"/>
      <c r="DS364" s="1890"/>
      <c r="DT364" s="1890"/>
      <c r="DU364" s="1890"/>
      <c r="DV364" s="1890"/>
      <c r="DW364" s="1890"/>
      <c r="DX364" s="1890"/>
      <c r="DY364" s="1890"/>
      <c r="DZ364" s="1890"/>
      <c r="EA364" s="1890"/>
      <c r="EB364" s="1890"/>
      <c r="EC364" s="1890"/>
      <c r="ED364" s="1890"/>
      <c r="EE364" s="1890"/>
      <c r="EF364" s="1890"/>
      <c r="EG364" s="1890"/>
      <c r="EH364" s="1890"/>
      <c r="EI364" s="1890"/>
      <c r="EJ364" s="1890"/>
      <c r="EK364" s="1890"/>
      <c r="EL364" s="1890"/>
      <c r="EM364" s="1890"/>
      <c r="EN364" s="1890"/>
      <c r="EO364" s="1890"/>
      <c r="EP364" s="1890"/>
      <c r="EQ364" s="1890"/>
      <c r="ER364" s="1890"/>
      <c r="ES364" s="1890"/>
      <c r="ET364" s="1890"/>
      <c r="EU364" s="1890"/>
      <c r="EV364" s="1890"/>
      <c r="EW364" s="1890"/>
      <c r="EX364" s="1890"/>
      <c r="EY364" s="1890"/>
      <c r="EZ364" s="1890"/>
      <c r="FA364" s="1890"/>
      <c r="FB364" s="1890"/>
      <c r="FC364" s="1890"/>
      <c r="FD364" s="1890"/>
      <c r="FE364" s="1890"/>
      <c r="FF364" s="1890"/>
      <c r="FG364" s="1890"/>
      <c r="FH364" s="1890"/>
      <c r="FI364" s="1890"/>
      <c r="FJ364" s="1890"/>
      <c r="FK364" s="1890"/>
      <c r="FL364" s="1890"/>
      <c r="FM364" s="1890"/>
      <c r="FN364" s="1890"/>
      <c r="FO364" s="1890"/>
      <c r="FP364" s="1890"/>
      <c r="FQ364" s="1890"/>
      <c r="FR364" s="1890"/>
      <c r="FS364" s="1890"/>
      <c r="FT364" s="1890"/>
    </row>
    <row r="365" spans="1:176" s="1965" customFormat="1" ht="44.1" customHeight="1">
      <c r="A365" s="2501"/>
      <c r="B365" s="1820" t="s">
        <v>364</v>
      </c>
      <c r="C365" s="2211">
        <v>1</v>
      </c>
      <c r="D365" s="1868">
        <v>1</v>
      </c>
      <c r="E365" s="1830">
        <v>1</v>
      </c>
      <c r="F365" s="1844">
        <v>1</v>
      </c>
      <c r="G365" s="1844">
        <v>1</v>
      </c>
      <c r="H365" s="1859">
        <v>1</v>
      </c>
      <c r="I365" s="2086" t="s">
        <v>38</v>
      </c>
      <c r="J365" s="2219">
        <v>1</v>
      </c>
      <c r="K365" s="1952" t="s">
        <v>811</v>
      </c>
      <c r="L365" s="1916">
        <v>1</v>
      </c>
      <c r="M365" s="1948">
        <v>1</v>
      </c>
      <c r="N365" s="1948" t="s">
        <v>811</v>
      </c>
      <c r="O365" s="1948" t="s">
        <v>8790</v>
      </c>
      <c r="P365" s="1916">
        <v>1</v>
      </c>
      <c r="Q365" s="1916">
        <v>0</v>
      </c>
      <c r="R365" s="2096"/>
      <c r="S365" s="2258" t="s">
        <v>9076</v>
      </c>
      <c r="T365" s="1952" t="s">
        <v>7615</v>
      </c>
      <c r="U365" s="1794" t="s">
        <v>5948</v>
      </c>
      <c r="V365" s="1948" t="s">
        <v>7937</v>
      </c>
      <c r="W365" s="1948" t="s">
        <v>8418</v>
      </c>
      <c r="X365" s="1948" t="s">
        <v>8790</v>
      </c>
      <c r="Y365" s="1818"/>
      <c r="Z365" s="1818"/>
      <c r="AA365" s="1818"/>
      <c r="AB365" s="1818"/>
      <c r="AC365" s="1818"/>
      <c r="AD365" s="1818"/>
      <c r="AE365" s="1818"/>
      <c r="AF365" s="1818"/>
      <c r="AG365" s="1818"/>
      <c r="AH365" s="1818"/>
      <c r="AI365" s="1818"/>
      <c r="AJ365" s="1818"/>
      <c r="AK365" s="1818"/>
      <c r="AL365" s="1818"/>
      <c r="AM365" s="1818"/>
      <c r="AN365" s="1818"/>
      <c r="AO365" s="1818"/>
      <c r="AP365" s="1818"/>
      <c r="AQ365" s="1818"/>
      <c r="AR365" s="1818"/>
      <c r="AS365" s="1818"/>
      <c r="AT365" s="1818"/>
      <c r="AU365" s="1818"/>
      <c r="AV365" s="1818"/>
      <c r="AW365" s="1818"/>
      <c r="AX365" s="1818"/>
      <c r="AY365" s="1818"/>
      <c r="AZ365" s="1818"/>
      <c r="BA365" s="1818"/>
      <c r="BB365" s="1818"/>
      <c r="BC365" s="1818"/>
      <c r="BD365" s="1818"/>
      <c r="BE365" s="1818"/>
      <c r="BF365" s="1818"/>
      <c r="BG365" s="1818"/>
      <c r="BH365" s="1818"/>
      <c r="BI365" s="1818"/>
      <c r="BJ365" s="1818"/>
      <c r="BK365" s="1818"/>
      <c r="BL365" s="1818"/>
      <c r="BM365" s="1818"/>
      <c r="BN365" s="1818"/>
      <c r="BO365" s="1818"/>
      <c r="BP365" s="1818"/>
      <c r="BQ365" s="1818"/>
      <c r="BR365" s="1818"/>
      <c r="BS365" s="1818"/>
      <c r="BT365" s="1818"/>
      <c r="BU365" s="1818"/>
      <c r="BV365" s="1818"/>
      <c r="BW365" s="1818"/>
      <c r="BX365" s="1818"/>
      <c r="BY365" s="1818"/>
      <c r="BZ365" s="1818"/>
      <c r="CA365" s="1890"/>
      <c r="CB365" s="1890"/>
      <c r="CC365" s="1890"/>
      <c r="CD365" s="1890"/>
      <c r="CE365" s="1890"/>
      <c r="CF365" s="1890"/>
      <c r="CG365" s="1890"/>
      <c r="CH365" s="1890"/>
      <c r="CI365" s="1890"/>
      <c r="CJ365" s="1890"/>
      <c r="CK365" s="1890"/>
      <c r="CL365" s="1890"/>
      <c r="CM365" s="1890"/>
      <c r="CN365" s="1890"/>
      <c r="CO365" s="1890"/>
      <c r="CP365" s="1890"/>
      <c r="CQ365" s="1890"/>
      <c r="CR365" s="1890"/>
      <c r="CS365" s="1890"/>
      <c r="CT365" s="1890"/>
      <c r="CU365" s="1890"/>
      <c r="CV365" s="1890"/>
      <c r="CW365" s="1890"/>
      <c r="CX365" s="1890"/>
      <c r="CY365" s="1890"/>
      <c r="CZ365" s="1890"/>
      <c r="DA365" s="1890"/>
      <c r="DB365" s="1890"/>
      <c r="DC365" s="1890"/>
      <c r="DD365" s="1890"/>
      <c r="DE365" s="1890"/>
      <c r="DF365" s="1890"/>
      <c r="DG365" s="1890"/>
      <c r="DH365" s="1890"/>
      <c r="DI365" s="1890"/>
      <c r="DJ365" s="1890"/>
      <c r="DK365" s="1890"/>
      <c r="DL365" s="1890"/>
      <c r="DM365" s="1890"/>
      <c r="DN365" s="1890"/>
      <c r="DO365" s="1890"/>
      <c r="DP365" s="1890"/>
      <c r="DQ365" s="1890"/>
      <c r="DR365" s="1890"/>
      <c r="DS365" s="1890"/>
      <c r="DT365" s="1890"/>
      <c r="DU365" s="1890"/>
      <c r="DV365" s="1890"/>
      <c r="DW365" s="1890"/>
      <c r="DX365" s="1890"/>
      <c r="DY365" s="1890"/>
      <c r="DZ365" s="1890"/>
      <c r="EA365" s="1890"/>
      <c r="EB365" s="1890"/>
      <c r="EC365" s="1890"/>
      <c r="ED365" s="1890"/>
      <c r="EE365" s="1890"/>
      <c r="EF365" s="1890"/>
      <c r="EG365" s="1890"/>
      <c r="EH365" s="1890"/>
      <c r="EI365" s="1890"/>
      <c r="EJ365" s="1890"/>
      <c r="EK365" s="1890"/>
      <c r="EL365" s="1890"/>
      <c r="EM365" s="1890"/>
      <c r="EN365" s="1890"/>
      <c r="EO365" s="1890"/>
      <c r="EP365" s="1890"/>
      <c r="EQ365" s="1890"/>
      <c r="ER365" s="1890"/>
      <c r="ES365" s="1890"/>
      <c r="ET365" s="1890"/>
      <c r="EU365" s="1890"/>
      <c r="EV365" s="1890"/>
      <c r="EW365" s="1890"/>
      <c r="EX365" s="1890"/>
      <c r="EY365" s="1890"/>
      <c r="EZ365" s="1890"/>
      <c r="FA365" s="1890"/>
      <c r="FB365" s="1890"/>
      <c r="FC365" s="1890"/>
      <c r="FD365" s="1890"/>
      <c r="FE365" s="1890"/>
      <c r="FF365" s="1890"/>
      <c r="FG365" s="1890"/>
      <c r="FH365" s="1890"/>
      <c r="FI365" s="1890"/>
      <c r="FJ365" s="1890"/>
      <c r="FK365" s="1890"/>
      <c r="FL365" s="1890"/>
      <c r="FM365" s="1890"/>
      <c r="FN365" s="1890"/>
      <c r="FO365" s="1890"/>
      <c r="FP365" s="1890"/>
      <c r="FQ365" s="1890"/>
      <c r="FR365" s="1890"/>
      <c r="FS365" s="1890"/>
      <c r="FT365" s="1890"/>
    </row>
    <row r="366" spans="1:176" s="1965" customFormat="1" ht="32.1" customHeight="1">
      <c r="A366" s="2501"/>
      <c r="B366" s="1820" t="s">
        <v>365</v>
      </c>
      <c r="C366" s="2211">
        <v>1</v>
      </c>
      <c r="D366" s="1868">
        <v>1</v>
      </c>
      <c r="E366" s="1830">
        <v>1</v>
      </c>
      <c r="F366" s="1844">
        <v>1</v>
      </c>
      <c r="G366" s="1844">
        <v>1</v>
      </c>
      <c r="H366" s="1859">
        <v>1</v>
      </c>
      <c r="I366" s="2086" t="s">
        <v>38</v>
      </c>
      <c r="J366" s="2219">
        <v>1</v>
      </c>
      <c r="K366" s="1952" t="s">
        <v>811</v>
      </c>
      <c r="L366" s="1916">
        <v>1</v>
      </c>
      <c r="M366" s="1948">
        <v>1</v>
      </c>
      <c r="N366" s="1948" t="s">
        <v>811</v>
      </c>
      <c r="O366" s="1935" t="s">
        <v>5697</v>
      </c>
      <c r="P366" s="1916">
        <v>1</v>
      </c>
      <c r="Q366" s="1916">
        <v>0</v>
      </c>
      <c r="R366" s="2096"/>
      <c r="S366" s="2258" t="s">
        <v>9077</v>
      </c>
      <c r="T366" s="1952" t="s">
        <v>7616</v>
      </c>
      <c r="U366" s="1794" t="s">
        <v>5949</v>
      </c>
      <c r="V366" s="1948" t="s">
        <v>7938</v>
      </c>
      <c r="W366" s="1983" t="s">
        <v>9244</v>
      </c>
      <c r="X366" s="1935" t="s">
        <v>5697</v>
      </c>
      <c r="Y366" s="1818"/>
      <c r="Z366" s="1818"/>
      <c r="AA366" s="1818"/>
      <c r="AB366" s="1818"/>
      <c r="AC366" s="1818"/>
      <c r="AD366" s="1818"/>
      <c r="AE366" s="1818"/>
      <c r="AF366" s="1818"/>
      <c r="AG366" s="1818"/>
      <c r="AH366" s="1818"/>
      <c r="AI366" s="1818"/>
      <c r="AJ366" s="1818"/>
      <c r="AK366" s="1818"/>
      <c r="AL366" s="1818"/>
      <c r="AM366" s="1818"/>
      <c r="AN366" s="1818"/>
      <c r="AO366" s="1818"/>
      <c r="AP366" s="1818"/>
      <c r="AQ366" s="1818"/>
      <c r="AR366" s="1818"/>
      <c r="AS366" s="1818"/>
      <c r="AT366" s="1818"/>
      <c r="AU366" s="1818"/>
      <c r="AV366" s="1818"/>
      <c r="AW366" s="1818"/>
      <c r="AX366" s="1818"/>
      <c r="AY366" s="1818"/>
      <c r="AZ366" s="1818"/>
      <c r="BA366" s="1818"/>
      <c r="BB366" s="1818"/>
      <c r="BC366" s="1818"/>
      <c r="BD366" s="1818"/>
      <c r="BE366" s="1818"/>
      <c r="BF366" s="1818"/>
      <c r="BG366" s="1818"/>
      <c r="BH366" s="1818"/>
      <c r="BI366" s="1818"/>
      <c r="BJ366" s="1818"/>
      <c r="BK366" s="1818"/>
      <c r="BL366" s="1818"/>
      <c r="BM366" s="1818"/>
      <c r="BN366" s="1818"/>
      <c r="BO366" s="1818"/>
      <c r="BP366" s="1818"/>
      <c r="BQ366" s="1818"/>
      <c r="BR366" s="1818"/>
      <c r="BS366" s="1818"/>
      <c r="BT366" s="1818"/>
      <c r="BU366" s="1818"/>
      <c r="BV366" s="1818"/>
      <c r="BW366" s="1818"/>
      <c r="BX366" s="1818"/>
      <c r="BY366" s="1818"/>
      <c r="BZ366" s="1818"/>
      <c r="CA366" s="1890"/>
      <c r="CB366" s="1890"/>
      <c r="CC366" s="1890"/>
      <c r="CD366" s="1890"/>
      <c r="CE366" s="1890"/>
      <c r="CF366" s="1890"/>
      <c r="CG366" s="1890"/>
      <c r="CH366" s="1890"/>
      <c r="CI366" s="1890"/>
      <c r="CJ366" s="1890"/>
      <c r="CK366" s="1890"/>
      <c r="CL366" s="1890"/>
      <c r="CM366" s="1890"/>
      <c r="CN366" s="1890"/>
      <c r="CO366" s="1890"/>
      <c r="CP366" s="1890"/>
      <c r="CQ366" s="1890"/>
      <c r="CR366" s="1890"/>
      <c r="CS366" s="1890"/>
      <c r="CT366" s="1890"/>
      <c r="CU366" s="1890"/>
      <c r="CV366" s="1890"/>
      <c r="CW366" s="1890"/>
      <c r="CX366" s="1890"/>
      <c r="CY366" s="1890"/>
      <c r="CZ366" s="1890"/>
      <c r="DA366" s="1890"/>
      <c r="DB366" s="1890"/>
      <c r="DC366" s="1890"/>
      <c r="DD366" s="1890"/>
      <c r="DE366" s="1890"/>
      <c r="DF366" s="1890"/>
      <c r="DG366" s="1890"/>
      <c r="DH366" s="1890"/>
      <c r="DI366" s="1890"/>
      <c r="DJ366" s="1890"/>
      <c r="DK366" s="1890"/>
      <c r="DL366" s="1890"/>
      <c r="DM366" s="1890"/>
      <c r="DN366" s="1890"/>
      <c r="DO366" s="1890"/>
      <c r="DP366" s="1890"/>
      <c r="DQ366" s="1890"/>
      <c r="DR366" s="1890"/>
      <c r="DS366" s="1890"/>
      <c r="DT366" s="1890"/>
      <c r="DU366" s="1890"/>
      <c r="DV366" s="1890"/>
      <c r="DW366" s="1890"/>
      <c r="DX366" s="1890"/>
      <c r="DY366" s="1890"/>
      <c r="DZ366" s="1890"/>
      <c r="EA366" s="1890"/>
      <c r="EB366" s="1890"/>
      <c r="EC366" s="1890"/>
      <c r="ED366" s="1890"/>
      <c r="EE366" s="1890"/>
      <c r="EF366" s="1890"/>
      <c r="EG366" s="1890"/>
      <c r="EH366" s="1890"/>
      <c r="EI366" s="1890"/>
      <c r="EJ366" s="1890"/>
      <c r="EK366" s="1890"/>
      <c r="EL366" s="1890"/>
      <c r="EM366" s="1890"/>
      <c r="EN366" s="1890"/>
      <c r="EO366" s="1890"/>
      <c r="EP366" s="1890"/>
      <c r="EQ366" s="1890"/>
      <c r="ER366" s="1890"/>
      <c r="ES366" s="1890"/>
      <c r="ET366" s="1890"/>
      <c r="EU366" s="1890"/>
      <c r="EV366" s="1890"/>
      <c r="EW366" s="1890"/>
      <c r="EX366" s="1890"/>
      <c r="EY366" s="1890"/>
      <c r="EZ366" s="1890"/>
      <c r="FA366" s="1890"/>
      <c r="FB366" s="1890"/>
      <c r="FC366" s="1890"/>
      <c r="FD366" s="1890"/>
      <c r="FE366" s="1890"/>
      <c r="FF366" s="1890"/>
      <c r="FG366" s="1890"/>
      <c r="FH366" s="1890"/>
      <c r="FI366" s="1890"/>
      <c r="FJ366" s="1890"/>
      <c r="FK366" s="1890"/>
      <c r="FL366" s="1890"/>
      <c r="FM366" s="1890"/>
      <c r="FN366" s="1890"/>
      <c r="FO366" s="1890"/>
      <c r="FP366" s="1890"/>
      <c r="FQ366" s="1890"/>
      <c r="FR366" s="1890"/>
      <c r="FS366" s="1890"/>
      <c r="FT366" s="1890"/>
    </row>
    <row r="367" spans="1:176" s="1965" customFormat="1" ht="51.95" customHeight="1">
      <c r="A367" s="2501"/>
      <c r="B367" s="1820" t="s">
        <v>7019</v>
      </c>
      <c r="C367" s="2211">
        <v>1</v>
      </c>
      <c r="D367" s="1868">
        <v>1</v>
      </c>
      <c r="E367" s="1830">
        <v>1</v>
      </c>
      <c r="F367" s="1844">
        <v>1</v>
      </c>
      <c r="G367" s="1844">
        <v>1</v>
      </c>
      <c r="H367" s="1859">
        <v>1</v>
      </c>
      <c r="I367" s="2086"/>
      <c r="J367" s="2219">
        <v>1</v>
      </c>
      <c r="K367" s="1952" t="s">
        <v>811</v>
      </c>
      <c r="L367" s="1916">
        <v>1</v>
      </c>
      <c r="M367" s="1948">
        <v>1</v>
      </c>
      <c r="N367" s="1948" t="s">
        <v>811</v>
      </c>
      <c r="O367" s="1935" t="s">
        <v>8791</v>
      </c>
      <c r="P367" s="1916"/>
      <c r="Q367" s="1916"/>
      <c r="R367" s="2096"/>
      <c r="S367" s="2258" t="s">
        <v>9078</v>
      </c>
      <c r="T367" s="1952" t="s">
        <v>7617</v>
      </c>
      <c r="U367" s="1794" t="s">
        <v>8515</v>
      </c>
      <c r="V367" s="1948" t="s">
        <v>7939</v>
      </c>
      <c r="W367" s="1988" t="s">
        <v>9245</v>
      </c>
      <c r="X367" s="1935" t="s">
        <v>8791</v>
      </c>
      <c r="Y367" s="1818"/>
      <c r="Z367" s="1818"/>
      <c r="AA367" s="1818"/>
      <c r="AB367" s="1818"/>
      <c r="AC367" s="1818"/>
      <c r="AD367" s="1818"/>
      <c r="AE367" s="1818"/>
      <c r="AF367" s="1818"/>
      <c r="AG367" s="1818"/>
      <c r="AH367" s="1818"/>
      <c r="AI367" s="1818"/>
      <c r="AJ367" s="1818"/>
      <c r="AK367" s="1818"/>
      <c r="AL367" s="1818"/>
      <c r="AM367" s="1818"/>
      <c r="AN367" s="1818"/>
      <c r="AO367" s="1818"/>
      <c r="AP367" s="1818"/>
      <c r="AQ367" s="1818"/>
      <c r="AR367" s="1818"/>
      <c r="AS367" s="1818"/>
      <c r="AT367" s="1818"/>
      <c r="AU367" s="1818"/>
      <c r="AV367" s="1818"/>
      <c r="AW367" s="1818"/>
      <c r="AX367" s="1818"/>
      <c r="AY367" s="1818"/>
      <c r="AZ367" s="1818"/>
      <c r="BA367" s="1818"/>
      <c r="BB367" s="1818"/>
      <c r="BC367" s="1818"/>
      <c r="BD367" s="1818"/>
      <c r="BE367" s="1818"/>
      <c r="BF367" s="1818"/>
      <c r="BG367" s="1818"/>
      <c r="BH367" s="1818"/>
      <c r="BI367" s="1818"/>
      <c r="BJ367" s="1818"/>
      <c r="BK367" s="1818"/>
      <c r="BL367" s="1818"/>
      <c r="BM367" s="1818"/>
      <c r="BN367" s="1818"/>
      <c r="BO367" s="1818"/>
      <c r="BP367" s="1818"/>
      <c r="BQ367" s="1818"/>
      <c r="BR367" s="1818"/>
      <c r="BS367" s="1818"/>
      <c r="BT367" s="1818"/>
      <c r="BU367" s="1818"/>
      <c r="BV367" s="1818"/>
      <c r="BW367" s="1818"/>
      <c r="BX367" s="1818"/>
      <c r="BY367" s="1818"/>
      <c r="BZ367" s="1818"/>
      <c r="CA367" s="1890"/>
      <c r="CB367" s="1890"/>
      <c r="CC367" s="1890"/>
      <c r="CD367" s="1890"/>
      <c r="CE367" s="1890"/>
      <c r="CF367" s="1890"/>
      <c r="CG367" s="1890"/>
      <c r="CH367" s="1890"/>
      <c r="CI367" s="1890"/>
      <c r="CJ367" s="1890"/>
      <c r="CK367" s="1890"/>
      <c r="CL367" s="1890"/>
      <c r="CM367" s="1890"/>
      <c r="CN367" s="1890"/>
      <c r="CO367" s="1890"/>
      <c r="CP367" s="1890"/>
      <c r="CQ367" s="1890"/>
      <c r="CR367" s="1890"/>
      <c r="CS367" s="1890"/>
      <c r="CT367" s="1890"/>
      <c r="CU367" s="1890"/>
      <c r="CV367" s="1890"/>
      <c r="CW367" s="1890"/>
      <c r="CX367" s="1890"/>
      <c r="CY367" s="1890"/>
      <c r="CZ367" s="1890"/>
      <c r="DA367" s="1890"/>
      <c r="DB367" s="1890"/>
      <c r="DC367" s="1890"/>
      <c r="DD367" s="1890"/>
      <c r="DE367" s="1890"/>
      <c r="DF367" s="1890"/>
      <c r="DG367" s="1890"/>
      <c r="DH367" s="1890"/>
      <c r="DI367" s="1890"/>
      <c r="DJ367" s="1890"/>
      <c r="DK367" s="1890"/>
      <c r="DL367" s="1890"/>
      <c r="DM367" s="1890"/>
      <c r="DN367" s="1890"/>
      <c r="DO367" s="1890"/>
      <c r="DP367" s="1890"/>
      <c r="DQ367" s="1890"/>
      <c r="DR367" s="1890"/>
      <c r="DS367" s="1890"/>
      <c r="DT367" s="1890"/>
      <c r="DU367" s="1890"/>
      <c r="DV367" s="1890"/>
      <c r="DW367" s="1890"/>
      <c r="DX367" s="1890"/>
      <c r="DY367" s="1890"/>
      <c r="DZ367" s="1890"/>
      <c r="EA367" s="1890"/>
      <c r="EB367" s="1890"/>
      <c r="EC367" s="1890"/>
      <c r="ED367" s="1890"/>
      <c r="EE367" s="1890"/>
      <c r="EF367" s="1890"/>
      <c r="EG367" s="1890"/>
      <c r="EH367" s="1890"/>
      <c r="EI367" s="1890"/>
      <c r="EJ367" s="1890"/>
      <c r="EK367" s="1890"/>
      <c r="EL367" s="1890"/>
      <c r="EM367" s="1890"/>
      <c r="EN367" s="1890"/>
      <c r="EO367" s="1890"/>
      <c r="EP367" s="1890"/>
      <c r="EQ367" s="1890"/>
      <c r="ER367" s="1890"/>
      <c r="ES367" s="1890"/>
      <c r="ET367" s="1890"/>
      <c r="EU367" s="1890"/>
      <c r="EV367" s="1890"/>
      <c r="EW367" s="1890"/>
      <c r="EX367" s="1890"/>
      <c r="EY367" s="1890"/>
      <c r="EZ367" s="1890"/>
      <c r="FA367" s="1890"/>
      <c r="FB367" s="1890"/>
      <c r="FC367" s="1890"/>
      <c r="FD367" s="1890"/>
      <c r="FE367" s="1890"/>
      <c r="FF367" s="1890"/>
      <c r="FG367" s="1890"/>
      <c r="FH367" s="1890"/>
      <c r="FI367" s="1890"/>
      <c r="FJ367" s="1890"/>
      <c r="FK367" s="1890"/>
      <c r="FL367" s="1890"/>
      <c r="FM367" s="1890"/>
      <c r="FN367" s="1890"/>
      <c r="FO367" s="1890"/>
      <c r="FP367" s="1890"/>
      <c r="FQ367" s="1890"/>
      <c r="FR367" s="1890"/>
      <c r="FS367" s="1890"/>
      <c r="FT367" s="1890"/>
    </row>
    <row r="368" spans="1:176" s="1965" customFormat="1" ht="32.1" customHeight="1">
      <c r="A368" s="2501"/>
      <c r="B368" s="1820" t="s">
        <v>366</v>
      </c>
      <c r="C368" s="2211">
        <v>1</v>
      </c>
      <c r="D368" s="1868">
        <v>1</v>
      </c>
      <c r="E368" s="1830">
        <v>1</v>
      </c>
      <c r="F368" s="1844">
        <v>0</v>
      </c>
      <c r="G368" s="1829">
        <v>0.5</v>
      </c>
      <c r="H368" s="1859">
        <v>0</v>
      </c>
      <c r="I368" s="2086" t="s">
        <v>38</v>
      </c>
      <c r="J368" s="2219">
        <v>1</v>
      </c>
      <c r="K368" s="1952" t="s">
        <v>7385</v>
      </c>
      <c r="L368" s="1916">
        <v>1</v>
      </c>
      <c r="M368" s="1935">
        <v>0</v>
      </c>
      <c r="N368" s="1948" t="s">
        <v>2454</v>
      </c>
      <c r="O368" s="1948" t="s">
        <v>8792</v>
      </c>
      <c r="P368" s="1916">
        <v>1</v>
      </c>
      <c r="Q368" s="1916">
        <v>0</v>
      </c>
      <c r="R368" s="2096"/>
      <c r="S368" s="2258" t="s">
        <v>9079</v>
      </c>
      <c r="T368" s="1952" t="s">
        <v>7618</v>
      </c>
      <c r="U368" s="1794" t="s">
        <v>5950</v>
      </c>
      <c r="V368" s="1935" t="s">
        <v>7940</v>
      </c>
      <c r="W368" s="1941" t="s">
        <v>8419</v>
      </c>
      <c r="X368" s="1948" t="s">
        <v>8792</v>
      </c>
      <c r="Y368" s="1818"/>
      <c r="Z368" s="1818"/>
      <c r="AA368" s="1818"/>
      <c r="AB368" s="1818"/>
      <c r="AC368" s="1818"/>
      <c r="AD368" s="1818"/>
      <c r="AE368" s="1818"/>
      <c r="AF368" s="1818"/>
      <c r="AG368" s="1818"/>
      <c r="AH368" s="1818"/>
      <c r="AI368" s="1818"/>
      <c r="AJ368" s="1818"/>
      <c r="AK368" s="1818"/>
      <c r="AL368" s="1818"/>
      <c r="AM368" s="1818"/>
      <c r="AN368" s="1818"/>
      <c r="AO368" s="1818"/>
      <c r="AP368" s="1818"/>
      <c r="AQ368" s="1818"/>
      <c r="AR368" s="1818"/>
      <c r="AS368" s="1818"/>
      <c r="AT368" s="1818"/>
      <c r="AU368" s="1818"/>
      <c r="AV368" s="1818"/>
      <c r="AW368" s="1818"/>
      <c r="AX368" s="1818"/>
      <c r="AY368" s="1818"/>
      <c r="AZ368" s="1818"/>
      <c r="BA368" s="1818"/>
      <c r="BB368" s="1818"/>
      <c r="BC368" s="1818"/>
      <c r="BD368" s="1818"/>
      <c r="BE368" s="1818"/>
      <c r="BF368" s="1818"/>
      <c r="BG368" s="1818"/>
      <c r="BH368" s="1818"/>
      <c r="BI368" s="1818"/>
      <c r="BJ368" s="1818"/>
      <c r="BK368" s="1818"/>
      <c r="BL368" s="1818"/>
      <c r="BM368" s="1818"/>
      <c r="BN368" s="1818"/>
      <c r="BO368" s="1818"/>
      <c r="BP368" s="1818"/>
      <c r="BQ368" s="1818"/>
      <c r="BR368" s="1818"/>
      <c r="BS368" s="1818"/>
      <c r="BT368" s="1818"/>
      <c r="BU368" s="1818"/>
      <c r="BV368" s="1818"/>
      <c r="BW368" s="1818"/>
      <c r="BX368" s="1818"/>
      <c r="BY368" s="1818"/>
      <c r="BZ368" s="1818"/>
      <c r="CA368" s="1890"/>
      <c r="CB368" s="1890"/>
      <c r="CC368" s="1890"/>
      <c r="CD368" s="1890"/>
      <c r="CE368" s="1890"/>
      <c r="CF368" s="1890"/>
      <c r="CG368" s="1890"/>
      <c r="CH368" s="1890"/>
      <c r="CI368" s="1890"/>
      <c r="CJ368" s="1890"/>
      <c r="CK368" s="1890"/>
      <c r="CL368" s="1890"/>
      <c r="CM368" s="1890"/>
      <c r="CN368" s="1890"/>
      <c r="CO368" s="1890"/>
      <c r="CP368" s="1890"/>
      <c r="CQ368" s="1890"/>
      <c r="CR368" s="1890"/>
      <c r="CS368" s="1890"/>
      <c r="CT368" s="1890"/>
      <c r="CU368" s="1890"/>
      <c r="CV368" s="1890"/>
      <c r="CW368" s="1890"/>
      <c r="CX368" s="1890"/>
      <c r="CY368" s="1890"/>
      <c r="CZ368" s="1890"/>
      <c r="DA368" s="1890"/>
      <c r="DB368" s="1890"/>
      <c r="DC368" s="1890"/>
      <c r="DD368" s="1890"/>
      <c r="DE368" s="1890"/>
      <c r="DF368" s="1890"/>
      <c r="DG368" s="1890"/>
      <c r="DH368" s="1890"/>
      <c r="DI368" s="1890"/>
      <c r="DJ368" s="1890"/>
      <c r="DK368" s="1890"/>
      <c r="DL368" s="1890"/>
      <c r="DM368" s="1890"/>
      <c r="DN368" s="1890"/>
      <c r="DO368" s="1890"/>
      <c r="DP368" s="1890"/>
      <c r="DQ368" s="1890"/>
      <c r="DR368" s="1890"/>
      <c r="DS368" s="1890"/>
      <c r="DT368" s="1890"/>
      <c r="DU368" s="1890"/>
      <c r="DV368" s="1890"/>
      <c r="DW368" s="1890"/>
      <c r="DX368" s="1890"/>
      <c r="DY368" s="1890"/>
      <c r="DZ368" s="1890"/>
      <c r="EA368" s="1890"/>
      <c r="EB368" s="1890"/>
      <c r="EC368" s="1890"/>
      <c r="ED368" s="1890"/>
      <c r="EE368" s="1890"/>
      <c r="EF368" s="1890"/>
      <c r="EG368" s="1890"/>
      <c r="EH368" s="1890"/>
      <c r="EI368" s="1890"/>
      <c r="EJ368" s="1890"/>
      <c r="EK368" s="1890"/>
      <c r="EL368" s="1890"/>
      <c r="EM368" s="1890"/>
      <c r="EN368" s="1890"/>
      <c r="EO368" s="1890"/>
      <c r="EP368" s="1890"/>
      <c r="EQ368" s="1890"/>
      <c r="ER368" s="1890"/>
      <c r="ES368" s="1890"/>
      <c r="ET368" s="1890"/>
      <c r="EU368" s="1890"/>
      <c r="EV368" s="1890"/>
      <c r="EW368" s="1890"/>
      <c r="EX368" s="1890"/>
      <c r="EY368" s="1890"/>
      <c r="EZ368" s="1890"/>
      <c r="FA368" s="1890"/>
      <c r="FB368" s="1890"/>
      <c r="FC368" s="1890"/>
      <c r="FD368" s="1890"/>
      <c r="FE368" s="1890"/>
      <c r="FF368" s="1890"/>
      <c r="FG368" s="1890"/>
      <c r="FH368" s="1890"/>
      <c r="FI368" s="1890"/>
      <c r="FJ368" s="1890"/>
      <c r="FK368" s="1890"/>
      <c r="FL368" s="1890"/>
      <c r="FM368" s="1890"/>
      <c r="FN368" s="1890"/>
      <c r="FO368" s="1890"/>
      <c r="FP368" s="1890"/>
      <c r="FQ368" s="1890"/>
      <c r="FR368" s="1890"/>
      <c r="FS368" s="1890"/>
      <c r="FT368" s="1890"/>
    </row>
    <row r="369" spans="1:176" s="1965" customFormat="1" ht="32.1" customHeight="1">
      <c r="A369" s="2501"/>
      <c r="B369" s="1820" t="s">
        <v>367</v>
      </c>
      <c r="C369" s="2211">
        <v>1</v>
      </c>
      <c r="D369" s="1868">
        <v>1</v>
      </c>
      <c r="E369" s="1830">
        <v>1</v>
      </c>
      <c r="F369" s="1844">
        <v>1</v>
      </c>
      <c r="G369" s="1844">
        <v>1</v>
      </c>
      <c r="H369" s="1859">
        <v>1</v>
      </c>
      <c r="I369" s="2086" t="s">
        <v>38</v>
      </c>
      <c r="J369" s="2219">
        <v>1</v>
      </c>
      <c r="K369" s="1952" t="s">
        <v>960</v>
      </c>
      <c r="L369" s="1916">
        <v>1</v>
      </c>
      <c r="M369" s="1948">
        <v>1</v>
      </c>
      <c r="N369" s="1948" t="s">
        <v>811</v>
      </c>
      <c r="O369" s="1948" t="s">
        <v>8793</v>
      </c>
      <c r="P369" s="1916">
        <v>1</v>
      </c>
      <c r="Q369" s="1916">
        <v>0</v>
      </c>
      <c r="R369" s="2096"/>
      <c r="S369" s="2258" t="s">
        <v>9080</v>
      </c>
      <c r="T369" s="1952" t="s">
        <v>7619</v>
      </c>
      <c r="U369" s="1794" t="s">
        <v>5951</v>
      </c>
      <c r="V369" s="1948" t="s">
        <v>7941</v>
      </c>
      <c r="W369" s="1941" t="s">
        <v>8420</v>
      </c>
      <c r="X369" s="1948" t="s">
        <v>8793</v>
      </c>
      <c r="Y369" s="1818"/>
      <c r="Z369" s="1818"/>
      <c r="AA369" s="1818"/>
      <c r="AB369" s="1818"/>
      <c r="AC369" s="1818"/>
      <c r="AD369" s="1818"/>
      <c r="AE369" s="1818"/>
      <c r="AF369" s="1818"/>
      <c r="AG369" s="1818"/>
      <c r="AH369" s="1818"/>
      <c r="AI369" s="1818"/>
      <c r="AJ369" s="1818"/>
      <c r="AK369" s="1818"/>
      <c r="AL369" s="1818"/>
      <c r="AM369" s="1818"/>
      <c r="AN369" s="1818"/>
      <c r="AO369" s="1818"/>
      <c r="AP369" s="1818"/>
      <c r="AQ369" s="1818"/>
      <c r="AR369" s="1818"/>
      <c r="AS369" s="1818"/>
      <c r="AT369" s="1818"/>
      <c r="AU369" s="1818"/>
      <c r="AV369" s="1818"/>
      <c r="AW369" s="1818"/>
      <c r="AX369" s="1818"/>
      <c r="AY369" s="1818"/>
      <c r="AZ369" s="1818"/>
      <c r="BA369" s="1818"/>
      <c r="BB369" s="1818"/>
      <c r="BC369" s="1818"/>
      <c r="BD369" s="1818"/>
      <c r="BE369" s="1818"/>
      <c r="BF369" s="1818"/>
      <c r="BG369" s="1818"/>
      <c r="BH369" s="1818"/>
      <c r="BI369" s="1818"/>
      <c r="BJ369" s="1818"/>
      <c r="BK369" s="1818"/>
      <c r="BL369" s="1818"/>
      <c r="BM369" s="1818"/>
      <c r="BN369" s="1818"/>
      <c r="BO369" s="1818"/>
      <c r="BP369" s="1818"/>
      <c r="BQ369" s="1818"/>
      <c r="BR369" s="1818"/>
      <c r="BS369" s="1818"/>
      <c r="BT369" s="1818"/>
      <c r="BU369" s="1818"/>
      <c r="BV369" s="1818"/>
      <c r="BW369" s="1818"/>
      <c r="BX369" s="1818"/>
      <c r="BY369" s="1818"/>
      <c r="BZ369" s="1818"/>
      <c r="CA369" s="1890"/>
      <c r="CB369" s="1890"/>
      <c r="CC369" s="1890"/>
      <c r="CD369" s="1890"/>
      <c r="CE369" s="1890"/>
      <c r="CF369" s="1890"/>
      <c r="CG369" s="1890"/>
      <c r="CH369" s="1890"/>
      <c r="CI369" s="1890"/>
      <c r="CJ369" s="1890"/>
      <c r="CK369" s="1890"/>
      <c r="CL369" s="1890"/>
      <c r="CM369" s="1890"/>
      <c r="CN369" s="1890"/>
      <c r="CO369" s="1890"/>
      <c r="CP369" s="1890"/>
      <c r="CQ369" s="1890"/>
      <c r="CR369" s="1890"/>
      <c r="CS369" s="1890"/>
      <c r="CT369" s="1890"/>
      <c r="CU369" s="1890"/>
      <c r="CV369" s="1890"/>
      <c r="CW369" s="1890"/>
      <c r="CX369" s="1890"/>
      <c r="CY369" s="1890"/>
      <c r="CZ369" s="1890"/>
      <c r="DA369" s="1890"/>
      <c r="DB369" s="1890"/>
      <c r="DC369" s="1890"/>
      <c r="DD369" s="1890"/>
      <c r="DE369" s="1890"/>
      <c r="DF369" s="1890"/>
      <c r="DG369" s="1890"/>
      <c r="DH369" s="1890"/>
      <c r="DI369" s="1890"/>
      <c r="DJ369" s="1890"/>
      <c r="DK369" s="1890"/>
      <c r="DL369" s="1890"/>
      <c r="DM369" s="1890"/>
      <c r="DN369" s="1890"/>
      <c r="DO369" s="1890"/>
      <c r="DP369" s="1890"/>
      <c r="DQ369" s="1890"/>
      <c r="DR369" s="1890"/>
      <c r="DS369" s="1890"/>
      <c r="DT369" s="1890"/>
      <c r="DU369" s="1890"/>
      <c r="DV369" s="1890"/>
      <c r="DW369" s="1890"/>
      <c r="DX369" s="1890"/>
      <c r="DY369" s="1890"/>
      <c r="DZ369" s="1890"/>
      <c r="EA369" s="1890"/>
      <c r="EB369" s="1890"/>
      <c r="EC369" s="1890"/>
      <c r="ED369" s="1890"/>
      <c r="EE369" s="1890"/>
      <c r="EF369" s="1890"/>
      <c r="EG369" s="1890"/>
      <c r="EH369" s="1890"/>
      <c r="EI369" s="1890"/>
      <c r="EJ369" s="1890"/>
      <c r="EK369" s="1890"/>
      <c r="EL369" s="1890"/>
      <c r="EM369" s="1890"/>
      <c r="EN369" s="1890"/>
      <c r="EO369" s="1890"/>
      <c r="EP369" s="1890"/>
      <c r="EQ369" s="1890"/>
      <c r="ER369" s="1890"/>
      <c r="ES369" s="1890"/>
      <c r="ET369" s="1890"/>
      <c r="EU369" s="1890"/>
      <c r="EV369" s="1890"/>
      <c r="EW369" s="1890"/>
      <c r="EX369" s="1890"/>
      <c r="EY369" s="1890"/>
      <c r="EZ369" s="1890"/>
      <c r="FA369" s="1890"/>
      <c r="FB369" s="1890"/>
      <c r="FC369" s="1890"/>
      <c r="FD369" s="1890"/>
      <c r="FE369" s="1890"/>
      <c r="FF369" s="1890"/>
      <c r="FG369" s="1890"/>
      <c r="FH369" s="1890"/>
      <c r="FI369" s="1890"/>
      <c r="FJ369" s="1890"/>
      <c r="FK369" s="1890"/>
      <c r="FL369" s="1890"/>
      <c r="FM369" s="1890"/>
      <c r="FN369" s="1890"/>
      <c r="FO369" s="1890"/>
      <c r="FP369" s="1890"/>
      <c r="FQ369" s="1890"/>
      <c r="FR369" s="1890"/>
      <c r="FS369" s="1890"/>
      <c r="FT369" s="1890"/>
    </row>
    <row r="370" spans="1:176" s="1965" customFormat="1" ht="32.1" customHeight="1">
      <c r="A370" s="2501"/>
      <c r="B370" s="1820" t="s">
        <v>7020</v>
      </c>
      <c r="C370" s="2211">
        <v>1</v>
      </c>
      <c r="D370" s="1868">
        <v>0.5</v>
      </c>
      <c r="E370" s="1830">
        <v>0.5</v>
      </c>
      <c r="F370" s="1844">
        <v>1</v>
      </c>
      <c r="G370" s="1844">
        <v>1</v>
      </c>
      <c r="H370" s="1859">
        <v>0</v>
      </c>
      <c r="I370" s="2086"/>
      <c r="J370" s="2219">
        <v>1</v>
      </c>
      <c r="K370" s="1952" t="s">
        <v>2454</v>
      </c>
      <c r="L370" s="1916">
        <v>0.5</v>
      </c>
      <c r="M370" s="1948">
        <v>1</v>
      </c>
      <c r="N370" s="1948" t="s">
        <v>811</v>
      </c>
      <c r="O370" s="1948" t="s">
        <v>8794</v>
      </c>
      <c r="P370" s="1916"/>
      <c r="Q370" s="1916"/>
      <c r="R370" s="2096"/>
      <c r="S370" s="2258" t="s">
        <v>9081</v>
      </c>
      <c r="T370" s="1952" t="s">
        <v>7620</v>
      </c>
      <c r="U370" s="1916" t="s">
        <v>8516</v>
      </c>
      <c r="V370" s="1948" t="s">
        <v>1134</v>
      </c>
      <c r="W370" s="1948" t="s">
        <v>8421</v>
      </c>
      <c r="X370" s="1948" t="s">
        <v>8794</v>
      </c>
      <c r="Y370" s="1818"/>
      <c r="Z370" s="1818"/>
      <c r="AA370" s="1818"/>
      <c r="AB370" s="1818"/>
      <c r="AC370" s="1818"/>
      <c r="AD370" s="1818"/>
      <c r="AE370" s="1818"/>
      <c r="AF370" s="1818"/>
      <c r="AG370" s="1818"/>
      <c r="AH370" s="1818"/>
      <c r="AI370" s="1818"/>
      <c r="AJ370" s="1818"/>
      <c r="AK370" s="1818"/>
      <c r="AL370" s="1818"/>
      <c r="AM370" s="1818"/>
      <c r="AN370" s="1818"/>
      <c r="AO370" s="1818"/>
      <c r="AP370" s="1818"/>
      <c r="AQ370" s="1818"/>
      <c r="AR370" s="1818"/>
      <c r="AS370" s="1818"/>
      <c r="AT370" s="1818"/>
      <c r="AU370" s="1818"/>
      <c r="AV370" s="1818"/>
      <c r="AW370" s="1818"/>
      <c r="AX370" s="1818"/>
      <c r="AY370" s="1818"/>
      <c r="AZ370" s="1818"/>
      <c r="BA370" s="1818"/>
      <c r="BB370" s="1818"/>
      <c r="BC370" s="1818"/>
      <c r="BD370" s="1818"/>
      <c r="BE370" s="1818"/>
      <c r="BF370" s="1818"/>
      <c r="BG370" s="1818"/>
      <c r="BH370" s="1818"/>
      <c r="BI370" s="1818"/>
      <c r="BJ370" s="1818"/>
      <c r="BK370" s="1818"/>
      <c r="BL370" s="1818"/>
      <c r="BM370" s="1818"/>
      <c r="BN370" s="1818"/>
      <c r="BO370" s="1818"/>
      <c r="BP370" s="1818"/>
      <c r="BQ370" s="1818"/>
      <c r="BR370" s="1818"/>
      <c r="BS370" s="1818"/>
      <c r="BT370" s="1818"/>
      <c r="BU370" s="1818"/>
      <c r="BV370" s="1818"/>
      <c r="BW370" s="1818"/>
      <c r="BX370" s="1818"/>
      <c r="BY370" s="1818"/>
      <c r="BZ370" s="1818"/>
      <c r="CA370" s="1890"/>
      <c r="CB370" s="1890"/>
      <c r="CC370" s="1890"/>
      <c r="CD370" s="1890"/>
      <c r="CE370" s="1890"/>
      <c r="CF370" s="1890"/>
      <c r="CG370" s="1890"/>
      <c r="CH370" s="1890"/>
      <c r="CI370" s="1890"/>
      <c r="CJ370" s="1890"/>
      <c r="CK370" s="1890"/>
      <c r="CL370" s="1890"/>
      <c r="CM370" s="1890"/>
      <c r="CN370" s="1890"/>
      <c r="CO370" s="1890"/>
      <c r="CP370" s="1890"/>
      <c r="CQ370" s="1890"/>
      <c r="CR370" s="1890"/>
      <c r="CS370" s="1890"/>
      <c r="CT370" s="1890"/>
      <c r="CU370" s="1890"/>
      <c r="CV370" s="1890"/>
      <c r="CW370" s="1890"/>
      <c r="CX370" s="1890"/>
      <c r="CY370" s="1890"/>
      <c r="CZ370" s="1890"/>
      <c r="DA370" s="1890"/>
      <c r="DB370" s="1890"/>
      <c r="DC370" s="1890"/>
      <c r="DD370" s="1890"/>
      <c r="DE370" s="1890"/>
      <c r="DF370" s="1890"/>
      <c r="DG370" s="1890"/>
      <c r="DH370" s="1890"/>
      <c r="DI370" s="1890"/>
      <c r="DJ370" s="1890"/>
      <c r="DK370" s="1890"/>
      <c r="DL370" s="1890"/>
      <c r="DM370" s="1890"/>
      <c r="DN370" s="1890"/>
      <c r="DO370" s="1890"/>
      <c r="DP370" s="1890"/>
      <c r="DQ370" s="1890"/>
      <c r="DR370" s="1890"/>
      <c r="DS370" s="1890"/>
      <c r="DT370" s="1890"/>
      <c r="DU370" s="1890"/>
      <c r="DV370" s="1890"/>
      <c r="DW370" s="1890"/>
      <c r="DX370" s="1890"/>
      <c r="DY370" s="1890"/>
      <c r="DZ370" s="1890"/>
      <c r="EA370" s="1890"/>
      <c r="EB370" s="1890"/>
      <c r="EC370" s="1890"/>
      <c r="ED370" s="1890"/>
      <c r="EE370" s="1890"/>
      <c r="EF370" s="1890"/>
      <c r="EG370" s="1890"/>
      <c r="EH370" s="1890"/>
      <c r="EI370" s="1890"/>
      <c r="EJ370" s="1890"/>
      <c r="EK370" s="1890"/>
      <c r="EL370" s="1890"/>
      <c r="EM370" s="1890"/>
      <c r="EN370" s="1890"/>
      <c r="EO370" s="1890"/>
      <c r="EP370" s="1890"/>
      <c r="EQ370" s="1890"/>
      <c r="ER370" s="1890"/>
      <c r="ES370" s="1890"/>
      <c r="ET370" s="1890"/>
      <c r="EU370" s="1890"/>
      <c r="EV370" s="1890"/>
      <c r="EW370" s="1890"/>
      <c r="EX370" s="1890"/>
      <c r="EY370" s="1890"/>
      <c r="EZ370" s="1890"/>
      <c r="FA370" s="1890"/>
      <c r="FB370" s="1890"/>
      <c r="FC370" s="1890"/>
      <c r="FD370" s="1890"/>
      <c r="FE370" s="1890"/>
      <c r="FF370" s="1890"/>
      <c r="FG370" s="1890"/>
      <c r="FH370" s="1890"/>
      <c r="FI370" s="1890"/>
      <c r="FJ370" s="1890"/>
      <c r="FK370" s="1890"/>
      <c r="FL370" s="1890"/>
      <c r="FM370" s="1890"/>
      <c r="FN370" s="1890"/>
      <c r="FO370" s="1890"/>
      <c r="FP370" s="1890"/>
      <c r="FQ370" s="1890"/>
      <c r="FR370" s="1890"/>
      <c r="FS370" s="1890"/>
      <c r="FT370" s="1890"/>
    </row>
    <row r="371" spans="1:176" s="1965" customFormat="1" ht="32.1" customHeight="1">
      <c r="A371" s="2501"/>
      <c r="B371" s="1820" t="s">
        <v>368</v>
      </c>
      <c r="C371" s="2211">
        <v>1</v>
      </c>
      <c r="D371" s="1868">
        <v>1</v>
      </c>
      <c r="E371" s="1830">
        <v>1</v>
      </c>
      <c r="F371" s="1844">
        <v>1</v>
      </c>
      <c r="G371" s="1844">
        <v>1</v>
      </c>
      <c r="H371" s="1845">
        <v>0</v>
      </c>
      <c r="I371" s="2086" t="s">
        <v>38</v>
      </c>
      <c r="J371" s="2219">
        <v>1</v>
      </c>
      <c r="K371" s="1952" t="s">
        <v>960</v>
      </c>
      <c r="L371" s="1916">
        <v>1</v>
      </c>
      <c r="M371" s="1935">
        <v>1</v>
      </c>
      <c r="N371" s="1948" t="s">
        <v>811</v>
      </c>
      <c r="O371" s="1948" t="s">
        <v>8795</v>
      </c>
      <c r="P371" s="1916">
        <v>1</v>
      </c>
      <c r="Q371" s="1916">
        <v>0</v>
      </c>
      <c r="R371" s="2096"/>
      <c r="S371" s="2258" t="s">
        <v>9082</v>
      </c>
      <c r="T371" s="1952" t="s">
        <v>7621</v>
      </c>
      <c r="U371" s="1794" t="s">
        <v>5952</v>
      </c>
      <c r="V371" s="1935" t="s">
        <v>6165</v>
      </c>
      <c r="W371" s="1941" t="s">
        <v>8422</v>
      </c>
      <c r="X371" s="1948" t="s">
        <v>8795</v>
      </c>
      <c r="Y371" s="1818"/>
      <c r="Z371" s="1818"/>
      <c r="AA371" s="1818"/>
      <c r="AB371" s="1818"/>
      <c r="AC371" s="1818"/>
      <c r="AD371" s="1818"/>
      <c r="AE371" s="1818"/>
      <c r="AF371" s="1818"/>
      <c r="AG371" s="1818"/>
      <c r="AH371" s="1818"/>
      <c r="AI371" s="1818"/>
      <c r="AJ371" s="1818"/>
      <c r="AK371" s="1818"/>
      <c r="AL371" s="1818"/>
      <c r="AM371" s="1818"/>
      <c r="AN371" s="1818"/>
      <c r="AO371" s="1818"/>
      <c r="AP371" s="1818"/>
      <c r="AQ371" s="1818"/>
      <c r="AR371" s="1818"/>
      <c r="AS371" s="1818"/>
      <c r="AT371" s="1818"/>
      <c r="AU371" s="1818"/>
      <c r="AV371" s="1818"/>
      <c r="AW371" s="1818"/>
      <c r="AX371" s="1818"/>
      <c r="AY371" s="1818"/>
      <c r="AZ371" s="1818"/>
      <c r="BA371" s="1818"/>
      <c r="BB371" s="1818"/>
      <c r="BC371" s="1818"/>
      <c r="BD371" s="1818"/>
      <c r="BE371" s="1818"/>
      <c r="BF371" s="1818"/>
      <c r="BG371" s="1818"/>
      <c r="BH371" s="1818"/>
      <c r="BI371" s="1818"/>
      <c r="BJ371" s="1818"/>
      <c r="BK371" s="1818"/>
      <c r="BL371" s="1818"/>
      <c r="BM371" s="1818"/>
      <c r="BN371" s="1818"/>
      <c r="BO371" s="1818"/>
      <c r="BP371" s="1818"/>
      <c r="BQ371" s="1818"/>
      <c r="BR371" s="1818"/>
      <c r="BS371" s="1818"/>
      <c r="BT371" s="1818"/>
      <c r="BU371" s="1818"/>
      <c r="BV371" s="1818"/>
      <c r="BW371" s="1818"/>
      <c r="BX371" s="1818"/>
      <c r="BY371" s="1818"/>
      <c r="BZ371" s="1818"/>
      <c r="CA371" s="1890"/>
      <c r="CB371" s="1890"/>
      <c r="CC371" s="1890"/>
      <c r="CD371" s="1890"/>
      <c r="CE371" s="1890"/>
      <c r="CF371" s="1890"/>
      <c r="CG371" s="1890"/>
      <c r="CH371" s="1890"/>
      <c r="CI371" s="1890"/>
      <c r="CJ371" s="1890"/>
      <c r="CK371" s="1890"/>
      <c r="CL371" s="1890"/>
      <c r="CM371" s="1890"/>
      <c r="CN371" s="1890"/>
      <c r="CO371" s="1890"/>
      <c r="CP371" s="1890"/>
      <c r="CQ371" s="1890"/>
      <c r="CR371" s="1890"/>
      <c r="CS371" s="1890"/>
      <c r="CT371" s="1890"/>
      <c r="CU371" s="1890"/>
      <c r="CV371" s="1890"/>
      <c r="CW371" s="1890"/>
      <c r="CX371" s="1890"/>
      <c r="CY371" s="1890"/>
      <c r="CZ371" s="1890"/>
      <c r="DA371" s="1890"/>
      <c r="DB371" s="1890"/>
      <c r="DC371" s="1890"/>
      <c r="DD371" s="1890"/>
      <c r="DE371" s="1890"/>
      <c r="DF371" s="1890"/>
      <c r="DG371" s="1890"/>
      <c r="DH371" s="1890"/>
      <c r="DI371" s="1890"/>
      <c r="DJ371" s="1890"/>
      <c r="DK371" s="1890"/>
      <c r="DL371" s="1890"/>
      <c r="DM371" s="1890"/>
      <c r="DN371" s="1890"/>
      <c r="DO371" s="1890"/>
      <c r="DP371" s="1890"/>
      <c r="DQ371" s="1890"/>
      <c r="DR371" s="1890"/>
      <c r="DS371" s="1890"/>
      <c r="DT371" s="1890"/>
      <c r="DU371" s="1890"/>
      <c r="DV371" s="1890"/>
      <c r="DW371" s="1890"/>
      <c r="DX371" s="1890"/>
      <c r="DY371" s="1890"/>
      <c r="DZ371" s="1890"/>
      <c r="EA371" s="1890"/>
      <c r="EB371" s="1890"/>
      <c r="EC371" s="1890"/>
      <c r="ED371" s="1890"/>
      <c r="EE371" s="1890"/>
      <c r="EF371" s="1890"/>
      <c r="EG371" s="1890"/>
      <c r="EH371" s="1890"/>
      <c r="EI371" s="1890"/>
      <c r="EJ371" s="1890"/>
      <c r="EK371" s="1890"/>
      <c r="EL371" s="1890"/>
      <c r="EM371" s="1890"/>
      <c r="EN371" s="1890"/>
      <c r="EO371" s="1890"/>
      <c r="EP371" s="1890"/>
      <c r="EQ371" s="1890"/>
      <c r="ER371" s="1890"/>
      <c r="ES371" s="1890"/>
      <c r="ET371" s="1890"/>
      <c r="EU371" s="1890"/>
      <c r="EV371" s="1890"/>
      <c r="EW371" s="1890"/>
      <c r="EX371" s="1890"/>
      <c r="EY371" s="1890"/>
      <c r="EZ371" s="1890"/>
      <c r="FA371" s="1890"/>
      <c r="FB371" s="1890"/>
      <c r="FC371" s="1890"/>
      <c r="FD371" s="1890"/>
      <c r="FE371" s="1890"/>
      <c r="FF371" s="1890"/>
      <c r="FG371" s="1890"/>
      <c r="FH371" s="1890"/>
      <c r="FI371" s="1890"/>
      <c r="FJ371" s="1890"/>
      <c r="FK371" s="1890"/>
      <c r="FL371" s="1890"/>
      <c r="FM371" s="1890"/>
      <c r="FN371" s="1890"/>
      <c r="FO371" s="1890"/>
      <c r="FP371" s="1890"/>
      <c r="FQ371" s="1890"/>
      <c r="FR371" s="1890"/>
      <c r="FS371" s="1890"/>
      <c r="FT371" s="1890"/>
    </row>
    <row r="372" spans="1:176" s="1965" customFormat="1" ht="32.1" customHeight="1">
      <c r="A372" s="2499" t="s">
        <v>5269</v>
      </c>
      <c r="B372" s="2084" t="s">
        <v>369</v>
      </c>
      <c r="C372" s="2085">
        <f>AVERAGE(C373,C394,C409)</f>
        <v>0.69177734393420665</v>
      </c>
      <c r="D372" s="2085">
        <f t="shared" ref="D372:H372" si="98">AVERAGE(D373,D394,D409)</f>
        <v>0.58036867272161385</v>
      </c>
      <c r="E372" s="2085">
        <f t="shared" si="98"/>
        <v>0.3328934536777674</v>
      </c>
      <c r="F372" s="2085">
        <f t="shared" si="98"/>
        <v>0.53008450518254435</v>
      </c>
      <c r="G372" s="2085">
        <f t="shared" si="98"/>
        <v>0.49000339529751291</v>
      </c>
      <c r="H372" s="2085">
        <f t="shared" si="98"/>
        <v>0.4657427684878665</v>
      </c>
      <c r="I372" s="2086"/>
      <c r="J372" s="2087"/>
      <c r="K372" s="2087"/>
      <c r="L372" s="2087"/>
      <c r="M372" s="2087"/>
      <c r="N372" s="2087"/>
      <c r="O372" s="2087"/>
      <c r="P372" s="2087"/>
      <c r="Q372" s="2087"/>
      <c r="R372" s="2088"/>
      <c r="S372" s="2087"/>
      <c r="T372" s="2087"/>
      <c r="U372" s="2087"/>
      <c r="V372" s="2087"/>
      <c r="W372" s="2087"/>
      <c r="X372" s="2087"/>
      <c r="Y372" s="1818"/>
      <c r="Z372" s="1818"/>
      <c r="AA372" s="1818"/>
      <c r="AB372" s="1818"/>
      <c r="AC372" s="1818"/>
      <c r="AD372" s="1818"/>
      <c r="AE372" s="1818"/>
      <c r="AF372" s="1818"/>
      <c r="AG372" s="1818"/>
      <c r="AH372" s="1818"/>
      <c r="AI372" s="1818"/>
      <c r="AJ372" s="1818"/>
      <c r="AK372" s="1818"/>
      <c r="AL372" s="1818"/>
      <c r="AM372" s="1818"/>
      <c r="AN372" s="1818"/>
      <c r="AO372" s="1818"/>
      <c r="AP372" s="1818"/>
      <c r="AQ372" s="1818"/>
      <c r="AR372" s="1818"/>
      <c r="AS372" s="1818"/>
      <c r="AT372" s="1818"/>
      <c r="AU372" s="1818"/>
      <c r="AV372" s="1818"/>
      <c r="AW372" s="1818"/>
      <c r="AX372" s="1818"/>
      <c r="AY372" s="1818"/>
      <c r="AZ372" s="1818"/>
      <c r="BA372" s="1818"/>
      <c r="BB372" s="1818"/>
      <c r="BC372" s="1818"/>
      <c r="BD372" s="1818"/>
      <c r="BE372" s="1818"/>
      <c r="BF372" s="1818"/>
      <c r="BG372" s="1818"/>
      <c r="BH372" s="1818"/>
      <c r="BI372" s="1818"/>
      <c r="BJ372" s="1818"/>
      <c r="BK372" s="1818"/>
      <c r="BL372" s="1818"/>
      <c r="BM372" s="1818"/>
      <c r="BN372" s="1818"/>
      <c r="BO372" s="1818"/>
      <c r="BP372" s="1818"/>
      <c r="BQ372" s="1818"/>
      <c r="BR372" s="1818"/>
      <c r="BS372" s="1818"/>
      <c r="BT372" s="1818"/>
      <c r="BU372" s="1818"/>
      <c r="BV372" s="1818"/>
      <c r="BW372" s="1818"/>
      <c r="BX372" s="1818"/>
      <c r="BY372" s="1818"/>
      <c r="BZ372" s="1818"/>
      <c r="CA372" s="1890"/>
      <c r="CB372" s="1890"/>
      <c r="CC372" s="1890"/>
      <c r="CD372" s="1890"/>
      <c r="CE372" s="1890"/>
      <c r="CF372" s="1890"/>
      <c r="CG372" s="1890"/>
      <c r="CH372" s="1890"/>
      <c r="CI372" s="1890"/>
      <c r="CJ372" s="1890"/>
      <c r="CK372" s="1890"/>
      <c r="CL372" s="1890"/>
      <c r="CM372" s="1890"/>
      <c r="CN372" s="1890"/>
      <c r="CO372" s="1890"/>
      <c r="CP372" s="1890"/>
      <c r="CQ372" s="1890"/>
      <c r="CR372" s="1890"/>
      <c r="CS372" s="1890"/>
      <c r="CT372" s="1890"/>
      <c r="CU372" s="1890"/>
      <c r="CV372" s="1890"/>
      <c r="CW372" s="1890"/>
      <c r="CX372" s="1890"/>
      <c r="CY372" s="1890"/>
      <c r="CZ372" s="1890"/>
      <c r="DA372" s="1890"/>
      <c r="DB372" s="1890"/>
      <c r="DC372" s="1890"/>
      <c r="DD372" s="1890"/>
      <c r="DE372" s="1890"/>
      <c r="DF372" s="1890"/>
      <c r="DG372" s="1890"/>
      <c r="DH372" s="1890"/>
      <c r="DI372" s="1890"/>
      <c r="DJ372" s="1890"/>
      <c r="DK372" s="1890"/>
      <c r="DL372" s="1890"/>
      <c r="DM372" s="1890"/>
      <c r="DN372" s="1890"/>
      <c r="DO372" s="1890"/>
      <c r="DP372" s="1890"/>
      <c r="DQ372" s="1890"/>
      <c r="DR372" s="1890"/>
      <c r="DS372" s="1890"/>
      <c r="DT372" s="1890"/>
      <c r="DU372" s="1890"/>
      <c r="DV372" s="1890"/>
      <c r="DW372" s="1890"/>
      <c r="DX372" s="1890"/>
      <c r="DY372" s="1890"/>
      <c r="DZ372" s="1890"/>
      <c r="EA372" s="1890"/>
      <c r="EB372" s="1890"/>
      <c r="EC372" s="1890"/>
      <c r="ED372" s="1890"/>
      <c r="EE372" s="1890"/>
      <c r="EF372" s="1890"/>
      <c r="EG372" s="1890"/>
      <c r="EH372" s="1890"/>
      <c r="EI372" s="1890"/>
      <c r="EJ372" s="1890"/>
      <c r="EK372" s="1890"/>
      <c r="EL372" s="1890"/>
      <c r="EM372" s="1890"/>
      <c r="EN372" s="1890"/>
      <c r="EO372" s="1890"/>
      <c r="EP372" s="1890"/>
      <c r="EQ372" s="1890"/>
      <c r="ER372" s="1890"/>
      <c r="ES372" s="1890"/>
      <c r="ET372" s="1890"/>
      <c r="EU372" s="1890"/>
      <c r="EV372" s="1890"/>
      <c r="EW372" s="1890"/>
      <c r="EX372" s="1890"/>
      <c r="EY372" s="1890"/>
      <c r="EZ372" s="1890"/>
      <c r="FA372" s="1890"/>
      <c r="FB372" s="1890"/>
      <c r="FC372" s="1890"/>
      <c r="FD372" s="1890"/>
      <c r="FE372" s="1890"/>
      <c r="FF372" s="1890"/>
      <c r="FG372" s="1890"/>
      <c r="FH372" s="1890"/>
      <c r="FI372" s="1890"/>
      <c r="FJ372" s="1890"/>
      <c r="FK372" s="1890"/>
      <c r="FL372" s="1890"/>
      <c r="FM372" s="1890"/>
      <c r="FN372" s="1890"/>
      <c r="FO372" s="1890"/>
      <c r="FP372" s="1890"/>
      <c r="FQ372" s="1890"/>
      <c r="FR372" s="1890"/>
      <c r="FS372" s="1890"/>
      <c r="FT372" s="1890"/>
    </row>
    <row r="373" spans="1:176" s="1965" customFormat="1" ht="32.1" customHeight="1">
      <c r="A373" s="2499" t="s">
        <v>370</v>
      </c>
      <c r="B373" s="2084" t="s">
        <v>371</v>
      </c>
      <c r="C373" s="2085">
        <f>AVERAGE(C374,C378,C384)</f>
        <v>0.54074074074074074</v>
      </c>
      <c r="D373" s="2085">
        <f t="shared" ref="D373:H373" si="99">AVERAGE(D374,D378,D384)</f>
        <v>0.61111111111111105</v>
      </c>
      <c r="E373" s="2085">
        <f t="shared" si="99"/>
        <v>0.31481481481481483</v>
      </c>
      <c r="F373" s="2085">
        <f t="shared" si="99"/>
        <v>0.39629629629629631</v>
      </c>
      <c r="G373" s="2085">
        <f>AVERAGE(G374,G378,G384)</f>
        <v>0.5</v>
      </c>
      <c r="H373" s="2085">
        <f t="shared" si="99"/>
        <v>0.32962962962962966</v>
      </c>
      <c r="I373" s="2086"/>
      <c r="J373" s="2087"/>
      <c r="K373" s="2087"/>
      <c r="L373" s="2087"/>
      <c r="M373" s="2087"/>
      <c r="N373" s="2087"/>
      <c r="O373" s="2087"/>
      <c r="P373" s="2087"/>
      <c r="Q373" s="2087"/>
      <c r="R373" s="2088"/>
      <c r="S373" s="2087"/>
      <c r="T373" s="2087"/>
      <c r="U373" s="2087"/>
      <c r="V373" s="2087"/>
      <c r="W373" s="2087"/>
      <c r="X373" s="2087"/>
      <c r="Y373" s="1818"/>
      <c r="Z373" s="1818"/>
      <c r="AA373" s="1818"/>
      <c r="AB373" s="1818"/>
      <c r="AC373" s="1818"/>
      <c r="AD373" s="1818"/>
      <c r="AE373" s="1818"/>
      <c r="AF373" s="1818"/>
      <c r="AG373" s="1818"/>
      <c r="AH373" s="1818"/>
      <c r="AI373" s="1818"/>
      <c r="AJ373" s="1818"/>
      <c r="AK373" s="1818"/>
      <c r="AL373" s="1818"/>
      <c r="AM373" s="1818"/>
      <c r="AN373" s="1818"/>
      <c r="AO373" s="1818"/>
      <c r="AP373" s="1818"/>
      <c r="AQ373" s="1818"/>
      <c r="AR373" s="1818"/>
      <c r="AS373" s="1818"/>
      <c r="AT373" s="1818"/>
      <c r="AU373" s="1818"/>
      <c r="AV373" s="1818"/>
      <c r="AW373" s="1818"/>
      <c r="AX373" s="1818"/>
      <c r="AY373" s="1818"/>
      <c r="AZ373" s="1818"/>
      <c r="BA373" s="1818"/>
      <c r="BB373" s="1818"/>
      <c r="BC373" s="1818"/>
      <c r="BD373" s="1818"/>
      <c r="BE373" s="1818"/>
      <c r="BF373" s="1818"/>
      <c r="BG373" s="1818"/>
      <c r="BH373" s="1818"/>
      <c r="BI373" s="1818"/>
      <c r="BJ373" s="1818"/>
      <c r="BK373" s="1818"/>
      <c r="BL373" s="1818"/>
      <c r="BM373" s="1818"/>
      <c r="BN373" s="1818"/>
      <c r="BO373" s="1818"/>
      <c r="BP373" s="1818"/>
      <c r="BQ373" s="1818"/>
      <c r="BR373" s="1818"/>
      <c r="BS373" s="1818"/>
      <c r="BT373" s="1818"/>
      <c r="BU373" s="1818"/>
      <c r="BV373" s="1818"/>
      <c r="BW373" s="1818"/>
      <c r="BX373" s="1818"/>
      <c r="BY373" s="1818"/>
      <c r="BZ373" s="1818"/>
      <c r="CA373" s="1890"/>
      <c r="CB373" s="1890"/>
      <c r="CC373" s="1890"/>
      <c r="CD373" s="1890"/>
      <c r="CE373" s="1890"/>
      <c r="CF373" s="1890"/>
      <c r="CG373" s="1890"/>
      <c r="CH373" s="1890"/>
      <c r="CI373" s="1890"/>
      <c r="CJ373" s="1890"/>
      <c r="CK373" s="1890"/>
      <c r="CL373" s="1890"/>
      <c r="CM373" s="1890"/>
      <c r="CN373" s="1890"/>
      <c r="CO373" s="1890"/>
      <c r="CP373" s="1890"/>
      <c r="CQ373" s="1890"/>
      <c r="CR373" s="1890"/>
      <c r="CS373" s="1890"/>
      <c r="CT373" s="1890"/>
      <c r="CU373" s="1890"/>
      <c r="CV373" s="1890"/>
      <c r="CW373" s="1890"/>
      <c r="CX373" s="1890"/>
      <c r="CY373" s="1890"/>
      <c r="CZ373" s="1890"/>
      <c r="DA373" s="1890"/>
      <c r="DB373" s="1890"/>
      <c r="DC373" s="1890"/>
      <c r="DD373" s="1890"/>
      <c r="DE373" s="1890"/>
      <c r="DF373" s="1890"/>
      <c r="DG373" s="1890"/>
      <c r="DH373" s="1890"/>
      <c r="DI373" s="1890"/>
      <c r="DJ373" s="1890"/>
      <c r="DK373" s="1890"/>
      <c r="DL373" s="1890"/>
      <c r="DM373" s="1890"/>
      <c r="DN373" s="1890"/>
      <c r="DO373" s="1890"/>
      <c r="DP373" s="1890"/>
      <c r="DQ373" s="1890"/>
      <c r="DR373" s="1890"/>
      <c r="DS373" s="1890"/>
      <c r="DT373" s="1890"/>
      <c r="DU373" s="1890"/>
      <c r="DV373" s="1890"/>
      <c r="DW373" s="1890"/>
      <c r="DX373" s="1890"/>
      <c r="DY373" s="1890"/>
      <c r="DZ373" s="1890"/>
      <c r="EA373" s="1890"/>
      <c r="EB373" s="1890"/>
      <c r="EC373" s="1890"/>
      <c r="ED373" s="1890"/>
      <c r="EE373" s="1890"/>
      <c r="EF373" s="1890"/>
      <c r="EG373" s="1890"/>
      <c r="EH373" s="1890"/>
      <c r="EI373" s="1890"/>
      <c r="EJ373" s="1890"/>
      <c r="EK373" s="1890"/>
      <c r="EL373" s="1890"/>
      <c r="EM373" s="1890"/>
      <c r="EN373" s="1890"/>
      <c r="EO373" s="1890"/>
      <c r="EP373" s="1890"/>
      <c r="EQ373" s="1890"/>
      <c r="ER373" s="1890"/>
      <c r="ES373" s="1890"/>
      <c r="ET373" s="1890"/>
      <c r="EU373" s="1890"/>
      <c r="EV373" s="1890"/>
      <c r="EW373" s="1890"/>
      <c r="EX373" s="1890"/>
      <c r="EY373" s="1890"/>
      <c r="EZ373" s="1890"/>
      <c r="FA373" s="1890"/>
      <c r="FB373" s="1890"/>
      <c r="FC373" s="1890"/>
      <c r="FD373" s="1890"/>
      <c r="FE373" s="1890"/>
      <c r="FF373" s="1890"/>
      <c r="FG373" s="1890"/>
      <c r="FH373" s="1890"/>
      <c r="FI373" s="1890"/>
      <c r="FJ373" s="1890"/>
      <c r="FK373" s="1890"/>
      <c r="FL373" s="1890"/>
      <c r="FM373" s="1890"/>
      <c r="FN373" s="1890"/>
      <c r="FO373" s="1890"/>
      <c r="FP373" s="1890"/>
      <c r="FQ373" s="1890"/>
      <c r="FR373" s="1890"/>
      <c r="FS373" s="1890"/>
      <c r="FT373" s="1890"/>
    </row>
    <row r="374" spans="1:176" s="1965" customFormat="1" ht="20.100000000000001" customHeight="1">
      <c r="A374" s="2500"/>
      <c r="B374" s="2059" t="s">
        <v>7022</v>
      </c>
      <c r="C374" s="2125">
        <f>AVERAGE(C375:C377)</f>
        <v>0.66666666666666663</v>
      </c>
      <c r="D374" s="2125">
        <f t="shared" ref="D374:H374" si="100">AVERAGE(D375:D377)</f>
        <v>0.66666666666666663</v>
      </c>
      <c r="E374" s="2125">
        <f>AVERAGE(E375:E377)</f>
        <v>0.16666666666666666</v>
      </c>
      <c r="F374" s="2125">
        <f t="shared" si="100"/>
        <v>0</v>
      </c>
      <c r="G374" s="2125">
        <f t="shared" si="100"/>
        <v>0.33333333333333331</v>
      </c>
      <c r="H374" s="2125">
        <f t="shared" si="100"/>
        <v>0.16666666666666666</v>
      </c>
      <c r="I374" s="2086"/>
      <c r="J374" s="1910"/>
      <c r="K374" s="1989"/>
      <c r="L374" s="1911"/>
      <c r="M374" s="1912"/>
      <c r="N374" s="1912"/>
      <c r="O374" s="1912"/>
      <c r="P374" s="1912"/>
      <c r="Q374" s="1912"/>
      <c r="R374" s="2100"/>
      <c r="S374" s="2127"/>
      <c r="T374" s="1989"/>
      <c r="U374" s="1911"/>
      <c r="V374" s="1912"/>
      <c r="W374" s="1912"/>
      <c r="X374" s="1912"/>
      <c r="Y374" s="1818"/>
      <c r="Z374" s="1818"/>
      <c r="AA374" s="1818"/>
      <c r="AB374" s="1818"/>
      <c r="AC374" s="1818"/>
      <c r="AD374" s="1818"/>
      <c r="AE374" s="1818"/>
      <c r="AF374" s="1818"/>
      <c r="AG374" s="1818"/>
      <c r="AH374" s="1818"/>
      <c r="AI374" s="1818"/>
      <c r="AJ374" s="1818"/>
      <c r="AK374" s="1818"/>
      <c r="AL374" s="1818"/>
      <c r="AM374" s="1818"/>
      <c r="AN374" s="1818"/>
      <c r="AO374" s="1818"/>
      <c r="AP374" s="1818"/>
      <c r="AQ374" s="1818"/>
      <c r="AR374" s="1818"/>
      <c r="AS374" s="1818"/>
      <c r="AT374" s="1818"/>
      <c r="AU374" s="1818"/>
      <c r="AV374" s="1818"/>
      <c r="AW374" s="1818"/>
      <c r="AX374" s="1818"/>
      <c r="AY374" s="1818"/>
      <c r="AZ374" s="1818"/>
      <c r="BA374" s="1818"/>
      <c r="BB374" s="1818"/>
      <c r="BC374" s="1818"/>
      <c r="BD374" s="1818"/>
      <c r="BE374" s="1818"/>
      <c r="BF374" s="1818"/>
      <c r="BG374" s="1818"/>
      <c r="BH374" s="1818"/>
      <c r="BI374" s="1818"/>
      <c r="BJ374" s="1818"/>
      <c r="BK374" s="1818"/>
      <c r="BL374" s="1818"/>
      <c r="BM374" s="1818"/>
      <c r="BN374" s="1818"/>
      <c r="BO374" s="1818"/>
      <c r="BP374" s="1818"/>
      <c r="BQ374" s="1818"/>
      <c r="BR374" s="1818"/>
      <c r="BS374" s="1818"/>
      <c r="BT374" s="1818"/>
      <c r="BU374" s="1818"/>
      <c r="BV374" s="1818"/>
      <c r="BW374" s="1818"/>
      <c r="BX374" s="1818"/>
      <c r="BY374" s="1818"/>
      <c r="BZ374" s="1818"/>
      <c r="CA374" s="1890"/>
      <c r="CB374" s="1890"/>
      <c r="CC374" s="1890"/>
      <c r="CD374" s="1890"/>
      <c r="CE374" s="1890"/>
      <c r="CF374" s="1890"/>
      <c r="CG374" s="1890"/>
      <c r="CH374" s="1890"/>
      <c r="CI374" s="1890"/>
      <c r="CJ374" s="1890"/>
      <c r="CK374" s="1890"/>
      <c r="CL374" s="1890"/>
      <c r="CM374" s="1890"/>
      <c r="CN374" s="1890"/>
      <c r="CO374" s="1890"/>
      <c r="CP374" s="1890"/>
      <c r="CQ374" s="1890"/>
      <c r="CR374" s="1890"/>
      <c r="CS374" s="1890"/>
      <c r="CT374" s="1890"/>
      <c r="CU374" s="1890"/>
      <c r="CV374" s="1890"/>
      <c r="CW374" s="1890"/>
      <c r="CX374" s="1890"/>
      <c r="CY374" s="1890"/>
      <c r="CZ374" s="1890"/>
      <c r="DA374" s="1890"/>
      <c r="DB374" s="1890"/>
      <c r="DC374" s="1890"/>
      <c r="DD374" s="1890"/>
      <c r="DE374" s="1890"/>
      <c r="DF374" s="1890"/>
      <c r="DG374" s="1890"/>
      <c r="DH374" s="1890"/>
      <c r="DI374" s="1890"/>
      <c r="DJ374" s="1890"/>
      <c r="DK374" s="1890"/>
      <c r="DL374" s="1890"/>
      <c r="DM374" s="1890"/>
      <c r="DN374" s="1890"/>
      <c r="DO374" s="1890"/>
      <c r="DP374" s="1890"/>
      <c r="DQ374" s="1890"/>
      <c r="DR374" s="1890"/>
      <c r="DS374" s="1890"/>
      <c r="DT374" s="1890"/>
      <c r="DU374" s="1890"/>
      <c r="DV374" s="1890"/>
      <c r="DW374" s="1890"/>
      <c r="DX374" s="1890"/>
      <c r="DY374" s="1890"/>
      <c r="DZ374" s="1890"/>
      <c r="EA374" s="1890"/>
      <c r="EB374" s="1890"/>
      <c r="EC374" s="1890"/>
      <c r="ED374" s="1890"/>
      <c r="EE374" s="1890"/>
      <c r="EF374" s="1890"/>
      <c r="EG374" s="1890"/>
      <c r="EH374" s="1890"/>
      <c r="EI374" s="1890"/>
      <c r="EJ374" s="1890"/>
      <c r="EK374" s="1890"/>
      <c r="EL374" s="1890"/>
      <c r="EM374" s="1890"/>
      <c r="EN374" s="1890"/>
      <c r="EO374" s="1890"/>
      <c r="EP374" s="1890"/>
      <c r="EQ374" s="1890"/>
      <c r="ER374" s="1890"/>
      <c r="ES374" s="1890"/>
      <c r="ET374" s="1890"/>
      <c r="EU374" s="1890"/>
      <c r="EV374" s="1890"/>
      <c r="EW374" s="1890"/>
      <c r="EX374" s="1890"/>
      <c r="EY374" s="1890"/>
      <c r="EZ374" s="1890"/>
      <c r="FA374" s="1890"/>
      <c r="FB374" s="1890"/>
      <c r="FC374" s="1890"/>
      <c r="FD374" s="1890"/>
      <c r="FE374" s="1890"/>
      <c r="FF374" s="1890"/>
      <c r="FG374" s="1890"/>
      <c r="FH374" s="1890"/>
      <c r="FI374" s="1890"/>
      <c r="FJ374" s="1890"/>
      <c r="FK374" s="1890"/>
      <c r="FL374" s="1890"/>
      <c r="FM374" s="1890"/>
      <c r="FN374" s="1890"/>
      <c r="FO374" s="1890"/>
      <c r="FP374" s="1890"/>
      <c r="FQ374" s="1890"/>
      <c r="FR374" s="1890"/>
      <c r="FS374" s="1890"/>
      <c r="FT374" s="1890"/>
    </row>
    <row r="375" spans="1:176" s="1965" customFormat="1" ht="105" customHeight="1">
      <c r="A375" s="1899"/>
      <c r="B375" s="1804" t="s">
        <v>9130</v>
      </c>
      <c r="C375" s="1837">
        <v>1</v>
      </c>
      <c r="D375" s="1829">
        <v>1</v>
      </c>
      <c r="E375" s="1829">
        <v>0</v>
      </c>
      <c r="F375" s="1829">
        <v>0</v>
      </c>
      <c r="G375" s="1829">
        <v>1</v>
      </c>
      <c r="H375" s="1850">
        <v>0</v>
      </c>
      <c r="I375" s="2086"/>
      <c r="J375" s="2217">
        <v>1</v>
      </c>
      <c r="K375" s="1974" t="s">
        <v>811</v>
      </c>
      <c r="L375" s="1794" t="s">
        <v>748</v>
      </c>
      <c r="M375" s="1935">
        <v>0</v>
      </c>
      <c r="N375" s="1917" t="s">
        <v>8377</v>
      </c>
      <c r="O375" s="1917" t="s">
        <v>8796</v>
      </c>
      <c r="P375" s="1917"/>
      <c r="Q375" s="1917"/>
      <c r="R375" s="2100"/>
      <c r="S375" s="2248" t="s">
        <v>8180</v>
      </c>
      <c r="T375" s="1974" t="s">
        <v>7622</v>
      </c>
      <c r="U375" s="1794" t="s">
        <v>7303</v>
      </c>
      <c r="V375" s="1935" t="s">
        <v>7942</v>
      </c>
      <c r="W375" s="1917" t="s">
        <v>8377</v>
      </c>
      <c r="X375" s="1917" t="s">
        <v>8796</v>
      </c>
      <c r="Y375" s="1818"/>
      <c r="Z375" s="1818"/>
      <c r="AA375" s="1818"/>
      <c r="AB375" s="1818"/>
      <c r="AC375" s="1818"/>
      <c r="AD375" s="1818"/>
      <c r="AE375" s="1818"/>
      <c r="AF375" s="1818"/>
      <c r="AG375" s="1818"/>
      <c r="AH375" s="1818"/>
      <c r="AI375" s="1818"/>
      <c r="AJ375" s="1818"/>
      <c r="AK375" s="1818"/>
      <c r="AL375" s="1818"/>
      <c r="AM375" s="1818"/>
      <c r="AN375" s="1818"/>
      <c r="AO375" s="1818"/>
      <c r="AP375" s="1818"/>
      <c r="AQ375" s="1818"/>
      <c r="AR375" s="1818"/>
      <c r="AS375" s="1818"/>
      <c r="AT375" s="1818"/>
      <c r="AU375" s="1818"/>
      <c r="AV375" s="1818"/>
      <c r="AW375" s="1818"/>
      <c r="AX375" s="1818"/>
      <c r="AY375" s="1818"/>
      <c r="AZ375" s="1818"/>
      <c r="BA375" s="1818"/>
      <c r="BB375" s="1818"/>
      <c r="BC375" s="1818"/>
      <c r="BD375" s="1818"/>
      <c r="BE375" s="1818"/>
      <c r="BF375" s="1818"/>
      <c r="BG375" s="1818"/>
      <c r="BH375" s="1818"/>
      <c r="BI375" s="1818"/>
      <c r="BJ375" s="1818"/>
      <c r="BK375" s="1818"/>
      <c r="BL375" s="1818"/>
      <c r="BM375" s="1818"/>
      <c r="BN375" s="1818"/>
      <c r="BO375" s="1818"/>
      <c r="BP375" s="1818"/>
      <c r="BQ375" s="1818"/>
      <c r="BR375" s="1818"/>
      <c r="BS375" s="1818"/>
      <c r="BT375" s="1818"/>
      <c r="BU375" s="1818"/>
      <c r="BV375" s="1818"/>
      <c r="BW375" s="1818"/>
      <c r="BX375" s="1818"/>
      <c r="BY375" s="1818"/>
      <c r="BZ375" s="1818"/>
      <c r="CA375" s="1890"/>
      <c r="CB375" s="1890"/>
      <c r="CC375" s="1890"/>
      <c r="CD375" s="1890"/>
      <c r="CE375" s="1890"/>
      <c r="CF375" s="1890"/>
      <c r="CG375" s="1890"/>
      <c r="CH375" s="1890"/>
      <c r="CI375" s="1890"/>
      <c r="CJ375" s="1890"/>
      <c r="CK375" s="1890"/>
      <c r="CL375" s="1890"/>
      <c r="CM375" s="1890"/>
      <c r="CN375" s="1890"/>
      <c r="CO375" s="1890"/>
      <c r="CP375" s="1890"/>
      <c r="CQ375" s="1890"/>
      <c r="CR375" s="1890"/>
      <c r="CS375" s="1890"/>
      <c r="CT375" s="1890"/>
      <c r="CU375" s="1890"/>
      <c r="CV375" s="1890"/>
      <c r="CW375" s="1890"/>
      <c r="CX375" s="1890"/>
      <c r="CY375" s="1890"/>
      <c r="CZ375" s="1890"/>
      <c r="DA375" s="1890"/>
      <c r="DB375" s="1890"/>
      <c r="DC375" s="1890"/>
      <c r="DD375" s="1890"/>
      <c r="DE375" s="1890"/>
      <c r="DF375" s="1890"/>
      <c r="DG375" s="1890"/>
      <c r="DH375" s="1890"/>
      <c r="DI375" s="1890"/>
      <c r="DJ375" s="1890"/>
      <c r="DK375" s="1890"/>
      <c r="DL375" s="1890"/>
      <c r="DM375" s="1890"/>
      <c r="DN375" s="1890"/>
      <c r="DO375" s="1890"/>
      <c r="DP375" s="1890"/>
      <c r="DQ375" s="1890"/>
      <c r="DR375" s="1890"/>
      <c r="DS375" s="1890"/>
      <c r="DT375" s="1890"/>
      <c r="DU375" s="1890"/>
      <c r="DV375" s="1890"/>
      <c r="DW375" s="1890"/>
      <c r="DX375" s="1890"/>
      <c r="DY375" s="1890"/>
      <c r="DZ375" s="1890"/>
      <c r="EA375" s="1890"/>
      <c r="EB375" s="1890"/>
      <c r="EC375" s="1890"/>
      <c r="ED375" s="1890"/>
      <c r="EE375" s="1890"/>
      <c r="EF375" s="1890"/>
      <c r="EG375" s="1890"/>
      <c r="EH375" s="1890"/>
      <c r="EI375" s="1890"/>
      <c r="EJ375" s="1890"/>
      <c r="EK375" s="1890"/>
      <c r="EL375" s="1890"/>
      <c r="EM375" s="1890"/>
      <c r="EN375" s="1890"/>
      <c r="EO375" s="1890"/>
      <c r="EP375" s="1890"/>
      <c r="EQ375" s="1890"/>
      <c r="ER375" s="1890"/>
      <c r="ES375" s="1890"/>
      <c r="ET375" s="1890"/>
      <c r="EU375" s="1890"/>
      <c r="EV375" s="1890"/>
      <c r="EW375" s="1890"/>
      <c r="EX375" s="1890"/>
      <c r="EY375" s="1890"/>
      <c r="EZ375" s="1890"/>
      <c r="FA375" s="1890"/>
      <c r="FB375" s="1890"/>
      <c r="FC375" s="1890"/>
      <c r="FD375" s="1890"/>
      <c r="FE375" s="1890"/>
      <c r="FF375" s="1890"/>
      <c r="FG375" s="1890"/>
      <c r="FH375" s="1890"/>
      <c r="FI375" s="1890"/>
      <c r="FJ375" s="1890"/>
      <c r="FK375" s="1890"/>
      <c r="FL375" s="1890"/>
      <c r="FM375" s="1890"/>
      <c r="FN375" s="1890"/>
      <c r="FO375" s="1890"/>
      <c r="FP375" s="1890"/>
      <c r="FQ375" s="1890"/>
      <c r="FR375" s="1890"/>
      <c r="FS375" s="1890"/>
      <c r="FT375" s="1890"/>
    </row>
    <row r="376" spans="1:176" s="1965" customFormat="1" ht="288" customHeight="1">
      <c r="A376" s="1899"/>
      <c r="B376" s="1804" t="s">
        <v>7023</v>
      </c>
      <c r="C376" s="1837">
        <v>1</v>
      </c>
      <c r="D376" s="1829">
        <v>0.5</v>
      </c>
      <c r="E376" s="1829">
        <v>0</v>
      </c>
      <c r="F376" s="1829">
        <v>0</v>
      </c>
      <c r="G376" s="1829">
        <v>0</v>
      </c>
      <c r="H376" s="1850">
        <v>0</v>
      </c>
      <c r="I376" s="2086"/>
      <c r="J376" s="2218" t="s">
        <v>6225</v>
      </c>
      <c r="K376" s="1974" t="s">
        <v>7386</v>
      </c>
      <c r="L376" s="1794">
        <v>0</v>
      </c>
      <c r="M376" s="1794" t="s">
        <v>7161</v>
      </c>
      <c r="N376" s="1917" t="s">
        <v>8378</v>
      </c>
      <c r="O376" s="1917" t="s">
        <v>943</v>
      </c>
      <c r="P376" s="1917"/>
      <c r="Q376" s="1917"/>
      <c r="R376" s="2100"/>
      <c r="S376" s="2261" t="s">
        <v>9246</v>
      </c>
      <c r="T376" s="1974" t="s">
        <v>7623</v>
      </c>
      <c r="U376" s="1794"/>
      <c r="V376" s="1935" t="s">
        <v>7943</v>
      </c>
      <c r="W376" s="1917" t="s">
        <v>8378</v>
      </c>
      <c r="X376" s="1917" t="s">
        <v>943</v>
      </c>
      <c r="Y376" s="1818"/>
      <c r="Z376" s="1818"/>
      <c r="AA376" s="1818"/>
      <c r="AB376" s="1818"/>
      <c r="AC376" s="1818"/>
      <c r="AD376" s="1818"/>
      <c r="AE376" s="1818"/>
      <c r="AF376" s="1818"/>
      <c r="AG376" s="1818"/>
      <c r="AH376" s="1818"/>
      <c r="AI376" s="1818"/>
      <c r="AJ376" s="1818"/>
      <c r="AK376" s="1818"/>
      <c r="AL376" s="1818"/>
      <c r="AM376" s="1818"/>
      <c r="AN376" s="1818"/>
      <c r="AO376" s="1818"/>
      <c r="AP376" s="1818"/>
      <c r="AQ376" s="1818"/>
      <c r="AR376" s="1818"/>
      <c r="AS376" s="1818"/>
      <c r="AT376" s="1818"/>
      <c r="AU376" s="1818"/>
      <c r="AV376" s="1818"/>
      <c r="AW376" s="1818"/>
      <c r="AX376" s="1818"/>
      <c r="AY376" s="1818"/>
      <c r="AZ376" s="1818"/>
      <c r="BA376" s="1818"/>
      <c r="BB376" s="1818"/>
      <c r="BC376" s="1818"/>
      <c r="BD376" s="1818"/>
      <c r="BE376" s="1818"/>
      <c r="BF376" s="1818"/>
      <c r="BG376" s="1818"/>
      <c r="BH376" s="1818"/>
      <c r="BI376" s="1818"/>
      <c r="BJ376" s="1818"/>
      <c r="BK376" s="1818"/>
      <c r="BL376" s="1818"/>
      <c r="BM376" s="1818"/>
      <c r="BN376" s="1818"/>
      <c r="BO376" s="1818"/>
      <c r="BP376" s="1818"/>
      <c r="BQ376" s="1818"/>
      <c r="BR376" s="1818"/>
      <c r="BS376" s="1818"/>
      <c r="BT376" s="1818"/>
      <c r="BU376" s="1818"/>
      <c r="BV376" s="1818"/>
      <c r="BW376" s="1818"/>
      <c r="BX376" s="1818"/>
      <c r="BY376" s="1818"/>
      <c r="BZ376" s="1818"/>
      <c r="CA376" s="1890"/>
      <c r="CB376" s="1890"/>
      <c r="CC376" s="1890"/>
      <c r="CD376" s="1890"/>
      <c r="CE376" s="1890"/>
      <c r="CF376" s="1890"/>
      <c r="CG376" s="1890"/>
      <c r="CH376" s="1890"/>
      <c r="CI376" s="1890"/>
      <c r="CJ376" s="1890"/>
      <c r="CK376" s="1890"/>
      <c r="CL376" s="1890"/>
      <c r="CM376" s="1890"/>
      <c r="CN376" s="1890"/>
      <c r="CO376" s="1890"/>
      <c r="CP376" s="1890"/>
      <c r="CQ376" s="1890"/>
      <c r="CR376" s="1890"/>
      <c r="CS376" s="1890"/>
      <c r="CT376" s="1890"/>
      <c r="CU376" s="1890"/>
      <c r="CV376" s="1890"/>
      <c r="CW376" s="1890"/>
      <c r="CX376" s="1890"/>
      <c r="CY376" s="1890"/>
      <c r="CZ376" s="1890"/>
      <c r="DA376" s="1890"/>
      <c r="DB376" s="1890"/>
      <c r="DC376" s="1890"/>
      <c r="DD376" s="1890"/>
      <c r="DE376" s="1890"/>
      <c r="DF376" s="1890"/>
      <c r="DG376" s="1890"/>
      <c r="DH376" s="1890"/>
      <c r="DI376" s="1890"/>
      <c r="DJ376" s="1890"/>
      <c r="DK376" s="1890"/>
      <c r="DL376" s="1890"/>
      <c r="DM376" s="1890"/>
      <c r="DN376" s="1890"/>
      <c r="DO376" s="1890"/>
      <c r="DP376" s="1890"/>
      <c r="DQ376" s="1890"/>
      <c r="DR376" s="1890"/>
      <c r="DS376" s="1890"/>
      <c r="DT376" s="1890"/>
      <c r="DU376" s="1890"/>
      <c r="DV376" s="1890"/>
      <c r="DW376" s="1890"/>
      <c r="DX376" s="1890"/>
      <c r="DY376" s="1890"/>
      <c r="DZ376" s="1890"/>
      <c r="EA376" s="1890"/>
      <c r="EB376" s="1890"/>
      <c r="EC376" s="1890"/>
      <c r="ED376" s="1890"/>
      <c r="EE376" s="1890"/>
      <c r="EF376" s="1890"/>
      <c r="EG376" s="1890"/>
      <c r="EH376" s="1890"/>
      <c r="EI376" s="1890"/>
      <c r="EJ376" s="1890"/>
      <c r="EK376" s="1890"/>
      <c r="EL376" s="1890"/>
      <c r="EM376" s="1890"/>
      <c r="EN376" s="1890"/>
      <c r="EO376" s="1890"/>
      <c r="EP376" s="1890"/>
      <c r="EQ376" s="1890"/>
      <c r="ER376" s="1890"/>
      <c r="ES376" s="1890"/>
      <c r="ET376" s="1890"/>
      <c r="EU376" s="1890"/>
      <c r="EV376" s="1890"/>
      <c r="EW376" s="1890"/>
      <c r="EX376" s="1890"/>
      <c r="EY376" s="1890"/>
      <c r="EZ376" s="1890"/>
      <c r="FA376" s="1890"/>
      <c r="FB376" s="1890"/>
      <c r="FC376" s="1890"/>
      <c r="FD376" s="1890"/>
      <c r="FE376" s="1890"/>
      <c r="FF376" s="1890"/>
      <c r="FG376" s="1890"/>
      <c r="FH376" s="1890"/>
      <c r="FI376" s="1890"/>
      <c r="FJ376" s="1890"/>
      <c r="FK376" s="1890"/>
      <c r="FL376" s="1890"/>
      <c r="FM376" s="1890"/>
      <c r="FN376" s="1890"/>
      <c r="FO376" s="1890"/>
      <c r="FP376" s="1890"/>
      <c r="FQ376" s="1890"/>
      <c r="FR376" s="1890"/>
      <c r="FS376" s="1890"/>
      <c r="FT376" s="1890"/>
    </row>
    <row r="377" spans="1:176" s="1965" customFormat="1" ht="36.950000000000003" customHeight="1">
      <c r="A377" s="1899"/>
      <c r="B377" s="1871" t="s">
        <v>380</v>
      </c>
      <c r="C377" s="1837">
        <v>0</v>
      </c>
      <c r="D377" s="1829">
        <v>0.5</v>
      </c>
      <c r="E377" s="1829">
        <v>0.5</v>
      </c>
      <c r="F377" s="1829">
        <v>0</v>
      </c>
      <c r="G377" s="1829">
        <v>0</v>
      </c>
      <c r="H377" s="2307">
        <v>0.5</v>
      </c>
      <c r="I377" s="2290" t="s">
        <v>240</v>
      </c>
      <c r="J377" s="2217">
        <v>0</v>
      </c>
      <c r="K377" s="1990" t="s">
        <v>5427</v>
      </c>
      <c r="L377" s="1915">
        <v>0.5</v>
      </c>
      <c r="M377" s="1917">
        <v>0</v>
      </c>
      <c r="N377" s="1917" t="s">
        <v>8379</v>
      </c>
      <c r="O377" s="1914" t="s">
        <v>8797</v>
      </c>
      <c r="P377" s="1917">
        <v>1</v>
      </c>
      <c r="Q377" s="1917">
        <v>0</v>
      </c>
      <c r="R377" s="2100"/>
      <c r="S377" s="2248" t="s">
        <v>8181</v>
      </c>
      <c r="T377" s="1974" t="s">
        <v>7624</v>
      </c>
      <c r="U377" s="1794" t="s">
        <v>1256</v>
      </c>
      <c r="V377" s="1917" t="s">
        <v>7944</v>
      </c>
      <c r="W377" s="1917" t="s">
        <v>8379</v>
      </c>
      <c r="X377" s="1795" t="s">
        <v>8797</v>
      </c>
      <c r="Y377" s="1818"/>
      <c r="Z377" s="1818"/>
      <c r="AA377" s="1818"/>
      <c r="AB377" s="1818"/>
      <c r="AC377" s="1818"/>
      <c r="AD377" s="1818"/>
      <c r="AE377" s="1818"/>
      <c r="AF377" s="1818"/>
      <c r="AG377" s="1818"/>
      <c r="AH377" s="1818"/>
      <c r="AI377" s="1818"/>
      <c r="AJ377" s="1818"/>
      <c r="AK377" s="1818"/>
      <c r="AL377" s="1818"/>
      <c r="AM377" s="1818"/>
      <c r="AN377" s="1818"/>
      <c r="AO377" s="1818"/>
      <c r="AP377" s="1818"/>
      <c r="AQ377" s="1818"/>
      <c r="AR377" s="1818"/>
      <c r="AS377" s="1818"/>
      <c r="AT377" s="1818"/>
      <c r="AU377" s="1890"/>
      <c r="AV377" s="1890"/>
      <c r="AW377" s="1890"/>
      <c r="AX377" s="1890"/>
      <c r="AY377" s="1890"/>
      <c r="AZ377" s="1890"/>
      <c r="BA377" s="1890"/>
      <c r="BB377" s="1890"/>
      <c r="BC377" s="1890"/>
      <c r="BD377" s="1890"/>
      <c r="BE377" s="1890"/>
      <c r="BF377" s="1890"/>
      <c r="BG377" s="1890"/>
      <c r="BH377" s="1890"/>
      <c r="BI377" s="1890"/>
      <c r="BJ377" s="1890"/>
      <c r="BK377" s="1890"/>
      <c r="BL377" s="1890"/>
      <c r="BM377" s="1890"/>
      <c r="BN377" s="1890"/>
      <c r="BO377" s="1890"/>
      <c r="BP377" s="1890"/>
      <c r="BQ377" s="1890"/>
      <c r="BR377" s="1890"/>
      <c r="BS377" s="1890"/>
      <c r="BT377" s="1890"/>
      <c r="BU377" s="1890"/>
      <c r="BV377" s="1890"/>
      <c r="BW377" s="1890"/>
      <c r="BX377" s="1890"/>
      <c r="BY377" s="1890"/>
      <c r="BZ377" s="1890"/>
      <c r="CA377" s="1890"/>
      <c r="CB377" s="1890"/>
      <c r="CC377" s="1890"/>
      <c r="CD377" s="1890"/>
      <c r="CE377" s="1890"/>
      <c r="CF377" s="1890"/>
      <c r="CG377" s="1890"/>
      <c r="CH377" s="1890"/>
      <c r="CI377" s="1890"/>
      <c r="CJ377" s="1890"/>
      <c r="CK377" s="1890"/>
      <c r="CL377" s="1890"/>
      <c r="CM377" s="1890"/>
      <c r="CN377" s="1890"/>
      <c r="CO377" s="1890"/>
      <c r="CP377" s="1890"/>
      <c r="CQ377" s="1890"/>
      <c r="CR377" s="1890"/>
      <c r="CS377" s="1890"/>
      <c r="CT377" s="1890"/>
      <c r="CU377" s="1890"/>
      <c r="CV377" s="1890"/>
      <c r="CW377" s="1890"/>
      <c r="CX377" s="1890"/>
      <c r="CY377" s="1890"/>
      <c r="CZ377" s="1890"/>
      <c r="DA377" s="1890"/>
      <c r="DB377" s="1890"/>
      <c r="DC377" s="1890"/>
      <c r="DD377" s="1890"/>
      <c r="DE377" s="1890"/>
      <c r="DF377" s="1890"/>
      <c r="DG377" s="1890"/>
      <c r="DH377" s="1890"/>
      <c r="DI377" s="1890"/>
      <c r="DJ377" s="1890"/>
      <c r="DK377" s="1890"/>
      <c r="DL377" s="1890"/>
      <c r="DM377" s="1890"/>
      <c r="DN377" s="1890"/>
      <c r="DO377" s="1890"/>
      <c r="DP377" s="1890"/>
      <c r="DQ377" s="1890"/>
      <c r="DR377" s="1890"/>
      <c r="DS377" s="1890"/>
      <c r="DT377" s="1890"/>
      <c r="DU377" s="1890"/>
      <c r="DV377" s="1890"/>
      <c r="DW377" s="1890"/>
      <c r="DX377" s="1890"/>
      <c r="DY377" s="1890"/>
      <c r="DZ377" s="1890"/>
      <c r="EA377" s="1890"/>
      <c r="EB377" s="1890"/>
      <c r="EC377" s="1890"/>
      <c r="ED377" s="1890"/>
      <c r="EE377" s="1890"/>
      <c r="EF377" s="1890"/>
      <c r="EG377" s="1890"/>
      <c r="EH377" s="1890"/>
      <c r="EI377" s="1890"/>
      <c r="EJ377" s="1890"/>
      <c r="EK377" s="1890"/>
      <c r="EL377" s="1890"/>
      <c r="EM377" s="1890"/>
      <c r="EN377" s="1890"/>
      <c r="EO377" s="1890"/>
      <c r="EP377" s="1890"/>
      <c r="EQ377" s="1890"/>
      <c r="ER377" s="1890"/>
      <c r="ES377" s="1890"/>
      <c r="ET377" s="1890"/>
      <c r="EU377" s="1890"/>
      <c r="EV377" s="1890"/>
      <c r="EW377" s="1890"/>
      <c r="EX377" s="1890"/>
      <c r="EY377" s="1890"/>
      <c r="EZ377" s="1890"/>
      <c r="FA377" s="1890"/>
      <c r="FB377" s="1890"/>
      <c r="FC377" s="1890"/>
      <c r="FD377" s="1890"/>
      <c r="FE377" s="1890"/>
      <c r="FF377" s="1890"/>
      <c r="FG377" s="1890"/>
      <c r="FH377" s="1890"/>
      <c r="FI377" s="1890"/>
      <c r="FJ377" s="1890"/>
      <c r="FK377" s="1890"/>
      <c r="FL377" s="1890"/>
      <c r="FM377" s="1890"/>
      <c r="FN377" s="1890"/>
      <c r="FO377" s="1890"/>
      <c r="FP377" s="1890"/>
      <c r="FQ377" s="1890"/>
      <c r="FR377" s="1890"/>
      <c r="FS377" s="1890"/>
      <c r="FT377" s="1890"/>
    </row>
    <row r="378" spans="1:176" s="1965" customFormat="1" ht="24" customHeight="1">
      <c r="A378" s="2500"/>
      <c r="B378" s="2059" t="s">
        <v>7024</v>
      </c>
      <c r="C378" s="2125">
        <f>AVERAGE(C379:C383)</f>
        <v>0.4</v>
      </c>
      <c r="D378" s="2125">
        <f t="shared" ref="D378:H378" si="101">AVERAGE(D379:D383)</f>
        <v>0.5</v>
      </c>
      <c r="E378" s="2125">
        <f t="shared" si="101"/>
        <v>0</v>
      </c>
      <c r="F378" s="2125">
        <f t="shared" si="101"/>
        <v>0.3</v>
      </c>
      <c r="G378" s="2125">
        <f t="shared" si="101"/>
        <v>0.5</v>
      </c>
      <c r="H378" s="2125">
        <f t="shared" si="101"/>
        <v>0.1</v>
      </c>
      <c r="I378" s="2086"/>
      <c r="J378" s="1910"/>
      <c r="K378" s="1989"/>
      <c r="L378" s="1911"/>
      <c r="M378" s="1912"/>
      <c r="N378" s="1912"/>
      <c r="O378" s="1912"/>
      <c r="P378" s="1912"/>
      <c r="Q378" s="1912"/>
      <c r="R378" s="2100"/>
      <c r="S378" s="2262"/>
      <c r="T378" s="1989"/>
      <c r="U378" s="1911"/>
      <c r="V378" s="1912"/>
      <c r="W378" s="1912"/>
      <c r="X378" s="1912"/>
      <c r="Y378" s="1818"/>
      <c r="Z378" s="1818"/>
      <c r="AA378" s="1818"/>
      <c r="AB378" s="1818"/>
      <c r="AC378" s="1818"/>
      <c r="AD378" s="1818"/>
      <c r="AE378" s="1818"/>
      <c r="AF378" s="1818"/>
      <c r="AG378" s="1818"/>
      <c r="AH378" s="1818"/>
      <c r="AI378" s="1818"/>
      <c r="AJ378" s="1818"/>
      <c r="AK378" s="1818"/>
      <c r="AL378" s="1818"/>
      <c r="AM378" s="1818"/>
      <c r="AN378" s="1818"/>
      <c r="AO378" s="1818"/>
      <c r="AP378" s="1818"/>
      <c r="AQ378" s="1818"/>
      <c r="AR378" s="1818"/>
      <c r="AS378" s="1818"/>
      <c r="AT378" s="1818"/>
      <c r="AU378" s="1818"/>
      <c r="AV378" s="1818"/>
      <c r="AW378" s="1818"/>
      <c r="AX378" s="1818"/>
      <c r="AY378" s="1818"/>
      <c r="AZ378" s="1818"/>
      <c r="BA378" s="1818"/>
      <c r="BB378" s="1818"/>
      <c r="BC378" s="1818"/>
      <c r="BD378" s="1818"/>
      <c r="BE378" s="1818"/>
      <c r="BF378" s="1818"/>
      <c r="BG378" s="1818"/>
      <c r="BH378" s="1818"/>
      <c r="BI378" s="1818"/>
      <c r="BJ378" s="1818"/>
      <c r="BK378" s="1818"/>
      <c r="BL378" s="1818"/>
      <c r="BM378" s="1818"/>
      <c r="BN378" s="1818"/>
      <c r="BO378" s="1818"/>
      <c r="BP378" s="1818"/>
      <c r="BQ378" s="1818"/>
      <c r="BR378" s="1818"/>
      <c r="BS378" s="1818"/>
      <c r="BT378" s="1818"/>
      <c r="BU378" s="1818"/>
      <c r="BV378" s="1818"/>
      <c r="BW378" s="1818"/>
      <c r="BX378" s="1818"/>
      <c r="BY378" s="1818"/>
      <c r="BZ378" s="1818"/>
      <c r="CA378" s="1890"/>
      <c r="CB378" s="1890"/>
      <c r="CC378" s="1890"/>
      <c r="CD378" s="1890"/>
      <c r="CE378" s="1890"/>
      <c r="CF378" s="1890"/>
      <c r="CG378" s="1890"/>
      <c r="CH378" s="1890"/>
      <c r="CI378" s="1890"/>
      <c r="CJ378" s="1890"/>
      <c r="CK378" s="1890"/>
      <c r="CL378" s="1890"/>
      <c r="CM378" s="1890"/>
      <c r="CN378" s="1890"/>
      <c r="CO378" s="1890"/>
      <c r="CP378" s="1890"/>
      <c r="CQ378" s="1890"/>
      <c r="CR378" s="1890"/>
      <c r="CS378" s="1890"/>
      <c r="CT378" s="1890"/>
      <c r="CU378" s="1890"/>
      <c r="CV378" s="1890"/>
      <c r="CW378" s="1890"/>
      <c r="CX378" s="1890"/>
      <c r="CY378" s="1890"/>
      <c r="CZ378" s="1890"/>
      <c r="DA378" s="1890"/>
      <c r="DB378" s="1890"/>
      <c r="DC378" s="1890"/>
      <c r="DD378" s="1890"/>
      <c r="DE378" s="1890"/>
      <c r="DF378" s="1890"/>
      <c r="DG378" s="1890"/>
      <c r="DH378" s="1890"/>
      <c r="DI378" s="1890"/>
      <c r="DJ378" s="1890"/>
      <c r="DK378" s="1890"/>
      <c r="DL378" s="1890"/>
      <c r="DM378" s="1890"/>
      <c r="DN378" s="1890"/>
      <c r="DO378" s="1890"/>
      <c r="DP378" s="1890"/>
      <c r="DQ378" s="1890"/>
      <c r="DR378" s="1890"/>
      <c r="DS378" s="1890"/>
      <c r="DT378" s="1890"/>
      <c r="DU378" s="1890"/>
      <c r="DV378" s="1890"/>
      <c r="DW378" s="1890"/>
      <c r="DX378" s="1890"/>
      <c r="DY378" s="1890"/>
      <c r="DZ378" s="1890"/>
      <c r="EA378" s="1890"/>
      <c r="EB378" s="1890"/>
      <c r="EC378" s="1890"/>
      <c r="ED378" s="1890"/>
      <c r="EE378" s="1890"/>
      <c r="EF378" s="1890"/>
      <c r="EG378" s="1890"/>
      <c r="EH378" s="1890"/>
      <c r="EI378" s="1890"/>
      <c r="EJ378" s="1890"/>
      <c r="EK378" s="1890"/>
      <c r="EL378" s="1890"/>
      <c r="EM378" s="1890"/>
      <c r="EN378" s="1890"/>
      <c r="EO378" s="1890"/>
      <c r="EP378" s="1890"/>
      <c r="EQ378" s="1890"/>
      <c r="ER378" s="1890"/>
      <c r="ES378" s="1890"/>
      <c r="ET378" s="1890"/>
      <c r="EU378" s="1890"/>
      <c r="EV378" s="1890"/>
      <c r="EW378" s="1890"/>
      <c r="EX378" s="1890"/>
      <c r="EY378" s="1890"/>
      <c r="EZ378" s="1890"/>
      <c r="FA378" s="1890"/>
      <c r="FB378" s="1890"/>
      <c r="FC378" s="1890"/>
      <c r="FD378" s="1890"/>
      <c r="FE378" s="1890"/>
      <c r="FF378" s="1890"/>
      <c r="FG378" s="1890"/>
      <c r="FH378" s="1890"/>
      <c r="FI378" s="1890"/>
      <c r="FJ378" s="1890"/>
      <c r="FK378" s="1890"/>
      <c r="FL378" s="1890"/>
      <c r="FM378" s="1890"/>
      <c r="FN378" s="1890"/>
      <c r="FO378" s="1890"/>
      <c r="FP378" s="1890"/>
      <c r="FQ378" s="1890"/>
      <c r="FR378" s="1890"/>
      <c r="FS378" s="1890"/>
      <c r="FT378" s="1890"/>
    </row>
    <row r="379" spans="1:176" s="1965" customFormat="1" ht="101.1" customHeight="1">
      <c r="A379" s="1899"/>
      <c r="B379" s="1804" t="s">
        <v>7021</v>
      </c>
      <c r="C379" s="1837">
        <v>0</v>
      </c>
      <c r="D379" s="1829">
        <v>0</v>
      </c>
      <c r="E379" s="1829">
        <v>0</v>
      </c>
      <c r="F379" s="1829">
        <v>0</v>
      </c>
      <c r="G379" s="1829">
        <v>0</v>
      </c>
      <c r="H379" s="2307">
        <v>0</v>
      </c>
      <c r="I379" s="2290" t="s">
        <v>240</v>
      </c>
      <c r="J379" s="2217">
        <v>0</v>
      </c>
      <c r="K379" s="1990" t="s">
        <v>748</v>
      </c>
      <c r="L379" s="1934">
        <v>0</v>
      </c>
      <c r="M379" s="1917">
        <v>0</v>
      </c>
      <c r="N379" s="1917" t="s">
        <v>8380</v>
      </c>
      <c r="O379" s="1917" t="s">
        <v>8798</v>
      </c>
      <c r="P379" s="1917">
        <v>1</v>
      </c>
      <c r="Q379" s="1917">
        <v>0</v>
      </c>
      <c r="R379" s="2100"/>
      <c r="S379" s="2263"/>
      <c r="T379" s="1990" t="s">
        <v>7625</v>
      </c>
      <c r="U379" s="1934"/>
      <c r="V379" s="1917" t="s">
        <v>968</v>
      </c>
      <c r="W379" s="1917" t="s">
        <v>8380</v>
      </c>
      <c r="X379" s="1917" t="s">
        <v>8798</v>
      </c>
      <c r="Y379" s="1818"/>
      <c r="Z379" s="1818"/>
      <c r="AA379" s="1818"/>
      <c r="AB379" s="1818"/>
      <c r="AC379" s="1818"/>
      <c r="AD379" s="1818"/>
      <c r="AE379" s="1818"/>
      <c r="AF379" s="1818"/>
      <c r="AG379" s="1818"/>
      <c r="AH379" s="1818"/>
      <c r="AI379" s="1818"/>
      <c r="AJ379" s="1818"/>
      <c r="AK379" s="1818"/>
      <c r="AL379" s="1818"/>
      <c r="AM379" s="1818"/>
      <c r="AN379" s="1818"/>
      <c r="AO379" s="1818"/>
      <c r="AP379" s="1818"/>
      <c r="AQ379" s="1818"/>
      <c r="AR379" s="1818"/>
      <c r="AS379" s="1818"/>
      <c r="AT379" s="1818"/>
      <c r="AU379" s="1890"/>
      <c r="AV379" s="1890"/>
      <c r="AW379" s="1890"/>
      <c r="AX379" s="1890"/>
      <c r="AY379" s="1890"/>
      <c r="AZ379" s="1890"/>
      <c r="BA379" s="1890"/>
      <c r="BB379" s="1890"/>
      <c r="BC379" s="1890"/>
      <c r="BD379" s="1890"/>
      <c r="BE379" s="1890"/>
      <c r="BF379" s="1890"/>
      <c r="BG379" s="1890"/>
      <c r="BH379" s="1890"/>
      <c r="BI379" s="1890"/>
      <c r="BJ379" s="1890"/>
      <c r="BK379" s="1890"/>
      <c r="BL379" s="1890"/>
      <c r="BM379" s="1890"/>
      <c r="BN379" s="1890"/>
      <c r="BO379" s="1890"/>
      <c r="BP379" s="1890"/>
      <c r="BQ379" s="1890"/>
      <c r="BR379" s="1890"/>
      <c r="BS379" s="1890"/>
      <c r="BT379" s="1890"/>
      <c r="BU379" s="1890"/>
      <c r="BV379" s="1890"/>
      <c r="BW379" s="1890"/>
      <c r="BX379" s="1890"/>
      <c r="BY379" s="1890"/>
      <c r="BZ379" s="1890"/>
      <c r="CA379" s="1890"/>
      <c r="CB379" s="1890"/>
      <c r="CC379" s="1890"/>
      <c r="CD379" s="1890"/>
      <c r="CE379" s="1890"/>
      <c r="CF379" s="1890"/>
      <c r="CG379" s="1890"/>
      <c r="CH379" s="1890"/>
      <c r="CI379" s="1890"/>
      <c r="CJ379" s="1890"/>
      <c r="CK379" s="1890"/>
      <c r="CL379" s="1890"/>
      <c r="CM379" s="1890"/>
      <c r="CN379" s="1890"/>
      <c r="CO379" s="1890"/>
      <c r="CP379" s="1890"/>
      <c r="CQ379" s="1890"/>
      <c r="CR379" s="1890"/>
      <c r="CS379" s="1890"/>
      <c r="CT379" s="1890"/>
      <c r="CU379" s="1890"/>
      <c r="CV379" s="1890"/>
      <c r="CW379" s="1890"/>
      <c r="CX379" s="1890"/>
      <c r="CY379" s="1890"/>
      <c r="CZ379" s="1890"/>
      <c r="DA379" s="1890"/>
      <c r="DB379" s="1890"/>
      <c r="DC379" s="1890"/>
      <c r="DD379" s="1890"/>
      <c r="DE379" s="1890"/>
      <c r="DF379" s="1890"/>
      <c r="DG379" s="1890"/>
      <c r="DH379" s="1890"/>
      <c r="DI379" s="1890"/>
      <c r="DJ379" s="1890"/>
      <c r="DK379" s="1890"/>
      <c r="DL379" s="1890"/>
      <c r="DM379" s="1890"/>
      <c r="DN379" s="1890"/>
      <c r="DO379" s="1890"/>
      <c r="DP379" s="1890"/>
      <c r="DQ379" s="1890"/>
      <c r="DR379" s="1890"/>
      <c r="DS379" s="1890"/>
      <c r="DT379" s="1890"/>
      <c r="DU379" s="1890"/>
      <c r="DV379" s="1890"/>
      <c r="DW379" s="1890"/>
      <c r="DX379" s="1890"/>
      <c r="DY379" s="1890"/>
      <c r="DZ379" s="1890"/>
      <c r="EA379" s="1890"/>
      <c r="EB379" s="1890"/>
      <c r="EC379" s="1890"/>
      <c r="ED379" s="1890"/>
      <c r="EE379" s="1890"/>
      <c r="EF379" s="1890"/>
      <c r="EG379" s="1890"/>
      <c r="EH379" s="1890"/>
      <c r="EI379" s="1890"/>
      <c r="EJ379" s="1890"/>
      <c r="EK379" s="1890"/>
      <c r="EL379" s="1890"/>
      <c r="EM379" s="1890"/>
      <c r="EN379" s="1890"/>
      <c r="EO379" s="1890"/>
      <c r="EP379" s="1890"/>
      <c r="EQ379" s="1890"/>
      <c r="ER379" s="1890"/>
      <c r="ES379" s="1890"/>
      <c r="ET379" s="1890"/>
      <c r="EU379" s="1890"/>
      <c r="EV379" s="1890"/>
      <c r="EW379" s="1890"/>
      <c r="EX379" s="1890"/>
      <c r="EY379" s="1890"/>
      <c r="EZ379" s="1890"/>
      <c r="FA379" s="1890"/>
      <c r="FB379" s="1890"/>
      <c r="FC379" s="1890"/>
      <c r="FD379" s="1890"/>
      <c r="FE379" s="1890"/>
      <c r="FF379" s="1890"/>
      <c r="FG379" s="1890"/>
      <c r="FH379" s="1890"/>
      <c r="FI379" s="1890"/>
      <c r="FJ379" s="1890"/>
      <c r="FK379" s="1890"/>
      <c r="FL379" s="1890"/>
      <c r="FM379" s="1890"/>
      <c r="FN379" s="1890"/>
      <c r="FO379" s="1890"/>
      <c r="FP379" s="1890"/>
      <c r="FQ379" s="1890"/>
      <c r="FR379" s="1890"/>
      <c r="FS379" s="1890"/>
      <c r="FT379" s="1890"/>
    </row>
    <row r="380" spans="1:176" s="1965" customFormat="1" ht="93" customHeight="1">
      <c r="A380" s="1899"/>
      <c r="B380" s="1804" t="s">
        <v>7025</v>
      </c>
      <c r="C380" s="1837">
        <v>1</v>
      </c>
      <c r="D380" s="1829">
        <v>1</v>
      </c>
      <c r="E380" s="1829">
        <v>0</v>
      </c>
      <c r="F380" s="1829">
        <v>0</v>
      </c>
      <c r="G380" s="1829">
        <v>0.5</v>
      </c>
      <c r="H380" s="1850">
        <v>0.5</v>
      </c>
      <c r="I380" s="2086"/>
      <c r="J380" s="2217">
        <v>1</v>
      </c>
      <c r="K380" s="1974" t="s">
        <v>811</v>
      </c>
      <c r="L380" s="1794">
        <v>0</v>
      </c>
      <c r="M380" s="1935">
        <v>0</v>
      </c>
      <c r="N380" s="1917" t="s">
        <v>8381</v>
      </c>
      <c r="O380" s="1917" t="s">
        <v>8799</v>
      </c>
      <c r="P380" s="1917"/>
      <c r="Q380" s="1917"/>
      <c r="R380" s="2100"/>
      <c r="S380" s="2261" t="s">
        <v>9247</v>
      </c>
      <c r="T380" s="1974" t="s">
        <v>7626</v>
      </c>
      <c r="U380" s="1794" t="s">
        <v>7304</v>
      </c>
      <c r="V380" s="1935" t="s">
        <v>7945</v>
      </c>
      <c r="W380" s="1917" t="s">
        <v>8381</v>
      </c>
      <c r="X380" s="1917" t="s">
        <v>8799</v>
      </c>
      <c r="Y380" s="1818"/>
      <c r="Z380" s="1818"/>
      <c r="AA380" s="1818"/>
      <c r="AB380" s="1818"/>
      <c r="AC380" s="1818"/>
      <c r="AD380" s="1818"/>
      <c r="AE380" s="1818"/>
      <c r="AF380" s="1818"/>
      <c r="AG380" s="1818"/>
      <c r="AH380" s="1818"/>
      <c r="AI380" s="1818"/>
      <c r="AJ380" s="1818"/>
      <c r="AK380" s="1818"/>
      <c r="AL380" s="1818"/>
      <c r="AM380" s="1818"/>
      <c r="AN380" s="1818"/>
      <c r="AO380" s="1818"/>
      <c r="AP380" s="1818"/>
      <c r="AQ380" s="1818"/>
      <c r="AR380" s="1818"/>
      <c r="AS380" s="1818"/>
      <c r="AT380" s="1818"/>
      <c r="AU380" s="1818"/>
      <c r="AV380" s="1818"/>
      <c r="AW380" s="1818"/>
      <c r="AX380" s="1818"/>
      <c r="AY380" s="1818"/>
      <c r="AZ380" s="1818"/>
      <c r="BA380" s="1818"/>
      <c r="BB380" s="1818"/>
      <c r="BC380" s="1818"/>
      <c r="BD380" s="1818"/>
      <c r="BE380" s="1818"/>
      <c r="BF380" s="1818"/>
      <c r="BG380" s="1818"/>
      <c r="BH380" s="1818"/>
      <c r="BI380" s="1818"/>
      <c r="BJ380" s="1818"/>
      <c r="BK380" s="1818"/>
      <c r="BL380" s="1818"/>
      <c r="BM380" s="1818"/>
      <c r="BN380" s="1818"/>
      <c r="BO380" s="1818"/>
      <c r="BP380" s="1818"/>
      <c r="BQ380" s="1818"/>
      <c r="BR380" s="1818"/>
      <c r="BS380" s="1818"/>
      <c r="BT380" s="1818"/>
      <c r="BU380" s="1818"/>
      <c r="BV380" s="1818"/>
      <c r="BW380" s="1818"/>
      <c r="BX380" s="1818"/>
      <c r="BY380" s="1818"/>
      <c r="BZ380" s="1818"/>
      <c r="CA380" s="1890"/>
      <c r="CB380" s="1890"/>
      <c r="CC380" s="1890"/>
      <c r="CD380" s="1890"/>
      <c r="CE380" s="1890"/>
      <c r="CF380" s="1890"/>
      <c r="CG380" s="1890"/>
      <c r="CH380" s="1890"/>
      <c r="CI380" s="1890"/>
      <c r="CJ380" s="1890"/>
      <c r="CK380" s="1890"/>
      <c r="CL380" s="1890"/>
      <c r="CM380" s="1890"/>
      <c r="CN380" s="1890"/>
      <c r="CO380" s="1890"/>
      <c r="CP380" s="1890"/>
      <c r="CQ380" s="1890"/>
      <c r="CR380" s="1890"/>
      <c r="CS380" s="1890"/>
      <c r="CT380" s="1890"/>
      <c r="CU380" s="1890"/>
      <c r="CV380" s="1890"/>
      <c r="CW380" s="1890"/>
      <c r="CX380" s="1890"/>
      <c r="CY380" s="1890"/>
      <c r="CZ380" s="1890"/>
      <c r="DA380" s="1890"/>
      <c r="DB380" s="1890"/>
      <c r="DC380" s="1890"/>
      <c r="DD380" s="1890"/>
      <c r="DE380" s="1890"/>
      <c r="DF380" s="1890"/>
      <c r="DG380" s="1890"/>
      <c r="DH380" s="1890"/>
      <c r="DI380" s="1890"/>
      <c r="DJ380" s="1890"/>
      <c r="DK380" s="1890"/>
      <c r="DL380" s="1890"/>
      <c r="DM380" s="1890"/>
      <c r="DN380" s="1890"/>
      <c r="DO380" s="1890"/>
      <c r="DP380" s="1890"/>
      <c r="DQ380" s="1890"/>
      <c r="DR380" s="1890"/>
      <c r="DS380" s="1890"/>
      <c r="DT380" s="1890"/>
      <c r="DU380" s="1890"/>
      <c r="DV380" s="1890"/>
      <c r="DW380" s="1890"/>
      <c r="DX380" s="1890"/>
      <c r="DY380" s="1890"/>
      <c r="DZ380" s="1890"/>
      <c r="EA380" s="1890"/>
      <c r="EB380" s="1890"/>
      <c r="EC380" s="1890"/>
      <c r="ED380" s="1890"/>
      <c r="EE380" s="1890"/>
      <c r="EF380" s="1890"/>
      <c r="EG380" s="1890"/>
      <c r="EH380" s="1890"/>
      <c r="EI380" s="1890"/>
      <c r="EJ380" s="1890"/>
      <c r="EK380" s="1890"/>
      <c r="EL380" s="1890"/>
      <c r="EM380" s="1890"/>
      <c r="EN380" s="1890"/>
      <c r="EO380" s="1890"/>
      <c r="EP380" s="1890"/>
      <c r="EQ380" s="1890"/>
      <c r="ER380" s="1890"/>
      <c r="ES380" s="1890"/>
      <c r="ET380" s="1890"/>
      <c r="EU380" s="1890"/>
      <c r="EV380" s="1890"/>
      <c r="EW380" s="1890"/>
      <c r="EX380" s="1890"/>
      <c r="EY380" s="1890"/>
      <c r="EZ380" s="1890"/>
      <c r="FA380" s="1890"/>
      <c r="FB380" s="1890"/>
      <c r="FC380" s="1890"/>
      <c r="FD380" s="1890"/>
      <c r="FE380" s="1890"/>
      <c r="FF380" s="1890"/>
      <c r="FG380" s="1890"/>
      <c r="FH380" s="1890"/>
      <c r="FI380" s="1890"/>
      <c r="FJ380" s="1890"/>
      <c r="FK380" s="1890"/>
      <c r="FL380" s="1890"/>
      <c r="FM380" s="1890"/>
      <c r="FN380" s="1890"/>
      <c r="FO380" s="1890"/>
      <c r="FP380" s="1890"/>
      <c r="FQ380" s="1890"/>
      <c r="FR380" s="1890"/>
      <c r="FS380" s="1890"/>
      <c r="FT380" s="1890"/>
    </row>
    <row r="381" spans="1:176" s="1965" customFormat="1" ht="162" customHeight="1">
      <c r="A381" s="1899"/>
      <c r="B381" s="1804" t="s">
        <v>7026</v>
      </c>
      <c r="C381" s="1837">
        <v>0.5</v>
      </c>
      <c r="D381" s="1829">
        <v>0.5</v>
      </c>
      <c r="E381" s="1829">
        <v>0</v>
      </c>
      <c r="F381" s="1829">
        <v>0.5</v>
      </c>
      <c r="G381" s="1829">
        <v>0.5</v>
      </c>
      <c r="H381" s="1850">
        <v>0</v>
      </c>
      <c r="I381" s="2086"/>
      <c r="J381" s="2218" t="s">
        <v>6225</v>
      </c>
      <c r="K381" s="1974" t="s">
        <v>5427</v>
      </c>
      <c r="L381" s="1794">
        <v>0</v>
      </c>
      <c r="M381" s="1935" t="s">
        <v>6225</v>
      </c>
      <c r="N381" s="1917" t="s">
        <v>8382</v>
      </c>
      <c r="O381" s="1917" t="s">
        <v>8800</v>
      </c>
      <c r="P381" s="1917"/>
      <c r="Q381" s="1917"/>
      <c r="R381" s="2100"/>
      <c r="S381" s="2261" t="s">
        <v>9248</v>
      </c>
      <c r="T381" s="1974" t="s">
        <v>7627</v>
      </c>
      <c r="U381" s="1794" t="s">
        <v>7305</v>
      </c>
      <c r="V381" s="1935" t="s">
        <v>7946</v>
      </c>
      <c r="W381" s="1917" t="s">
        <v>8382</v>
      </c>
      <c r="X381" s="1917" t="s">
        <v>8800</v>
      </c>
      <c r="Y381" s="1818"/>
      <c r="Z381" s="1818"/>
      <c r="AA381" s="1818"/>
      <c r="AB381" s="1818"/>
      <c r="AC381" s="1818"/>
      <c r="AD381" s="1818"/>
      <c r="AE381" s="1818"/>
      <c r="AF381" s="1818"/>
      <c r="AG381" s="1818"/>
      <c r="AH381" s="1818"/>
      <c r="AI381" s="1818"/>
      <c r="AJ381" s="1818"/>
      <c r="AK381" s="1818"/>
      <c r="AL381" s="1818"/>
      <c r="AM381" s="1818"/>
      <c r="AN381" s="1818"/>
      <c r="AO381" s="1818"/>
      <c r="AP381" s="1818"/>
      <c r="AQ381" s="1818"/>
      <c r="AR381" s="1818"/>
      <c r="AS381" s="1818"/>
      <c r="AT381" s="1818"/>
      <c r="AU381" s="1818"/>
      <c r="AV381" s="1818"/>
      <c r="AW381" s="1818"/>
      <c r="AX381" s="1818"/>
      <c r="AY381" s="1818"/>
      <c r="AZ381" s="1818"/>
      <c r="BA381" s="1818"/>
      <c r="BB381" s="1818"/>
      <c r="BC381" s="1818"/>
      <c r="BD381" s="1818"/>
      <c r="BE381" s="1818"/>
      <c r="BF381" s="1818"/>
      <c r="BG381" s="1818"/>
      <c r="BH381" s="1818"/>
      <c r="BI381" s="1818"/>
      <c r="BJ381" s="1818"/>
      <c r="BK381" s="1818"/>
      <c r="BL381" s="1818"/>
      <c r="BM381" s="1818"/>
      <c r="BN381" s="1818"/>
      <c r="BO381" s="1818"/>
      <c r="BP381" s="1818"/>
      <c r="BQ381" s="1818"/>
      <c r="BR381" s="1818"/>
      <c r="BS381" s="1818"/>
      <c r="BT381" s="1818"/>
      <c r="BU381" s="1818"/>
      <c r="BV381" s="1818"/>
      <c r="BW381" s="1818"/>
      <c r="BX381" s="1818"/>
      <c r="BY381" s="1818"/>
      <c r="BZ381" s="1818"/>
      <c r="CA381" s="1890"/>
      <c r="CB381" s="1890"/>
      <c r="CC381" s="1890"/>
      <c r="CD381" s="1890"/>
      <c r="CE381" s="1890"/>
      <c r="CF381" s="1890"/>
      <c r="CG381" s="1890"/>
      <c r="CH381" s="1890"/>
      <c r="CI381" s="1890"/>
      <c r="CJ381" s="1890"/>
      <c r="CK381" s="1890"/>
      <c r="CL381" s="1890"/>
      <c r="CM381" s="1890"/>
      <c r="CN381" s="1890"/>
      <c r="CO381" s="1890"/>
      <c r="CP381" s="1890"/>
      <c r="CQ381" s="1890"/>
      <c r="CR381" s="1890"/>
      <c r="CS381" s="1890"/>
      <c r="CT381" s="1890"/>
      <c r="CU381" s="1890"/>
      <c r="CV381" s="1890"/>
      <c r="CW381" s="1890"/>
      <c r="CX381" s="1890"/>
      <c r="CY381" s="1890"/>
      <c r="CZ381" s="1890"/>
      <c r="DA381" s="1890"/>
      <c r="DB381" s="1890"/>
      <c r="DC381" s="1890"/>
      <c r="DD381" s="1890"/>
      <c r="DE381" s="1890"/>
      <c r="DF381" s="1890"/>
      <c r="DG381" s="1890"/>
      <c r="DH381" s="1890"/>
      <c r="DI381" s="1890"/>
      <c r="DJ381" s="1890"/>
      <c r="DK381" s="1890"/>
      <c r="DL381" s="1890"/>
      <c r="DM381" s="1890"/>
      <c r="DN381" s="1890"/>
      <c r="DO381" s="1890"/>
      <c r="DP381" s="1890"/>
      <c r="DQ381" s="1890"/>
      <c r="DR381" s="1890"/>
      <c r="DS381" s="1890"/>
      <c r="DT381" s="1890"/>
      <c r="DU381" s="1890"/>
      <c r="DV381" s="1890"/>
      <c r="DW381" s="1890"/>
      <c r="DX381" s="1890"/>
      <c r="DY381" s="1890"/>
      <c r="DZ381" s="1890"/>
      <c r="EA381" s="1890"/>
      <c r="EB381" s="1890"/>
      <c r="EC381" s="1890"/>
      <c r="ED381" s="1890"/>
      <c r="EE381" s="1890"/>
      <c r="EF381" s="1890"/>
      <c r="EG381" s="1890"/>
      <c r="EH381" s="1890"/>
      <c r="EI381" s="1890"/>
      <c r="EJ381" s="1890"/>
      <c r="EK381" s="1890"/>
      <c r="EL381" s="1890"/>
      <c r="EM381" s="1890"/>
      <c r="EN381" s="1890"/>
      <c r="EO381" s="1890"/>
      <c r="EP381" s="1890"/>
      <c r="EQ381" s="1890"/>
      <c r="ER381" s="1890"/>
      <c r="ES381" s="1890"/>
      <c r="ET381" s="1890"/>
      <c r="EU381" s="1890"/>
      <c r="EV381" s="1890"/>
      <c r="EW381" s="1890"/>
      <c r="EX381" s="1890"/>
      <c r="EY381" s="1890"/>
      <c r="EZ381" s="1890"/>
      <c r="FA381" s="1890"/>
      <c r="FB381" s="1890"/>
      <c r="FC381" s="1890"/>
      <c r="FD381" s="1890"/>
      <c r="FE381" s="1890"/>
      <c r="FF381" s="1890"/>
      <c r="FG381" s="1890"/>
      <c r="FH381" s="1890"/>
      <c r="FI381" s="1890"/>
      <c r="FJ381" s="1890"/>
      <c r="FK381" s="1890"/>
      <c r="FL381" s="1890"/>
      <c r="FM381" s="1890"/>
      <c r="FN381" s="1890"/>
      <c r="FO381" s="1890"/>
      <c r="FP381" s="1890"/>
      <c r="FQ381" s="1890"/>
      <c r="FR381" s="1890"/>
      <c r="FS381" s="1890"/>
      <c r="FT381" s="1890"/>
    </row>
    <row r="382" spans="1:176" s="1965" customFormat="1" ht="68.099999999999994" customHeight="1">
      <c r="A382" s="1899"/>
      <c r="B382" s="1804" t="s">
        <v>7027</v>
      </c>
      <c r="C382" s="1837">
        <v>0</v>
      </c>
      <c r="D382" s="1829">
        <v>0.5</v>
      </c>
      <c r="E382" s="1829">
        <v>0</v>
      </c>
      <c r="F382" s="1829">
        <v>0.5</v>
      </c>
      <c r="G382" s="1829">
        <v>1</v>
      </c>
      <c r="H382" s="1850">
        <v>0</v>
      </c>
      <c r="I382" s="2086"/>
      <c r="J382" s="2217">
        <v>0</v>
      </c>
      <c r="K382" s="1974" t="s">
        <v>5427</v>
      </c>
      <c r="L382" s="1794">
        <v>0</v>
      </c>
      <c r="M382" s="1935" t="s">
        <v>6225</v>
      </c>
      <c r="N382" s="1917" t="s">
        <v>8383</v>
      </c>
      <c r="O382" s="1917" t="s">
        <v>8801</v>
      </c>
      <c r="P382" s="1917"/>
      <c r="Q382" s="1917"/>
      <c r="R382" s="2100"/>
      <c r="S382" s="2248" t="s">
        <v>9249</v>
      </c>
      <c r="T382" s="1974" t="s">
        <v>7627</v>
      </c>
      <c r="U382" s="1794"/>
      <c r="V382" s="1935" t="s">
        <v>7947</v>
      </c>
      <c r="W382" s="1917" t="s">
        <v>8383</v>
      </c>
      <c r="X382" s="1917" t="s">
        <v>8801</v>
      </c>
      <c r="Y382" s="1818"/>
      <c r="Z382" s="1818"/>
      <c r="AA382" s="1818"/>
      <c r="AB382" s="1818"/>
      <c r="AC382" s="1818"/>
      <c r="AD382" s="1818"/>
      <c r="AE382" s="1818"/>
      <c r="AF382" s="1818"/>
      <c r="AG382" s="1818"/>
      <c r="AH382" s="1818"/>
      <c r="AI382" s="1818"/>
      <c r="AJ382" s="1818"/>
      <c r="AK382" s="1818"/>
      <c r="AL382" s="1818"/>
      <c r="AM382" s="1818"/>
      <c r="AN382" s="1818"/>
      <c r="AO382" s="1818"/>
      <c r="AP382" s="1818"/>
      <c r="AQ382" s="1818"/>
      <c r="AR382" s="1818"/>
      <c r="AS382" s="1818"/>
      <c r="AT382" s="1818"/>
      <c r="AU382" s="1818"/>
      <c r="AV382" s="1818"/>
      <c r="AW382" s="1818"/>
      <c r="AX382" s="1818"/>
      <c r="AY382" s="1818"/>
      <c r="AZ382" s="1818"/>
      <c r="BA382" s="1818"/>
      <c r="BB382" s="1818"/>
      <c r="BC382" s="1818"/>
      <c r="BD382" s="1818"/>
      <c r="BE382" s="1818"/>
      <c r="BF382" s="1818"/>
      <c r="BG382" s="1818"/>
      <c r="BH382" s="1818"/>
      <c r="BI382" s="1818"/>
      <c r="BJ382" s="1818"/>
      <c r="BK382" s="1818"/>
      <c r="BL382" s="1818"/>
      <c r="BM382" s="1818"/>
      <c r="BN382" s="1818"/>
      <c r="BO382" s="1818"/>
      <c r="BP382" s="1818"/>
      <c r="BQ382" s="1818"/>
      <c r="BR382" s="1818"/>
      <c r="BS382" s="1818"/>
      <c r="BT382" s="1818"/>
      <c r="BU382" s="1818"/>
      <c r="BV382" s="1818"/>
      <c r="BW382" s="1818"/>
      <c r="BX382" s="1818"/>
      <c r="BY382" s="1818"/>
      <c r="BZ382" s="1818"/>
      <c r="CA382" s="1890"/>
      <c r="CB382" s="1890"/>
      <c r="CC382" s="1890"/>
      <c r="CD382" s="1890"/>
      <c r="CE382" s="1890"/>
      <c r="CF382" s="1890"/>
      <c r="CG382" s="1890"/>
      <c r="CH382" s="1890"/>
      <c r="CI382" s="1890"/>
      <c r="CJ382" s="1890"/>
      <c r="CK382" s="1890"/>
      <c r="CL382" s="1890"/>
      <c r="CM382" s="1890"/>
      <c r="CN382" s="1890"/>
      <c r="CO382" s="1890"/>
      <c r="CP382" s="1890"/>
      <c r="CQ382" s="1890"/>
      <c r="CR382" s="1890"/>
      <c r="CS382" s="1890"/>
      <c r="CT382" s="1890"/>
      <c r="CU382" s="1890"/>
      <c r="CV382" s="1890"/>
      <c r="CW382" s="1890"/>
      <c r="CX382" s="1890"/>
      <c r="CY382" s="1890"/>
      <c r="CZ382" s="1890"/>
      <c r="DA382" s="1890"/>
      <c r="DB382" s="1890"/>
      <c r="DC382" s="1890"/>
      <c r="DD382" s="1890"/>
      <c r="DE382" s="1890"/>
      <c r="DF382" s="1890"/>
      <c r="DG382" s="1890"/>
      <c r="DH382" s="1890"/>
      <c r="DI382" s="1890"/>
      <c r="DJ382" s="1890"/>
      <c r="DK382" s="1890"/>
      <c r="DL382" s="1890"/>
      <c r="DM382" s="1890"/>
      <c r="DN382" s="1890"/>
      <c r="DO382" s="1890"/>
      <c r="DP382" s="1890"/>
      <c r="DQ382" s="1890"/>
      <c r="DR382" s="1890"/>
      <c r="DS382" s="1890"/>
      <c r="DT382" s="1890"/>
      <c r="DU382" s="1890"/>
      <c r="DV382" s="1890"/>
      <c r="DW382" s="1890"/>
      <c r="DX382" s="1890"/>
      <c r="DY382" s="1890"/>
      <c r="DZ382" s="1890"/>
      <c r="EA382" s="1890"/>
      <c r="EB382" s="1890"/>
      <c r="EC382" s="1890"/>
      <c r="ED382" s="1890"/>
      <c r="EE382" s="1890"/>
      <c r="EF382" s="1890"/>
      <c r="EG382" s="1890"/>
      <c r="EH382" s="1890"/>
      <c r="EI382" s="1890"/>
      <c r="EJ382" s="1890"/>
      <c r="EK382" s="1890"/>
      <c r="EL382" s="1890"/>
      <c r="EM382" s="1890"/>
      <c r="EN382" s="1890"/>
      <c r="EO382" s="1890"/>
      <c r="EP382" s="1890"/>
      <c r="EQ382" s="1890"/>
      <c r="ER382" s="1890"/>
      <c r="ES382" s="1890"/>
      <c r="ET382" s="1890"/>
      <c r="EU382" s="1890"/>
      <c r="EV382" s="1890"/>
      <c r="EW382" s="1890"/>
      <c r="EX382" s="1890"/>
      <c r="EY382" s="1890"/>
      <c r="EZ382" s="1890"/>
      <c r="FA382" s="1890"/>
      <c r="FB382" s="1890"/>
      <c r="FC382" s="1890"/>
      <c r="FD382" s="1890"/>
      <c r="FE382" s="1890"/>
      <c r="FF382" s="1890"/>
      <c r="FG382" s="1890"/>
      <c r="FH382" s="1890"/>
      <c r="FI382" s="1890"/>
      <c r="FJ382" s="1890"/>
      <c r="FK382" s="1890"/>
      <c r="FL382" s="1890"/>
      <c r="FM382" s="1890"/>
      <c r="FN382" s="1890"/>
      <c r="FO382" s="1890"/>
      <c r="FP382" s="1890"/>
      <c r="FQ382" s="1890"/>
      <c r="FR382" s="1890"/>
      <c r="FS382" s="1890"/>
      <c r="FT382" s="1890"/>
    </row>
    <row r="383" spans="1:176" s="1965" customFormat="1" ht="131.1" customHeight="1">
      <c r="A383" s="1899"/>
      <c r="B383" s="1804" t="s">
        <v>7028</v>
      </c>
      <c r="C383" s="1837">
        <v>0.5</v>
      </c>
      <c r="D383" s="1829">
        <v>0.5</v>
      </c>
      <c r="E383" s="1829">
        <v>0</v>
      </c>
      <c r="F383" s="1829">
        <v>0.5</v>
      </c>
      <c r="G383" s="1829">
        <v>0.5</v>
      </c>
      <c r="H383" s="1850">
        <v>0</v>
      </c>
      <c r="I383" s="2086"/>
      <c r="J383" s="2218" t="s">
        <v>6226</v>
      </c>
      <c r="K383" s="1974" t="s">
        <v>5427</v>
      </c>
      <c r="L383" s="1794">
        <v>0</v>
      </c>
      <c r="M383" s="1935">
        <v>1</v>
      </c>
      <c r="N383" s="1917" t="s">
        <v>8384</v>
      </c>
      <c r="O383" s="1917" t="s">
        <v>8802</v>
      </c>
      <c r="P383" s="1917"/>
      <c r="Q383" s="1917"/>
      <c r="R383" s="2100"/>
      <c r="S383" s="2248" t="s">
        <v>9250</v>
      </c>
      <c r="T383" s="1974" t="s">
        <v>7627</v>
      </c>
      <c r="U383" s="1794"/>
      <c r="V383" s="1935" t="s">
        <v>7948</v>
      </c>
      <c r="W383" s="1917" t="s">
        <v>8384</v>
      </c>
      <c r="X383" s="1917" t="s">
        <v>8802</v>
      </c>
      <c r="Y383" s="1818"/>
      <c r="Z383" s="1818"/>
      <c r="AA383" s="1818"/>
      <c r="AB383" s="1818"/>
      <c r="AC383" s="1818"/>
      <c r="AD383" s="1818"/>
      <c r="AE383" s="1818"/>
      <c r="AF383" s="1818"/>
      <c r="AG383" s="1818"/>
      <c r="AH383" s="1818"/>
      <c r="AI383" s="1818"/>
      <c r="AJ383" s="1818"/>
      <c r="AK383" s="1818"/>
      <c r="AL383" s="1818"/>
      <c r="AM383" s="1818"/>
      <c r="AN383" s="1818"/>
      <c r="AO383" s="1818"/>
      <c r="AP383" s="1818"/>
      <c r="AQ383" s="1818"/>
      <c r="AR383" s="1818"/>
      <c r="AS383" s="1818"/>
      <c r="AT383" s="1818"/>
      <c r="AU383" s="1818"/>
      <c r="AV383" s="1818"/>
      <c r="AW383" s="1818"/>
      <c r="AX383" s="1818"/>
      <c r="AY383" s="1818"/>
      <c r="AZ383" s="1818"/>
      <c r="BA383" s="1818"/>
      <c r="BB383" s="1818"/>
      <c r="BC383" s="1818"/>
      <c r="BD383" s="1818"/>
      <c r="BE383" s="1818"/>
      <c r="BF383" s="1818"/>
      <c r="BG383" s="1818"/>
      <c r="BH383" s="1818"/>
      <c r="BI383" s="1818"/>
      <c r="BJ383" s="1818"/>
      <c r="BK383" s="1818"/>
      <c r="BL383" s="1818"/>
      <c r="BM383" s="1818"/>
      <c r="BN383" s="1818"/>
      <c r="BO383" s="1818"/>
      <c r="BP383" s="1818"/>
      <c r="BQ383" s="1818"/>
      <c r="BR383" s="1818"/>
      <c r="BS383" s="1818"/>
      <c r="BT383" s="1818"/>
      <c r="BU383" s="1818"/>
      <c r="BV383" s="1818"/>
      <c r="BW383" s="1818"/>
      <c r="BX383" s="1818"/>
      <c r="BY383" s="1818"/>
      <c r="BZ383" s="1818"/>
      <c r="CA383" s="1890"/>
      <c r="CB383" s="1890"/>
      <c r="CC383" s="1890"/>
      <c r="CD383" s="1890"/>
      <c r="CE383" s="1890"/>
      <c r="CF383" s="1890"/>
      <c r="CG383" s="1890"/>
      <c r="CH383" s="1890"/>
      <c r="CI383" s="1890"/>
      <c r="CJ383" s="1890"/>
      <c r="CK383" s="1890"/>
      <c r="CL383" s="1890"/>
      <c r="CM383" s="1890"/>
      <c r="CN383" s="1890"/>
      <c r="CO383" s="1890"/>
      <c r="CP383" s="1890"/>
      <c r="CQ383" s="1890"/>
      <c r="CR383" s="1890"/>
      <c r="CS383" s="1890"/>
      <c r="CT383" s="1890"/>
      <c r="CU383" s="1890"/>
      <c r="CV383" s="1890"/>
      <c r="CW383" s="1890"/>
      <c r="CX383" s="1890"/>
      <c r="CY383" s="1890"/>
      <c r="CZ383" s="1890"/>
      <c r="DA383" s="1890"/>
      <c r="DB383" s="1890"/>
      <c r="DC383" s="1890"/>
      <c r="DD383" s="1890"/>
      <c r="DE383" s="1890"/>
      <c r="DF383" s="1890"/>
      <c r="DG383" s="1890"/>
      <c r="DH383" s="1890"/>
      <c r="DI383" s="1890"/>
      <c r="DJ383" s="1890"/>
      <c r="DK383" s="1890"/>
      <c r="DL383" s="1890"/>
      <c r="DM383" s="1890"/>
      <c r="DN383" s="1890"/>
      <c r="DO383" s="1890"/>
      <c r="DP383" s="1890"/>
      <c r="DQ383" s="1890"/>
      <c r="DR383" s="1890"/>
      <c r="DS383" s="1890"/>
      <c r="DT383" s="1890"/>
      <c r="DU383" s="1890"/>
      <c r="DV383" s="1890"/>
      <c r="DW383" s="1890"/>
      <c r="DX383" s="1890"/>
      <c r="DY383" s="1890"/>
      <c r="DZ383" s="1890"/>
      <c r="EA383" s="1890"/>
      <c r="EB383" s="1890"/>
      <c r="EC383" s="1890"/>
      <c r="ED383" s="1890"/>
      <c r="EE383" s="1890"/>
      <c r="EF383" s="1890"/>
      <c r="EG383" s="1890"/>
      <c r="EH383" s="1890"/>
      <c r="EI383" s="1890"/>
      <c r="EJ383" s="1890"/>
      <c r="EK383" s="1890"/>
      <c r="EL383" s="1890"/>
      <c r="EM383" s="1890"/>
      <c r="EN383" s="1890"/>
      <c r="EO383" s="1890"/>
      <c r="EP383" s="1890"/>
      <c r="EQ383" s="1890"/>
      <c r="ER383" s="1890"/>
      <c r="ES383" s="1890"/>
      <c r="ET383" s="1890"/>
      <c r="EU383" s="1890"/>
      <c r="EV383" s="1890"/>
      <c r="EW383" s="1890"/>
      <c r="EX383" s="1890"/>
      <c r="EY383" s="1890"/>
      <c r="EZ383" s="1890"/>
      <c r="FA383" s="1890"/>
      <c r="FB383" s="1890"/>
      <c r="FC383" s="1890"/>
      <c r="FD383" s="1890"/>
      <c r="FE383" s="1890"/>
      <c r="FF383" s="1890"/>
      <c r="FG383" s="1890"/>
      <c r="FH383" s="1890"/>
      <c r="FI383" s="1890"/>
      <c r="FJ383" s="1890"/>
      <c r="FK383" s="1890"/>
      <c r="FL383" s="1890"/>
      <c r="FM383" s="1890"/>
      <c r="FN383" s="1890"/>
      <c r="FO383" s="1890"/>
      <c r="FP383" s="1890"/>
      <c r="FQ383" s="1890"/>
      <c r="FR383" s="1890"/>
      <c r="FS383" s="1890"/>
      <c r="FT383" s="1890"/>
    </row>
    <row r="384" spans="1:176" s="1965" customFormat="1" ht="21" customHeight="1">
      <c r="A384" s="2500"/>
      <c r="B384" s="2059" t="s">
        <v>7062</v>
      </c>
      <c r="C384" s="2128">
        <f>AVERAGE(C385:C393)</f>
        <v>0.55555555555555558</v>
      </c>
      <c r="D384" s="2128">
        <f t="shared" ref="D384:H384" si="102">AVERAGE(D385:D393)</f>
        <v>0.66666666666666663</v>
      </c>
      <c r="E384" s="2128">
        <f t="shared" si="102"/>
        <v>0.77777777777777779</v>
      </c>
      <c r="F384" s="2128">
        <f t="shared" si="102"/>
        <v>0.88888888888888884</v>
      </c>
      <c r="G384" s="2128">
        <f t="shared" si="102"/>
        <v>0.66666666666666663</v>
      </c>
      <c r="H384" s="2128">
        <f t="shared" si="102"/>
        <v>0.72222222222222221</v>
      </c>
      <c r="I384" s="2290"/>
      <c r="J384" s="1910"/>
      <c r="K384" s="1989"/>
      <c r="L384" s="1911"/>
      <c r="M384" s="1912"/>
      <c r="N384" s="1912"/>
      <c r="O384" s="1912"/>
      <c r="P384" s="1912"/>
      <c r="Q384" s="1912"/>
      <c r="R384" s="2100"/>
      <c r="S384" s="2250"/>
      <c r="T384" s="1989"/>
      <c r="U384" s="1911"/>
      <c r="V384" s="1912"/>
      <c r="W384" s="1912"/>
      <c r="X384" s="1912"/>
      <c r="Y384" s="1818"/>
      <c r="Z384" s="1818"/>
      <c r="AA384" s="1818"/>
      <c r="AB384" s="1818"/>
      <c r="AC384" s="1818"/>
      <c r="AD384" s="1818"/>
      <c r="AE384" s="1818"/>
      <c r="AF384" s="1818"/>
      <c r="AG384" s="1818"/>
      <c r="AH384" s="1818"/>
      <c r="AI384" s="1818"/>
      <c r="AJ384" s="1818"/>
      <c r="AK384" s="1818"/>
      <c r="AL384" s="1818"/>
      <c r="AM384" s="1818"/>
      <c r="AN384" s="1818"/>
      <c r="AO384" s="1818"/>
      <c r="AP384" s="1818"/>
      <c r="AQ384" s="1818"/>
      <c r="AR384" s="1818"/>
      <c r="AS384" s="1818"/>
      <c r="AT384" s="1818"/>
      <c r="AU384" s="1890"/>
      <c r="AV384" s="1890"/>
      <c r="AW384" s="1890"/>
      <c r="AX384" s="1890"/>
      <c r="AY384" s="1890"/>
      <c r="AZ384" s="1890"/>
      <c r="BA384" s="1890"/>
      <c r="BB384" s="1890"/>
      <c r="BC384" s="1890"/>
      <c r="BD384" s="1890"/>
      <c r="BE384" s="1890"/>
      <c r="BF384" s="1890"/>
      <c r="BG384" s="1890"/>
      <c r="BH384" s="1890"/>
      <c r="BI384" s="1890"/>
      <c r="BJ384" s="1890"/>
      <c r="BK384" s="1890"/>
      <c r="BL384" s="1890"/>
      <c r="BM384" s="1890"/>
      <c r="BN384" s="1890"/>
      <c r="BO384" s="1890"/>
      <c r="BP384" s="1890"/>
      <c r="BQ384" s="1890"/>
      <c r="BR384" s="1890"/>
      <c r="BS384" s="1890"/>
      <c r="BT384" s="1890"/>
      <c r="BU384" s="1890"/>
      <c r="BV384" s="1890"/>
      <c r="BW384" s="1890"/>
      <c r="BX384" s="1890"/>
      <c r="BY384" s="1890"/>
      <c r="BZ384" s="1890"/>
      <c r="CA384" s="1890"/>
      <c r="CB384" s="1890"/>
      <c r="CC384" s="1890"/>
      <c r="CD384" s="1890"/>
      <c r="CE384" s="1890"/>
      <c r="CF384" s="1890"/>
      <c r="CG384" s="1890"/>
      <c r="CH384" s="1890"/>
      <c r="CI384" s="1890"/>
      <c r="CJ384" s="1890"/>
      <c r="CK384" s="1890"/>
      <c r="CL384" s="1890"/>
      <c r="CM384" s="1890"/>
      <c r="CN384" s="1890"/>
      <c r="CO384" s="1890"/>
      <c r="CP384" s="1890"/>
      <c r="CQ384" s="1890"/>
      <c r="CR384" s="1890"/>
      <c r="CS384" s="1890"/>
      <c r="CT384" s="1890"/>
      <c r="CU384" s="1890"/>
      <c r="CV384" s="1890"/>
      <c r="CW384" s="1890"/>
      <c r="CX384" s="1890"/>
      <c r="CY384" s="1890"/>
      <c r="CZ384" s="1890"/>
      <c r="DA384" s="1890"/>
      <c r="DB384" s="1890"/>
      <c r="DC384" s="1890"/>
      <c r="DD384" s="1890"/>
      <c r="DE384" s="1890"/>
      <c r="DF384" s="1890"/>
      <c r="DG384" s="1890"/>
      <c r="DH384" s="1890"/>
      <c r="DI384" s="1890"/>
      <c r="DJ384" s="1890"/>
      <c r="DK384" s="1890"/>
      <c r="DL384" s="1890"/>
      <c r="DM384" s="1890"/>
      <c r="DN384" s="1890"/>
      <c r="DO384" s="1890"/>
      <c r="DP384" s="1890"/>
      <c r="DQ384" s="1890"/>
      <c r="DR384" s="1890"/>
      <c r="DS384" s="1890"/>
      <c r="DT384" s="1890"/>
      <c r="DU384" s="1890"/>
      <c r="DV384" s="1890"/>
      <c r="DW384" s="1890"/>
      <c r="DX384" s="1890"/>
      <c r="DY384" s="1890"/>
      <c r="DZ384" s="1890"/>
      <c r="EA384" s="1890"/>
      <c r="EB384" s="1890"/>
      <c r="EC384" s="1890"/>
      <c r="ED384" s="1890"/>
      <c r="EE384" s="1890"/>
      <c r="EF384" s="1890"/>
      <c r="EG384" s="1890"/>
      <c r="EH384" s="1890"/>
      <c r="EI384" s="1890"/>
      <c r="EJ384" s="1890"/>
      <c r="EK384" s="1890"/>
      <c r="EL384" s="1890"/>
      <c r="EM384" s="1890"/>
      <c r="EN384" s="1890"/>
      <c r="EO384" s="1890"/>
      <c r="EP384" s="1890"/>
      <c r="EQ384" s="1890"/>
      <c r="ER384" s="1890"/>
      <c r="ES384" s="1890"/>
      <c r="ET384" s="1890"/>
      <c r="EU384" s="1890"/>
      <c r="EV384" s="1890"/>
      <c r="EW384" s="1890"/>
      <c r="EX384" s="1890"/>
      <c r="EY384" s="1890"/>
      <c r="EZ384" s="1890"/>
      <c r="FA384" s="1890"/>
      <c r="FB384" s="1890"/>
      <c r="FC384" s="1890"/>
      <c r="FD384" s="1890"/>
      <c r="FE384" s="1890"/>
      <c r="FF384" s="1890"/>
      <c r="FG384" s="1890"/>
      <c r="FH384" s="1890"/>
      <c r="FI384" s="1890"/>
      <c r="FJ384" s="1890"/>
      <c r="FK384" s="1890"/>
      <c r="FL384" s="1890"/>
      <c r="FM384" s="1890"/>
      <c r="FN384" s="1890"/>
      <c r="FO384" s="1890"/>
      <c r="FP384" s="1890"/>
      <c r="FQ384" s="1890"/>
      <c r="FR384" s="1890"/>
      <c r="FS384" s="1890"/>
      <c r="FT384" s="1890"/>
    </row>
    <row r="385" spans="1:176" s="1965" customFormat="1" ht="104.25" customHeight="1">
      <c r="A385" s="1899"/>
      <c r="B385" s="1871" t="s">
        <v>374</v>
      </c>
      <c r="C385" s="1837">
        <v>0</v>
      </c>
      <c r="D385" s="1829">
        <v>0.5</v>
      </c>
      <c r="E385" s="1829">
        <v>0.5</v>
      </c>
      <c r="F385" s="1829">
        <v>1</v>
      </c>
      <c r="G385" s="1829">
        <v>0</v>
      </c>
      <c r="H385" s="1831">
        <v>0</v>
      </c>
      <c r="I385" s="2086" t="s">
        <v>240</v>
      </c>
      <c r="J385" s="2217">
        <v>0</v>
      </c>
      <c r="K385" s="1974" t="s">
        <v>5427</v>
      </c>
      <c r="L385" s="1794">
        <v>0.5</v>
      </c>
      <c r="M385" s="1935">
        <v>1</v>
      </c>
      <c r="N385" s="1917" t="s">
        <v>5480</v>
      </c>
      <c r="O385" s="1917" t="s">
        <v>8803</v>
      </c>
      <c r="P385" s="1917">
        <v>1</v>
      </c>
      <c r="Q385" s="1917">
        <v>0</v>
      </c>
      <c r="R385" s="2100"/>
      <c r="S385" s="2248" t="s">
        <v>9251</v>
      </c>
      <c r="T385" s="1974" t="s">
        <v>7628</v>
      </c>
      <c r="U385" s="1794"/>
      <c r="V385" s="1935" t="s">
        <v>6166</v>
      </c>
      <c r="W385" s="1991" t="s">
        <v>5480</v>
      </c>
      <c r="X385" s="1917" t="s">
        <v>8803</v>
      </c>
      <c r="Y385" s="1818"/>
      <c r="Z385" s="1818"/>
      <c r="AA385" s="1818"/>
      <c r="AB385" s="1818"/>
      <c r="AC385" s="1818"/>
      <c r="AD385" s="1818"/>
      <c r="AE385" s="1818"/>
      <c r="AF385" s="1818"/>
      <c r="AG385" s="1818"/>
      <c r="AH385" s="1818"/>
      <c r="AI385" s="1818"/>
      <c r="AJ385" s="1818"/>
      <c r="AK385" s="1818"/>
      <c r="AL385" s="1818"/>
      <c r="AM385" s="1818"/>
      <c r="AN385" s="1818"/>
      <c r="AO385" s="1818"/>
      <c r="AP385" s="1818"/>
      <c r="AQ385" s="1818"/>
      <c r="AR385" s="1818"/>
      <c r="AS385" s="1818"/>
      <c r="AT385" s="1818"/>
      <c r="AU385" s="1818"/>
      <c r="AV385" s="1818"/>
      <c r="AW385" s="1818"/>
      <c r="AX385" s="1818"/>
      <c r="AY385" s="1818"/>
      <c r="AZ385" s="1818"/>
      <c r="BA385" s="1818"/>
      <c r="BB385" s="1818"/>
      <c r="BC385" s="1818"/>
      <c r="BD385" s="1818"/>
      <c r="BE385" s="1818"/>
      <c r="BF385" s="1818"/>
      <c r="BG385" s="1818"/>
      <c r="BH385" s="1818"/>
      <c r="BI385" s="1818"/>
      <c r="BJ385" s="1818"/>
      <c r="BK385" s="1818"/>
      <c r="BL385" s="1818"/>
      <c r="BM385" s="1818"/>
      <c r="BN385" s="1818"/>
      <c r="BO385" s="1818"/>
      <c r="BP385" s="1818"/>
      <c r="BQ385" s="1818"/>
      <c r="BR385" s="1818"/>
      <c r="BS385" s="1818"/>
      <c r="BT385" s="1818"/>
      <c r="BU385" s="1818"/>
      <c r="BV385" s="1818"/>
      <c r="BW385" s="1818"/>
      <c r="BX385" s="1818"/>
      <c r="BY385" s="1818"/>
      <c r="BZ385" s="1818"/>
      <c r="CA385" s="1890"/>
      <c r="CB385" s="1890"/>
      <c r="CC385" s="1890"/>
      <c r="CD385" s="1890"/>
      <c r="CE385" s="1890"/>
      <c r="CF385" s="1890"/>
      <c r="CG385" s="1890"/>
      <c r="CH385" s="1890"/>
      <c r="CI385" s="1890"/>
      <c r="CJ385" s="1890"/>
      <c r="CK385" s="1890"/>
      <c r="CL385" s="1890"/>
      <c r="CM385" s="1890"/>
      <c r="CN385" s="1890"/>
      <c r="CO385" s="1890"/>
      <c r="CP385" s="1890"/>
      <c r="CQ385" s="1890"/>
      <c r="CR385" s="1890"/>
      <c r="CS385" s="1890"/>
      <c r="CT385" s="1890"/>
      <c r="CU385" s="1890"/>
      <c r="CV385" s="1890"/>
      <c r="CW385" s="1890"/>
      <c r="CX385" s="1890"/>
      <c r="CY385" s="1890"/>
      <c r="CZ385" s="1890"/>
      <c r="DA385" s="1890"/>
      <c r="DB385" s="1890"/>
      <c r="DC385" s="1890"/>
      <c r="DD385" s="1890"/>
      <c r="DE385" s="1890"/>
      <c r="DF385" s="1890"/>
      <c r="DG385" s="1890"/>
      <c r="DH385" s="1890"/>
      <c r="DI385" s="1890"/>
      <c r="DJ385" s="1890"/>
      <c r="DK385" s="1890"/>
      <c r="DL385" s="1890"/>
      <c r="DM385" s="1890"/>
      <c r="DN385" s="1890"/>
      <c r="DO385" s="1890"/>
      <c r="DP385" s="1890"/>
      <c r="DQ385" s="1890"/>
      <c r="DR385" s="1890"/>
      <c r="DS385" s="1890"/>
      <c r="DT385" s="1890"/>
      <c r="DU385" s="1890"/>
      <c r="DV385" s="1890"/>
      <c r="DW385" s="1890"/>
      <c r="DX385" s="1890"/>
      <c r="DY385" s="1890"/>
      <c r="DZ385" s="1890"/>
      <c r="EA385" s="1890"/>
      <c r="EB385" s="1890"/>
      <c r="EC385" s="1890"/>
      <c r="ED385" s="1890"/>
      <c r="EE385" s="1890"/>
      <c r="EF385" s="1890"/>
      <c r="EG385" s="1890"/>
      <c r="EH385" s="1890"/>
      <c r="EI385" s="1890"/>
      <c r="EJ385" s="1890"/>
      <c r="EK385" s="1890"/>
      <c r="EL385" s="1890"/>
      <c r="EM385" s="1890"/>
      <c r="EN385" s="1890"/>
      <c r="EO385" s="1890"/>
      <c r="EP385" s="1890"/>
      <c r="EQ385" s="1890"/>
      <c r="ER385" s="1890"/>
      <c r="ES385" s="1890"/>
      <c r="ET385" s="1890"/>
      <c r="EU385" s="1890"/>
      <c r="EV385" s="1890"/>
      <c r="EW385" s="1890"/>
      <c r="EX385" s="1890"/>
      <c r="EY385" s="1890"/>
      <c r="EZ385" s="1890"/>
      <c r="FA385" s="1890"/>
      <c r="FB385" s="1890"/>
      <c r="FC385" s="1890"/>
      <c r="FD385" s="1890"/>
      <c r="FE385" s="1890"/>
      <c r="FF385" s="1890"/>
      <c r="FG385" s="1890"/>
      <c r="FH385" s="1890"/>
      <c r="FI385" s="1890"/>
      <c r="FJ385" s="1890"/>
      <c r="FK385" s="1890"/>
      <c r="FL385" s="1890"/>
      <c r="FM385" s="1890"/>
      <c r="FN385" s="1890"/>
      <c r="FO385" s="1890"/>
      <c r="FP385" s="1890"/>
      <c r="FQ385" s="1890"/>
      <c r="FR385" s="1890"/>
      <c r="FS385" s="1890"/>
      <c r="FT385" s="1890"/>
    </row>
    <row r="386" spans="1:176" s="1965" customFormat="1" ht="32.1" customHeight="1">
      <c r="A386" s="1899"/>
      <c r="B386" s="1804" t="s">
        <v>375</v>
      </c>
      <c r="C386" s="1837">
        <v>1</v>
      </c>
      <c r="D386" s="1829">
        <v>1</v>
      </c>
      <c r="E386" s="1829">
        <v>1</v>
      </c>
      <c r="F386" s="1829">
        <v>1</v>
      </c>
      <c r="G386" s="1829">
        <v>1</v>
      </c>
      <c r="H386" s="1831">
        <v>1</v>
      </c>
      <c r="I386" s="2086" t="s">
        <v>38</v>
      </c>
      <c r="J386" s="2217">
        <v>1</v>
      </c>
      <c r="K386" s="1974" t="s">
        <v>811</v>
      </c>
      <c r="L386" s="1794">
        <v>1</v>
      </c>
      <c r="M386" s="1935">
        <v>1</v>
      </c>
      <c r="N386" s="1917" t="s">
        <v>8385</v>
      </c>
      <c r="O386" s="1917" t="s">
        <v>8804</v>
      </c>
      <c r="P386" s="1917">
        <v>1</v>
      </c>
      <c r="Q386" s="1917">
        <v>0</v>
      </c>
      <c r="R386" s="2100"/>
      <c r="S386" s="2248" t="s">
        <v>9252</v>
      </c>
      <c r="T386" s="1974" t="s">
        <v>7629</v>
      </c>
      <c r="U386" s="1794" t="s">
        <v>1231</v>
      </c>
      <c r="V386" s="1935" t="s">
        <v>6167</v>
      </c>
      <c r="W386" s="1991" t="s">
        <v>8385</v>
      </c>
      <c r="X386" s="1917" t="s">
        <v>8804</v>
      </c>
      <c r="Y386" s="1818"/>
      <c r="Z386" s="1818"/>
      <c r="AA386" s="1818"/>
      <c r="AB386" s="1818"/>
      <c r="AC386" s="1818"/>
      <c r="AD386" s="1818"/>
      <c r="AE386" s="1818"/>
      <c r="AF386" s="1818"/>
      <c r="AG386" s="1818"/>
      <c r="AH386" s="1818"/>
      <c r="AI386" s="1818"/>
      <c r="AJ386" s="1818"/>
      <c r="AK386" s="1818"/>
      <c r="AL386" s="1818"/>
      <c r="AM386" s="1818"/>
      <c r="AN386" s="1818"/>
      <c r="AO386" s="1818"/>
      <c r="AP386" s="1818"/>
      <c r="AQ386" s="1818"/>
      <c r="AR386" s="1818"/>
      <c r="AS386" s="1818"/>
      <c r="AT386" s="1818"/>
      <c r="AU386" s="1818"/>
      <c r="AV386" s="1818"/>
      <c r="AW386" s="1818"/>
      <c r="AX386" s="1818"/>
      <c r="AY386" s="1818"/>
      <c r="AZ386" s="1818"/>
      <c r="BA386" s="1818"/>
      <c r="BB386" s="1818"/>
      <c r="BC386" s="1818"/>
      <c r="BD386" s="1818"/>
      <c r="BE386" s="1818"/>
      <c r="BF386" s="1818"/>
      <c r="BG386" s="1818"/>
      <c r="BH386" s="1818"/>
      <c r="BI386" s="1818"/>
      <c r="BJ386" s="1818"/>
      <c r="BK386" s="1818"/>
      <c r="BL386" s="1818"/>
      <c r="BM386" s="1818"/>
      <c r="BN386" s="1818"/>
      <c r="BO386" s="1818"/>
      <c r="BP386" s="1818"/>
      <c r="BQ386" s="1818"/>
      <c r="BR386" s="1818"/>
      <c r="BS386" s="1818"/>
      <c r="BT386" s="1818"/>
      <c r="BU386" s="1818"/>
      <c r="BV386" s="1818"/>
      <c r="BW386" s="1818"/>
      <c r="BX386" s="1818"/>
      <c r="BY386" s="1818"/>
      <c r="BZ386" s="1818"/>
      <c r="CA386" s="1890"/>
      <c r="CB386" s="1890"/>
      <c r="CC386" s="1890"/>
      <c r="CD386" s="1890"/>
      <c r="CE386" s="1890"/>
      <c r="CF386" s="1890"/>
      <c r="CG386" s="1890"/>
      <c r="CH386" s="1890"/>
      <c r="CI386" s="1890"/>
      <c r="CJ386" s="1890"/>
      <c r="CK386" s="1890"/>
      <c r="CL386" s="1890"/>
      <c r="CM386" s="1890"/>
      <c r="CN386" s="1890"/>
      <c r="CO386" s="1890"/>
      <c r="CP386" s="1890"/>
      <c r="CQ386" s="1890"/>
      <c r="CR386" s="1890"/>
      <c r="CS386" s="1890"/>
      <c r="CT386" s="1890"/>
      <c r="CU386" s="1890"/>
      <c r="CV386" s="1890"/>
      <c r="CW386" s="1890"/>
      <c r="CX386" s="1890"/>
      <c r="CY386" s="1890"/>
      <c r="CZ386" s="1890"/>
      <c r="DA386" s="1890"/>
      <c r="DB386" s="1890"/>
      <c r="DC386" s="1890"/>
      <c r="DD386" s="1890"/>
      <c r="DE386" s="1890"/>
      <c r="DF386" s="1890"/>
      <c r="DG386" s="1890"/>
      <c r="DH386" s="1890"/>
      <c r="DI386" s="1890"/>
      <c r="DJ386" s="1890"/>
      <c r="DK386" s="1890"/>
      <c r="DL386" s="1890"/>
      <c r="DM386" s="1890"/>
      <c r="DN386" s="1890"/>
      <c r="DO386" s="1890"/>
      <c r="DP386" s="1890"/>
      <c r="DQ386" s="1890"/>
      <c r="DR386" s="1890"/>
      <c r="DS386" s="1890"/>
      <c r="DT386" s="1890"/>
      <c r="DU386" s="1890"/>
      <c r="DV386" s="1890"/>
      <c r="DW386" s="1890"/>
      <c r="DX386" s="1890"/>
      <c r="DY386" s="1890"/>
      <c r="DZ386" s="1890"/>
      <c r="EA386" s="1890"/>
      <c r="EB386" s="1890"/>
      <c r="EC386" s="1890"/>
      <c r="ED386" s="1890"/>
      <c r="EE386" s="1890"/>
      <c r="EF386" s="1890"/>
      <c r="EG386" s="1890"/>
      <c r="EH386" s="1890"/>
      <c r="EI386" s="1890"/>
      <c r="EJ386" s="1890"/>
      <c r="EK386" s="1890"/>
      <c r="EL386" s="1890"/>
      <c r="EM386" s="1890"/>
      <c r="EN386" s="1890"/>
      <c r="EO386" s="1890"/>
      <c r="EP386" s="1890"/>
      <c r="EQ386" s="1890"/>
      <c r="ER386" s="1890"/>
      <c r="ES386" s="1890"/>
      <c r="ET386" s="1890"/>
      <c r="EU386" s="1890"/>
      <c r="EV386" s="1890"/>
      <c r="EW386" s="1890"/>
      <c r="EX386" s="1890"/>
      <c r="EY386" s="1890"/>
      <c r="EZ386" s="1890"/>
      <c r="FA386" s="1890"/>
      <c r="FB386" s="1890"/>
      <c r="FC386" s="1890"/>
      <c r="FD386" s="1890"/>
      <c r="FE386" s="1890"/>
      <c r="FF386" s="1890"/>
      <c r="FG386" s="1890"/>
      <c r="FH386" s="1890"/>
      <c r="FI386" s="1890"/>
      <c r="FJ386" s="1890"/>
      <c r="FK386" s="1890"/>
      <c r="FL386" s="1890"/>
      <c r="FM386" s="1890"/>
      <c r="FN386" s="1890"/>
      <c r="FO386" s="1890"/>
      <c r="FP386" s="1890"/>
      <c r="FQ386" s="1890"/>
      <c r="FR386" s="1890"/>
      <c r="FS386" s="1890"/>
      <c r="FT386" s="1890"/>
    </row>
    <row r="387" spans="1:176" s="1965" customFormat="1" ht="59.1" customHeight="1">
      <c r="A387" s="1899"/>
      <c r="B387" s="1804" t="s">
        <v>376</v>
      </c>
      <c r="C387" s="1837">
        <v>0.5</v>
      </c>
      <c r="D387" s="1829">
        <v>0.5</v>
      </c>
      <c r="E387" s="1829">
        <v>1</v>
      </c>
      <c r="F387" s="1829">
        <v>1</v>
      </c>
      <c r="G387" s="1829">
        <v>1</v>
      </c>
      <c r="H387" s="1831">
        <v>1</v>
      </c>
      <c r="I387" s="2086" t="s">
        <v>38</v>
      </c>
      <c r="J387" s="2218" t="s">
        <v>8139</v>
      </c>
      <c r="K387" s="1974" t="s">
        <v>5427</v>
      </c>
      <c r="L387" s="1794">
        <v>1</v>
      </c>
      <c r="M387" s="1935">
        <v>1</v>
      </c>
      <c r="N387" s="1917" t="s">
        <v>1237</v>
      </c>
      <c r="O387" s="1917" t="s">
        <v>8805</v>
      </c>
      <c r="P387" s="1917">
        <v>1</v>
      </c>
      <c r="Q387" s="1917">
        <v>0</v>
      </c>
      <c r="R387" s="2100"/>
      <c r="S387" s="2248" t="s">
        <v>9253</v>
      </c>
      <c r="T387" s="1974" t="s">
        <v>7630</v>
      </c>
      <c r="U387" s="1794" t="s">
        <v>7306</v>
      </c>
      <c r="V387" s="1935" t="s">
        <v>7949</v>
      </c>
      <c r="W387" s="1991" t="s">
        <v>1237</v>
      </c>
      <c r="X387" s="1917" t="s">
        <v>8805</v>
      </c>
      <c r="Y387" s="1818"/>
      <c r="Z387" s="1818"/>
      <c r="AA387" s="1818"/>
      <c r="AB387" s="1818"/>
      <c r="AC387" s="1818"/>
      <c r="AD387" s="1818"/>
      <c r="AE387" s="1818"/>
      <c r="AF387" s="1818"/>
      <c r="AG387" s="1818"/>
      <c r="AH387" s="1818"/>
      <c r="AI387" s="1818"/>
      <c r="AJ387" s="1818"/>
      <c r="AK387" s="1818"/>
      <c r="AL387" s="1818"/>
      <c r="AM387" s="1818"/>
      <c r="AN387" s="1818"/>
      <c r="AO387" s="1818"/>
      <c r="AP387" s="1818"/>
      <c r="AQ387" s="1818"/>
      <c r="AR387" s="1818"/>
      <c r="AS387" s="1818"/>
      <c r="AT387" s="1818"/>
      <c r="AU387" s="1818"/>
      <c r="AV387" s="1818"/>
      <c r="AW387" s="1818"/>
      <c r="AX387" s="1818"/>
      <c r="AY387" s="1818"/>
      <c r="AZ387" s="1818"/>
      <c r="BA387" s="1818"/>
      <c r="BB387" s="1818"/>
      <c r="BC387" s="1818"/>
      <c r="BD387" s="1818"/>
      <c r="BE387" s="1818"/>
      <c r="BF387" s="1818"/>
      <c r="BG387" s="1818"/>
      <c r="BH387" s="1818"/>
      <c r="BI387" s="1818"/>
      <c r="BJ387" s="1818"/>
      <c r="BK387" s="1818"/>
      <c r="BL387" s="1818"/>
      <c r="BM387" s="1818"/>
      <c r="BN387" s="1818"/>
      <c r="BO387" s="1818"/>
      <c r="BP387" s="1818"/>
      <c r="BQ387" s="1818"/>
      <c r="BR387" s="1818"/>
      <c r="BS387" s="1818"/>
      <c r="BT387" s="1818"/>
      <c r="BU387" s="1818"/>
      <c r="BV387" s="1818"/>
      <c r="BW387" s="1818"/>
      <c r="BX387" s="1818"/>
      <c r="BY387" s="1818"/>
      <c r="BZ387" s="1818"/>
      <c r="CA387" s="1890"/>
      <c r="CB387" s="1890"/>
      <c r="CC387" s="1890"/>
      <c r="CD387" s="1890"/>
      <c r="CE387" s="1890"/>
      <c r="CF387" s="1890"/>
      <c r="CG387" s="1890"/>
      <c r="CH387" s="1890"/>
      <c r="CI387" s="1890"/>
      <c r="CJ387" s="1890"/>
      <c r="CK387" s="1890"/>
      <c r="CL387" s="1890"/>
      <c r="CM387" s="1890"/>
      <c r="CN387" s="1890"/>
      <c r="CO387" s="1890"/>
      <c r="CP387" s="1890"/>
      <c r="CQ387" s="1890"/>
      <c r="CR387" s="1890"/>
      <c r="CS387" s="1890"/>
      <c r="CT387" s="1890"/>
      <c r="CU387" s="1890"/>
      <c r="CV387" s="1890"/>
      <c r="CW387" s="1890"/>
      <c r="CX387" s="1890"/>
      <c r="CY387" s="1890"/>
      <c r="CZ387" s="1890"/>
      <c r="DA387" s="1890"/>
      <c r="DB387" s="1890"/>
      <c r="DC387" s="1890"/>
      <c r="DD387" s="1890"/>
      <c r="DE387" s="1890"/>
      <c r="DF387" s="1890"/>
      <c r="DG387" s="1890"/>
      <c r="DH387" s="1890"/>
      <c r="DI387" s="1890"/>
      <c r="DJ387" s="1890"/>
      <c r="DK387" s="1890"/>
      <c r="DL387" s="1890"/>
      <c r="DM387" s="1890"/>
      <c r="DN387" s="1890"/>
      <c r="DO387" s="1890"/>
      <c r="DP387" s="1890"/>
      <c r="DQ387" s="1890"/>
      <c r="DR387" s="1890"/>
      <c r="DS387" s="1890"/>
      <c r="DT387" s="1890"/>
      <c r="DU387" s="1890"/>
      <c r="DV387" s="1890"/>
      <c r="DW387" s="1890"/>
      <c r="DX387" s="1890"/>
      <c r="DY387" s="1890"/>
      <c r="DZ387" s="1890"/>
      <c r="EA387" s="1890"/>
      <c r="EB387" s="1890"/>
      <c r="EC387" s="1890"/>
      <c r="ED387" s="1890"/>
      <c r="EE387" s="1890"/>
      <c r="EF387" s="1890"/>
      <c r="EG387" s="1890"/>
      <c r="EH387" s="1890"/>
      <c r="EI387" s="1890"/>
      <c r="EJ387" s="1890"/>
      <c r="EK387" s="1890"/>
      <c r="EL387" s="1890"/>
      <c r="EM387" s="1890"/>
      <c r="EN387" s="1890"/>
      <c r="EO387" s="1890"/>
      <c r="EP387" s="1890"/>
      <c r="EQ387" s="1890"/>
      <c r="ER387" s="1890"/>
      <c r="ES387" s="1890"/>
      <c r="ET387" s="1890"/>
      <c r="EU387" s="1890"/>
      <c r="EV387" s="1890"/>
      <c r="EW387" s="1890"/>
      <c r="EX387" s="1890"/>
      <c r="EY387" s="1890"/>
      <c r="EZ387" s="1890"/>
      <c r="FA387" s="1890"/>
      <c r="FB387" s="1890"/>
      <c r="FC387" s="1890"/>
      <c r="FD387" s="1890"/>
      <c r="FE387" s="1890"/>
      <c r="FF387" s="1890"/>
      <c r="FG387" s="1890"/>
      <c r="FH387" s="1890"/>
      <c r="FI387" s="1890"/>
      <c r="FJ387" s="1890"/>
      <c r="FK387" s="1890"/>
      <c r="FL387" s="1890"/>
      <c r="FM387" s="1890"/>
      <c r="FN387" s="1890"/>
      <c r="FO387" s="1890"/>
      <c r="FP387" s="1890"/>
      <c r="FQ387" s="1890"/>
      <c r="FR387" s="1890"/>
      <c r="FS387" s="1890"/>
      <c r="FT387" s="1890"/>
    </row>
    <row r="388" spans="1:176" s="1965" customFormat="1" ht="20.100000000000001" customHeight="1">
      <c r="A388" s="1899"/>
      <c r="B388" s="1871" t="s">
        <v>377</v>
      </c>
      <c r="C388" s="1837">
        <v>0.5</v>
      </c>
      <c r="D388" s="1829">
        <v>1</v>
      </c>
      <c r="E388" s="1829">
        <v>1</v>
      </c>
      <c r="F388" s="1829">
        <v>1</v>
      </c>
      <c r="G388" s="1829">
        <v>1</v>
      </c>
      <c r="H388" s="1856">
        <v>1</v>
      </c>
      <c r="I388" s="2086" t="s">
        <v>38</v>
      </c>
      <c r="J388" s="2218" t="s">
        <v>8139</v>
      </c>
      <c r="K388" s="1974" t="s">
        <v>811</v>
      </c>
      <c r="L388" s="1794">
        <v>1</v>
      </c>
      <c r="M388" s="1935">
        <v>1</v>
      </c>
      <c r="N388" s="1917" t="s">
        <v>1243</v>
      </c>
      <c r="O388" s="1917" t="s">
        <v>8806</v>
      </c>
      <c r="P388" s="1917">
        <v>1</v>
      </c>
      <c r="Q388" s="1917">
        <v>0</v>
      </c>
      <c r="R388" s="2100"/>
      <c r="S388" s="2248" t="s">
        <v>9254</v>
      </c>
      <c r="T388" s="1974" t="s">
        <v>7631</v>
      </c>
      <c r="U388" s="1794" t="s">
        <v>1241</v>
      </c>
      <c r="V388" s="1935" t="s">
        <v>6169</v>
      </c>
      <c r="W388" s="1991" t="s">
        <v>1243</v>
      </c>
      <c r="X388" s="1917" t="s">
        <v>8806</v>
      </c>
      <c r="Y388" s="1818"/>
      <c r="Z388" s="1818"/>
      <c r="AA388" s="1818"/>
      <c r="AB388" s="1818"/>
      <c r="AC388" s="1818"/>
      <c r="AD388" s="1818"/>
      <c r="AE388" s="1818"/>
      <c r="AF388" s="1818"/>
      <c r="AG388" s="1818"/>
      <c r="AH388" s="1818"/>
      <c r="AI388" s="1818"/>
      <c r="AJ388" s="1818"/>
      <c r="AK388" s="1818"/>
      <c r="AL388" s="1818"/>
      <c r="AM388" s="1818"/>
      <c r="AN388" s="1818"/>
      <c r="AO388" s="1818"/>
      <c r="AP388" s="1818"/>
      <c r="AQ388" s="1818"/>
      <c r="AR388" s="1818"/>
      <c r="AS388" s="1818"/>
      <c r="AT388" s="1818"/>
      <c r="AU388" s="1818"/>
      <c r="AV388" s="1818"/>
      <c r="AW388" s="1818"/>
      <c r="AX388" s="1818"/>
      <c r="AY388" s="1818"/>
      <c r="AZ388" s="1818"/>
      <c r="BA388" s="1818"/>
      <c r="BB388" s="1818"/>
      <c r="BC388" s="1818"/>
      <c r="BD388" s="1818"/>
      <c r="BE388" s="1818"/>
      <c r="BF388" s="1818"/>
      <c r="BG388" s="1818"/>
      <c r="BH388" s="1818"/>
      <c r="BI388" s="1818"/>
      <c r="BJ388" s="1818"/>
      <c r="BK388" s="1818"/>
      <c r="BL388" s="1818"/>
      <c r="BM388" s="1818"/>
      <c r="BN388" s="1818"/>
      <c r="BO388" s="1818"/>
      <c r="BP388" s="1818"/>
      <c r="BQ388" s="1818"/>
      <c r="BR388" s="1818"/>
      <c r="BS388" s="1818"/>
      <c r="BT388" s="1818"/>
      <c r="BU388" s="1818"/>
      <c r="BV388" s="1818"/>
      <c r="BW388" s="1818"/>
      <c r="BX388" s="1818"/>
      <c r="BY388" s="1818"/>
      <c r="BZ388" s="1818"/>
      <c r="CA388" s="1890"/>
      <c r="CB388" s="1890"/>
      <c r="CC388" s="1890"/>
      <c r="CD388" s="1890"/>
      <c r="CE388" s="1890"/>
      <c r="CF388" s="1890"/>
      <c r="CG388" s="1890"/>
      <c r="CH388" s="1890"/>
      <c r="CI388" s="1890"/>
      <c r="CJ388" s="1890"/>
      <c r="CK388" s="1890"/>
      <c r="CL388" s="1890"/>
      <c r="CM388" s="1890"/>
      <c r="CN388" s="1890"/>
      <c r="CO388" s="1890"/>
      <c r="CP388" s="1890"/>
      <c r="CQ388" s="1890"/>
      <c r="CR388" s="1890"/>
      <c r="CS388" s="1890"/>
      <c r="CT388" s="1890"/>
      <c r="CU388" s="1890"/>
      <c r="CV388" s="1890"/>
      <c r="CW388" s="1890"/>
      <c r="CX388" s="1890"/>
      <c r="CY388" s="1890"/>
      <c r="CZ388" s="1890"/>
      <c r="DA388" s="1890"/>
      <c r="DB388" s="1890"/>
      <c r="DC388" s="1890"/>
      <c r="DD388" s="1890"/>
      <c r="DE388" s="1890"/>
      <c r="DF388" s="1890"/>
      <c r="DG388" s="1890"/>
      <c r="DH388" s="1890"/>
      <c r="DI388" s="1890"/>
      <c r="DJ388" s="1890"/>
      <c r="DK388" s="1890"/>
      <c r="DL388" s="1890"/>
      <c r="DM388" s="1890"/>
      <c r="DN388" s="1890"/>
      <c r="DO388" s="1890"/>
      <c r="DP388" s="1890"/>
      <c r="DQ388" s="1890"/>
      <c r="DR388" s="1890"/>
      <c r="DS388" s="1890"/>
      <c r="DT388" s="1890"/>
      <c r="DU388" s="1890"/>
      <c r="DV388" s="1890"/>
      <c r="DW388" s="1890"/>
      <c r="DX388" s="1890"/>
      <c r="DY388" s="1890"/>
      <c r="DZ388" s="1890"/>
      <c r="EA388" s="1890"/>
      <c r="EB388" s="1890"/>
      <c r="EC388" s="1890"/>
      <c r="ED388" s="1890"/>
      <c r="EE388" s="1890"/>
      <c r="EF388" s="1890"/>
      <c r="EG388" s="1890"/>
      <c r="EH388" s="1890"/>
      <c r="EI388" s="1890"/>
      <c r="EJ388" s="1890"/>
      <c r="EK388" s="1890"/>
      <c r="EL388" s="1890"/>
      <c r="EM388" s="1890"/>
      <c r="EN388" s="1890"/>
      <c r="EO388" s="1890"/>
      <c r="EP388" s="1890"/>
      <c r="EQ388" s="1890"/>
      <c r="ER388" s="1890"/>
      <c r="ES388" s="1890"/>
      <c r="ET388" s="1890"/>
      <c r="EU388" s="1890"/>
      <c r="EV388" s="1890"/>
      <c r="EW388" s="1890"/>
      <c r="EX388" s="1890"/>
      <c r="EY388" s="1890"/>
      <c r="EZ388" s="1890"/>
      <c r="FA388" s="1890"/>
      <c r="FB388" s="1890"/>
      <c r="FC388" s="1890"/>
      <c r="FD388" s="1890"/>
      <c r="FE388" s="1890"/>
      <c r="FF388" s="1890"/>
      <c r="FG388" s="1890"/>
      <c r="FH388" s="1890"/>
      <c r="FI388" s="1890"/>
      <c r="FJ388" s="1890"/>
      <c r="FK388" s="1890"/>
      <c r="FL388" s="1890"/>
      <c r="FM388" s="1890"/>
      <c r="FN388" s="1890"/>
      <c r="FO388" s="1890"/>
      <c r="FP388" s="1890"/>
      <c r="FQ388" s="1890"/>
      <c r="FR388" s="1890"/>
      <c r="FS388" s="1890"/>
      <c r="FT388" s="1890"/>
    </row>
    <row r="389" spans="1:176" s="1965" customFormat="1" ht="32.1" customHeight="1">
      <c r="A389" s="1899"/>
      <c r="B389" s="1804" t="s">
        <v>378</v>
      </c>
      <c r="C389" s="1837">
        <v>1</v>
      </c>
      <c r="D389" s="1829">
        <v>1</v>
      </c>
      <c r="E389" s="1829">
        <v>1</v>
      </c>
      <c r="F389" s="1829">
        <v>1</v>
      </c>
      <c r="G389" s="1829">
        <v>1</v>
      </c>
      <c r="H389" s="1831">
        <v>1</v>
      </c>
      <c r="I389" s="2086" t="s">
        <v>38</v>
      </c>
      <c r="J389" s="2217">
        <v>1</v>
      </c>
      <c r="K389" s="1974" t="s">
        <v>811</v>
      </c>
      <c r="L389" s="1794">
        <v>1</v>
      </c>
      <c r="M389" s="1935">
        <v>1</v>
      </c>
      <c r="N389" s="1917" t="s">
        <v>1248</v>
      </c>
      <c r="O389" s="1917" t="s">
        <v>8807</v>
      </c>
      <c r="P389" s="1917">
        <v>1</v>
      </c>
      <c r="Q389" s="1917">
        <v>0</v>
      </c>
      <c r="R389" s="2100"/>
      <c r="S389" s="2248" t="s">
        <v>8182</v>
      </c>
      <c r="T389" s="1974" t="s">
        <v>7632</v>
      </c>
      <c r="U389" s="1794" t="s">
        <v>1246</v>
      </c>
      <c r="V389" s="1935" t="s">
        <v>7950</v>
      </c>
      <c r="W389" s="1991" t="s">
        <v>1248</v>
      </c>
      <c r="X389" s="1917" t="s">
        <v>8807</v>
      </c>
      <c r="Y389" s="1818"/>
      <c r="Z389" s="1818"/>
      <c r="AA389" s="1818"/>
      <c r="AB389" s="1818"/>
      <c r="AC389" s="1818"/>
      <c r="AD389" s="1818"/>
      <c r="AE389" s="1818"/>
      <c r="AF389" s="1818"/>
      <c r="AG389" s="1818"/>
      <c r="AH389" s="1818"/>
      <c r="AI389" s="1818"/>
      <c r="AJ389" s="1818"/>
      <c r="AK389" s="1818"/>
      <c r="AL389" s="1818"/>
      <c r="AM389" s="1818"/>
      <c r="AN389" s="1818"/>
      <c r="AO389" s="1818"/>
      <c r="AP389" s="1818"/>
      <c r="AQ389" s="1818"/>
      <c r="AR389" s="1818"/>
      <c r="AS389" s="1818"/>
      <c r="AT389" s="1818"/>
      <c r="AU389" s="1818"/>
      <c r="AV389" s="1818"/>
      <c r="AW389" s="1818"/>
      <c r="AX389" s="1818"/>
      <c r="AY389" s="1818"/>
      <c r="AZ389" s="1818"/>
      <c r="BA389" s="1818"/>
      <c r="BB389" s="1818"/>
      <c r="BC389" s="1818"/>
      <c r="BD389" s="1818"/>
      <c r="BE389" s="1818"/>
      <c r="BF389" s="1818"/>
      <c r="BG389" s="1818"/>
      <c r="BH389" s="1818"/>
      <c r="BI389" s="1818"/>
      <c r="BJ389" s="1818"/>
      <c r="BK389" s="1818"/>
      <c r="BL389" s="1818"/>
      <c r="BM389" s="1818"/>
      <c r="BN389" s="1818"/>
      <c r="BO389" s="1818"/>
      <c r="BP389" s="1818"/>
      <c r="BQ389" s="1818"/>
      <c r="BR389" s="1818"/>
      <c r="BS389" s="1818"/>
      <c r="BT389" s="1818"/>
      <c r="BU389" s="1818"/>
      <c r="BV389" s="1818"/>
      <c r="BW389" s="1818"/>
      <c r="BX389" s="1818"/>
      <c r="BY389" s="1818"/>
      <c r="BZ389" s="1818"/>
      <c r="CA389" s="1890"/>
      <c r="CB389" s="1890"/>
      <c r="CC389" s="1890"/>
      <c r="CD389" s="1890"/>
      <c r="CE389" s="1890"/>
      <c r="CF389" s="1890"/>
      <c r="CG389" s="1890"/>
      <c r="CH389" s="1890"/>
      <c r="CI389" s="1890"/>
      <c r="CJ389" s="1890"/>
      <c r="CK389" s="1890"/>
      <c r="CL389" s="1890"/>
      <c r="CM389" s="1890"/>
      <c r="CN389" s="1890"/>
      <c r="CO389" s="1890"/>
      <c r="CP389" s="1890"/>
      <c r="CQ389" s="1890"/>
      <c r="CR389" s="1890"/>
      <c r="CS389" s="1890"/>
      <c r="CT389" s="1890"/>
      <c r="CU389" s="1890"/>
      <c r="CV389" s="1890"/>
      <c r="CW389" s="1890"/>
      <c r="CX389" s="1890"/>
      <c r="CY389" s="1890"/>
      <c r="CZ389" s="1890"/>
      <c r="DA389" s="1890"/>
      <c r="DB389" s="1890"/>
      <c r="DC389" s="1890"/>
      <c r="DD389" s="1890"/>
      <c r="DE389" s="1890"/>
      <c r="DF389" s="1890"/>
      <c r="DG389" s="1890"/>
      <c r="DH389" s="1890"/>
      <c r="DI389" s="1890"/>
      <c r="DJ389" s="1890"/>
      <c r="DK389" s="1890"/>
      <c r="DL389" s="1890"/>
      <c r="DM389" s="1890"/>
      <c r="DN389" s="1890"/>
      <c r="DO389" s="1890"/>
      <c r="DP389" s="1890"/>
      <c r="DQ389" s="1890"/>
      <c r="DR389" s="1890"/>
      <c r="DS389" s="1890"/>
      <c r="DT389" s="1890"/>
      <c r="DU389" s="1890"/>
      <c r="DV389" s="1890"/>
      <c r="DW389" s="1890"/>
      <c r="DX389" s="1890"/>
      <c r="DY389" s="1890"/>
      <c r="DZ389" s="1890"/>
      <c r="EA389" s="1890"/>
      <c r="EB389" s="1890"/>
      <c r="EC389" s="1890"/>
      <c r="ED389" s="1890"/>
      <c r="EE389" s="1890"/>
      <c r="EF389" s="1890"/>
      <c r="EG389" s="1890"/>
      <c r="EH389" s="1890"/>
      <c r="EI389" s="1890"/>
      <c r="EJ389" s="1890"/>
      <c r="EK389" s="1890"/>
      <c r="EL389" s="1890"/>
      <c r="EM389" s="1890"/>
      <c r="EN389" s="1890"/>
      <c r="EO389" s="1890"/>
      <c r="EP389" s="1890"/>
      <c r="EQ389" s="1890"/>
      <c r="ER389" s="1890"/>
      <c r="ES389" s="1890"/>
      <c r="ET389" s="1890"/>
      <c r="EU389" s="1890"/>
      <c r="EV389" s="1890"/>
      <c r="EW389" s="1890"/>
      <c r="EX389" s="1890"/>
      <c r="EY389" s="1890"/>
      <c r="EZ389" s="1890"/>
      <c r="FA389" s="1890"/>
      <c r="FB389" s="1890"/>
      <c r="FC389" s="1890"/>
      <c r="FD389" s="1890"/>
      <c r="FE389" s="1890"/>
      <c r="FF389" s="1890"/>
      <c r="FG389" s="1890"/>
      <c r="FH389" s="1890"/>
      <c r="FI389" s="1890"/>
      <c r="FJ389" s="1890"/>
      <c r="FK389" s="1890"/>
      <c r="FL389" s="1890"/>
      <c r="FM389" s="1890"/>
      <c r="FN389" s="1890"/>
      <c r="FO389" s="1890"/>
      <c r="FP389" s="1890"/>
      <c r="FQ389" s="1890"/>
      <c r="FR389" s="1890"/>
      <c r="FS389" s="1890"/>
      <c r="FT389" s="1890"/>
    </row>
    <row r="390" spans="1:176" s="1965" customFormat="1" ht="32.1" customHeight="1">
      <c r="A390" s="1899"/>
      <c r="B390" s="1804" t="s">
        <v>379</v>
      </c>
      <c r="C390" s="1837">
        <v>1</v>
      </c>
      <c r="D390" s="1829">
        <v>1</v>
      </c>
      <c r="E390" s="1829">
        <v>1</v>
      </c>
      <c r="F390" s="1829">
        <v>1</v>
      </c>
      <c r="G390" s="1829">
        <v>1</v>
      </c>
      <c r="H390" s="1831">
        <v>1</v>
      </c>
      <c r="I390" s="2086" t="s">
        <v>38</v>
      </c>
      <c r="J390" s="2217">
        <v>1</v>
      </c>
      <c r="K390" s="1974" t="s">
        <v>811</v>
      </c>
      <c r="L390" s="1794">
        <v>1</v>
      </c>
      <c r="M390" s="1935">
        <v>1</v>
      </c>
      <c r="N390" s="1917" t="s">
        <v>1253</v>
      </c>
      <c r="O390" s="1917" t="s">
        <v>5704</v>
      </c>
      <c r="P390" s="1917">
        <v>1</v>
      </c>
      <c r="Q390" s="1917">
        <v>0</v>
      </c>
      <c r="R390" s="2100"/>
      <c r="S390" s="2248" t="s">
        <v>9255</v>
      </c>
      <c r="T390" s="1974" t="s">
        <v>7633</v>
      </c>
      <c r="U390" s="1794" t="s">
        <v>7307</v>
      </c>
      <c r="V390" s="1935" t="s">
        <v>1252</v>
      </c>
      <c r="W390" s="1991" t="s">
        <v>1253</v>
      </c>
      <c r="X390" s="1917" t="s">
        <v>5704</v>
      </c>
      <c r="Y390" s="1818"/>
      <c r="Z390" s="1818"/>
      <c r="AA390" s="1818"/>
      <c r="AB390" s="1818"/>
      <c r="AC390" s="1818"/>
      <c r="AD390" s="1818"/>
      <c r="AE390" s="1818"/>
      <c r="AF390" s="1818"/>
      <c r="AG390" s="1818"/>
      <c r="AH390" s="1818"/>
      <c r="AI390" s="1818"/>
      <c r="AJ390" s="1818"/>
      <c r="AK390" s="1818"/>
      <c r="AL390" s="1818"/>
      <c r="AM390" s="1818"/>
      <c r="AN390" s="1818"/>
      <c r="AO390" s="1818"/>
      <c r="AP390" s="1818"/>
      <c r="AQ390" s="1818"/>
      <c r="AR390" s="1818"/>
      <c r="AS390" s="1818"/>
      <c r="AT390" s="1818"/>
      <c r="AU390" s="1818"/>
      <c r="AV390" s="1818"/>
      <c r="AW390" s="1818"/>
      <c r="AX390" s="1818"/>
      <c r="AY390" s="1818"/>
      <c r="AZ390" s="1818"/>
      <c r="BA390" s="1818"/>
      <c r="BB390" s="1818"/>
      <c r="BC390" s="1818"/>
      <c r="BD390" s="1818"/>
      <c r="BE390" s="1818"/>
      <c r="BF390" s="1818"/>
      <c r="BG390" s="1818"/>
      <c r="BH390" s="1818"/>
      <c r="BI390" s="1818"/>
      <c r="BJ390" s="1818"/>
      <c r="BK390" s="1818"/>
      <c r="BL390" s="1818"/>
      <c r="BM390" s="1818"/>
      <c r="BN390" s="1818"/>
      <c r="BO390" s="1818"/>
      <c r="BP390" s="1818"/>
      <c r="BQ390" s="1818"/>
      <c r="BR390" s="1818"/>
      <c r="BS390" s="1818"/>
      <c r="BT390" s="1818"/>
      <c r="BU390" s="1818"/>
      <c r="BV390" s="1818"/>
      <c r="BW390" s="1818"/>
      <c r="BX390" s="1818"/>
      <c r="BY390" s="1818"/>
      <c r="BZ390" s="1818"/>
      <c r="CA390" s="1890"/>
      <c r="CB390" s="1890"/>
      <c r="CC390" s="1890"/>
      <c r="CD390" s="1890"/>
      <c r="CE390" s="1890"/>
      <c r="CF390" s="1890"/>
      <c r="CG390" s="1890"/>
      <c r="CH390" s="1890"/>
      <c r="CI390" s="1890"/>
      <c r="CJ390" s="1890"/>
      <c r="CK390" s="1890"/>
      <c r="CL390" s="1890"/>
      <c r="CM390" s="1890"/>
      <c r="CN390" s="1890"/>
      <c r="CO390" s="1890"/>
      <c r="CP390" s="1890"/>
      <c r="CQ390" s="1890"/>
      <c r="CR390" s="1890"/>
      <c r="CS390" s="1890"/>
      <c r="CT390" s="1890"/>
      <c r="CU390" s="1890"/>
      <c r="CV390" s="1890"/>
      <c r="CW390" s="1890"/>
      <c r="CX390" s="1890"/>
      <c r="CY390" s="1890"/>
      <c r="CZ390" s="1890"/>
      <c r="DA390" s="1890"/>
      <c r="DB390" s="1890"/>
      <c r="DC390" s="1890"/>
      <c r="DD390" s="1890"/>
      <c r="DE390" s="1890"/>
      <c r="DF390" s="1890"/>
      <c r="DG390" s="1890"/>
      <c r="DH390" s="1890"/>
      <c r="DI390" s="1890"/>
      <c r="DJ390" s="1890"/>
      <c r="DK390" s="1890"/>
      <c r="DL390" s="1890"/>
      <c r="DM390" s="1890"/>
      <c r="DN390" s="1890"/>
      <c r="DO390" s="1890"/>
      <c r="DP390" s="1890"/>
      <c r="DQ390" s="1890"/>
      <c r="DR390" s="1890"/>
      <c r="DS390" s="1890"/>
      <c r="DT390" s="1890"/>
      <c r="DU390" s="1890"/>
      <c r="DV390" s="1890"/>
      <c r="DW390" s="1890"/>
      <c r="DX390" s="1890"/>
      <c r="DY390" s="1890"/>
      <c r="DZ390" s="1890"/>
      <c r="EA390" s="1890"/>
      <c r="EB390" s="1890"/>
      <c r="EC390" s="1890"/>
      <c r="ED390" s="1890"/>
      <c r="EE390" s="1890"/>
      <c r="EF390" s="1890"/>
      <c r="EG390" s="1890"/>
      <c r="EH390" s="1890"/>
      <c r="EI390" s="1890"/>
      <c r="EJ390" s="1890"/>
      <c r="EK390" s="1890"/>
      <c r="EL390" s="1890"/>
      <c r="EM390" s="1890"/>
      <c r="EN390" s="1890"/>
      <c r="EO390" s="1890"/>
      <c r="EP390" s="1890"/>
      <c r="EQ390" s="1890"/>
      <c r="ER390" s="1890"/>
      <c r="ES390" s="1890"/>
      <c r="ET390" s="1890"/>
      <c r="EU390" s="1890"/>
      <c r="EV390" s="1890"/>
      <c r="EW390" s="1890"/>
      <c r="EX390" s="1890"/>
      <c r="EY390" s="1890"/>
      <c r="EZ390" s="1890"/>
      <c r="FA390" s="1890"/>
      <c r="FB390" s="1890"/>
      <c r="FC390" s="1890"/>
      <c r="FD390" s="1890"/>
      <c r="FE390" s="1890"/>
      <c r="FF390" s="1890"/>
      <c r="FG390" s="1890"/>
      <c r="FH390" s="1890"/>
      <c r="FI390" s="1890"/>
      <c r="FJ390" s="1890"/>
      <c r="FK390" s="1890"/>
      <c r="FL390" s="1890"/>
      <c r="FM390" s="1890"/>
      <c r="FN390" s="1890"/>
      <c r="FO390" s="1890"/>
      <c r="FP390" s="1890"/>
      <c r="FQ390" s="1890"/>
      <c r="FR390" s="1890"/>
      <c r="FS390" s="1890"/>
      <c r="FT390" s="1890"/>
    </row>
    <row r="391" spans="1:176" s="1965" customFormat="1" ht="197.25" customHeight="1">
      <c r="A391" s="1899"/>
      <c r="B391" s="1804" t="s">
        <v>381</v>
      </c>
      <c r="C391" s="1837">
        <v>0.5</v>
      </c>
      <c r="D391" s="1829">
        <v>0.5</v>
      </c>
      <c r="E391" s="1829">
        <v>0.5</v>
      </c>
      <c r="F391" s="1829">
        <v>1</v>
      </c>
      <c r="G391" s="1829">
        <v>0.5</v>
      </c>
      <c r="H391" s="1827">
        <v>0.5</v>
      </c>
      <c r="I391" s="2086" t="s">
        <v>240</v>
      </c>
      <c r="J391" s="2217">
        <v>0.5</v>
      </c>
      <c r="K391" s="1974" t="s">
        <v>5427</v>
      </c>
      <c r="L391" s="1794">
        <v>0.5</v>
      </c>
      <c r="M391" s="1935">
        <v>1</v>
      </c>
      <c r="N391" s="1917" t="s">
        <v>1269</v>
      </c>
      <c r="O391" s="1917" t="s">
        <v>8808</v>
      </c>
      <c r="P391" s="1917">
        <v>1</v>
      </c>
      <c r="Q391" s="1917">
        <v>0</v>
      </c>
      <c r="R391" s="2100"/>
      <c r="S391" s="2248" t="s">
        <v>9256</v>
      </c>
      <c r="T391" s="1974" t="s">
        <v>7634</v>
      </c>
      <c r="U391" s="1794" t="s">
        <v>1261</v>
      </c>
      <c r="V391" s="1935" t="s">
        <v>6172</v>
      </c>
      <c r="W391" s="1991" t="s">
        <v>1269</v>
      </c>
      <c r="X391" s="1917" t="s">
        <v>8808</v>
      </c>
      <c r="Y391" s="1818"/>
      <c r="Z391" s="1818"/>
      <c r="AA391" s="1818"/>
      <c r="AB391" s="1818"/>
      <c r="AC391" s="1818"/>
      <c r="AD391" s="1818"/>
      <c r="AE391" s="1818"/>
      <c r="AF391" s="1818"/>
      <c r="AG391" s="1818"/>
      <c r="AH391" s="1818"/>
      <c r="AI391" s="1818"/>
      <c r="AJ391" s="1818"/>
      <c r="AK391" s="1818"/>
      <c r="AL391" s="1818"/>
      <c r="AM391" s="1818"/>
      <c r="AN391" s="1818"/>
      <c r="AO391" s="1818"/>
      <c r="AP391" s="1818"/>
      <c r="AQ391" s="1818"/>
      <c r="AR391" s="1818"/>
      <c r="AS391" s="1818"/>
      <c r="AT391" s="1818"/>
      <c r="AU391" s="1818"/>
      <c r="AV391" s="1818"/>
      <c r="AW391" s="1818"/>
      <c r="AX391" s="1818"/>
      <c r="AY391" s="1818"/>
      <c r="AZ391" s="1818"/>
      <c r="BA391" s="1818"/>
      <c r="BB391" s="1818"/>
      <c r="BC391" s="1818"/>
      <c r="BD391" s="1818"/>
      <c r="BE391" s="1818"/>
      <c r="BF391" s="1818"/>
      <c r="BG391" s="1818"/>
      <c r="BH391" s="1818"/>
      <c r="BI391" s="1818"/>
      <c r="BJ391" s="1818"/>
      <c r="BK391" s="1818"/>
      <c r="BL391" s="1818"/>
      <c r="BM391" s="1818"/>
      <c r="BN391" s="1818"/>
      <c r="BO391" s="1818"/>
      <c r="BP391" s="1818"/>
      <c r="BQ391" s="1818"/>
      <c r="BR391" s="1818"/>
      <c r="BS391" s="1818"/>
      <c r="BT391" s="1818"/>
      <c r="BU391" s="1818"/>
      <c r="BV391" s="1818"/>
      <c r="BW391" s="1818"/>
      <c r="BX391" s="1818"/>
      <c r="BY391" s="1818"/>
      <c r="BZ391" s="1818"/>
      <c r="CA391" s="1890"/>
      <c r="CB391" s="1890"/>
      <c r="CC391" s="1890"/>
      <c r="CD391" s="1890"/>
      <c r="CE391" s="1890"/>
      <c r="CF391" s="1890"/>
      <c r="CG391" s="1890"/>
      <c r="CH391" s="1890"/>
      <c r="CI391" s="1890"/>
      <c r="CJ391" s="1890"/>
      <c r="CK391" s="1890"/>
      <c r="CL391" s="1890"/>
      <c r="CM391" s="1890"/>
      <c r="CN391" s="1890"/>
      <c r="CO391" s="1890"/>
      <c r="CP391" s="1890"/>
      <c r="CQ391" s="1890"/>
      <c r="CR391" s="1890"/>
      <c r="CS391" s="1890"/>
      <c r="CT391" s="1890"/>
      <c r="CU391" s="1890"/>
      <c r="CV391" s="1890"/>
      <c r="CW391" s="1890"/>
      <c r="CX391" s="1890"/>
      <c r="CY391" s="1890"/>
      <c r="CZ391" s="1890"/>
      <c r="DA391" s="1890"/>
      <c r="DB391" s="1890"/>
      <c r="DC391" s="1890"/>
      <c r="DD391" s="1890"/>
      <c r="DE391" s="1890"/>
      <c r="DF391" s="1890"/>
      <c r="DG391" s="1890"/>
      <c r="DH391" s="1890"/>
      <c r="DI391" s="1890"/>
      <c r="DJ391" s="1890"/>
      <c r="DK391" s="1890"/>
      <c r="DL391" s="1890"/>
      <c r="DM391" s="1890"/>
      <c r="DN391" s="1890"/>
      <c r="DO391" s="1890"/>
      <c r="DP391" s="1890"/>
      <c r="DQ391" s="1890"/>
      <c r="DR391" s="1890"/>
      <c r="DS391" s="1890"/>
      <c r="DT391" s="1890"/>
      <c r="DU391" s="1890"/>
      <c r="DV391" s="1890"/>
      <c r="DW391" s="1890"/>
      <c r="DX391" s="1890"/>
      <c r="DY391" s="1890"/>
      <c r="DZ391" s="1890"/>
      <c r="EA391" s="1890"/>
      <c r="EB391" s="1890"/>
      <c r="EC391" s="1890"/>
      <c r="ED391" s="1890"/>
      <c r="EE391" s="1890"/>
      <c r="EF391" s="1890"/>
      <c r="EG391" s="1890"/>
      <c r="EH391" s="1890"/>
      <c r="EI391" s="1890"/>
      <c r="EJ391" s="1890"/>
      <c r="EK391" s="1890"/>
      <c r="EL391" s="1890"/>
      <c r="EM391" s="1890"/>
      <c r="EN391" s="1890"/>
      <c r="EO391" s="1890"/>
      <c r="EP391" s="1890"/>
      <c r="EQ391" s="1890"/>
      <c r="ER391" s="1890"/>
      <c r="ES391" s="1890"/>
      <c r="ET391" s="1890"/>
      <c r="EU391" s="1890"/>
      <c r="EV391" s="1890"/>
      <c r="EW391" s="1890"/>
      <c r="EX391" s="1890"/>
      <c r="EY391" s="1890"/>
      <c r="EZ391" s="1890"/>
      <c r="FA391" s="1890"/>
      <c r="FB391" s="1890"/>
      <c r="FC391" s="1890"/>
      <c r="FD391" s="1890"/>
      <c r="FE391" s="1890"/>
      <c r="FF391" s="1890"/>
      <c r="FG391" s="1890"/>
      <c r="FH391" s="1890"/>
      <c r="FI391" s="1890"/>
      <c r="FJ391" s="1890"/>
      <c r="FK391" s="1890"/>
      <c r="FL391" s="1890"/>
      <c r="FM391" s="1890"/>
      <c r="FN391" s="1890"/>
      <c r="FO391" s="1890"/>
      <c r="FP391" s="1890"/>
      <c r="FQ391" s="1890"/>
      <c r="FR391" s="1890"/>
      <c r="FS391" s="1890"/>
      <c r="FT391" s="1890"/>
    </row>
    <row r="392" spans="1:176" s="1965" customFormat="1" ht="66" customHeight="1">
      <c r="A392" s="1899"/>
      <c r="B392" s="1804" t="s">
        <v>382</v>
      </c>
      <c r="C392" s="1837">
        <v>0</v>
      </c>
      <c r="D392" s="1863">
        <v>0</v>
      </c>
      <c r="E392" s="1829">
        <v>1</v>
      </c>
      <c r="F392" s="1844">
        <v>1</v>
      </c>
      <c r="G392" s="1829">
        <v>0.5</v>
      </c>
      <c r="H392" s="1839">
        <v>1</v>
      </c>
      <c r="I392" s="2086" t="s">
        <v>38</v>
      </c>
      <c r="J392" s="2217">
        <v>0</v>
      </c>
      <c r="K392" s="1974" t="s">
        <v>748</v>
      </c>
      <c r="L392" s="1794">
        <v>1</v>
      </c>
      <c r="M392" s="1935">
        <v>1</v>
      </c>
      <c r="N392" s="1917" t="s">
        <v>5482</v>
      </c>
      <c r="O392" s="1917" t="s">
        <v>8809</v>
      </c>
      <c r="P392" s="1917">
        <v>1</v>
      </c>
      <c r="Q392" s="1917">
        <v>0</v>
      </c>
      <c r="R392" s="2100"/>
      <c r="S392" s="2248" t="s">
        <v>9257</v>
      </c>
      <c r="T392" s="1974" t="s">
        <v>7635</v>
      </c>
      <c r="U392" s="1794" t="s">
        <v>1267</v>
      </c>
      <c r="V392" s="1935" t="s">
        <v>6173</v>
      </c>
      <c r="W392" s="1991" t="s">
        <v>5482</v>
      </c>
      <c r="X392" s="1917" t="s">
        <v>8809</v>
      </c>
      <c r="Y392" s="1818"/>
      <c r="Z392" s="1818"/>
      <c r="AA392" s="1818"/>
      <c r="AB392" s="1818"/>
      <c r="AC392" s="1818"/>
      <c r="AD392" s="1818"/>
      <c r="AE392" s="1818"/>
      <c r="AF392" s="1818"/>
      <c r="AG392" s="1818"/>
      <c r="AH392" s="1818"/>
      <c r="AI392" s="1818"/>
      <c r="AJ392" s="1818"/>
      <c r="AK392" s="1818"/>
      <c r="AL392" s="1818"/>
      <c r="AM392" s="1818"/>
      <c r="AN392" s="1818"/>
      <c r="AO392" s="1818"/>
      <c r="AP392" s="1818"/>
      <c r="AQ392" s="1818"/>
      <c r="AR392" s="1818"/>
      <c r="AS392" s="1818"/>
      <c r="AT392" s="1818"/>
      <c r="AU392" s="1818"/>
      <c r="AV392" s="1818"/>
      <c r="AW392" s="1818"/>
      <c r="AX392" s="1818"/>
      <c r="AY392" s="1818"/>
      <c r="AZ392" s="1818"/>
      <c r="BA392" s="1818"/>
      <c r="BB392" s="1818"/>
      <c r="BC392" s="1818"/>
      <c r="BD392" s="1818"/>
      <c r="BE392" s="1818"/>
      <c r="BF392" s="1818"/>
      <c r="BG392" s="1818"/>
      <c r="BH392" s="1818"/>
      <c r="BI392" s="1818"/>
      <c r="BJ392" s="1818"/>
      <c r="BK392" s="1818"/>
      <c r="BL392" s="1818"/>
      <c r="BM392" s="1818"/>
      <c r="BN392" s="1818"/>
      <c r="BO392" s="1818"/>
      <c r="BP392" s="1818"/>
      <c r="BQ392" s="1818"/>
      <c r="BR392" s="1818"/>
      <c r="BS392" s="1818"/>
      <c r="BT392" s="1818"/>
      <c r="BU392" s="1818"/>
      <c r="BV392" s="1818"/>
      <c r="BW392" s="1818"/>
      <c r="BX392" s="1818"/>
      <c r="BY392" s="1818"/>
      <c r="BZ392" s="1818"/>
      <c r="CA392" s="1890"/>
      <c r="CB392" s="1890"/>
      <c r="CC392" s="1890"/>
      <c r="CD392" s="1890"/>
      <c r="CE392" s="1890"/>
      <c r="CF392" s="1890"/>
      <c r="CG392" s="1890"/>
      <c r="CH392" s="1890"/>
      <c r="CI392" s="1890"/>
      <c r="CJ392" s="1890"/>
      <c r="CK392" s="1890"/>
      <c r="CL392" s="1890"/>
      <c r="CM392" s="1890"/>
      <c r="CN392" s="1890"/>
      <c r="CO392" s="1890"/>
      <c r="CP392" s="1890"/>
      <c r="CQ392" s="1890"/>
      <c r="CR392" s="1890"/>
      <c r="CS392" s="1890"/>
      <c r="CT392" s="1890"/>
      <c r="CU392" s="1890"/>
      <c r="CV392" s="1890"/>
      <c r="CW392" s="1890"/>
      <c r="CX392" s="1890"/>
      <c r="CY392" s="1890"/>
      <c r="CZ392" s="1890"/>
      <c r="DA392" s="1890"/>
      <c r="DB392" s="1890"/>
      <c r="DC392" s="1890"/>
      <c r="DD392" s="1890"/>
      <c r="DE392" s="1890"/>
      <c r="DF392" s="1890"/>
      <c r="DG392" s="1890"/>
      <c r="DH392" s="1890"/>
      <c r="DI392" s="1890"/>
      <c r="DJ392" s="1890"/>
      <c r="DK392" s="1890"/>
      <c r="DL392" s="1890"/>
      <c r="DM392" s="1890"/>
      <c r="DN392" s="1890"/>
      <c r="DO392" s="1890"/>
      <c r="DP392" s="1890"/>
      <c r="DQ392" s="1890"/>
      <c r="DR392" s="1890"/>
      <c r="DS392" s="1890"/>
      <c r="DT392" s="1890"/>
      <c r="DU392" s="1890"/>
      <c r="DV392" s="1890"/>
      <c r="DW392" s="1890"/>
      <c r="DX392" s="1890"/>
      <c r="DY392" s="1890"/>
      <c r="DZ392" s="1890"/>
      <c r="EA392" s="1890"/>
      <c r="EB392" s="1890"/>
      <c r="EC392" s="1890"/>
      <c r="ED392" s="1890"/>
      <c r="EE392" s="1890"/>
      <c r="EF392" s="1890"/>
      <c r="EG392" s="1890"/>
      <c r="EH392" s="1890"/>
      <c r="EI392" s="1890"/>
      <c r="EJ392" s="1890"/>
      <c r="EK392" s="1890"/>
      <c r="EL392" s="1890"/>
      <c r="EM392" s="1890"/>
      <c r="EN392" s="1890"/>
      <c r="EO392" s="1890"/>
      <c r="EP392" s="1890"/>
      <c r="EQ392" s="1890"/>
      <c r="ER392" s="1890"/>
      <c r="ES392" s="1890"/>
      <c r="ET392" s="1890"/>
      <c r="EU392" s="1890"/>
      <c r="EV392" s="1890"/>
      <c r="EW392" s="1890"/>
      <c r="EX392" s="1890"/>
      <c r="EY392" s="1890"/>
      <c r="EZ392" s="1890"/>
      <c r="FA392" s="1890"/>
      <c r="FB392" s="1890"/>
      <c r="FC392" s="1890"/>
      <c r="FD392" s="1890"/>
      <c r="FE392" s="1890"/>
      <c r="FF392" s="1890"/>
      <c r="FG392" s="1890"/>
      <c r="FH392" s="1890"/>
      <c r="FI392" s="1890"/>
      <c r="FJ392" s="1890"/>
      <c r="FK392" s="1890"/>
      <c r="FL392" s="1890"/>
      <c r="FM392" s="1890"/>
      <c r="FN392" s="1890"/>
      <c r="FO392" s="1890"/>
      <c r="FP392" s="1890"/>
      <c r="FQ392" s="1890"/>
      <c r="FR392" s="1890"/>
      <c r="FS392" s="1890"/>
      <c r="FT392" s="1890"/>
    </row>
    <row r="393" spans="1:176" s="1965" customFormat="1" ht="32.1" customHeight="1">
      <c r="A393" s="2501"/>
      <c r="B393" s="1871" t="s">
        <v>383</v>
      </c>
      <c r="C393" s="1837">
        <v>0.5</v>
      </c>
      <c r="D393" s="1863">
        <v>0.5</v>
      </c>
      <c r="E393" s="1829">
        <v>0</v>
      </c>
      <c r="F393" s="1844">
        <v>0</v>
      </c>
      <c r="G393" s="1848">
        <v>0</v>
      </c>
      <c r="H393" s="1827">
        <v>0</v>
      </c>
      <c r="I393" s="2086" t="s">
        <v>240</v>
      </c>
      <c r="J393" s="2218" t="s">
        <v>6225</v>
      </c>
      <c r="K393" s="1974" t="s">
        <v>5427</v>
      </c>
      <c r="L393" s="1794">
        <v>0</v>
      </c>
      <c r="M393" s="1935">
        <v>0</v>
      </c>
      <c r="N393" s="1917" t="s">
        <v>5483</v>
      </c>
      <c r="O393" s="1917" t="s">
        <v>8810</v>
      </c>
      <c r="P393" s="1917">
        <v>1</v>
      </c>
      <c r="Q393" s="1917">
        <v>0</v>
      </c>
      <c r="R393" s="2100"/>
      <c r="S393" s="2248" t="s">
        <v>9258</v>
      </c>
      <c r="T393" s="1974" t="s">
        <v>7636</v>
      </c>
      <c r="U393" s="1794" t="s">
        <v>1273</v>
      </c>
      <c r="V393" s="1935" t="s">
        <v>7951</v>
      </c>
      <c r="W393" s="1991" t="s">
        <v>5483</v>
      </c>
      <c r="X393" s="1917" t="s">
        <v>8810</v>
      </c>
      <c r="Y393" s="1818"/>
      <c r="Z393" s="1818"/>
      <c r="AA393" s="1818"/>
      <c r="AB393" s="1818"/>
      <c r="AC393" s="1818"/>
      <c r="AD393" s="1818"/>
      <c r="AE393" s="1818"/>
      <c r="AF393" s="1818"/>
      <c r="AG393" s="1818"/>
      <c r="AH393" s="1818"/>
      <c r="AI393" s="1818"/>
      <c r="AJ393" s="1818"/>
      <c r="AK393" s="1818"/>
      <c r="AL393" s="1818"/>
      <c r="AM393" s="1818"/>
      <c r="AN393" s="1818"/>
      <c r="AO393" s="1818"/>
      <c r="AP393" s="1818"/>
      <c r="AQ393" s="1818"/>
      <c r="AR393" s="1818"/>
      <c r="AS393" s="1818"/>
      <c r="AT393" s="1818"/>
      <c r="AU393" s="1818"/>
      <c r="AV393" s="1818"/>
      <c r="AW393" s="1818"/>
      <c r="AX393" s="1818"/>
      <c r="AY393" s="1818"/>
      <c r="AZ393" s="1818"/>
      <c r="BA393" s="1818"/>
      <c r="BB393" s="1818"/>
      <c r="BC393" s="1818"/>
      <c r="BD393" s="1818"/>
      <c r="BE393" s="1818"/>
      <c r="BF393" s="1818"/>
      <c r="BG393" s="1818"/>
      <c r="BH393" s="1818"/>
      <c r="BI393" s="1818"/>
      <c r="BJ393" s="1818"/>
      <c r="BK393" s="1818"/>
      <c r="BL393" s="1818"/>
      <c r="BM393" s="1818"/>
      <c r="BN393" s="1818"/>
      <c r="BO393" s="1818"/>
      <c r="BP393" s="1818"/>
      <c r="BQ393" s="1818"/>
      <c r="BR393" s="1818"/>
      <c r="BS393" s="1818"/>
      <c r="BT393" s="1818"/>
      <c r="BU393" s="1818"/>
      <c r="BV393" s="1818"/>
      <c r="BW393" s="1818"/>
      <c r="BX393" s="1818"/>
      <c r="BY393" s="1818"/>
      <c r="BZ393" s="1818"/>
      <c r="CA393" s="1890"/>
      <c r="CB393" s="1890"/>
      <c r="CC393" s="1890"/>
      <c r="CD393" s="1890"/>
      <c r="CE393" s="1890"/>
      <c r="CF393" s="1890"/>
      <c r="CG393" s="1890"/>
      <c r="CH393" s="1890"/>
      <c r="CI393" s="1890"/>
      <c r="CJ393" s="1890"/>
      <c r="CK393" s="1890"/>
      <c r="CL393" s="1890"/>
      <c r="CM393" s="1890"/>
      <c r="CN393" s="1890"/>
      <c r="CO393" s="1890"/>
      <c r="CP393" s="1890"/>
      <c r="CQ393" s="1890"/>
      <c r="CR393" s="1890"/>
      <c r="CS393" s="1890"/>
      <c r="CT393" s="1890"/>
      <c r="CU393" s="1890"/>
      <c r="CV393" s="1890"/>
      <c r="CW393" s="1890"/>
      <c r="CX393" s="1890"/>
      <c r="CY393" s="1890"/>
      <c r="CZ393" s="1890"/>
      <c r="DA393" s="1890"/>
      <c r="DB393" s="1890"/>
      <c r="DC393" s="1890"/>
      <c r="DD393" s="1890"/>
      <c r="DE393" s="1890"/>
      <c r="DF393" s="1890"/>
      <c r="DG393" s="1890"/>
      <c r="DH393" s="1890"/>
      <c r="DI393" s="1890"/>
      <c r="DJ393" s="1890"/>
      <c r="DK393" s="1890"/>
      <c r="DL393" s="1890"/>
      <c r="DM393" s="1890"/>
      <c r="DN393" s="1890"/>
      <c r="DO393" s="1890"/>
      <c r="DP393" s="1890"/>
      <c r="DQ393" s="1890"/>
      <c r="DR393" s="1890"/>
      <c r="DS393" s="1890"/>
      <c r="DT393" s="1890"/>
      <c r="DU393" s="1890"/>
      <c r="DV393" s="1890"/>
      <c r="DW393" s="1890"/>
      <c r="DX393" s="1890"/>
      <c r="DY393" s="1890"/>
      <c r="DZ393" s="1890"/>
      <c r="EA393" s="1890"/>
      <c r="EB393" s="1890"/>
      <c r="EC393" s="1890"/>
      <c r="ED393" s="1890"/>
      <c r="EE393" s="1890"/>
      <c r="EF393" s="1890"/>
      <c r="EG393" s="1890"/>
      <c r="EH393" s="1890"/>
      <c r="EI393" s="1890"/>
      <c r="EJ393" s="1890"/>
      <c r="EK393" s="1890"/>
      <c r="EL393" s="1890"/>
      <c r="EM393" s="1890"/>
      <c r="EN393" s="1890"/>
      <c r="EO393" s="1890"/>
      <c r="EP393" s="1890"/>
      <c r="EQ393" s="1890"/>
      <c r="ER393" s="1890"/>
      <c r="ES393" s="1890"/>
      <c r="ET393" s="1890"/>
      <c r="EU393" s="1890"/>
      <c r="EV393" s="1890"/>
      <c r="EW393" s="1890"/>
      <c r="EX393" s="1890"/>
      <c r="EY393" s="1890"/>
      <c r="EZ393" s="1890"/>
      <c r="FA393" s="1890"/>
      <c r="FB393" s="1890"/>
      <c r="FC393" s="1890"/>
      <c r="FD393" s="1890"/>
      <c r="FE393" s="1890"/>
      <c r="FF393" s="1890"/>
      <c r="FG393" s="1890"/>
      <c r="FH393" s="1890"/>
      <c r="FI393" s="1890"/>
      <c r="FJ393" s="1890"/>
      <c r="FK393" s="1890"/>
      <c r="FL393" s="1890"/>
      <c r="FM393" s="1890"/>
      <c r="FN393" s="1890"/>
      <c r="FO393" s="1890"/>
      <c r="FP393" s="1890"/>
      <c r="FQ393" s="1890"/>
      <c r="FR393" s="1890"/>
      <c r="FS393" s="1890"/>
      <c r="FT393" s="1890"/>
    </row>
    <row r="394" spans="1:176" s="1965" customFormat="1" ht="32.1" customHeight="1">
      <c r="A394" s="2499" t="s">
        <v>384</v>
      </c>
      <c r="B394" s="2084" t="s">
        <v>7061</v>
      </c>
      <c r="C394" s="2093">
        <f>AVERAGE(C395:C408)</f>
        <v>0.7857142857142857</v>
      </c>
      <c r="D394" s="2093">
        <f t="shared" ref="D394:H394" si="103">AVERAGE(D395:D408)</f>
        <v>0.6071428571428571</v>
      </c>
      <c r="E394" s="2093">
        <f t="shared" si="103"/>
        <v>0.42857142857142855</v>
      </c>
      <c r="F394" s="2093">
        <f t="shared" si="103"/>
        <v>0.75</v>
      </c>
      <c r="G394" s="2093">
        <f t="shared" si="103"/>
        <v>0.5357142857142857</v>
      </c>
      <c r="H394" s="2093">
        <f t="shared" si="103"/>
        <v>0.6428571428571429</v>
      </c>
      <c r="I394" s="2086"/>
      <c r="J394" s="2089"/>
      <c r="K394" s="2089"/>
      <c r="L394" s="2089"/>
      <c r="M394" s="2089"/>
      <c r="N394" s="2089"/>
      <c r="O394" s="2089"/>
      <c r="P394" s="2090"/>
      <c r="Q394" s="2090"/>
      <c r="R394" s="2091"/>
      <c r="S394" s="2089"/>
      <c r="T394" s="2089"/>
      <c r="U394" s="2089"/>
      <c r="V394" s="2089"/>
      <c r="W394" s="2089"/>
      <c r="X394" s="2089"/>
      <c r="Y394" s="1818"/>
      <c r="Z394" s="1818"/>
      <c r="AA394" s="1818"/>
      <c r="AB394" s="1818"/>
      <c r="AC394" s="1818"/>
      <c r="AD394" s="1818"/>
      <c r="AE394" s="1818"/>
      <c r="AF394" s="1818"/>
      <c r="AG394" s="1818"/>
      <c r="AH394" s="1818"/>
      <c r="AI394" s="1818"/>
      <c r="AJ394" s="1818"/>
      <c r="AK394" s="1818"/>
      <c r="AL394" s="1818"/>
      <c r="AM394" s="1818"/>
      <c r="AN394" s="1818"/>
      <c r="AO394" s="1818"/>
      <c r="AP394" s="1818"/>
      <c r="AQ394" s="1818"/>
      <c r="AR394" s="1818"/>
      <c r="AS394" s="1818"/>
      <c r="AT394" s="1818"/>
      <c r="AU394" s="1818"/>
      <c r="AV394" s="1818"/>
      <c r="AW394" s="1818"/>
      <c r="AX394" s="1818"/>
      <c r="AY394" s="1818"/>
      <c r="AZ394" s="1818"/>
      <c r="BA394" s="1818"/>
      <c r="BB394" s="1818"/>
      <c r="BC394" s="1818"/>
      <c r="BD394" s="1818"/>
      <c r="BE394" s="1818"/>
      <c r="BF394" s="1818"/>
      <c r="BG394" s="1818"/>
      <c r="BH394" s="1818"/>
      <c r="BI394" s="1818"/>
      <c r="BJ394" s="1818"/>
      <c r="BK394" s="1818"/>
      <c r="BL394" s="1818"/>
      <c r="BM394" s="1818"/>
      <c r="BN394" s="1818"/>
      <c r="BO394" s="1818"/>
      <c r="BP394" s="1818"/>
      <c r="BQ394" s="1818"/>
      <c r="BR394" s="1818"/>
      <c r="BS394" s="1818"/>
      <c r="BT394" s="1818"/>
      <c r="BU394" s="1818"/>
      <c r="BV394" s="1818"/>
      <c r="BW394" s="1818"/>
      <c r="BX394" s="1818"/>
      <c r="BY394" s="1818"/>
      <c r="BZ394" s="1818"/>
      <c r="CA394" s="1890"/>
      <c r="CB394" s="1890"/>
      <c r="CC394" s="1890"/>
      <c r="CD394" s="1890"/>
      <c r="CE394" s="1890"/>
      <c r="CF394" s="1890"/>
      <c r="CG394" s="1890"/>
      <c r="CH394" s="1890"/>
      <c r="CI394" s="1890"/>
      <c r="CJ394" s="1890"/>
      <c r="CK394" s="1890"/>
      <c r="CL394" s="1890"/>
      <c r="CM394" s="1890"/>
      <c r="CN394" s="1890"/>
      <c r="CO394" s="1890"/>
      <c r="CP394" s="1890"/>
      <c r="CQ394" s="1890"/>
      <c r="CR394" s="1890"/>
      <c r="CS394" s="1890"/>
      <c r="CT394" s="1890"/>
      <c r="CU394" s="1890"/>
      <c r="CV394" s="1890"/>
      <c r="CW394" s="1890"/>
      <c r="CX394" s="1890"/>
      <c r="CY394" s="1890"/>
      <c r="CZ394" s="1890"/>
      <c r="DA394" s="1890"/>
      <c r="DB394" s="1890"/>
      <c r="DC394" s="1890"/>
      <c r="DD394" s="1890"/>
      <c r="DE394" s="1890"/>
      <c r="DF394" s="1890"/>
      <c r="DG394" s="1890"/>
      <c r="DH394" s="1890"/>
      <c r="DI394" s="1890"/>
      <c r="DJ394" s="1890"/>
      <c r="DK394" s="1890"/>
      <c r="DL394" s="1890"/>
      <c r="DM394" s="1890"/>
      <c r="DN394" s="1890"/>
      <c r="DO394" s="1890"/>
      <c r="DP394" s="1890"/>
      <c r="DQ394" s="1890"/>
      <c r="DR394" s="1890"/>
      <c r="DS394" s="1890"/>
      <c r="DT394" s="1890"/>
      <c r="DU394" s="1890"/>
      <c r="DV394" s="1890"/>
      <c r="DW394" s="1890"/>
      <c r="DX394" s="1890"/>
      <c r="DY394" s="1890"/>
      <c r="DZ394" s="1890"/>
      <c r="EA394" s="1890"/>
      <c r="EB394" s="1890"/>
      <c r="EC394" s="1890"/>
      <c r="ED394" s="1890"/>
      <c r="EE394" s="1890"/>
      <c r="EF394" s="1890"/>
      <c r="EG394" s="1890"/>
      <c r="EH394" s="1890"/>
      <c r="EI394" s="1890"/>
      <c r="EJ394" s="1890"/>
      <c r="EK394" s="1890"/>
      <c r="EL394" s="1890"/>
      <c r="EM394" s="1890"/>
      <c r="EN394" s="1890"/>
      <c r="EO394" s="1890"/>
      <c r="EP394" s="1890"/>
      <c r="EQ394" s="1890"/>
      <c r="ER394" s="1890"/>
      <c r="ES394" s="1890"/>
      <c r="ET394" s="1890"/>
      <c r="EU394" s="1890"/>
      <c r="EV394" s="1890"/>
      <c r="EW394" s="1890"/>
      <c r="EX394" s="1890"/>
      <c r="EY394" s="1890"/>
      <c r="EZ394" s="1890"/>
      <c r="FA394" s="1890"/>
      <c r="FB394" s="1890"/>
      <c r="FC394" s="1890"/>
      <c r="FD394" s="1890"/>
      <c r="FE394" s="1890"/>
      <c r="FF394" s="1890"/>
      <c r="FG394" s="1890"/>
      <c r="FH394" s="1890"/>
      <c r="FI394" s="1890"/>
      <c r="FJ394" s="1890"/>
      <c r="FK394" s="1890"/>
      <c r="FL394" s="1890"/>
      <c r="FM394" s="1890"/>
      <c r="FN394" s="1890"/>
      <c r="FO394" s="1890"/>
      <c r="FP394" s="1890"/>
      <c r="FQ394" s="1890"/>
      <c r="FR394" s="1890"/>
      <c r="FS394" s="1890"/>
      <c r="FT394" s="1890"/>
    </row>
    <row r="395" spans="1:176" s="1965" customFormat="1" ht="63.95" customHeight="1">
      <c r="A395" s="2501"/>
      <c r="B395" s="1840" t="s">
        <v>7035</v>
      </c>
      <c r="C395" s="1837">
        <v>1</v>
      </c>
      <c r="D395" s="1863">
        <v>1</v>
      </c>
      <c r="E395" s="1829">
        <v>1</v>
      </c>
      <c r="F395" s="1844">
        <v>1</v>
      </c>
      <c r="G395" s="1848">
        <v>1</v>
      </c>
      <c r="H395" s="1827">
        <v>1</v>
      </c>
      <c r="I395" s="2086" t="s">
        <v>8598</v>
      </c>
      <c r="J395" s="2217">
        <v>1</v>
      </c>
      <c r="K395" s="1974" t="s">
        <v>7387</v>
      </c>
      <c r="L395" s="1794">
        <v>1</v>
      </c>
      <c r="M395" s="1935">
        <v>1</v>
      </c>
      <c r="N395" s="1917" t="s">
        <v>8386</v>
      </c>
      <c r="O395" s="1917" t="s">
        <v>8811</v>
      </c>
      <c r="P395" s="1917"/>
      <c r="Q395" s="1917"/>
      <c r="R395" s="2100"/>
      <c r="S395" s="2248" t="s">
        <v>9259</v>
      </c>
      <c r="T395" s="1974" t="s">
        <v>7637</v>
      </c>
      <c r="U395" s="1794" t="s">
        <v>7308</v>
      </c>
      <c r="V395" s="1935" t="s">
        <v>7952</v>
      </c>
      <c r="W395" s="1991" t="s">
        <v>8386</v>
      </c>
      <c r="X395" s="1917" t="s">
        <v>8811</v>
      </c>
      <c r="Y395" s="1818"/>
      <c r="Z395" s="1818"/>
      <c r="AA395" s="1818"/>
      <c r="AB395" s="1818"/>
      <c r="AC395" s="1818"/>
      <c r="AD395" s="1818"/>
      <c r="AE395" s="1818"/>
      <c r="AF395" s="1818"/>
      <c r="AG395" s="1818"/>
      <c r="AH395" s="1818"/>
      <c r="AI395" s="1818"/>
      <c r="AJ395" s="1818"/>
      <c r="AK395" s="1818"/>
      <c r="AL395" s="1818"/>
      <c r="AM395" s="1818"/>
      <c r="AN395" s="1818"/>
      <c r="AO395" s="1818"/>
      <c r="AP395" s="1818"/>
      <c r="AQ395" s="1818"/>
      <c r="AR395" s="1818"/>
      <c r="AS395" s="1818"/>
      <c r="AT395" s="1818"/>
      <c r="AU395" s="1818"/>
      <c r="AV395" s="1818"/>
      <c r="AW395" s="1818"/>
      <c r="AX395" s="1818"/>
      <c r="AY395" s="1818"/>
      <c r="AZ395" s="1818"/>
      <c r="BA395" s="1818"/>
      <c r="BB395" s="1818"/>
      <c r="BC395" s="1818"/>
      <c r="BD395" s="1818"/>
      <c r="BE395" s="1818"/>
      <c r="BF395" s="1818"/>
      <c r="BG395" s="1818"/>
      <c r="BH395" s="1818"/>
      <c r="BI395" s="1818"/>
      <c r="BJ395" s="1818"/>
      <c r="BK395" s="1818"/>
      <c r="BL395" s="1818"/>
      <c r="BM395" s="1818"/>
      <c r="BN395" s="1818"/>
      <c r="BO395" s="1818"/>
      <c r="BP395" s="1818"/>
      <c r="BQ395" s="1818"/>
      <c r="BR395" s="1818"/>
      <c r="BS395" s="1818"/>
      <c r="BT395" s="1818"/>
      <c r="BU395" s="1818"/>
      <c r="BV395" s="1818"/>
      <c r="BW395" s="1818"/>
      <c r="BX395" s="1818"/>
      <c r="BY395" s="1818"/>
      <c r="BZ395" s="1818"/>
      <c r="CA395" s="1890"/>
      <c r="CB395" s="1890"/>
      <c r="CC395" s="1890"/>
      <c r="CD395" s="1890"/>
      <c r="CE395" s="1890"/>
      <c r="CF395" s="1890"/>
      <c r="CG395" s="1890"/>
      <c r="CH395" s="1890"/>
      <c r="CI395" s="1890"/>
      <c r="CJ395" s="1890"/>
      <c r="CK395" s="1890"/>
      <c r="CL395" s="1890"/>
      <c r="CM395" s="1890"/>
      <c r="CN395" s="1890"/>
      <c r="CO395" s="1890"/>
      <c r="CP395" s="1890"/>
      <c r="CQ395" s="1890"/>
      <c r="CR395" s="1890"/>
      <c r="CS395" s="1890"/>
      <c r="CT395" s="1890"/>
      <c r="CU395" s="1890"/>
      <c r="CV395" s="1890"/>
      <c r="CW395" s="1890"/>
      <c r="CX395" s="1890"/>
      <c r="CY395" s="1890"/>
      <c r="CZ395" s="1890"/>
      <c r="DA395" s="1890"/>
      <c r="DB395" s="1890"/>
      <c r="DC395" s="1890"/>
      <c r="DD395" s="1890"/>
      <c r="DE395" s="1890"/>
      <c r="DF395" s="1890"/>
      <c r="DG395" s="1890"/>
      <c r="DH395" s="1890"/>
      <c r="DI395" s="1890"/>
      <c r="DJ395" s="1890"/>
      <c r="DK395" s="1890"/>
      <c r="DL395" s="1890"/>
      <c r="DM395" s="1890"/>
      <c r="DN395" s="1890"/>
      <c r="DO395" s="1890"/>
      <c r="DP395" s="1890"/>
      <c r="DQ395" s="1890"/>
      <c r="DR395" s="1890"/>
      <c r="DS395" s="1890"/>
      <c r="DT395" s="1890"/>
      <c r="DU395" s="1890"/>
      <c r="DV395" s="1890"/>
      <c r="DW395" s="1890"/>
      <c r="DX395" s="1890"/>
      <c r="DY395" s="1890"/>
      <c r="DZ395" s="1890"/>
      <c r="EA395" s="1890"/>
      <c r="EB395" s="1890"/>
      <c r="EC395" s="1890"/>
      <c r="ED395" s="1890"/>
      <c r="EE395" s="1890"/>
      <c r="EF395" s="1890"/>
      <c r="EG395" s="1890"/>
      <c r="EH395" s="1890"/>
      <c r="EI395" s="1890"/>
      <c r="EJ395" s="1890"/>
      <c r="EK395" s="1890"/>
      <c r="EL395" s="1890"/>
      <c r="EM395" s="1890"/>
      <c r="EN395" s="1890"/>
      <c r="EO395" s="1890"/>
      <c r="EP395" s="1890"/>
      <c r="EQ395" s="1890"/>
      <c r="ER395" s="1890"/>
      <c r="ES395" s="1890"/>
      <c r="ET395" s="1890"/>
      <c r="EU395" s="1890"/>
      <c r="EV395" s="1890"/>
      <c r="EW395" s="1890"/>
      <c r="EX395" s="1890"/>
      <c r="EY395" s="1890"/>
      <c r="EZ395" s="1890"/>
      <c r="FA395" s="1890"/>
      <c r="FB395" s="1890"/>
      <c r="FC395" s="1890"/>
      <c r="FD395" s="1890"/>
      <c r="FE395" s="1890"/>
      <c r="FF395" s="1890"/>
      <c r="FG395" s="1890"/>
      <c r="FH395" s="1890"/>
      <c r="FI395" s="1890"/>
      <c r="FJ395" s="1890"/>
      <c r="FK395" s="1890"/>
      <c r="FL395" s="1890"/>
      <c r="FM395" s="1890"/>
      <c r="FN395" s="1890"/>
      <c r="FO395" s="1890"/>
      <c r="FP395" s="1890"/>
      <c r="FQ395" s="1890"/>
      <c r="FR395" s="1890"/>
      <c r="FS395" s="1890"/>
      <c r="FT395" s="1890"/>
    </row>
    <row r="396" spans="1:176" s="1965" customFormat="1" ht="126.95" customHeight="1">
      <c r="A396" s="1899"/>
      <c r="B396" s="1840" t="s">
        <v>7036</v>
      </c>
      <c r="C396" s="1837">
        <v>1</v>
      </c>
      <c r="D396" s="1829">
        <v>1</v>
      </c>
      <c r="E396" s="1829">
        <v>1</v>
      </c>
      <c r="F396" s="1829">
        <v>1</v>
      </c>
      <c r="G396" s="1829">
        <v>1</v>
      </c>
      <c r="H396" s="1850">
        <v>1</v>
      </c>
      <c r="I396" s="2086" t="s">
        <v>8597</v>
      </c>
      <c r="J396" s="2217">
        <v>1</v>
      </c>
      <c r="K396" s="1974" t="s">
        <v>7388</v>
      </c>
      <c r="L396" s="1794">
        <v>1</v>
      </c>
      <c r="M396" s="1935">
        <v>1</v>
      </c>
      <c r="N396" s="1917" t="s">
        <v>8387</v>
      </c>
      <c r="O396" s="1917" t="s">
        <v>8812</v>
      </c>
      <c r="P396" s="1917"/>
      <c r="Q396" s="1917"/>
      <c r="R396" s="2100"/>
      <c r="S396" s="2248" t="s">
        <v>9260</v>
      </c>
      <c r="T396" s="1974" t="s">
        <v>7638</v>
      </c>
      <c r="U396" s="1794" t="s">
        <v>7309</v>
      </c>
      <c r="V396" s="1935" t="s">
        <v>7953</v>
      </c>
      <c r="W396" s="1991" t="s">
        <v>8387</v>
      </c>
      <c r="X396" s="1917" t="s">
        <v>8812</v>
      </c>
      <c r="Y396" s="1818"/>
      <c r="Z396" s="1818"/>
      <c r="AA396" s="1818"/>
      <c r="AB396" s="1818"/>
      <c r="AC396" s="1818"/>
      <c r="AD396" s="1818"/>
      <c r="AE396" s="1818"/>
      <c r="AF396" s="1818"/>
      <c r="AG396" s="1818"/>
      <c r="AH396" s="1818"/>
      <c r="AI396" s="1818"/>
      <c r="AJ396" s="1818"/>
      <c r="AK396" s="1818"/>
      <c r="AL396" s="1818"/>
      <c r="AM396" s="1818"/>
      <c r="AN396" s="1818"/>
      <c r="AO396" s="1818"/>
      <c r="AP396" s="1818"/>
      <c r="AQ396" s="1818"/>
      <c r="AR396" s="1818"/>
      <c r="AS396" s="1818"/>
      <c r="AT396" s="1818"/>
      <c r="AU396" s="1818"/>
      <c r="AV396" s="1818"/>
      <c r="AW396" s="1818"/>
      <c r="AX396" s="1818"/>
      <c r="AY396" s="1818"/>
      <c r="AZ396" s="1818"/>
      <c r="BA396" s="1818"/>
      <c r="BB396" s="1818"/>
      <c r="BC396" s="1818"/>
      <c r="BD396" s="1818"/>
      <c r="BE396" s="1818"/>
      <c r="BF396" s="1818"/>
      <c r="BG396" s="1818"/>
      <c r="BH396" s="1818"/>
      <c r="BI396" s="1818"/>
      <c r="BJ396" s="1818"/>
      <c r="BK396" s="1818"/>
      <c r="BL396" s="1818"/>
      <c r="BM396" s="1818"/>
      <c r="BN396" s="1818"/>
      <c r="BO396" s="1818"/>
      <c r="BP396" s="1818"/>
      <c r="BQ396" s="1818"/>
      <c r="BR396" s="1818"/>
      <c r="BS396" s="1818"/>
      <c r="BT396" s="1818"/>
      <c r="BU396" s="1818"/>
      <c r="BV396" s="1818"/>
      <c r="BW396" s="1818"/>
      <c r="BX396" s="1818"/>
      <c r="BY396" s="1818"/>
      <c r="BZ396" s="1818"/>
      <c r="CA396" s="1890"/>
      <c r="CB396" s="1890"/>
      <c r="CC396" s="1890"/>
      <c r="CD396" s="1890"/>
      <c r="CE396" s="1890"/>
      <c r="CF396" s="1890"/>
      <c r="CG396" s="1890"/>
      <c r="CH396" s="1890"/>
      <c r="CI396" s="1890"/>
      <c r="CJ396" s="1890"/>
      <c r="CK396" s="1890"/>
      <c r="CL396" s="1890"/>
      <c r="CM396" s="1890"/>
      <c r="CN396" s="1890"/>
      <c r="CO396" s="1890"/>
      <c r="CP396" s="1890"/>
      <c r="CQ396" s="1890"/>
      <c r="CR396" s="1890"/>
      <c r="CS396" s="1890"/>
      <c r="CT396" s="1890"/>
      <c r="CU396" s="1890"/>
      <c r="CV396" s="1890"/>
      <c r="CW396" s="1890"/>
      <c r="CX396" s="1890"/>
      <c r="CY396" s="1890"/>
      <c r="CZ396" s="1890"/>
      <c r="DA396" s="1890"/>
      <c r="DB396" s="1890"/>
      <c r="DC396" s="1890"/>
      <c r="DD396" s="1890"/>
      <c r="DE396" s="1890"/>
      <c r="DF396" s="1890"/>
      <c r="DG396" s="1890"/>
      <c r="DH396" s="1890"/>
      <c r="DI396" s="1890"/>
      <c r="DJ396" s="1890"/>
      <c r="DK396" s="1890"/>
      <c r="DL396" s="1890"/>
      <c r="DM396" s="1890"/>
      <c r="DN396" s="1890"/>
      <c r="DO396" s="1890"/>
      <c r="DP396" s="1890"/>
      <c r="DQ396" s="1890"/>
      <c r="DR396" s="1890"/>
      <c r="DS396" s="1890"/>
      <c r="DT396" s="1890"/>
      <c r="DU396" s="1890"/>
      <c r="DV396" s="1890"/>
      <c r="DW396" s="1890"/>
      <c r="DX396" s="1890"/>
      <c r="DY396" s="1890"/>
      <c r="DZ396" s="1890"/>
      <c r="EA396" s="1890"/>
      <c r="EB396" s="1890"/>
      <c r="EC396" s="1890"/>
      <c r="ED396" s="1890"/>
      <c r="EE396" s="1890"/>
      <c r="EF396" s="1890"/>
      <c r="EG396" s="1890"/>
      <c r="EH396" s="1890"/>
      <c r="EI396" s="1890"/>
      <c r="EJ396" s="1890"/>
      <c r="EK396" s="1890"/>
      <c r="EL396" s="1890"/>
      <c r="EM396" s="1890"/>
      <c r="EN396" s="1890"/>
      <c r="EO396" s="1890"/>
      <c r="EP396" s="1890"/>
      <c r="EQ396" s="1890"/>
      <c r="ER396" s="1890"/>
      <c r="ES396" s="1890"/>
      <c r="ET396" s="1890"/>
      <c r="EU396" s="1890"/>
      <c r="EV396" s="1890"/>
      <c r="EW396" s="1890"/>
      <c r="EX396" s="1890"/>
      <c r="EY396" s="1890"/>
      <c r="EZ396" s="1890"/>
      <c r="FA396" s="1890"/>
      <c r="FB396" s="1890"/>
      <c r="FC396" s="1890"/>
      <c r="FD396" s="1890"/>
      <c r="FE396" s="1890"/>
      <c r="FF396" s="1890"/>
      <c r="FG396" s="1890"/>
      <c r="FH396" s="1890"/>
      <c r="FI396" s="1890"/>
      <c r="FJ396" s="1890"/>
      <c r="FK396" s="1890"/>
      <c r="FL396" s="1890"/>
      <c r="FM396" s="1890"/>
      <c r="FN396" s="1890"/>
      <c r="FO396" s="1890"/>
      <c r="FP396" s="1890"/>
      <c r="FQ396" s="1890"/>
      <c r="FR396" s="1890"/>
      <c r="FS396" s="1890"/>
      <c r="FT396" s="1890"/>
    </row>
    <row r="397" spans="1:176" s="1965" customFormat="1" ht="60" customHeight="1">
      <c r="A397" s="1899"/>
      <c r="B397" s="1840" t="s">
        <v>7037</v>
      </c>
      <c r="C397" s="1837">
        <v>1</v>
      </c>
      <c r="D397" s="1829">
        <v>1</v>
      </c>
      <c r="E397" s="1829">
        <v>0</v>
      </c>
      <c r="F397" s="1829">
        <v>1</v>
      </c>
      <c r="G397" s="1829">
        <v>1</v>
      </c>
      <c r="H397" s="1850">
        <v>0</v>
      </c>
      <c r="I397" s="2086" t="s">
        <v>8596</v>
      </c>
      <c r="J397" s="2217">
        <v>1</v>
      </c>
      <c r="K397" s="1974" t="s">
        <v>811</v>
      </c>
      <c r="L397" s="1794">
        <v>0</v>
      </c>
      <c r="M397" s="1935">
        <v>1</v>
      </c>
      <c r="N397" s="1917" t="s">
        <v>8388</v>
      </c>
      <c r="O397" s="1917" t="s">
        <v>8813</v>
      </c>
      <c r="P397" s="1917"/>
      <c r="Q397" s="1917"/>
      <c r="R397" s="2100"/>
      <c r="S397" s="2248" t="s">
        <v>9261</v>
      </c>
      <c r="T397" s="1974" t="s">
        <v>7638</v>
      </c>
      <c r="U397" s="1794" t="s">
        <v>7310</v>
      </c>
      <c r="V397" s="1935" t="s">
        <v>7954</v>
      </c>
      <c r="W397" s="1991" t="s">
        <v>8388</v>
      </c>
      <c r="X397" s="1917" t="s">
        <v>8813</v>
      </c>
      <c r="Y397" s="1818"/>
      <c r="Z397" s="1818"/>
      <c r="AA397" s="1818"/>
      <c r="AB397" s="1818"/>
      <c r="AC397" s="1818"/>
      <c r="AD397" s="1818"/>
      <c r="AE397" s="1818"/>
      <c r="AF397" s="1818"/>
      <c r="AG397" s="1818"/>
      <c r="AH397" s="1818"/>
      <c r="AI397" s="1818"/>
      <c r="AJ397" s="1818"/>
      <c r="AK397" s="1818"/>
      <c r="AL397" s="1818"/>
      <c r="AM397" s="1818"/>
      <c r="AN397" s="1818"/>
      <c r="AO397" s="1818"/>
      <c r="AP397" s="1818"/>
      <c r="AQ397" s="1818"/>
      <c r="AR397" s="1818"/>
      <c r="AS397" s="1818"/>
      <c r="AT397" s="1818"/>
      <c r="AU397" s="1818"/>
      <c r="AV397" s="1818"/>
      <c r="AW397" s="1818"/>
      <c r="AX397" s="1818"/>
      <c r="AY397" s="1818"/>
      <c r="AZ397" s="1818"/>
      <c r="BA397" s="1818"/>
      <c r="BB397" s="1818"/>
      <c r="BC397" s="1818"/>
      <c r="BD397" s="1818"/>
      <c r="BE397" s="1818"/>
      <c r="BF397" s="1818"/>
      <c r="BG397" s="1818"/>
      <c r="BH397" s="1818"/>
      <c r="BI397" s="1818"/>
      <c r="BJ397" s="1818"/>
      <c r="BK397" s="1818"/>
      <c r="BL397" s="1818"/>
      <c r="BM397" s="1818"/>
      <c r="BN397" s="1818"/>
      <c r="BO397" s="1818"/>
      <c r="BP397" s="1818"/>
      <c r="BQ397" s="1818"/>
      <c r="BR397" s="1818"/>
      <c r="BS397" s="1818"/>
      <c r="BT397" s="1818"/>
      <c r="BU397" s="1818"/>
      <c r="BV397" s="1818"/>
      <c r="BW397" s="1818"/>
      <c r="BX397" s="1818"/>
      <c r="BY397" s="1818"/>
      <c r="BZ397" s="1818"/>
      <c r="CA397" s="1890"/>
      <c r="CB397" s="1890"/>
      <c r="CC397" s="1890"/>
      <c r="CD397" s="1890"/>
      <c r="CE397" s="1890"/>
      <c r="CF397" s="1890"/>
      <c r="CG397" s="1890"/>
      <c r="CH397" s="1890"/>
      <c r="CI397" s="1890"/>
      <c r="CJ397" s="1890"/>
      <c r="CK397" s="1890"/>
      <c r="CL397" s="1890"/>
      <c r="CM397" s="1890"/>
      <c r="CN397" s="1890"/>
      <c r="CO397" s="1890"/>
      <c r="CP397" s="1890"/>
      <c r="CQ397" s="1890"/>
      <c r="CR397" s="1890"/>
      <c r="CS397" s="1890"/>
      <c r="CT397" s="1890"/>
      <c r="CU397" s="1890"/>
      <c r="CV397" s="1890"/>
      <c r="CW397" s="1890"/>
      <c r="CX397" s="1890"/>
      <c r="CY397" s="1890"/>
      <c r="CZ397" s="1890"/>
      <c r="DA397" s="1890"/>
      <c r="DB397" s="1890"/>
      <c r="DC397" s="1890"/>
      <c r="DD397" s="1890"/>
      <c r="DE397" s="1890"/>
      <c r="DF397" s="1890"/>
      <c r="DG397" s="1890"/>
      <c r="DH397" s="1890"/>
      <c r="DI397" s="1890"/>
      <c r="DJ397" s="1890"/>
      <c r="DK397" s="1890"/>
      <c r="DL397" s="1890"/>
      <c r="DM397" s="1890"/>
      <c r="DN397" s="1890"/>
      <c r="DO397" s="1890"/>
      <c r="DP397" s="1890"/>
      <c r="DQ397" s="1890"/>
      <c r="DR397" s="1890"/>
      <c r="DS397" s="1890"/>
      <c r="DT397" s="1890"/>
      <c r="DU397" s="1890"/>
      <c r="DV397" s="1890"/>
      <c r="DW397" s="1890"/>
      <c r="DX397" s="1890"/>
      <c r="DY397" s="1890"/>
      <c r="DZ397" s="1890"/>
      <c r="EA397" s="1890"/>
      <c r="EB397" s="1890"/>
      <c r="EC397" s="1890"/>
      <c r="ED397" s="1890"/>
      <c r="EE397" s="1890"/>
      <c r="EF397" s="1890"/>
      <c r="EG397" s="1890"/>
      <c r="EH397" s="1890"/>
      <c r="EI397" s="1890"/>
      <c r="EJ397" s="1890"/>
      <c r="EK397" s="1890"/>
      <c r="EL397" s="1890"/>
      <c r="EM397" s="1890"/>
      <c r="EN397" s="1890"/>
      <c r="EO397" s="1890"/>
      <c r="EP397" s="1890"/>
      <c r="EQ397" s="1890"/>
      <c r="ER397" s="1890"/>
      <c r="ES397" s="1890"/>
      <c r="ET397" s="1890"/>
      <c r="EU397" s="1890"/>
      <c r="EV397" s="1890"/>
      <c r="EW397" s="1890"/>
      <c r="EX397" s="1890"/>
      <c r="EY397" s="1890"/>
      <c r="EZ397" s="1890"/>
      <c r="FA397" s="1890"/>
      <c r="FB397" s="1890"/>
      <c r="FC397" s="1890"/>
      <c r="FD397" s="1890"/>
      <c r="FE397" s="1890"/>
      <c r="FF397" s="1890"/>
      <c r="FG397" s="1890"/>
      <c r="FH397" s="1890"/>
      <c r="FI397" s="1890"/>
      <c r="FJ397" s="1890"/>
      <c r="FK397" s="1890"/>
      <c r="FL397" s="1890"/>
      <c r="FM397" s="1890"/>
      <c r="FN397" s="1890"/>
      <c r="FO397" s="1890"/>
      <c r="FP397" s="1890"/>
      <c r="FQ397" s="1890"/>
      <c r="FR397" s="1890"/>
      <c r="FS397" s="1890"/>
      <c r="FT397" s="1890"/>
    </row>
    <row r="398" spans="1:176" s="1965" customFormat="1" ht="65.099999999999994" customHeight="1">
      <c r="A398" s="1899"/>
      <c r="B398" s="1840" t="s">
        <v>7038</v>
      </c>
      <c r="C398" s="1837">
        <v>1</v>
      </c>
      <c r="D398" s="1829">
        <v>0.5</v>
      </c>
      <c r="E398" s="1829">
        <v>0.5</v>
      </c>
      <c r="F398" s="1829">
        <v>1</v>
      </c>
      <c r="G398" s="1829">
        <v>0.5</v>
      </c>
      <c r="H398" s="1850">
        <v>1</v>
      </c>
      <c r="I398" s="2086" t="s">
        <v>8595</v>
      </c>
      <c r="J398" s="2217">
        <v>1</v>
      </c>
      <c r="K398" s="1974" t="s">
        <v>7389</v>
      </c>
      <c r="L398" s="1794">
        <v>0.5</v>
      </c>
      <c r="M398" s="1935">
        <v>1</v>
      </c>
      <c r="N398" s="1917" t="s">
        <v>8389</v>
      </c>
      <c r="O398" s="1917" t="s">
        <v>8814</v>
      </c>
      <c r="P398" s="1917"/>
      <c r="Q398" s="1917"/>
      <c r="R398" s="2100"/>
      <c r="S398" s="2248" t="s">
        <v>8183</v>
      </c>
      <c r="T398" s="1974" t="s">
        <v>7639</v>
      </c>
      <c r="U398" s="1794" t="s">
        <v>7311</v>
      </c>
      <c r="V398" s="1935" t="s">
        <v>8994</v>
      </c>
      <c r="W398" s="1917" t="s">
        <v>8389</v>
      </c>
      <c r="X398" s="1917" t="s">
        <v>8814</v>
      </c>
      <c r="Y398" s="1818"/>
      <c r="Z398" s="1818"/>
      <c r="AA398" s="1818"/>
      <c r="AB398" s="1818"/>
      <c r="AC398" s="1818"/>
      <c r="AD398" s="1818"/>
      <c r="AE398" s="1818"/>
      <c r="AF398" s="1818"/>
      <c r="AG398" s="1818"/>
      <c r="AH398" s="1818"/>
      <c r="AI398" s="1818"/>
      <c r="AJ398" s="1818"/>
      <c r="AK398" s="1818"/>
      <c r="AL398" s="1818"/>
      <c r="AM398" s="1818"/>
      <c r="AN398" s="1818"/>
      <c r="AO398" s="1818"/>
      <c r="AP398" s="1818"/>
      <c r="AQ398" s="1818"/>
      <c r="AR398" s="1818"/>
      <c r="AS398" s="1818"/>
      <c r="AT398" s="1818"/>
      <c r="AU398" s="1818"/>
      <c r="AV398" s="1818"/>
      <c r="AW398" s="1818"/>
      <c r="AX398" s="1818"/>
      <c r="AY398" s="1818"/>
      <c r="AZ398" s="1818"/>
      <c r="BA398" s="1818"/>
      <c r="BB398" s="1818"/>
      <c r="BC398" s="1818"/>
      <c r="BD398" s="1818"/>
      <c r="BE398" s="1818"/>
      <c r="BF398" s="1818"/>
      <c r="BG398" s="1818"/>
      <c r="BH398" s="1818"/>
      <c r="BI398" s="1818"/>
      <c r="BJ398" s="1818"/>
      <c r="BK398" s="1818"/>
      <c r="BL398" s="1818"/>
      <c r="BM398" s="1818"/>
      <c r="BN398" s="1818"/>
      <c r="BO398" s="1818"/>
      <c r="BP398" s="1818"/>
      <c r="BQ398" s="1818"/>
      <c r="BR398" s="1818"/>
      <c r="BS398" s="1818"/>
      <c r="BT398" s="1818"/>
      <c r="BU398" s="1818"/>
      <c r="BV398" s="1818"/>
      <c r="BW398" s="1818"/>
      <c r="BX398" s="1818"/>
      <c r="BY398" s="1818"/>
      <c r="BZ398" s="1818"/>
      <c r="CA398" s="1890"/>
      <c r="CB398" s="1890"/>
      <c r="CC398" s="1890"/>
      <c r="CD398" s="1890"/>
      <c r="CE398" s="1890"/>
      <c r="CF398" s="1890"/>
      <c r="CG398" s="1890"/>
      <c r="CH398" s="1890"/>
      <c r="CI398" s="1890"/>
      <c r="CJ398" s="1890"/>
      <c r="CK398" s="1890"/>
      <c r="CL398" s="1890"/>
      <c r="CM398" s="1890"/>
      <c r="CN398" s="1890"/>
      <c r="CO398" s="1890"/>
      <c r="CP398" s="1890"/>
      <c r="CQ398" s="1890"/>
      <c r="CR398" s="1890"/>
      <c r="CS398" s="1890"/>
      <c r="CT398" s="1890"/>
      <c r="CU398" s="1890"/>
      <c r="CV398" s="1890"/>
      <c r="CW398" s="1890"/>
      <c r="CX398" s="1890"/>
      <c r="CY398" s="1890"/>
      <c r="CZ398" s="1890"/>
      <c r="DA398" s="1890"/>
      <c r="DB398" s="1890"/>
      <c r="DC398" s="1890"/>
      <c r="DD398" s="1890"/>
      <c r="DE398" s="1890"/>
      <c r="DF398" s="1890"/>
      <c r="DG398" s="1890"/>
      <c r="DH398" s="1890"/>
      <c r="DI398" s="1890"/>
      <c r="DJ398" s="1890"/>
      <c r="DK398" s="1890"/>
      <c r="DL398" s="1890"/>
      <c r="DM398" s="1890"/>
      <c r="DN398" s="1890"/>
      <c r="DO398" s="1890"/>
      <c r="DP398" s="1890"/>
      <c r="DQ398" s="1890"/>
      <c r="DR398" s="1890"/>
      <c r="DS398" s="1890"/>
      <c r="DT398" s="1890"/>
      <c r="DU398" s="1890"/>
      <c r="DV398" s="1890"/>
      <c r="DW398" s="1890"/>
      <c r="DX398" s="1890"/>
      <c r="DY398" s="1890"/>
      <c r="DZ398" s="1890"/>
      <c r="EA398" s="1890"/>
      <c r="EB398" s="1890"/>
      <c r="EC398" s="1890"/>
      <c r="ED398" s="1890"/>
      <c r="EE398" s="1890"/>
      <c r="EF398" s="1890"/>
      <c r="EG398" s="1890"/>
      <c r="EH398" s="1890"/>
      <c r="EI398" s="1890"/>
      <c r="EJ398" s="1890"/>
      <c r="EK398" s="1890"/>
      <c r="EL398" s="1890"/>
      <c r="EM398" s="1890"/>
      <c r="EN398" s="1890"/>
      <c r="EO398" s="1890"/>
      <c r="EP398" s="1890"/>
      <c r="EQ398" s="1890"/>
      <c r="ER398" s="1890"/>
      <c r="ES398" s="1890"/>
      <c r="ET398" s="1890"/>
      <c r="EU398" s="1890"/>
      <c r="EV398" s="1890"/>
      <c r="EW398" s="1890"/>
      <c r="EX398" s="1890"/>
      <c r="EY398" s="1890"/>
      <c r="EZ398" s="1890"/>
      <c r="FA398" s="1890"/>
      <c r="FB398" s="1890"/>
      <c r="FC398" s="1890"/>
      <c r="FD398" s="1890"/>
      <c r="FE398" s="1890"/>
      <c r="FF398" s="1890"/>
      <c r="FG398" s="1890"/>
      <c r="FH398" s="1890"/>
      <c r="FI398" s="1890"/>
      <c r="FJ398" s="1890"/>
      <c r="FK398" s="1890"/>
      <c r="FL398" s="1890"/>
      <c r="FM398" s="1890"/>
      <c r="FN398" s="1890"/>
      <c r="FO398" s="1890"/>
      <c r="FP398" s="1890"/>
      <c r="FQ398" s="1890"/>
      <c r="FR398" s="1890"/>
      <c r="FS398" s="1890"/>
      <c r="FT398" s="1890"/>
    </row>
    <row r="399" spans="1:176" s="1965" customFormat="1" ht="63.95" customHeight="1">
      <c r="A399" s="1899"/>
      <c r="B399" s="1840" t="s">
        <v>7039</v>
      </c>
      <c r="C399" s="1837">
        <v>0.5</v>
      </c>
      <c r="D399" s="1829">
        <v>0</v>
      </c>
      <c r="E399" s="1829">
        <v>0</v>
      </c>
      <c r="F399" s="1829">
        <v>1</v>
      </c>
      <c r="G399" s="1829">
        <v>0</v>
      </c>
      <c r="H399" s="1850">
        <v>1</v>
      </c>
      <c r="I399" s="2086" t="s">
        <v>8594</v>
      </c>
      <c r="J399" s="2218" t="s">
        <v>6225</v>
      </c>
      <c r="K399" s="1974" t="s">
        <v>7390</v>
      </c>
      <c r="L399" s="1794">
        <v>0</v>
      </c>
      <c r="M399" s="1935">
        <v>1</v>
      </c>
      <c r="N399" s="1917" t="s">
        <v>8390</v>
      </c>
      <c r="O399" s="1917" t="s">
        <v>8815</v>
      </c>
      <c r="P399" s="1917"/>
      <c r="Q399" s="1917"/>
      <c r="R399" s="2100"/>
      <c r="S399" s="2248" t="s">
        <v>9262</v>
      </c>
      <c r="T399" s="1974" t="s">
        <v>7640</v>
      </c>
      <c r="U399" s="1794" t="s">
        <v>7312</v>
      </c>
      <c r="V399" s="1935" t="s">
        <v>7955</v>
      </c>
      <c r="W399" s="1991" t="s">
        <v>8390</v>
      </c>
      <c r="X399" s="1917" t="s">
        <v>8815</v>
      </c>
      <c r="Y399" s="1818"/>
      <c r="Z399" s="1818"/>
      <c r="AA399" s="1818"/>
      <c r="AB399" s="1818"/>
      <c r="AC399" s="1818"/>
      <c r="AD399" s="1818"/>
      <c r="AE399" s="1818"/>
      <c r="AF399" s="1818"/>
      <c r="AG399" s="1818"/>
      <c r="AH399" s="1818"/>
      <c r="AI399" s="1818"/>
      <c r="AJ399" s="1818"/>
      <c r="AK399" s="1818"/>
      <c r="AL399" s="1818"/>
      <c r="AM399" s="1818"/>
      <c r="AN399" s="1818"/>
      <c r="AO399" s="1818"/>
      <c r="AP399" s="1818"/>
      <c r="AQ399" s="1818"/>
      <c r="AR399" s="1818"/>
      <c r="AS399" s="1818"/>
      <c r="AT399" s="1818"/>
      <c r="AU399" s="1818"/>
      <c r="AV399" s="1818"/>
      <c r="AW399" s="1818"/>
      <c r="AX399" s="1818"/>
      <c r="AY399" s="1818"/>
      <c r="AZ399" s="1818"/>
      <c r="BA399" s="1818"/>
      <c r="BB399" s="1818"/>
      <c r="BC399" s="1818"/>
      <c r="BD399" s="1818"/>
      <c r="BE399" s="1818"/>
      <c r="BF399" s="1818"/>
      <c r="BG399" s="1818"/>
      <c r="BH399" s="1818"/>
      <c r="BI399" s="1818"/>
      <c r="BJ399" s="1818"/>
      <c r="BK399" s="1818"/>
      <c r="BL399" s="1818"/>
      <c r="BM399" s="1818"/>
      <c r="BN399" s="1818"/>
      <c r="BO399" s="1818"/>
      <c r="BP399" s="1818"/>
      <c r="BQ399" s="1818"/>
      <c r="BR399" s="1818"/>
      <c r="BS399" s="1818"/>
      <c r="BT399" s="1818"/>
      <c r="BU399" s="1818"/>
      <c r="BV399" s="1818"/>
      <c r="BW399" s="1818"/>
      <c r="BX399" s="1818"/>
      <c r="BY399" s="1818"/>
      <c r="BZ399" s="1818"/>
      <c r="CA399" s="1890"/>
      <c r="CB399" s="1890"/>
      <c r="CC399" s="1890"/>
      <c r="CD399" s="1890"/>
      <c r="CE399" s="1890"/>
      <c r="CF399" s="1890"/>
      <c r="CG399" s="1890"/>
      <c r="CH399" s="1890"/>
      <c r="CI399" s="1890"/>
      <c r="CJ399" s="1890"/>
      <c r="CK399" s="1890"/>
      <c r="CL399" s="1890"/>
      <c r="CM399" s="1890"/>
      <c r="CN399" s="1890"/>
      <c r="CO399" s="1890"/>
      <c r="CP399" s="1890"/>
      <c r="CQ399" s="1890"/>
      <c r="CR399" s="1890"/>
      <c r="CS399" s="1890"/>
      <c r="CT399" s="1890"/>
      <c r="CU399" s="1890"/>
      <c r="CV399" s="1890"/>
      <c r="CW399" s="1890"/>
      <c r="CX399" s="1890"/>
      <c r="CY399" s="1890"/>
      <c r="CZ399" s="1890"/>
      <c r="DA399" s="1890"/>
      <c r="DB399" s="1890"/>
      <c r="DC399" s="1890"/>
      <c r="DD399" s="1890"/>
      <c r="DE399" s="1890"/>
      <c r="DF399" s="1890"/>
      <c r="DG399" s="1890"/>
      <c r="DH399" s="1890"/>
      <c r="DI399" s="1890"/>
      <c r="DJ399" s="1890"/>
      <c r="DK399" s="1890"/>
      <c r="DL399" s="1890"/>
      <c r="DM399" s="1890"/>
      <c r="DN399" s="1890"/>
      <c r="DO399" s="1890"/>
      <c r="DP399" s="1890"/>
      <c r="DQ399" s="1890"/>
      <c r="DR399" s="1890"/>
      <c r="DS399" s="1890"/>
      <c r="DT399" s="1890"/>
      <c r="DU399" s="1890"/>
      <c r="DV399" s="1890"/>
      <c r="DW399" s="1890"/>
      <c r="DX399" s="1890"/>
      <c r="DY399" s="1890"/>
      <c r="DZ399" s="1890"/>
      <c r="EA399" s="1890"/>
      <c r="EB399" s="1890"/>
      <c r="EC399" s="1890"/>
      <c r="ED399" s="1890"/>
      <c r="EE399" s="1890"/>
      <c r="EF399" s="1890"/>
      <c r="EG399" s="1890"/>
      <c r="EH399" s="1890"/>
      <c r="EI399" s="1890"/>
      <c r="EJ399" s="1890"/>
      <c r="EK399" s="1890"/>
      <c r="EL399" s="1890"/>
      <c r="EM399" s="1890"/>
      <c r="EN399" s="1890"/>
      <c r="EO399" s="1890"/>
      <c r="EP399" s="1890"/>
      <c r="EQ399" s="1890"/>
      <c r="ER399" s="1890"/>
      <c r="ES399" s="1890"/>
      <c r="ET399" s="1890"/>
      <c r="EU399" s="1890"/>
      <c r="EV399" s="1890"/>
      <c r="EW399" s="1890"/>
      <c r="EX399" s="1890"/>
      <c r="EY399" s="1890"/>
      <c r="EZ399" s="1890"/>
      <c r="FA399" s="1890"/>
      <c r="FB399" s="1890"/>
      <c r="FC399" s="1890"/>
      <c r="FD399" s="1890"/>
      <c r="FE399" s="1890"/>
      <c r="FF399" s="1890"/>
      <c r="FG399" s="1890"/>
      <c r="FH399" s="1890"/>
      <c r="FI399" s="1890"/>
      <c r="FJ399" s="1890"/>
      <c r="FK399" s="1890"/>
      <c r="FL399" s="1890"/>
      <c r="FM399" s="1890"/>
      <c r="FN399" s="1890"/>
      <c r="FO399" s="1890"/>
      <c r="FP399" s="1890"/>
      <c r="FQ399" s="1890"/>
      <c r="FR399" s="1890"/>
      <c r="FS399" s="1890"/>
      <c r="FT399" s="1890"/>
    </row>
    <row r="400" spans="1:176" s="1965" customFormat="1" ht="51.95" customHeight="1">
      <c r="A400" s="1899"/>
      <c r="B400" s="1840" t="s">
        <v>7040</v>
      </c>
      <c r="C400" s="1837">
        <v>1</v>
      </c>
      <c r="D400" s="1829">
        <v>1</v>
      </c>
      <c r="E400" s="1829">
        <v>1</v>
      </c>
      <c r="F400" s="1829">
        <v>1</v>
      </c>
      <c r="G400" s="1829">
        <v>0</v>
      </c>
      <c r="H400" s="1850">
        <v>1</v>
      </c>
      <c r="I400" s="2086" t="s">
        <v>8593</v>
      </c>
      <c r="J400" s="2217">
        <v>1</v>
      </c>
      <c r="K400" s="1974" t="s">
        <v>811</v>
      </c>
      <c r="L400" s="1794">
        <v>1</v>
      </c>
      <c r="M400" s="1935">
        <v>1</v>
      </c>
      <c r="N400" s="1917" t="s">
        <v>8391</v>
      </c>
      <c r="O400" s="1917" t="s">
        <v>8816</v>
      </c>
      <c r="P400" s="1917"/>
      <c r="Q400" s="1917"/>
      <c r="R400" s="2100"/>
      <c r="S400" s="2248" t="s">
        <v>9263</v>
      </c>
      <c r="T400" s="1974" t="s">
        <v>7641</v>
      </c>
      <c r="U400" s="1794" t="s">
        <v>7313</v>
      </c>
      <c r="V400" s="1935" t="s">
        <v>948</v>
      </c>
      <c r="W400" s="1991" t="s">
        <v>8391</v>
      </c>
      <c r="X400" s="1917" t="s">
        <v>8816</v>
      </c>
      <c r="Y400" s="1818"/>
      <c r="Z400" s="1818"/>
      <c r="AA400" s="1818"/>
      <c r="AB400" s="1818"/>
      <c r="AC400" s="1818"/>
      <c r="AD400" s="1818"/>
      <c r="AE400" s="1818"/>
      <c r="AF400" s="1818"/>
      <c r="AG400" s="1818"/>
      <c r="AH400" s="1818"/>
      <c r="AI400" s="1818"/>
      <c r="AJ400" s="1818"/>
      <c r="AK400" s="1818"/>
      <c r="AL400" s="1818"/>
      <c r="AM400" s="1818"/>
      <c r="AN400" s="1818"/>
      <c r="AO400" s="1818"/>
      <c r="AP400" s="1818"/>
      <c r="AQ400" s="1818"/>
      <c r="AR400" s="1818"/>
      <c r="AS400" s="1818"/>
      <c r="AT400" s="1818"/>
      <c r="AU400" s="1818"/>
      <c r="AV400" s="1818"/>
      <c r="AW400" s="1818"/>
      <c r="AX400" s="1818"/>
      <c r="AY400" s="1818"/>
      <c r="AZ400" s="1818"/>
      <c r="BA400" s="1818"/>
      <c r="BB400" s="1818"/>
      <c r="BC400" s="1818"/>
      <c r="BD400" s="1818"/>
      <c r="BE400" s="1818"/>
      <c r="BF400" s="1818"/>
      <c r="BG400" s="1818"/>
      <c r="BH400" s="1818"/>
      <c r="BI400" s="1818"/>
      <c r="BJ400" s="1818"/>
      <c r="BK400" s="1818"/>
      <c r="BL400" s="1818"/>
      <c r="BM400" s="1818"/>
      <c r="BN400" s="1818"/>
      <c r="BO400" s="1818"/>
      <c r="BP400" s="1818"/>
      <c r="BQ400" s="1818"/>
      <c r="BR400" s="1818"/>
      <c r="BS400" s="1818"/>
      <c r="BT400" s="1818"/>
      <c r="BU400" s="1818"/>
      <c r="BV400" s="1818"/>
      <c r="BW400" s="1818"/>
      <c r="BX400" s="1818"/>
      <c r="BY400" s="1818"/>
      <c r="BZ400" s="1818"/>
      <c r="CA400" s="1890"/>
      <c r="CB400" s="1890"/>
      <c r="CC400" s="1890"/>
      <c r="CD400" s="1890"/>
      <c r="CE400" s="1890"/>
      <c r="CF400" s="1890"/>
      <c r="CG400" s="1890"/>
      <c r="CH400" s="1890"/>
      <c r="CI400" s="1890"/>
      <c r="CJ400" s="1890"/>
      <c r="CK400" s="1890"/>
      <c r="CL400" s="1890"/>
      <c r="CM400" s="1890"/>
      <c r="CN400" s="1890"/>
      <c r="CO400" s="1890"/>
      <c r="CP400" s="1890"/>
      <c r="CQ400" s="1890"/>
      <c r="CR400" s="1890"/>
      <c r="CS400" s="1890"/>
      <c r="CT400" s="1890"/>
      <c r="CU400" s="1890"/>
      <c r="CV400" s="1890"/>
      <c r="CW400" s="1890"/>
      <c r="CX400" s="1890"/>
      <c r="CY400" s="1890"/>
      <c r="CZ400" s="1890"/>
      <c r="DA400" s="1890"/>
      <c r="DB400" s="1890"/>
      <c r="DC400" s="1890"/>
      <c r="DD400" s="1890"/>
      <c r="DE400" s="1890"/>
      <c r="DF400" s="1890"/>
      <c r="DG400" s="1890"/>
      <c r="DH400" s="1890"/>
      <c r="DI400" s="1890"/>
      <c r="DJ400" s="1890"/>
      <c r="DK400" s="1890"/>
      <c r="DL400" s="1890"/>
      <c r="DM400" s="1890"/>
      <c r="DN400" s="1890"/>
      <c r="DO400" s="1890"/>
      <c r="DP400" s="1890"/>
      <c r="DQ400" s="1890"/>
      <c r="DR400" s="1890"/>
      <c r="DS400" s="1890"/>
      <c r="DT400" s="1890"/>
      <c r="DU400" s="1890"/>
      <c r="DV400" s="1890"/>
      <c r="DW400" s="1890"/>
      <c r="DX400" s="1890"/>
      <c r="DY400" s="1890"/>
      <c r="DZ400" s="1890"/>
      <c r="EA400" s="1890"/>
      <c r="EB400" s="1890"/>
      <c r="EC400" s="1890"/>
      <c r="ED400" s="1890"/>
      <c r="EE400" s="1890"/>
      <c r="EF400" s="1890"/>
      <c r="EG400" s="1890"/>
      <c r="EH400" s="1890"/>
      <c r="EI400" s="1890"/>
      <c r="EJ400" s="1890"/>
      <c r="EK400" s="1890"/>
      <c r="EL400" s="1890"/>
      <c r="EM400" s="1890"/>
      <c r="EN400" s="1890"/>
      <c r="EO400" s="1890"/>
      <c r="EP400" s="1890"/>
      <c r="EQ400" s="1890"/>
      <c r="ER400" s="1890"/>
      <c r="ES400" s="1890"/>
      <c r="ET400" s="1890"/>
      <c r="EU400" s="1890"/>
      <c r="EV400" s="1890"/>
      <c r="EW400" s="1890"/>
      <c r="EX400" s="1890"/>
      <c r="EY400" s="1890"/>
      <c r="EZ400" s="1890"/>
      <c r="FA400" s="1890"/>
      <c r="FB400" s="1890"/>
      <c r="FC400" s="1890"/>
      <c r="FD400" s="1890"/>
      <c r="FE400" s="1890"/>
      <c r="FF400" s="1890"/>
      <c r="FG400" s="1890"/>
      <c r="FH400" s="1890"/>
      <c r="FI400" s="1890"/>
      <c r="FJ400" s="1890"/>
      <c r="FK400" s="1890"/>
      <c r="FL400" s="1890"/>
      <c r="FM400" s="1890"/>
      <c r="FN400" s="1890"/>
      <c r="FO400" s="1890"/>
      <c r="FP400" s="1890"/>
      <c r="FQ400" s="1890"/>
      <c r="FR400" s="1890"/>
      <c r="FS400" s="1890"/>
      <c r="FT400" s="1890"/>
    </row>
    <row r="401" spans="1:176" s="1965" customFormat="1" ht="72" customHeight="1">
      <c r="A401" s="1899"/>
      <c r="B401" s="1840" t="s">
        <v>7041</v>
      </c>
      <c r="C401" s="1837">
        <v>1</v>
      </c>
      <c r="D401" s="1829">
        <v>1</v>
      </c>
      <c r="E401" s="1829">
        <v>1</v>
      </c>
      <c r="F401" s="1829">
        <v>1</v>
      </c>
      <c r="G401" s="1829">
        <v>1</v>
      </c>
      <c r="H401" s="1850">
        <v>1</v>
      </c>
      <c r="I401" s="2086" t="s">
        <v>8592</v>
      </c>
      <c r="J401" s="2217">
        <v>1</v>
      </c>
      <c r="K401" s="1974" t="s">
        <v>7388</v>
      </c>
      <c r="L401" s="1794">
        <v>1</v>
      </c>
      <c r="M401" s="1935">
        <v>1</v>
      </c>
      <c r="N401" s="1917" t="s">
        <v>8392</v>
      </c>
      <c r="O401" s="1917" t="s">
        <v>8817</v>
      </c>
      <c r="P401" s="1917"/>
      <c r="Q401" s="1917"/>
      <c r="R401" s="2100"/>
      <c r="S401" s="2248" t="s">
        <v>9264</v>
      </c>
      <c r="T401" s="1974" t="s">
        <v>7642</v>
      </c>
      <c r="U401" s="1794" t="s">
        <v>7314</v>
      </c>
      <c r="V401" s="1935" t="s">
        <v>948</v>
      </c>
      <c r="W401" s="1991" t="s">
        <v>8392</v>
      </c>
      <c r="X401" s="1917" t="s">
        <v>8817</v>
      </c>
      <c r="Y401" s="1818"/>
      <c r="Z401" s="1818"/>
      <c r="AA401" s="1818"/>
      <c r="AB401" s="1818"/>
      <c r="AC401" s="1818"/>
      <c r="AD401" s="1818"/>
      <c r="AE401" s="1818"/>
      <c r="AF401" s="1818"/>
      <c r="AG401" s="1818"/>
      <c r="AH401" s="1818"/>
      <c r="AI401" s="1818"/>
      <c r="AJ401" s="1818"/>
      <c r="AK401" s="1818"/>
      <c r="AL401" s="1818"/>
      <c r="AM401" s="1818"/>
      <c r="AN401" s="1818"/>
      <c r="AO401" s="1818"/>
      <c r="AP401" s="1818"/>
      <c r="AQ401" s="1818"/>
      <c r="AR401" s="1818"/>
      <c r="AS401" s="1818"/>
      <c r="AT401" s="1818"/>
      <c r="AU401" s="1818"/>
      <c r="AV401" s="1818"/>
      <c r="AW401" s="1818"/>
      <c r="AX401" s="1818"/>
      <c r="AY401" s="1818"/>
      <c r="AZ401" s="1818"/>
      <c r="BA401" s="1818"/>
      <c r="BB401" s="1818"/>
      <c r="BC401" s="1818"/>
      <c r="BD401" s="1818"/>
      <c r="BE401" s="1818"/>
      <c r="BF401" s="1818"/>
      <c r="BG401" s="1818"/>
      <c r="BH401" s="1818"/>
      <c r="BI401" s="1818"/>
      <c r="BJ401" s="1818"/>
      <c r="BK401" s="1818"/>
      <c r="BL401" s="1818"/>
      <c r="BM401" s="1818"/>
      <c r="BN401" s="1818"/>
      <c r="BO401" s="1818"/>
      <c r="BP401" s="1818"/>
      <c r="BQ401" s="1818"/>
      <c r="BR401" s="1818"/>
      <c r="BS401" s="1818"/>
      <c r="BT401" s="1818"/>
      <c r="BU401" s="1818"/>
      <c r="BV401" s="1818"/>
      <c r="BW401" s="1818"/>
      <c r="BX401" s="1818"/>
      <c r="BY401" s="1818"/>
      <c r="BZ401" s="1818"/>
      <c r="CA401" s="1890"/>
      <c r="CB401" s="1890"/>
      <c r="CC401" s="1890"/>
      <c r="CD401" s="1890"/>
      <c r="CE401" s="1890"/>
      <c r="CF401" s="1890"/>
      <c r="CG401" s="1890"/>
      <c r="CH401" s="1890"/>
      <c r="CI401" s="1890"/>
      <c r="CJ401" s="1890"/>
      <c r="CK401" s="1890"/>
      <c r="CL401" s="1890"/>
      <c r="CM401" s="1890"/>
      <c r="CN401" s="1890"/>
      <c r="CO401" s="1890"/>
      <c r="CP401" s="1890"/>
      <c r="CQ401" s="1890"/>
      <c r="CR401" s="1890"/>
      <c r="CS401" s="1890"/>
      <c r="CT401" s="1890"/>
      <c r="CU401" s="1890"/>
      <c r="CV401" s="1890"/>
      <c r="CW401" s="1890"/>
      <c r="CX401" s="1890"/>
      <c r="CY401" s="1890"/>
      <c r="CZ401" s="1890"/>
      <c r="DA401" s="1890"/>
      <c r="DB401" s="1890"/>
      <c r="DC401" s="1890"/>
      <c r="DD401" s="1890"/>
      <c r="DE401" s="1890"/>
      <c r="DF401" s="1890"/>
      <c r="DG401" s="1890"/>
      <c r="DH401" s="1890"/>
      <c r="DI401" s="1890"/>
      <c r="DJ401" s="1890"/>
      <c r="DK401" s="1890"/>
      <c r="DL401" s="1890"/>
      <c r="DM401" s="1890"/>
      <c r="DN401" s="1890"/>
      <c r="DO401" s="1890"/>
      <c r="DP401" s="1890"/>
      <c r="DQ401" s="1890"/>
      <c r="DR401" s="1890"/>
      <c r="DS401" s="1890"/>
      <c r="DT401" s="1890"/>
      <c r="DU401" s="1890"/>
      <c r="DV401" s="1890"/>
      <c r="DW401" s="1890"/>
      <c r="DX401" s="1890"/>
      <c r="DY401" s="1890"/>
      <c r="DZ401" s="1890"/>
      <c r="EA401" s="1890"/>
      <c r="EB401" s="1890"/>
      <c r="EC401" s="1890"/>
      <c r="ED401" s="1890"/>
      <c r="EE401" s="1890"/>
      <c r="EF401" s="1890"/>
      <c r="EG401" s="1890"/>
      <c r="EH401" s="1890"/>
      <c r="EI401" s="1890"/>
      <c r="EJ401" s="1890"/>
      <c r="EK401" s="1890"/>
      <c r="EL401" s="1890"/>
      <c r="EM401" s="1890"/>
      <c r="EN401" s="1890"/>
      <c r="EO401" s="1890"/>
      <c r="EP401" s="1890"/>
      <c r="EQ401" s="1890"/>
      <c r="ER401" s="1890"/>
      <c r="ES401" s="1890"/>
      <c r="ET401" s="1890"/>
      <c r="EU401" s="1890"/>
      <c r="EV401" s="1890"/>
      <c r="EW401" s="1890"/>
      <c r="EX401" s="1890"/>
      <c r="EY401" s="1890"/>
      <c r="EZ401" s="1890"/>
      <c r="FA401" s="1890"/>
      <c r="FB401" s="1890"/>
      <c r="FC401" s="1890"/>
      <c r="FD401" s="1890"/>
      <c r="FE401" s="1890"/>
      <c r="FF401" s="1890"/>
      <c r="FG401" s="1890"/>
      <c r="FH401" s="1890"/>
      <c r="FI401" s="1890"/>
      <c r="FJ401" s="1890"/>
      <c r="FK401" s="1890"/>
      <c r="FL401" s="1890"/>
      <c r="FM401" s="1890"/>
      <c r="FN401" s="1890"/>
      <c r="FO401" s="1890"/>
      <c r="FP401" s="1890"/>
      <c r="FQ401" s="1890"/>
      <c r="FR401" s="1890"/>
      <c r="FS401" s="1890"/>
      <c r="FT401" s="1890"/>
    </row>
    <row r="402" spans="1:176" s="1965" customFormat="1" ht="36.950000000000003" customHeight="1">
      <c r="A402" s="1899"/>
      <c r="B402" s="1840" t="s">
        <v>7042</v>
      </c>
      <c r="C402" s="1837">
        <v>0.5</v>
      </c>
      <c r="D402" s="1829">
        <v>1</v>
      </c>
      <c r="E402" s="1829">
        <v>0</v>
      </c>
      <c r="F402" s="1829">
        <v>0.5</v>
      </c>
      <c r="G402" s="1829">
        <v>0.5</v>
      </c>
      <c r="H402" s="1850">
        <v>1</v>
      </c>
      <c r="I402" s="2086" t="s">
        <v>8591</v>
      </c>
      <c r="J402" s="2218" t="s">
        <v>6225</v>
      </c>
      <c r="K402" s="1974" t="s">
        <v>811</v>
      </c>
      <c r="L402" s="1794">
        <v>0</v>
      </c>
      <c r="M402" s="1935" t="s">
        <v>6225</v>
      </c>
      <c r="N402" s="1917" t="s">
        <v>8393</v>
      </c>
      <c r="O402" s="1917" t="s">
        <v>8818</v>
      </c>
      <c r="P402" s="1917"/>
      <c r="Q402" s="1917"/>
      <c r="R402" s="2100"/>
      <c r="S402" s="2248" t="s">
        <v>9265</v>
      </c>
      <c r="T402" s="1974" t="s">
        <v>7643</v>
      </c>
      <c r="U402" s="1794"/>
      <c r="V402" s="1935" t="s">
        <v>7956</v>
      </c>
      <c r="W402" s="1991" t="s">
        <v>8393</v>
      </c>
      <c r="X402" s="1917" t="s">
        <v>8818</v>
      </c>
      <c r="Y402" s="1818"/>
      <c r="Z402" s="1818"/>
      <c r="AA402" s="1818"/>
      <c r="AB402" s="1818"/>
      <c r="AC402" s="1818"/>
      <c r="AD402" s="1818"/>
      <c r="AE402" s="1818"/>
      <c r="AF402" s="1818"/>
      <c r="AG402" s="1818"/>
      <c r="AH402" s="1818"/>
      <c r="AI402" s="1818"/>
      <c r="AJ402" s="1818"/>
      <c r="AK402" s="1818"/>
      <c r="AL402" s="1818"/>
      <c r="AM402" s="1818"/>
      <c r="AN402" s="1818"/>
      <c r="AO402" s="1818"/>
      <c r="AP402" s="1818"/>
      <c r="AQ402" s="1818"/>
      <c r="AR402" s="1818"/>
      <c r="AS402" s="1818"/>
      <c r="AT402" s="1818"/>
      <c r="AU402" s="1818"/>
      <c r="AV402" s="1818"/>
      <c r="AW402" s="1818"/>
      <c r="AX402" s="1818"/>
      <c r="AY402" s="1818"/>
      <c r="AZ402" s="1818"/>
      <c r="BA402" s="1818"/>
      <c r="BB402" s="1818"/>
      <c r="BC402" s="1818"/>
      <c r="BD402" s="1818"/>
      <c r="BE402" s="1818"/>
      <c r="BF402" s="1818"/>
      <c r="BG402" s="1818"/>
      <c r="BH402" s="1818"/>
      <c r="BI402" s="1818"/>
      <c r="BJ402" s="1818"/>
      <c r="BK402" s="1818"/>
      <c r="BL402" s="1818"/>
      <c r="BM402" s="1818"/>
      <c r="BN402" s="1818"/>
      <c r="BO402" s="1818"/>
      <c r="BP402" s="1818"/>
      <c r="BQ402" s="1818"/>
      <c r="BR402" s="1818"/>
      <c r="BS402" s="1818"/>
      <c r="BT402" s="1818"/>
      <c r="BU402" s="1818"/>
      <c r="BV402" s="1818"/>
      <c r="BW402" s="1818"/>
      <c r="BX402" s="1818"/>
      <c r="BY402" s="1818"/>
      <c r="BZ402" s="1818"/>
      <c r="CA402" s="1890"/>
      <c r="CB402" s="1890"/>
      <c r="CC402" s="1890"/>
      <c r="CD402" s="1890"/>
      <c r="CE402" s="1890"/>
      <c r="CF402" s="1890"/>
      <c r="CG402" s="1890"/>
      <c r="CH402" s="1890"/>
      <c r="CI402" s="1890"/>
      <c r="CJ402" s="1890"/>
      <c r="CK402" s="1890"/>
      <c r="CL402" s="1890"/>
      <c r="CM402" s="1890"/>
      <c r="CN402" s="1890"/>
      <c r="CO402" s="1890"/>
      <c r="CP402" s="1890"/>
      <c r="CQ402" s="1890"/>
      <c r="CR402" s="1890"/>
      <c r="CS402" s="1890"/>
      <c r="CT402" s="1890"/>
      <c r="CU402" s="1890"/>
      <c r="CV402" s="1890"/>
      <c r="CW402" s="1890"/>
      <c r="CX402" s="1890"/>
      <c r="CY402" s="1890"/>
      <c r="CZ402" s="1890"/>
      <c r="DA402" s="1890"/>
      <c r="DB402" s="1890"/>
      <c r="DC402" s="1890"/>
      <c r="DD402" s="1890"/>
      <c r="DE402" s="1890"/>
      <c r="DF402" s="1890"/>
      <c r="DG402" s="1890"/>
      <c r="DH402" s="1890"/>
      <c r="DI402" s="1890"/>
      <c r="DJ402" s="1890"/>
      <c r="DK402" s="1890"/>
      <c r="DL402" s="1890"/>
      <c r="DM402" s="1890"/>
      <c r="DN402" s="1890"/>
      <c r="DO402" s="1890"/>
      <c r="DP402" s="1890"/>
      <c r="DQ402" s="1890"/>
      <c r="DR402" s="1890"/>
      <c r="DS402" s="1890"/>
      <c r="DT402" s="1890"/>
      <c r="DU402" s="1890"/>
      <c r="DV402" s="1890"/>
      <c r="DW402" s="1890"/>
      <c r="DX402" s="1890"/>
      <c r="DY402" s="1890"/>
      <c r="DZ402" s="1890"/>
      <c r="EA402" s="1890"/>
      <c r="EB402" s="1890"/>
      <c r="EC402" s="1890"/>
      <c r="ED402" s="1890"/>
      <c r="EE402" s="1890"/>
      <c r="EF402" s="1890"/>
      <c r="EG402" s="1890"/>
      <c r="EH402" s="1890"/>
      <c r="EI402" s="1890"/>
      <c r="EJ402" s="1890"/>
      <c r="EK402" s="1890"/>
      <c r="EL402" s="1890"/>
      <c r="EM402" s="1890"/>
      <c r="EN402" s="1890"/>
      <c r="EO402" s="1890"/>
      <c r="EP402" s="1890"/>
      <c r="EQ402" s="1890"/>
      <c r="ER402" s="1890"/>
      <c r="ES402" s="1890"/>
      <c r="ET402" s="1890"/>
      <c r="EU402" s="1890"/>
      <c r="EV402" s="1890"/>
      <c r="EW402" s="1890"/>
      <c r="EX402" s="1890"/>
      <c r="EY402" s="1890"/>
      <c r="EZ402" s="1890"/>
      <c r="FA402" s="1890"/>
      <c r="FB402" s="1890"/>
      <c r="FC402" s="1890"/>
      <c r="FD402" s="1890"/>
      <c r="FE402" s="1890"/>
      <c r="FF402" s="1890"/>
      <c r="FG402" s="1890"/>
      <c r="FH402" s="1890"/>
      <c r="FI402" s="1890"/>
      <c r="FJ402" s="1890"/>
      <c r="FK402" s="1890"/>
      <c r="FL402" s="1890"/>
      <c r="FM402" s="1890"/>
      <c r="FN402" s="1890"/>
      <c r="FO402" s="1890"/>
      <c r="FP402" s="1890"/>
      <c r="FQ402" s="1890"/>
      <c r="FR402" s="1890"/>
      <c r="FS402" s="1890"/>
      <c r="FT402" s="1890"/>
    </row>
    <row r="403" spans="1:176" s="1965" customFormat="1" ht="63.95" customHeight="1">
      <c r="A403" s="1899"/>
      <c r="B403" s="1840" t="s">
        <v>7043</v>
      </c>
      <c r="C403" s="1837">
        <v>0.5</v>
      </c>
      <c r="D403" s="1829">
        <v>0.5</v>
      </c>
      <c r="E403" s="1829">
        <v>0.5</v>
      </c>
      <c r="F403" s="1829">
        <v>1</v>
      </c>
      <c r="G403" s="1829">
        <v>0.5</v>
      </c>
      <c r="H403" s="1850">
        <v>0</v>
      </c>
      <c r="I403" s="2086" t="s">
        <v>8590</v>
      </c>
      <c r="J403" s="2218" t="s">
        <v>6225</v>
      </c>
      <c r="K403" s="1974" t="s">
        <v>7391</v>
      </c>
      <c r="L403" s="1794">
        <v>0.5</v>
      </c>
      <c r="M403" s="1935">
        <v>1</v>
      </c>
      <c r="N403" s="1917" t="s">
        <v>8394</v>
      </c>
      <c r="O403" s="1917" t="s">
        <v>8819</v>
      </c>
      <c r="P403" s="1917"/>
      <c r="Q403" s="1917"/>
      <c r="R403" s="2100"/>
      <c r="S403" s="2248" t="s">
        <v>9266</v>
      </c>
      <c r="T403" s="1974" t="s">
        <v>7644</v>
      </c>
      <c r="U403" s="1794" t="s">
        <v>7315</v>
      </c>
      <c r="V403" s="1935" t="s">
        <v>7957</v>
      </c>
      <c r="W403" s="1991" t="s">
        <v>8394</v>
      </c>
      <c r="X403" s="1917" t="s">
        <v>8819</v>
      </c>
      <c r="Y403" s="1818"/>
      <c r="Z403" s="1818"/>
      <c r="AA403" s="1818"/>
      <c r="AB403" s="1818"/>
      <c r="AC403" s="1818"/>
      <c r="AD403" s="1818"/>
      <c r="AE403" s="1818"/>
      <c r="AF403" s="1818"/>
      <c r="AG403" s="1818"/>
      <c r="AH403" s="1818"/>
      <c r="AI403" s="1818"/>
      <c r="AJ403" s="1818"/>
      <c r="AK403" s="1818"/>
      <c r="AL403" s="1818"/>
      <c r="AM403" s="1818"/>
      <c r="AN403" s="1818"/>
      <c r="AO403" s="1818"/>
      <c r="AP403" s="1818"/>
      <c r="AQ403" s="1818"/>
      <c r="AR403" s="1818"/>
      <c r="AS403" s="1818"/>
      <c r="AT403" s="1818"/>
      <c r="AU403" s="1818"/>
      <c r="AV403" s="1818"/>
      <c r="AW403" s="1818"/>
      <c r="AX403" s="1818"/>
      <c r="AY403" s="1818"/>
      <c r="AZ403" s="1818"/>
      <c r="BA403" s="1818"/>
      <c r="BB403" s="1818"/>
      <c r="BC403" s="1818"/>
      <c r="BD403" s="1818"/>
      <c r="BE403" s="1818"/>
      <c r="BF403" s="1818"/>
      <c r="BG403" s="1818"/>
      <c r="BH403" s="1818"/>
      <c r="BI403" s="1818"/>
      <c r="BJ403" s="1818"/>
      <c r="BK403" s="1818"/>
      <c r="BL403" s="1818"/>
      <c r="BM403" s="1818"/>
      <c r="BN403" s="1818"/>
      <c r="BO403" s="1818"/>
      <c r="BP403" s="1818"/>
      <c r="BQ403" s="1818"/>
      <c r="BR403" s="1818"/>
      <c r="BS403" s="1818"/>
      <c r="BT403" s="1818"/>
      <c r="BU403" s="1818"/>
      <c r="BV403" s="1818"/>
      <c r="BW403" s="1818"/>
      <c r="BX403" s="1818"/>
      <c r="BY403" s="1818"/>
      <c r="BZ403" s="1818"/>
      <c r="CA403" s="1890"/>
      <c r="CB403" s="1890"/>
      <c r="CC403" s="1890"/>
      <c r="CD403" s="1890"/>
      <c r="CE403" s="1890"/>
      <c r="CF403" s="1890"/>
      <c r="CG403" s="1890"/>
      <c r="CH403" s="1890"/>
      <c r="CI403" s="1890"/>
      <c r="CJ403" s="1890"/>
      <c r="CK403" s="1890"/>
      <c r="CL403" s="1890"/>
      <c r="CM403" s="1890"/>
      <c r="CN403" s="1890"/>
      <c r="CO403" s="1890"/>
      <c r="CP403" s="1890"/>
      <c r="CQ403" s="1890"/>
      <c r="CR403" s="1890"/>
      <c r="CS403" s="1890"/>
      <c r="CT403" s="1890"/>
      <c r="CU403" s="1890"/>
      <c r="CV403" s="1890"/>
      <c r="CW403" s="1890"/>
      <c r="CX403" s="1890"/>
      <c r="CY403" s="1890"/>
      <c r="CZ403" s="1890"/>
      <c r="DA403" s="1890"/>
      <c r="DB403" s="1890"/>
      <c r="DC403" s="1890"/>
      <c r="DD403" s="1890"/>
      <c r="DE403" s="1890"/>
      <c r="DF403" s="1890"/>
      <c r="DG403" s="1890"/>
      <c r="DH403" s="1890"/>
      <c r="DI403" s="1890"/>
      <c r="DJ403" s="1890"/>
      <c r="DK403" s="1890"/>
      <c r="DL403" s="1890"/>
      <c r="DM403" s="1890"/>
      <c r="DN403" s="1890"/>
      <c r="DO403" s="1890"/>
      <c r="DP403" s="1890"/>
      <c r="DQ403" s="1890"/>
      <c r="DR403" s="1890"/>
      <c r="DS403" s="1890"/>
      <c r="DT403" s="1890"/>
      <c r="DU403" s="1890"/>
      <c r="DV403" s="1890"/>
      <c r="DW403" s="1890"/>
      <c r="DX403" s="1890"/>
      <c r="DY403" s="1890"/>
      <c r="DZ403" s="1890"/>
      <c r="EA403" s="1890"/>
      <c r="EB403" s="1890"/>
      <c r="EC403" s="1890"/>
      <c r="ED403" s="1890"/>
      <c r="EE403" s="1890"/>
      <c r="EF403" s="1890"/>
      <c r="EG403" s="1890"/>
      <c r="EH403" s="1890"/>
      <c r="EI403" s="1890"/>
      <c r="EJ403" s="1890"/>
      <c r="EK403" s="1890"/>
      <c r="EL403" s="1890"/>
      <c r="EM403" s="1890"/>
      <c r="EN403" s="1890"/>
      <c r="EO403" s="1890"/>
      <c r="EP403" s="1890"/>
      <c r="EQ403" s="1890"/>
      <c r="ER403" s="1890"/>
      <c r="ES403" s="1890"/>
      <c r="ET403" s="1890"/>
      <c r="EU403" s="1890"/>
      <c r="EV403" s="1890"/>
      <c r="EW403" s="1890"/>
      <c r="EX403" s="1890"/>
      <c r="EY403" s="1890"/>
      <c r="EZ403" s="1890"/>
      <c r="FA403" s="1890"/>
      <c r="FB403" s="1890"/>
      <c r="FC403" s="1890"/>
      <c r="FD403" s="1890"/>
      <c r="FE403" s="1890"/>
      <c r="FF403" s="1890"/>
      <c r="FG403" s="1890"/>
      <c r="FH403" s="1890"/>
      <c r="FI403" s="1890"/>
      <c r="FJ403" s="1890"/>
      <c r="FK403" s="1890"/>
      <c r="FL403" s="1890"/>
      <c r="FM403" s="1890"/>
      <c r="FN403" s="1890"/>
      <c r="FO403" s="1890"/>
      <c r="FP403" s="1890"/>
      <c r="FQ403" s="1890"/>
      <c r="FR403" s="1890"/>
      <c r="FS403" s="1890"/>
      <c r="FT403" s="1890"/>
    </row>
    <row r="404" spans="1:176" s="1965" customFormat="1" ht="63.95" customHeight="1">
      <c r="A404" s="1899"/>
      <c r="B404" s="1840" t="s">
        <v>7044</v>
      </c>
      <c r="C404" s="1837">
        <v>1</v>
      </c>
      <c r="D404" s="1829">
        <v>0</v>
      </c>
      <c r="E404" s="1829">
        <v>0</v>
      </c>
      <c r="F404" s="1829">
        <v>1</v>
      </c>
      <c r="G404" s="1829">
        <v>1</v>
      </c>
      <c r="H404" s="1850">
        <v>1</v>
      </c>
      <c r="I404" s="2086" t="s">
        <v>8589</v>
      </c>
      <c r="J404" s="2217">
        <v>1</v>
      </c>
      <c r="K404" s="1974" t="s">
        <v>748</v>
      </c>
      <c r="L404" s="1794">
        <v>0</v>
      </c>
      <c r="M404" s="1935">
        <v>1</v>
      </c>
      <c r="N404" s="1917" t="s">
        <v>8395</v>
      </c>
      <c r="O404" s="1917" t="s">
        <v>8820</v>
      </c>
      <c r="P404" s="1917"/>
      <c r="Q404" s="1917"/>
      <c r="R404" s="2100"/>
      <c r="S404" s="2248" t="s">
        <v>9267</v>
      </c>
      <c r="T404" s="1974" t="s">
        <v>7645</v>
      </c>
      <c r="U404" s="1794"/>
      <c r="V404" s="1935" t="s">
        <v>8995</v>
      </c>
      <c r="W404" s="1991" t="s">
        <v>8395</v>
      </c>
      <c r="X404" s="1917" t="s">
        <v>8820</v>
      </c>
      <c r="Y404" s="1818"/>
      <c r="Z404" s="1818"/>
      <c r="AA404" s="1818"/>
      <c r="AB404" s="1818"/>
      <c r="AC404" s="1818"/>
      <c r="AD404" s="1818"/>
      <c r="AE404" s="1818"/>
      <c r="AF404" s="1818"/>
      <c r="AG404" s="1818"/>
      <c r="AH404" s="1818"/>
      <c r="AI404" s="1818"/>
      <c r="AJ404" s="1818"/>
      <c r="AK404" s="1818"/>
      <c r="AL404" s="1818"/>
      <c r="AM404" s="1818"/>
      <c r="AN404" s="1818"/>
      <c r="AO404" s="1818"/>
      <c r="AP404" s="1818"/>
      <c r="AQ404" s="1818"/>
      <c r="AR404" s="1818"/>
      <c r="AS404" s="1818"/>
      <c r="AT404" s="1818"/>
      <c r="AU404" s="1818"/>
      <c r="AV404" s="1818"/>
      <c r="AW404" s="1818"/>
      <c r="AX404" s="1818"/>
      <c r="AY404" s="1818"/>
      <c r="AZ404" s="1818"/>
      <c r="BA404" s="1818"/>
      <c r="BB404" s="1818"/>
      <c r="BC404" s="1818"/>
      <c r="BD404" s="1818"/>
      <c r="BE404" s="1818"/>
      <c r="BF404" s="1818"/>
      <c r="BG404" s="1818"/>
      <c r="BH404" s="1818"/>
      <c r="BI404" s="1818"/>
      <c r="BJ404" s="1818"/>
      <c r="BK404" s="1818"/>
      <c r="BL404" s="1818"/>
      <c r="BM404" s="1818"/>
      <c r="BN404" s="1818"/>
      <c r="BO404" s="1818"/>
      <c r="BP404" s="1818"/>
      <c r="BQ404" s="1818"/>
      <c r="BR404" s="1818"/>
      <c r="BS404" s="1818"/>
      <c r="BT404" s="1818"/>
      <c r="BU404" s="1818"/>
      <c r="BV404" s="1818"/>
      <c r="BW404" s="1818"/>
      <c r="BX404" s="1818"/>
      <c r="BY404" s="1818"/>
      <c r="BZ404" s="1818"/>
      <c r="CA404" s="1890"/>
      <c r="CB404" s="1890"/>
      <c r="CC404" s="1890"/>
      <c r="CD404" s="1890"/>
      <c r="CE404" s="1890"/>
      <c r="CF404" s="1890"/>
      <c r="CG404" s="1890"/>
      <c r="CH404" s="1890"/>
      <c r="CI404" s="1890"/>
      <c r="CJ404" s="1890"/>
      <c r="CK404" s="1890"/>
      <c r="CL404" s="1890"/>
      <c r="CM404" s="1890"/>
      <c r="CN404" s="1890"/>
      <c r="CO404" s="1890"/>
      <c r="CP404" s="1890"/>
      <c r="CQ404" s="1890"/>
      <c r="CR404" s="1890"/>
      <c r="CS404" s="1890"/>
      <c r="CT404" s="1890"/>
      <c r="CU404" s="1890"/>
      <c r="CV404" s="1890"/>
      <c r="CW404" s="1890"/>
      <c r="CX404" s="1890"/>
      <c r="CY404" s="1890"/>
      <c r="CZ404" s="1890"/>
      <c r="DA404" s="1890"/>
      <c r="DB404" s="1890"/>
      <c r="DC404" s="1890"/>
      <c r="DD404" s="1890"/>
      <c r="DE404" s="1890"/>
      <c r="DF404" s="1890"/>
      <c r="DG404" s="1890"/>
      <c r="DH404" s="1890"/>
      <c r="DI404" s="1890"/>
      <c r="DJ404" s="1890"/>
      <c r="DK404" s="1890"/>
      <c r="DL404" s="1890"/>
      <c r="DM404" s="1890"/>
      <c r="DN404" s="1890"/>
      <c r="DO404" s="1890"/>
      <c r="DP404" s="1890"/>
      <c r="DQ404" s="1890"/>
      <c r="DR404" s="1890"/>
      <c r="DS404" s="1890"/>
      <c r="DT404" s="1890"/>
      <c r="DU404" s="1890"/>
      <c r="DV404" s="1890"/>
      <c r="DW404" s="1890"/>
      <c r="DX404" s="1890"/>
      <c r="DY404" s="1890"/>
      <c r="DZ404" s="1890"/>
      <c r="EA404" s="1890"/>
      <c r="EB404" s="1890"/>
      <c r="EC404" s="1890"/>
      <c r="ED404" s="1890"/>
      <c r="EE404" s="1890"/>
      <c r="EF404" s="1890"/>
      <c r="EG404" s="1890"/>
      <c r="EH404" s="1890"/>
      <c r="EI404" s="1890"/>
      <c r="EJ404" s="1890"/>
      <c r="EK404" s="1890"/>
      <c r="EL404" s="1890"/>
      <c r="EM404" s="1890"/>
      <c r="EN404" s="1890"/>
      <c r="EO404" s="1890"/>
      <c r="EP404" s="1890"/>
      <c r="EQ404" s="1890"/>
      <c r="ER404" s="1890"/>
      <c r="ES404" s="1890"/>
      <c r="ET404" s="1890"/>
      <c r="EU404" s="1890"/>
      <c r="EV404" s="1890"/>
      <c r="EW404" s="1890"/>
      <c r="EX404" s="1890"/>
      <c r="EY404" s="1890"/>
      <c r="EZ404" s="1890"/>
      <c r="FA404" s="1890"/>
      <c r="FB404" s="1890"/>
      <c r="FC404" s="1890"/>
      <c r="FD404" s="1890"/>
      <c r="FE404" s="1890"/>
      <c r="FF404" s="1890"/>
      <c r="FG404" s="1890"/>
      <c r="FH404" s="1890"/>
      <c r="FI404" s="1890"/>
      <c r="FJ404" s="1890"/>
      <c r="FK404" s="1890"/>
      <c r="FL404" s="1890"/>
      <c r="FM404" s="1890"/>
      <c r="FN404" s="1890"/>
      <c r="FO404" s="1890"/>
      <c r="FP404" s="1890"/>
      <c r="FQ404" s="1890"/>
      <c r="FR404" s="1890"/>
      <c r="FS404" s="1890"/>
      <c r="FT404" s="1890"/>
    </row>
    <row r="405" spans="1:176" s="1965" customFormat="1" ht="135" customHeight="1">
      <c r="A405" s="1899"/>
      <c r="B405" s="1840" t="s">
        <v>7045</v>
      </c>
      <c r="C405" s="1837">
        <v>0.5</v>
      </c>
      <c r="D405" s="1829">
        <v>0</v>
      </c>
      <c r="E405" s="1829">
        <v>0.5</v>
      </c>
      <c r="F405" s="1829">
        <v>0.5</v>
      </c>
      <c r="G405" s="1829">
        <v>0</v>
      </c>
      <c r="H405" s="1850">
        <v>0.5</v>
      </c>
      <c r="I405" s="2086" t="s">
        <v>8587</v>
      </c>
      <c r="J405" s="2218" t="s">
        <v>6225</v>
      </c>
      <c r="K405" s="1974" t="s">
        <v>748</v>
      </c>
      <c r="L405" s="1794" t="s">
        <v>7161</v>
      </c>
      <c r="M405" s="1935">
        <v>0</v>
      </c>
      <c r="N405" s="1917" t="s">
        <v>943</v>
      </c>
      <c r="O405" s="1917" t="s">
        <v>8821</v>
      </c>
      <c r="P405" s="1917"/>
      <c r="Q405" s="1917"/>
      <c r="R405" s="2100"/>
      <c r="S405" s="2248" t="s">
        <v>9268</v>
      </c>
      <c r="T405" s="1974" t="s">
        <v>7646</v>
      </c>
      <c r="U405" s="1939" t="s">
        <v>9162</v>
      </c>
      <c r="V405" s="1935" t="s">
        <v>7958</v>
      </c>
      <c r="W405" s="1991" t="s">
        <v>943</v>
      </c>
      <c r="X405" s="1917" t="s">
        <v>8821</v>
      </c>
      <c r="Y405" s="1818"/>
      <c r="Z405" s="1818"/>
      <c r="AA405" s="1818"/>
      <c r="AB405" s="1818"/>
      <c r="AC405" s="1818"/>
      <c r="AD405" s="1818"/>
      <c r="AE405" s="1818"/>
      <c r="AF405" s="1818"/>
      <c r="AG405" s="1818"/>
      <c r="AH405" s="1818"/>
      <c r="AI405" s="1818"/>
      <c r="AJ405" s="1818"/>
      <c r="AK405" s="1818"/>
      <c r="AL405" s="1818"/>
      <c r="AM405" s="1818"/>
      <c r="AN405" s="1818"/>
      <c r="AO405" s="1818"/>
      <c r="AP405" s="1818"/>
      <c r="AQ405" s="1818"/>
      <c r="AR405" s="1818"/>
      <c r="AS405" s="1818"/>
      <c r="AT405" s="1818"/>
      <c r="AU405" s="1818"/>
      <c r="AV405" s="1818"/>
      <c r="AW405" s="1818"/>
      <c r="AX405" s="1818"/>
      <c r="AY405" s="1818"/>
      <c r="AZ405" s="1818"/>
      <c r="BA405" s="1818"/>
      <c r="BB405" s="1818"/>
      <c r="BC405" s="1818"/>
      <c r="BD405" s="1818"/>
      <c r="BE405" s="1818"/>
      <c r="BF405" s="1818"/>
      <c r="BG405" s="1818"/>
      <c r="BH405" s="1818"/>
      <c r="BI405" s="1818"/>
      <c r="BJ405" s="1818"/>
      <c r="BK405" s="1818"/>
      <c r="BL405" s="1818"/>
      <c r="BM405" s="1818"/>
      <c r="BN405" s="1818"/>
      <c r="BO405" s="1818"/>
      <c r="BP405" s="1818"/>
      <c r="BQ405" s="1818"/>
      <c r="BR405" s="1818"/>
      <c r="BS405" s="1818"/>
      <c r="BT405" s="1818"/>
      <c r="BU405" s="1818"/>
      <c r="BV405" s="1818"/>
      <c r="BW405" s="1818"/>
      <c r="BX405" s="1818"/>
      <c r="BY405" s="1818"/>
      <c r="BZ405" s="1818"/>
      <c r="CA405" s="1890"/>
      <c r="CB405" s="1890"/>
      <c r="CC405" s="1890"/>
      <c r="CD405" s="1890"/>
      <c r="CE405" s="1890"/>
      <c r="CF405" s="1890"/>
      <c r="CG405" s="1890"/>
      <c r="CH405" s="1890"/>
      <c r="CI405" s="1890"/>
      <c r="CJ405" s="1890"/>
      <c r="CK405" s="1890"/>
      <c r="CL405" s="1890"/>
      <c r="CM405" s="1890"/>
      <c r="CN405" s="1890"/>
      <c r="CO405" s="1890"/>
      <c r="CP405" s="1890"/>
      <c r="CQ405" s="1890"/>
      <c r="CR405" s="1890"/>
      <c r="CS405" s="1890"/>
      <c r="CT405" s="1890"/>
      <c r="CU405" s="1890"/>
      <c r="CV405" s="1890"/>
      <c r="CW405" s="1890"/>
      <c r="CX405" s="1890"/>
      <c r="CY405" s="1890"/>
      <c r="CZ405" s="1890"/>
      <c r="DA405" s="1890"/>
      <c r="DB405" s="1890"/>
      <c r="DC405" s="1890"/>
      <c r="DD405" s="1890"/>
      <c r="DE405" s="1890"/>
      <c r="DF405" s="1890"/>
      <c r="DG405" s="1890"/>
      <c r="DH405" s="1890"/>
      <c r="DI405" s="1890"/>
      <c r="DJ405" s="1890"/>
      <c r="DK405" s="1890"/>
      <c r="DL405" s="1890"/>
      <c r="DM405" s="1890"/>
      <c r="DN405" s="1890"/>
      <c r="DO405" s="1890"/>
      <c r="DP405" s="1890"/>
      <c r="DQ405" s="1890"/>
      <c r="DR405" s="1890"/>
      <c r="DS405" s="1890"/>
      <c r="DT405" s="1890"/>
      <c r="DU405" s="1890"/>
      <c r="DV405" s="1890"/>
      <c r="DW405" s="1890"/>
      <c r="DX405" s="1890"/>
      <c r="DY405" s="1890"/>
      <c r="DZ405" s="1890"/>
      <c r="EA405" s="1890"/>
      <c r="EB405" s="1890"/>
      <c r="EC405" s="1890"/>
      <c r="ED405" s="1890"/>
      <c r="EE405" s="1890"/>
      <c r="EF405" s="1890"/>
      <c r="EG405" s="1890"/>
      <c r="EH405" s="1890"/>
      <c r="EI405" s="1890"/>
      <c r="EJ405" s="1890"/>
      <c r="EK405" s="1890"/>
      <c r="EL405" s="1890"/>
      <c r="EM405" s="1890"/>
      <c r="EN405" s="1890"/>
      <c r="EO405" s="1890"/>
      <c r="EP405" s="1890"/>
      <c r="EQ405" s="1890"/>
      <c r="ER405" s="1890"/>
      <c r="ES405" s="1890"/>
      <c r="ET405" s="1890"/>
      <c r="EU405" s="1890"/>
      <c r="EV405" s="1890"/>
      <c r="EW405" s="1890"/>
      <c r="EX405" s="1890"/>
      <c r="EY405" s="1890"/>
      <c r="EZ405" s="1890"/>
      <c r="FA405" s="1890"/>
      <c r="FB405" s="1890"/>
      <c r="FC405" s="1890"/>
      <c r="FD405" s="1890"/>
      <c r="FE405" s="1890"/>
      <c r="FF405" s="1890"/>
      <c r="FG405" s="1890"/>
      <c r="FH405" s="1890"/>
      <c r="FI405" s="1890"/>
      <c r="FJ405" s="1890"/>
      <c r="FK405" s="1890"/>
      <c r="FL405" s="1890"/>
      <c r="FM405" s="1890"/>
      <c r="FN405" s="1890"/>
      <c r="FO405" s="1890"/>
      <c r="FP405" s="1890"/>
      <c r="FQ405" s="1890"/>
      <c r="FR405" s="1890"/>
      <c r="FS405" s="1890"/>
      <c r="FT405" s="1890"/>
    </row>
    <row r="406" spans="1:176" s="1965" customFormat="1" ht="243" customHeight="1">
      <c r="A406" s="1899"/>
      <c r="B406" s="1840" t="s">
        <v>7046</v>
      </c>
      <c r="C406" s="1837">
        <v>0.5</v>
      </c>
      <c r="D406" s="1829">
        <v>0</v>
      </c>
      <c r="E406" s="1829">
        <v>0.5</v>
      </c>
      <c r="F406" s="1829">
        <v>0</v>
      </c>
      <c r="G406" s="1829">
        <v>0</v>
      </c>
      <c r="H406" s="1850">
        <v>0</v>
      </c>
      <c r="I406" s="2086"/>
      <c r="J406" s="2217">
        <v>1</v>
      </c>
      <c r="K406" s="1974" t="s">
        <v>748</v>
      </c>
      <c r="L406" s="1794">
        <v>1</v>
      </c>
      <c r="M406" s="1935">
        <v>0</v>
      </c>
      <c r="N406" s="1917" t="s">
        <v>8396</v>
      </c>
      <c r="O406" s="1917" t="s">
        <v>8822</v>
      </c>
      <c r="P406" s="1917"/>
      <c r="Q406" s="1917"/>
      <c r="R406" s="2100"/>
      <c r="S406" s="1794" t="s">
        <v>9142</v>
      </c>
      <c r="T406" s="1974" t="s">
        <v>7647</v>
      </c>
      <c r="U406" s="1794" t="s">
        <v>9163</v>
      </c>
      <c r="V406" s="1935" t="s">
        <v>7959</v>
      </c>
      <c r="W406" s="1991" t="s">
        <v>8396</v>
      </c>
      <c r="X406" s="1917" t="s">
        <v>8822</v>
      </c>
      <c r="Y406" s="1818"/>
      <c r="Z406" s="1818"/>
      <c r="AA406" s="1818"/>
      <c r="AB406" s="1818"/>
      <c r="AC406" s="1818"/>
      <c r="AD406" s="1818"/>
      <c r="AE406" s="1818"/>
      <c r="AF406" s="1818"/>
      <c r="AG406" s="1818"/>
      <c r="AH406" s="1818"/>
      <c r="AI406" s="1818"/>
      <c r="AJ406" s="1818"/>
      <c r="AK406" s="1818"/>
      <c r="AL406" s="1818"/>
      <c r="AM406" s="1818"/>
      <c r="AN406" s="1818"/>
      <c r="AO406" s="1818"/>
      <c r="AP406" s="1818"/>
      <c r="AQ406" s="1818"/>
      <c r="AR406" s="1818"/>
      <c r="AS406" s="1818"/>
      <c r="AT406" s="1818"/>
      <c r="AU406" s="1818"/>
      <c r="AV406" s="1818"/>
      <c r="AW406" s="1818"/>
      <c r="AX406" s="1818"/>
      <c r="AY406" s="1818"/>
      <c r="AZ406" s="1818"/>
      <c r="BA406" s="1818"/>
      <c r="BB406" s="1818"/>
      <c r="BC406" s="1818"/>
      <c r="BD406" s="1818"/>
      <c r="BE406" s="1818"/>
      <c r="BF406" s="1818"/>
      <c r="BG406" s="1818"/>
      <c r="BH406" s="1818"/>
      <c r="BI406" s="1818"/>
      <c r="BJ406" s="1818"/>
      <c r="BK406" s="1818"/>
      <c r="BL406" s="1818"/>
      <c r="BM406" s="1818"/>
      <c r="BN406" s="1818"/>
      <c r="BO406" s="1818"/>
      <c r="BP406" s="1818"/>
      <c r="BQ406" s="1818"/>
      <c r="BR406" s="1818"/>
      <c r="BS406" s="1818"/>
      <c r="BT406" s="1818"/>
      <c r="BU406" s="1818"/>
      <c r="BV406" s="1818"/>
      <c r="BW406" s="1818"/>
      <c r="BX406" s="1818"/>
      <c r="BY406" s="1818"/>
      <c r="BZ406" s="1818"/>
      <c r="CA406" s="1890"/>
      <c r="CB406" s="1890"/>
      <c r="CC406" s="1890"/>
      <c r="CD406" s="1890"/>
      <c r="CE406" s="1890"/>
      <c r="CF406" s="1890"/>
      <c r="CG406" s="1890"/>
      <c r="CH406" s="1890"/>
      <c r="CI406" s="1890"/>
      <c r="CJ406" s="1890"/>
      <c r="CK406" s="1890"/>
      <c r="CL406" s="1890"/>
      <c r="CM406" s="1890"/>
      <c r="CN406" s="1890"/>
      <c r="CO406" s="1890"/>
      <c r="CP406" s="1890"/>
      <c r="CQ406" s="1890"/>
      <c r="CR406" s="1890"/>
      <c r="CS406" s="1890"/>
      <c r="CT406" s="1890"/>
      <c r="CU406" s="1890"/>
      <c r="CV406" s="1890"/>
      <c r="CW406" s="1890"/>
      <c r="CX406" s="1890"/>
      <c r="CY406" s="1890"/>
      <c r="CZ406" s="1890"/>
      <c r="DA406" s="1890"/>
      <c r="DB406" s="1890"/>
      <c r="DC406" s="1890"/>
      <c r="DD406" s="1890"/>
      <c r="DE406" s="1890"/>
      <c r="DF406" s="1890"/>
      <c r="DG406" s="1890"/>
      <c r="DH406" s="1890"/>
      <c r="DI406" s="1890"/>
      <c r="DJ406" s="1890"/>
      <c r="DK406" s="1890"/>
      <c r="DL406" s="1890"/>
      <c r="DM406" s="1890"/>
      <c r="DN406" s="1890"/>
      <c r="DO406" s="1890"/>
      <c r="DP406" s="1890"/>
      <c r="DQ406" s="1890"/>
      <c r="DR406" s="1890"/>
      <c r="DS406" s="1890"/>
      <c r="DT406" s="1890"/>
      <c r="DU406" s="1890"/>
      <c r="DV406" s="1890"/>
      <c r="DW406" s="1890"/>
      <c r="DX406" s="1890"/>
      <c r="DY406" s="1890"/>
      <c r="DZ406" s="1890"/>
      <c r="EA406" s="1890"/>
      <c r="EB406" s="1890"/>
      <c r="EC406" s="1890"/>
      <c r="ED406" s="1890"/>
      <c r="EE406" s="1890"/>
      <c r="EF406" s="1890"/>
      <c r="EG406" s="1890"/>
      <c r="EH406" s="1890"/>
      <c r="EI406" s="1890"/>
      <c r="EJ406" s="1890"/>
      <c r="EK406" s="1890"/>
      <c r="EL406" s="1890"/>
      <c r="EM406" s="1890"/>
      <c r="EN406" s="1890"/>
      <c r="EO406" s="1890"/>
      <c r="EP406" s="1890"/>
      <c r="EQ406" s="1890"/>
      <c r="ER406" s="1890"/>
      <c r="ES406" s="1890"/>
      <c r="ET406" s="1890"/>
      <c r="EU406" s="1890"/>
      <c r="EV406" s="1890"/>
      <c r="EW406" s="1890"/>
      <c r="EX406" s="1890"/>
      <c r="EY406" s="1890"/>
      <c r="EZ406" s="1890"/>
      <c r="FA406" s="1890"/>
      <c r="FB406" s="1890"/>
      <c r="FC406" s="1890"/>
      <c r="FD406" s="1890"/>
      <c r="FE406" s="1890"/>
      <c r="FF406" s="1890"/>
      <c r="FG406" s="1890"/>
      <c r="FH406" s="1890"/>
      <c r="FI406" s="1890"/>
      <c r="FJ406" s="1890"/>
      <c r="FK406" s="1890"/>
      <c r="FL406" s="1890"/>
      <c r="FM406" s="1890"/>
      <c r="FN406" s="1890"/>
      <c r="FO406" s="1890"/>
      <c r="FP406" s="1890"/>
      <c r="FQ406" s="1890"/>
      <c r="FR406" s="1890"/>
      <c r="FS406" s="1890"/>
      <c r="FT406" s="1890"/>
    </row>
    <row r="407" spans="1:176" s="1965" customFormat="1" ht="45.95" customHeight="1">
      <c r="A407" s="1899"/>
      <c r="B407" s="1840" t="s">
        <v>7047</v>
      </c>
      <c r="C407" s="1837">
        <v>0.5</v>
      </c>
      <c r="D407" s="1829">
        <v>0.5</v>
      </c>
      <c r="E407" s="1829">
        <v>0</v>
      </c>
      <c r="F407" s="1829">
        <v>0.5</v>
      </c>
      <c r="G407" s="1829">
        <v>0</v>
      </c>
      <c r="H407" s="1850">
        <v>0.5</v>
      </c>
      <c r="I407" s="2086" t="s">
        <v>8587</v>
      </c>
      <c r="J407" s="2218" t="s">
        <v>6225</v>
      </c>
      <c r="K407" s="1974" t="s">
        <v>7392</v>
      </c>
      <c r="L407" s="1794">
        <v>0</v>
      </c>
      <c r="M407" s="1935" t="s">
        <v>6225</v>
      </c>
      <c r="N407" s="1917" t="s">
        <v>8397</v>
      </c>
      <c r="O407" s="1917" t="s">
        <v>7392</v>
      </c>
      <c r="P407" s="1917"/>
      <c r="Q407" s="1917"/>
      <c r="R407" s="2100"/>
      <c r="S407" s="2248" t="s">
        <v>9269</v>
      </c>
      <c r="T407" s="1974" t="s">
        <v>7648</v>
      </c>
      <c r="U407" s="1794"/>
      <c r="V407" s="1935" t="s">
        <v>7960</v>
      </c>
      <c r="W407" s="1991" t="s">
        <v>8397</v>
      </c>
      <c r="X407" s="1917" t="s">
        <v>7392</v>
      </c>
      <c r="Y407" s="1818"/>
      <c r="Z407" s="1818"/>
      <c r="AA407" s="1818"/>
      <c r="AB407" s="1818"/>
      <c r="AC407" s="1818"/>
      <c r="AD407" s="1818"/>
      <c r="AE407" s="1818"/>
      <c r="AF407" s="1818"/>
      <c r="AG407" s="1818"/>
      <c r="AH407" s="1818"/>
      <c r="AI407" s="1818"/>
      <c r="AJ407" s="1818"/>
      <c r="AK407" s="1818"/>
      <c r="AL407" s="1818"/>
      <c r="AM407" s="1818"/>
      <c r="AN407" s="1818"/>
      <c r="AO407" s="1818"/>
      <c r="AP407" s="1818"/>
      <c r="AQ407" s="1818"/>
      <c r="AR407" s="1818"/>
      <c r="AS407" s="1818"/>
      <c r="AT407" s="1818"/>
      <c r="AU407" s="1818"/>
      <c r="AV407" s="1818"/>
      <c r="AW407" s="1818"/>
      <c r="AX407" s="1818"/>
      <c r="AY407" s="1818"/>
      <c r="AZ407" s="1818"/>
      <c r="BA407" s="1818"/>
      <c r="BB407" s="1818"/>
      <c r="BC407" s="1818"/>
      <c r="BD407" s="1818"/>
      <c r="BE407" s="1818"/>
      <c r="BF407" s="1818"/>
      <c r="BG407" s="1818"/>
      <c r="BH407" s="1818"/>
      <c r="BI407" s="1818"/>
      <c r="BJ407" s="1818"/>
      <c r="BK407" s="1818"/>
      <c r="BL407" s="1818"/>
      <c r="BM407" s="1818"/>
      <c r="BN407" s="1818"/>
      <c r="BO407" s="1818"/>
      <c r="BP407" s="1818"/>
      <c r="BQ407" s="1818"/>
      <c r="BR407" s="1818"/>
      <c r="BS407" s="1818"/>
      <c r="BT407" s="1818"/>
      <c r="BU407" s="1818"/>
      <c r="BV407" s="1818"/>
      <c r="BW407" s="1818"/>
      <c r="BX407" s="1818"/>
      <c r="BY407" s="1818"/>
      <c r="BZ407" s="1818"/>
      <c r="CA407" s="1890"/>
      <c r="CB407" s="1890"/>
      <c r="CC407" s="1890"/>
      <c r="CD407" s="1890"/>
      <c r="CE407" s="1890"/>
      <c r="CF407" s="1890"/>
      <c r="CG407" s="1890"/>
      <c r="CH407" s="1890"/>
      <c r="CI407" s="1890"/>
      <c r="CJ407" s="1890"/>
      <c r="CK407" s="1890"/>
      <c r="CL407" s="1890"/>
      <c r="CM407" s="1890"/>
      <c r="CN407" s="1890"/>
      <c r="CO407" s="1890"/>
      <c r="CP407" s="1890"/>
      <c r="CQ407" s="1890"/>
      <c r="CR407" s="1890"/>
      <c r="CS407" s="1890"/>
      <c r="CT407" s="1890"/>
      <c r="CU407" s="1890"/>
      <c r="CV407" s="1890"/>
      <c r="CW407" s="1890"/>
      <c r="CX407" s="1890"/>
      <c r="CY407" s="1890"/>
      <c r="CZ407" s="1890"/>
      <c r="DA407" s="1890"/>
      <c r="DB407" s="1890"/>
      <c r="DC407" s="1890"/>
      <c r="DD407" s="1890"/>
      <c r="DE407" s="1890"/>
      <c r="DF407" s="1890"/>
      <c r="DG407" s="1890"/>
      <c r="DH407" s="1890"/>
      <c r="DI407" s="1890"/>
      <c r="DJ407" s="1890"/>
      <c r="DK407" s="1890"/>
      <c r="DL407" s="1890"/>
      <c r="DM407" s="1890"/>
      <c r="DN407" s="1890"/>
      <c r="DO407" s="1890"/>
      <c r="DP407" s="1890"/>
      <c r="DQ407" s="1890"/>
      <c r="DR407" s="1890"/>
      <c r="DS407" s="1890"/>
      <c r="DT407" s="1890"/>
      <c r="DU407" s="1890"/>
      <c r="DV407" s="1890"/>
      <c r="DW407" s="1890"/>
      <c r="DX407" s="1890"/>
      <c r="DY407" s="1890"/>
      <c r="DZ407" s="1890"/>
      <c r="EA407" s="1890"/>
      <c r="EB407" s="1890"/>
      <c r="EC407" s="1890"/>
      <c r="ED407" s="1890"/>
      <c r="EE407" s="1890"/>
      <c r="EF407" s="1890"/>
      <c r="EG407" s="1890"/>
      <c r="EH407" s="1890"/>
      <c r="EI407" s="1890"/>
      <c r="EJ407" s="1890"/>
      <c r="EK407" s="1890"/>
      <c r="EL407" s="1890"/>
      <c r="EM407" s="1890"/>
      <c r="EN407" s="1890"/>
      <c r="EO407" s="1890"/>
      <c r="EP407" s="1890"/>
      <c r="EQ407" s="1890"/>
      <c r="ER407" s="1890"/>
      <c r="ES407" s="1890"/>
      <c r="ET407" s="1890"/>
      <c r="EU407" s="1890"/>
      <c r="EV407" s="1890"/>
      <c r="EW407" s="1890"/>
      <c r="EX407" s="1890"/>
      <c r="EY407" s="1890"/>
      <c r="EZ407" s="1890"/>
      <c r="FA407" s="1890"/>
      <c r="FB407" s="1890"/>
      <c r="FC407" s="1890"/>
      <c r="FD407" s="1890"/>
      <c r="FE407" s="1890"/>
      <c r="FF407" s="1890"/>
      <c r="FG407" s="1890"/>
      <c r="FH407" s="1890"/>
      <c r="FI407" s="1890"/>
      <c r="FJ407" s="1890"/>
      <c r="FK407" s="1890"/>
      <c r="FL407" s="1890"/>
      <c r="FM407" s="1890"/>
      <c r="FN407" s="1890"/>
      <c r="FO407" s="1890"/>
      <c r="FP407" s="1890"/>
      <c r="FQ407" s="1890"/>
      <c r="FR407" s="1890"/>
      <c r="FS407" s="1890"/>
      <c r="FT407" s="1890"/>
    </row>
    <row r="408" spans="1:176" s="1965" customFormat="1" ht="137.1" customHeight="1">
      <c r="A408" s="1899"/>
      <c r="B408" s="1840" t="s">
        <v>7048</v>
      </c>
      <c r="C408" s="1837">
        <v>1</v>
      </c>
      <c r="D408" s="1829">
        <v>1</v>
      </c>
      <c r="E408" s="1829">
        <v>0</v>
      </c>
      <c r="F408" s="1829">
        <v>0</v>
      </c>
      <c r="G408" s="1829">
        <v>1</v>
      </c>
      <c r="H408" s="1850">
        <v>0</v>
      </c>
      <c r="I408" s="2086" t="s">
        <v>8588</v>
      </c>
      <c r="J408" s="2218" t="s">
        <v>6225</v>
      </c>
      <c r="K408" s="1974" t="s">
        <v>7393</v>
      </c>
      <c r="L408" s="1794">
        <v>0</v>
      </c>
      <c r="M408" s="1935">
        <v>0</v>
      </c>
      <c r="N408" s="1917" t="s">
        <v>8398</v>
      </c>
      <c r="O408" s="1917" t="s">
        <v>8823</v>
      </c>
      <c r="P408" s="1917"/>
      <c r="Q408" s="1917"/>
      <c r="R408" s="2100"/>
      <c r="S408" s="2248" t="s">
        <v>8184</v>
      </c>
      <c r="T408" s="1974" t="s">
        <v>7649</v>
      </c>
      <c r="U408" s="1794"/>
      <c r="V408" s="1935" t="s">
        <v>7961</v>
      </c>
      <c r="W408" s="1991" t="s">
        <v>8398</v>
      </c>
      <c r="X408" s="1917" t="s">
        <v>8823</v>
      </c>
      <c r="Y408" s="1818"/>
      <c r="Z408" s="1818"/>
      <c r="AA408" s="1818"/>
      <c r="AB408" s="1818"/>
      <c r="AC408" s="1818"/>
      <c r="AD408" s="1818"/>
      <c r="AE408" s="1818"/>
      <c r="AF408" s="1818"/>
      <c r="AG408" s="1818"/>
      <c r="AH408" s="1818"/>
      <c r="AI408" s="1818"/>
      <c r="AJ408" s="1818"/>
      <c r="AK408" s="1818"/>
      <c r="AL408" s="1818"/>
      <c r="AM408" s="1818"/>
      <c r="AN408" s="1818"/>
      <c r="AO408" s="1818"/>
      <c r="AP408" s="1818"/>
      <c r="AQ408" s="1818"/>
      <c r="AR408" s="1818"/>
      <c r="AS408" s="1818"/>
      <c r="AT408" s="1818"/>
      <c r="AU408" s="1818"/>
      <c r="AV408" s="1818"/>
      <c r="AW408" s="1818"/>
      <c r="AX408" s="1818"/>
      <c r="AY408" s="1818"/>
      <c r="AZ408" s="1818"/>
      <c r="BA408" s="1818"/>
      <c r="BB408" s="1818"/>
      <c r="BC408" s="1818"/>
      <c r="BD408" s="1818"/>
      <c r="BE408" s="1818"/>
      <c r="BF408" s="1818"/>
      <c r="BG408" s="1818"/>
      <c r="BH408" s="1818"/>
      <c r="BI408" s="1818"/>
      <c r="BJ408" s="1818"/>
      <c r="BK408" s="1818"/>
      <c r="BL408" s="1818"/>
      <c r="BM408" s="1818"/>
      <c r="BN408" s="1818"/>
      <c r="BO408" s="1818"/>
      <c r="BP408" s="1818"/>
      <c r="BQ408" s="1818"/>
      <c r="BR408" s="1818"/>
      <c r="BS408" s="1818"/>
      <c r="BT408" s="1818"/>
      <c r="BU408" s="1818"/>
      <c r="BV408" s="1818"/>
      <c r="BW408" s="1818"/>
      <c r="BX408" s="1818"/>
      <c r="BY408" s="1818"/>
      <c r="BZ408" s="1818"/>
      <c r="CA408" s="1890"/>
      <c r="CB408" s="1890"/>
      <c r="CC408" s="1890"/>
      <c r="CD408" s="1890"/>
      <c r="CE408" s="1890"/>
      <c r="CF408" s="1890"/>
      <c r="CG408" s="1890"/>
      <c r="CH408" s="1890"/>
      <c r="CI408" s="1890"/>
      <c r="CJ408" s="1890"/>
      <c r="CK408" s="1890"/>
      <c r="CL408" s="1890"/>
      <c r="CM408" s="1890"/>
      <c r="CN408" s="1890"/>
      <c r="CO408" s="1890"/>
      <c r="CP408" s="1890"/>
      <c r="CQ408" s="1890"/>
      <c r="CR408" s="1890"/>
      <c r="CS408" s="1890"/>
      <c r="CT408" s="1890"/>
      <c r="CU408" s="1890"/>
      <c r="CV408" s="1890"/>
      <c r="CW408" s="1890"/>
      <c r="CX408" s="1890"/>
      <c r="CY408" s="1890"/>
      <c r="CZ408" s="1890"/>
      <c r="DA408" s="1890"/>
      <c r="DB408" s="1890"/>
      <c r="DC408" s="1890"/>
      <c r="DD408" s="1890"/>
      <c r="DE408" s="1890"/>
      <c r="DF408" s="1890"/>
      <c r="DG408" s="1890"/>
      <c r="DH408" s="1890"/>
      <c r="DI408" s="1890"/>
      <c r="DJ408" s="1890"/>
      <c r="DK408" s="1890"/>
      <c r="DL408" s="1890"/>
      <c r="DM408" s="1890"/>
      <c r="DN408" s="1890"/>
      <c r="DO408" s="1890"/>
      <c r="DP408" s="1890"/>
      <c r="DQ408" s="1890"/>
      <c r="DR408" s="1890"/>
      <c r="DS408" s="1890"/>
      <c r="DT408" s="1890"/>
      <c r="DU408" s="1890"/>
      <c r="DV408" s="1890"/>
      <c r="DW408" s="1890"/>
      <c r="DX408" s="1890"/>
      <c r="DY408" s="1890"/>
      <c r="DZ408" s="1890"/>
      <c r="EA408" s="1890"/>
      <c r="EB408" s="1890"/>
      <c r="EC408" s="1890"/>
      <c r="ED408" s="1890"/>
      <c r="EE408" s="1890"/>
      <c r="EF408" s="1890"/>
      <c r="EG408" s="1890"/>
      <c r="EH408" s="1890"/>
      <c r="EI408" s="1890"/>
      <c r="EJ408" s="1890"/>
      <c r="EK408" s="1890"/>
      <c r="EL408" s="1890"/>
      <c r="EM408" s="1890"/>
      <c r="EN408" s="1890"/>
      <c r="EO408" s="1890"/>
      <c r="EP408" s="1890"/>
      <c r="EQ408" s="1890"/>
      <c r="ER408" s="1890"/>
      <c r="ES408" s="1890"/>
      <c r="ET408" s="1890"/>
      <c r="EU408" s="1890"/>
      <c r="EV408" s="1890"/>
      <c r="EW408" s="1890"/>
      <c r="EX408" s="1890"/>
      <c r="EY408" s="1890"/>
      <c r="EZ408" s="1890"/>
      <c r="FA408" s="1890"/>
      <c r="FB408" s="1890"/>
      <c r="FC408" s="1890"/>
      <c r="FD408" s="1890"/>
      <c r="FE408" s="1890"/>
      <c r="FF408" s="1890"/>
      <c r="FG408" s="1890"/>
      <c r="FH408" s="1890"/>
      <c r="FI408" s="1890"/>
      <c r="FJ408" s="1890"/>
      <c r="FK408" s="1890"/>
      <c r="FL408" s="1890"/>
      <c r="FM408" s="1890"/>
      <c r="FN408" s="1890"/>
      <c r="FO408" s="1890"/>
      <c r="FP408" s="1890"/>
      <c r="FQ408" s="1890"/>
      <c r="FR408" s="1890"/>
      <c r="FS408" s="1890"/>
      <c r="FT408" s="1890"/>
    </row>
    <row r="409" spans="1:176" s="1965" customFormat="1" ht="32.1" customHeight="1">
      <c r="A409" s="2499" t="s">
        <v>7029</v>
      </c>
      <c r="B409" s="2084" t="s">
        <v>385</v>
      </c>
      <c r="C409" s="2093">
        <f t="shared" ref="C409:H409" si="104">AVERAGE(C410,C422,C426,C428,C446)</f>
        <v>0.74887700534759361</v>
      </c>
      <c r="D409" s="2093">
        <f t="shared" si="104"/>
        <v>0.52285204991087342</v>
      </c>
      <c r="E409" s="2093">
        <f t="shared" si="104"/>
        <v>0.25529411764705878</v>
      </c>
      <c r="F409" s="2093">
        <f t="shared" si="104"/>
        <v>0.44395721925133691</v>
      </c>
      <c r="G409" s="2093">
        <f t="shared" si="104"/>
        <v>0.43429590017825309</v>
      </c>
      <c r="H409" s="2093">
        <f t="shared" si="104"/>
        <v>0.42474153297682704</v>
      </c>
      <c r="I409" s="2086"/>
      <c r="J409" s="2089"/>
      <c r="K409" s="2089"/>
      <c r="L409" s="2089"/>
      <c r="M409" s="2089"/>
      <c r="N409" s="2089"/>
      <c r="O409" s="2089"/>
      <c r="P409" s="2090"/>
      <c r="Q409" s="2090"/>
      <c r="R409" s="2091"/>
      <c r="S409" s="2089"/>
      <c r="T409" s="2089"/>
      <c r="U409" s="2089"/>
      <c r="V409" s="2089"/>
      <c r="W409" s="2089"/>
      <c r="X409" s="2089"/>
      <c r="Y409" s="1818"/>
      <c r="Z409" s="1818"/>
      <c r="AA409" s="1818"/>
      <c r="AB409" s="1818"/>
      <c r="AC409" s="1818"/>
      <c r="AD409" s="1818"/>
      <c r="AE409" s="1818"/>
      <c r="AF409" s="1818"/>
      <c r="AG409" s="1818"/>
      <c r="AH409" s="1818"/>
      <c r="AI409" s="1818"/>
      <c r="AJ409" s="1818"/>
      <c r="AK409" s="1818"/>
      <c r="AL409" s="1818"/>
      <c r="AM409" s="1818"/>
      <c r="AN409" s="1818"/>
      <c r="AO409" s="1818"/>
      <c r="AP409" s="1818"/>
      <c r="AQ409" s="1818"/>
      <c r="AR409" s="1818"/>
      <c r="AS409" s="1818"/>
      <c r="AT409" s="1818"/>
      <c r="AU409" s="1818"/>
      <c r="AV409" s="1818"/>
      <c r="AW409" s="1818"/>
      <c r="AX409" s="1818"/>
      <c r="AY409" s="1818"/>
      <c r="AZ409" s="1818"/>
      <c r="BA409" s="1818"/>
      <c r="BB409" s="1818"/>
      <c r="BC409" s="1818"/>
      <c r="BD409" s="1818"/>
      <c r="BE409" s="1818"/>
      <c r="BF409" s="1818"/>
      <c r="BG409" s="1818"/>
      <c r="BH409" s="1818"/>
      <c r="BI409" s="1818"/>
      <c r="BJ409" s="1818"/>
      <c r="BK409" s="1818"/>
      <c r="BL409" s="1818"/>
      <c r="BM409" s="1818"/>
      <c r="BN409" s="1818"/>
      <c r="BO409" s="1818"/>
      <c r="BP409" s="1818"/>
      <c r="BQ409" s="1818"/>
      <c r="BR409" s="1818"/>
      <c r="BS409" s="1818"/>
      <c r="BT409" s="1818"/>
      <c r="BU409" s="1818"/>
      <c r="BV409" s="1818"/>
      <c r="BW409" s="1818"/>
      <c r="BX409" s="1818"/>
      <c r="BY409" s="1818"/>
      <c r="BZ409" s="1818"/>
      <c r="CA409" s="1890"/>
      <c r="CB409" s="1890"/>
      <c r="CC409" s="1890"/>
      <c r="CD409" s="1890"/>
      <c r="CE409" s="1890"/>
      <c r="CF409" s="1890"/>
      <c r="CG409" s="1890"/>
      <c r="CH409" s="1890"/>
      <c r="CI409" s="1890"/>
      <c r="CJ409" s="1890"/>
      <c r="CK409" s="1890"/>
      <c r="CL409" s="1890"/>
      <c r="CM409" s="1890"/>
      <c r="CN409" s="1890"/>
      <c r="CO409" s="1890"/>
      <c r="CP409" s="1890"/>
      <c r="CQ409" s="1890"/>
      <c r="CR409" s="1890"/>
      <c r="CS409" s="1890"/>
      <c r="CT409" s="1890"/>
      <c r="CU409" s="1890"/>
      <c r="CV409" s="1890"/>
      <c r="CW409" s="1890"/>
      <c r="CX409" s="1890"/>
      <c r="CY409" s="1890"/>
      <c r="CZ409" s="1890"/>
      <c r="DA409" s="1890"/>
      <c r="DB409" s="1890"/>
      <c r="DC409" s="1890"/>
      <c r="DD409" s="1890"/>
      <c r="DE409" s="1890"/>
      <c r="DF409" s="1890"/>
      <c r="DG409" s="1890"/>
      <c r="DH409" s="1890"/>
      <c r="DI409" s="1890"/>
      <c r="DJ409" s="1890"/>
      <c r="DK409" s="1890"/>
      <c r="DL409" s="1890"/>
      <c r="DM409" s="1890"/>
      <c r="DN409" s="1890"/>
      <c r="DO409" s="1890"/>
      <c r="DP409" s="1890"/>
      <c r="DQ409" s="1890"/>
      <c r="DR409" s="1890"/>
      <c r="DS409" s="1890"/>
      <c r="DT409" s="1890"/>
      <c r="DU409" s="1890"/>
      <c r="DV409" s="1890"/>
      <c r="DW409" s="1890"/>
      <c r="DX409" s="1890"/>
      <c r="DY409" s="1890"/>
      <c r="DZ409" s="1890"/>
      <c r="EA409" s="1890"/>
      <c r="EB409" s="1890"/>
      <c r="EC409" s="1890"/>
      <c r="ED409" s="1890"/>
      <c r="EE409" s="1890"/>
      <c r="EF409" s="1890"/>
      <c r="EG409" s="1890"/>
      <c r="EH409" s="1890"/>
      <c r="EI409" s="1890"/>
      <c r="EJ409" s="1890"/>
      <c r="EK409" s="1890"/>
      <c r="EL409" s="1890"/>
      <c r="EM409" s="1890"/>
      <c r="EN409" s="1890"/>
      <c r="EO409" s="1890"/>
      <c r="EP409" s="1890"/>
      <c r="EQ409" s="1890"/>
      <c r="ER409" s="1890"/>
      <c r="ES409" s="1890"/>
      <c r="ET409" s="1890"/>
      <c r="EU409" s="1890"/>
      <c r="EV409" s="1890"/>
      <c r="EW409" s="1890"/>
      <c r="EX409" s="1890"/>
      <c r="EY409" s="1890"/>
      <c r="EZ409" s="1890"/>
      <c r="FA409" s="1890"/>
      <c r="FB409" s="1890"/>
      <c r="FC409" s="1890"/>
      <c r="FD409" s="1890"/>
      <c r="FE409" s="1890"/>
      <c r="FF409" s="1890"/>
      <c r="FG409" s="1890"/>
      <c r="FH409" s="1890"/>
      <c r="FI409" s="1890"/>
      <c r="FJ409" s="1890"/>
      <c r="FK409" s="1890"/>
      <c r="FL409" s="1890"/>
      <c r="FM409" s="1890"/>
      <c r="FN409" s="1890"/>
      <c r="FO409" s="1890"/>
      <c r="FP409" s="1890"/>
      <c r="FQ409" s="1890"/>
      <c r="FR409" s="1890"/>
      <c r="FS409" s="1890"/>
      <c r="FT409" s="1890"/>
    </row>
    <row r="410" spans="1:176" s="1965" customFormat="1" ht="32.1" customHeight="1">
      <c r="A410" s="2499" t="s">
        <v>7030</v>
      </c>
      <c r="B410" s="2084" t="s">
        <v>387</v>
      </c>
      <c r="C410" s="2085">
        <f>AVERAGE(C411:C421)</f>
        <v>0.90909090909090906</v>
      </c>
      <c r="D410" s="2085">
        <f t="shared" ref="D410:H410" si="105">AVERAGE(D411:D421)</f>
        <v>0.81818181818181823</v>
      </c>
      <c r="E410" s="2085">
        <f t="shared" si="105"/>
        <v>0.5</v>
      </c>
      <c r="F410" s="2085">
        <f t="shared" si="105"/>
        <v>0.77272727272727271</v>
      </c>
      <c r="G410" s="2085">
        <f t="shared" si="105"/>
        <v>0.86363636363636365</v>
      </c>
      <c r="H410" s="2085">
        <f t="shared" si="105"/>
        <v>0.77272727272727271</v>
      </c>
      <c r="I410" s="2086"/>
      <c r="J410" s="2089"/>
      <c r="K410" s="2089"/>
      <c r="L410" s="2089"/>
      <c r="M410" s="2089"/>
      <c r="N410" s="2089"/>
      <c r="O410" s="2089"/>
      <c r="P410" s="2090"/>
      <c r="Q410" s="2090"/>
      <c r="R410" s="2091"/>
      <c r="S410" s="2089"/>
      <c r="T410" s="2089"/>
      <c r="U410" s="2089"/>
      <c r="V410" s="2089"/>
      <c r="W410" s="2089"/>
      <c r="X410" s="2089"/>
      <c r="Y410" s="1818"/>
      <c r="Z410" s="1818"/>
      <c r="AA410" s="1818"/>
      <c r="AB410" s="1818"/>
      <c r="AC410" s="1818"/>
      <c r="AD410" s="1818"/>
      <c r="AE410" s="1818"/>
      <c r="AF410" s="1818"/>
      <c r="AG410" s="1818"/>
      <c r="AH410" s="1818"/>
      <c r="AI410" s="1818"/>
      <c r="AJ410" s="1818"/>
      <c r="AK410" s="1818"/>
      <c r="AL410" s="1818"/>
      <c r="AM410" s="1818"/>
      <c r="AN410" s="1818"/>
      <c r="AO410" s="1818"/>
      <c r="AP410" s="1818"/>
      <c r="AQ410" s="1818"/>
      <c r="AR410" s="1818"/>
      <c r="AS410" s="1818"/>
      <c r="AT410" s="1818"/>
      <c r="AU410" s="1818"/>
      <c r="AV410" s="1818"/>
      <c r="AW410" s="1818"/>
      <c r="AX410" s="1818"/>
      <c r="AY410" s="1818"/>
      <c r="AZ410" s="1818"/>
      <c r="BA410" s="1818"/>
      <c r="BB410" s="1818"/>
      <c r="BC410" s="1818"/>
      <c r="BD410" s="1818"/>
      <c r="BE410" s="1818"/>
      <c r="BF410" s="1818"/>
      <c r="BG410" s="1818"/>
      <c r="BH410" s="1818"/>
      <c r="BI410" s="1818"/>
      <c r="BJ410" s="1818"/>
      <c r="BK410" s="1818"/>
      <c r="BL410" s="1818"/>
      <c r="BM410" s="1818"/>
      <c r="BN410" s="1818"/>
      <c r="BO410" s="1818"/>
      <c r="BP410" s="1818"/>
      <c r="BQ410" s="1818"/>
      <c r="BR410" s="1818"/>
      <c r="BS410" s="1818"/>
      <c r="BT410" s="1818"/>
      <c r="BU410" s="1818"/>
      <c r="BV410" s="1818"/>
      <c r="BW410" s="1818"/>
      <c r="BX410" s="1818"/>
      <c r="BY410" s="1818"/>
      <c r="BZ410" s="1818"/>
      <c r="CA410" s="1890"/>
      <c r="CB410" s="1890"/>
      <c r="CC410" s="1890"/>
      <c r="CD410" s="1890"/>
      <c r="CE410" s="1890"/>
      <c r="CF410" s="1890"/>
      <c r="CG410" s="1890"/>
      <c r="CH410" s="1890"/>
      <c r="CI410" s="1890"/>
      <c r="CJ410" s="1890"/>
      <c r="CK410" s="1890"/>
      <c r="CL410" s="1890"/>
      <c r="CM410" s="1890"/>
      <c r="CN410" s="1890"/>
      <c r="CO410" s="1890"/>
      <c r="CP410" s="1890"/>
      <c r="CQ410" s="1890"/>
      <c r="CR410" s="1890"/>
      <c r="CS410" s="1890"/>
      <c r="CT410" s="1890"/>
      <c r="CU410" s="1890"/>
      <c r="CV410" s="1890"/>
      <c r="CW410" s="1890"/>
      <c r="CX410" s="1890"/>
      <c r="CY410" s="1890"/>
      <c r="CZ410" s="1890"/>
      <c r="DA410" s="1890"/>
      <c r="DB410" s="1890"/>
      <c r="DC410" s="1890"/>
      <c r="DD410" s="1890"/>
      <c r="DE410" s="1890"/>
      <c r="DF410" s="1890"/>
      <c r="DG410" s="1890"/>
      <c r="DH410" s="1890"/>
      <c r="DI410" s="1890"/>
      <c r="DJ410" s="1890"/>
      <c r="DK410" s="1890"/>
      <c r="DL410" s="1890"/>
      <c r="DM410" s="1890"/>
      <c r="DN410" s="1890"/>
      <c r="DO410" s="1890"/>
      <c r="DP410" s="1890"/>
      <c r="DQ410" s="1890"/>
      <c r="DR410" s="1890"/>
      <c r="DS410" s="1890"/>
      <c r="DT410" s="1890"/>
      <c r="DU410" s="1890"/>
      <c r="DV410" s="1890"/>
      <c r="DW410" s="1890"/>
      <c r="DX410" s="1890"/>
      <c r="DY410" s="1890"/>
      <c r="DZ410" s="1890"/>
      <c r="EA410" s="1890"/>
      <c r="EB410" s="1890"/>
      <c r="EC410" s="1890"/>
      <c r="ED410" s="1890"/>
      <c r="EE410" s="1890"/>
      <c r="EF410" s="1890"/>
      <c r="EG410" s="1890"/>
      <c r="EH410" s="1890"/>
      <c r="EI410" s="1890"/>
      <c r="EJ410" s="1890"/>
      <c r="EK410" s="1890"/>
      <c r="EL410" s="1890"/>
      <c r="EM410" s="1890"/>
      <c r="EN410" s="1890"/>
      <c r="EO410" s="1890"/>
      <c r="EP410" s="1890"/>
      <c r="EQ410" s="1890"/>
      <c r="ER410" s="1890"/>
      <c r="ES410" s="1890"/>
      <c r="ET410" s="1890"/>
      <c r="EU410" s="1890"/>
      <c r="EV410" s="1890"/>
      <c r="EW410" s="1890"/>
      <c r="EX410" s="1890"/>
      <c r="EY410" s="1890"/>
      <c r="EZ410" s="1890"/>
      <c r="FA410" s="1890"/>
      <c r="FB410" s="1890"/>
      <c r="FC410" s="1890"/>
      <c r="FD410" s="1890"/>
      <c r="FE410" s="1890"/>
      <c r="FF410" s="1890"/>
      <c r="FG410" s="1890"/>
      <c r="FH410" s="1890"/>
      <c r="FI410" s="1890"/>
      <c r="FJ410" s="1890"/>
      <c r="FK410" s="1890"/>
      <c r="FL410" s="1890"/>
      <c r="FM410" s="1890"/>
      <c r="FN410" s="1890"/>
      <c r="FO410" s="1890"/>
      <c r="FP410" s="1890"/>
      <c r="FQ410" s="1890"/>
      <c r="FR410" s="1890"/>
      <c r="FS410" s="1890"/>
      <c r="FT410" s="1890"/>
    </row>
    <row r="411" spans="1:176" s="1965" customFormat="1" ht="32.1" customHeight="1">
      <c r="A411" s="2501"/>
      <c r="B411" s="1820" t="s">
        <v>388</v>
      </c>
      <c r="C411" s="1837">
        <v>1</v>
      </c>
      <c r="D411" s="1863">
        <v>1</v>
      </c>
      <c r="E411" s="1829">
        <v>1</v>
      </c>
      <c r="F411" s="1844">
        <v>1</v>
      </c>
      <c r="G411" s="1848">
        <v>1</v>
      </c>
      <c r="H411" s="1831">
        <v>1</v>
      </c>
      <c r="I411" s="2086" t="s">
        <v>38</v>
      </c>
      <c r="J411" s="2217">
        <v>1</v>
      </c>
      <c r="K411" s="1974" t="s">
        <v>811</v>
      </c>
      <c r="L411" s="1794">
        <v>1</v>
      </c>
      <c r="M411" s="1935">
        <v>1</v>
      </c>
      <c r="N411" s="1917" t="s">
        <v>811</v>
      </c>
      <c r="O411" s="1917" t="s">
        <v>8824</v>
      </c>
      <c r="P411" s="1917">
        <v>1</v>
      </c>
      <c r="Q411" s="1917">
        <v>0</v>
      </c>
      <c r="R411" s="2100"/>
      <c r="S411" s="2248" t="s">
        <v>9270</v>
      </c>
      <c r="T411" s="1974" t="s">
        <v>7650</v>
      </c>
      <c r="U411" s="1794" t="s">
        <v>5954</v>
      </c>
      <c r="V411" s="1935" t="s">
        <v>6174</v>
      </c>
      <c r="W411" s="1991" t="s">
        <v>1282</v>
      </c>
      <c r="X411" s="1917" t="s">
        <v>8824</v>
      </c>
      <c r="Y411" s="1818"/>
      <c r="Z411" s="1818"/>
      <c r="AA411" s="1818"/>
      <c r="AB411" s="1818"/>
      <c r="AC411" s="1818"/>
      <c r="AD411" s="1818"/>
      <c r="AE411" s="1818"/>
      <c r="AF411" s="1818"/>
      <c r="AG411" s="1818"/>
      <c r="AH411" s="1818"/>
      <c r="AI411" s="1818"/>
      <c r="AJ411" s="1818"/>
      <c r="AK411" s="1818"/>
      <c r="AL411" s="1818"/>
      <c r="AM411" s="1818"/>
      <c r="AN411" s="1818"/>
      <c r="AO411" s="1818"/>
      <c r="AP411" s="1818"/>
      <c r="AQ411" s="1818"/>
      <c r="AR411" s="1818"/>
      <c r="AS411" s="1818"/>
      <c r="AT411" s="1818"/>
      <c r="AU411" s="1818"/>
      <c r="AV411" s="1818"/>
      <c r="AW411" s="1818"/>
      <c r="AX411" s="1818"/>
      <c r="AY411" s="1818"/>
      <c r="AZ411" s="1818"/>
      <c r="BA411" s="1818"/>
      <c r="BB411" s="1818"/>
      <c r="BC411" s="1818"/>
      <c r="BD411" s="1818"/>
      <c r="BE411" s="1818"/>
      <c r="BF411" s="1818"/>
      <c r="BG411" s="1818"/>
      <c r="BH411" s="1818"/>
      <c r="BI411" s="1818"/>
      <c r="BJ411" s="1818"/>
      <c r="BK411" s="1818"/>
      <c r="BL411" s="1818"/>
      <c r="BM411" s="1818"/>
      <c r="BN411" s="1818"/>
      <c r="BO411" s="1818"/>
      <c r="BP411" s="1818"/>
      <c r="BQ411" s="1818"/>
      <c r="BR411" s="1818"/>
      <c r="BS411" s="1818"/>
      <c r="BT411" s="1818"/>
      <c r="BU411" s="1818"/>
      <c r="BV411" s="1818"/>
      <c r="BW411" s="1818"/>
      <c r="BX411" s="1818"/>
      <c r="BY411" s="1818"/>
      <c r="BZ411" s="1818"/>
      <c r="CA411" s="1890"/>
      <c r="CB411" s="1890"/>
      <c r="CC411" s="1890"/>
      <c r="CD411" s="1890"/>
      <c r="CE411" s="1890"/>
      <c r="CF411" s="1890"/>
      <c r="CG411" s="1890"/>
      <c r="CH411" s="1890"/>
      <c r="CI411" s="1890"/>
      <c r="CJ411" s="1890"/>
      <c r="CK411" s="1890"/>
      <c r="CL411" s="1890"/>
      <c r="CM411" s="1890"/>
      <c r="CN411" s="1890"/>
      <c r="CO411" s="1890"/>
      <c r="CP411" s="1890"/>
      <c r="CQ411" s="1890"/>
      <c r="CR411" s="1890"/>
      <c r="CS411" s="1890"/>
      <c r="CT411" s="1890"/>
      <c r="CU411" s="1890"/>
      <c r="CV411" s="1890"/>
      <c r="CW411" s="1890"/>
      <c r="CX411" s="1890"/>
      <c r="CY411" s="1890"/>
      <c r="CZ411" s="1890"/>
      <c r="DA411" s="1890"/>
      <c r="DB411" s="1890"/>
      <c r="DC411" s="1890"/>
      <c r="DD411" s="1890"/>
      <c r="DE411" s="1890"/>
      <c r="DF411" s="1890"/>
      <c r="DG411" s="1890"/>
      <c r="DH411" s="1890"/>
      <c r="DI411" s="1890"/>
      <c r="DJ411" s="1890"/>
      <c r="DK411" s="1890"/>
      <c r="DL411" s="1890"/>
      <c r="DM411" s="1890"/>
      <c r="DN411" s="1890"/>
      <c r="DO411" s="1890"/>
      <c r="DP411" s="1890"/>
      <c r="DQ411" s="1890"/>
      <c r="DR411" s="1890"/>
      <c r="DS411" s="1890"/>
      <c r="DT411" s="1890"/>
      <c r="DU411" s="1890"/>
      <c r="DV411" s="1890"/>
      <c r="DW411" s="1890"/>
      <c r="DX411" s="1890"/>
      <c r="DY411" s="1890"/>
      <c r="DZ411" s="1890"/>
      <c r="EA411" s="1890"/>
      <c r="EB411" s="1890"/>
      <c r="EC411" s="1890"/>
      <c r="ED411" s="1890"/>
      <c r="EE411" s="1890"/>
      <c r="EF411" s="1890"/>
      <c r="EG411" s="1890"/>
      <c r="EH411" s="1890"/>
      <c r="EI411" s="1890"/>
      <c r="EJ411" s="1890"/>
      <c r="EK411" s="1890"/>
      <c r="EL411" s="1890"/>
      <c r="EM411" s="1890"/>
      <c r="EN411" s="1890"/>
      <c r="EO411" s="1890"/>
      <c r="EP411" s="1890"/>
      <c r="EQ411" s="1890"/>
      <c r="ER411" s="1890"/>
      <c r="ES411" s="1890"/>
      <c r="ET411" s="1890"/>
      <c r="EU411" s="1890"/>
      <c r="EV411" s="1890"/>
      <c r="EW411" s="1890"/>
      <c r="EX411" s="1890"/>
      <c r="EY411" s="1890"/>
      <c r="EZ411" s="1890"/>
      <c r="FA411" s="1890"/>
      <c r="FB411" s="1890"/>
      <c r="FC411" s="1890"/>
      <c r="FD411" s="1890"/>
      <c r="FE411" s="1890"/>
      <c r="FF411" s="1890"/>
      <c r="FG411" s="1890"/>
      <c r="FH411" s="1890"/>
      <c r="FI411" s="1890"/>
      <c r="FJ411" s="1890"/>
      <c r="FK411" s="1890"/>
      <c r="FL411" s="1890"/>
      <c r="FM411" s="1890"/>
      <c r="FN411" s="1890"/>
      <c r="FO411" s="1890"/>
      <c r="FP411" s="1890"/>
      <c r="FQ411" s="1890"/>
      <c r="FR411" s="1890"/>
      <c r="FS411" s="1890"/>
      <c r="FT411" s="1890"/>
    </row>
    <row r="412" spans="1:176" s="1965" customFormat="1" ht="32.1" customHeight="1">
      <c r="A412" s="2501"/>
      <c r="B412" s="1820" t="s">
        <v>389</v>
      </c>
      <c r="C412" s="1837">
        <v>1</v>
      </c>
      <c r="D412" s="1863">
        <v>0.5</v>
      </c>
      <c r="E412" s="1829">
        <v>0.5</v>
      </c>
      <c r="F412" s="1844">
        <v>1</v>
      </c>
      <c r="G412" s="1848">
        <v>1</v>
      </c>
      <c r="H412" s="1831">
        <v>1</v>
      </c>
      <c r="I412" s="2086" t="s">
        <v>240</v>
      </c>
      <c r="J412" s="2217">
        <v>1</v>
      </c>
      <c r="K412" s="1974" t="s">
        <v>5427</v>
      </c>
      <c r="L412" s="1794">
        <v>0.5</v>
      </c>
      <c r="M412" s="1935">
        <v>1</v>
      </c>
      <c r="N412" s="1917" t="s">
        <v>811</v>
      </c>
      <c r="O412" s="1917" t="s">
        <v>8825</v>
      </c>
      <c r="P412" s="1917">
        <v>1</v>
      </c>
      <c r="Q412" s="1917">
        <v>0</v>
      </c>
      <c r="R412" s="2100"/>
      <c r="S412" s="2248" t="s">
        <v>9271</v>
      </c>
      <c r="T412" s="1974" t="s">
        <v>7651</v>
      </c>
      <c r="U412" s="1794" t="s">
        <v>7316</v>
      </c>
      <c r="V412" s="1935" t="s">
        <v>6175</v>
      </c>
      <c r="W412" s="1991" t="s">
        <v>1286</v>
      </c>
      <c r="X412" s="1917" t="s">
        <v>8825</v>
      </c>
      <c r="Y412" s="1818"/>
      <c r="Z412" s="1818"/>
      <c r="AA412" s="1818"/>
      <c r="AB412" s="1818"/>
      <c r="AC412" s="1818"/>
      <c r="AD412" s="1818"/>
      <c r="AE412" s="1818"/>
      <c r="AF412" s="1818"/>
      <c r="AG412" s="1818"/>
      <c r="AH412" s="1818"/>
      <c r="AI412" s="1818"/>
      <c r="AJ412" s="1818"/>
      <c r="AK412" s="1818"/>
      <c r="AL412" s="1818"/>
      <c r="AM412" s="1818"/>
      <c r="AN412" s="1818"/>
      <c r="AO412" s="1818"/>
      <c r="AP412" s="1818"/>
      <c r="AQ412" s="1818"/>
      <c r="AR412" s="1818"/>
      <c r="AS412" s="1818"/>
      <c r="AT412" s="1818"/>
      <c r="AU412" s="1818"/>
      <c r="AV412" s="1818"/>
      <c r="AW412" s="1818"/>
      <c r="AX412" s="1818"/>
      <c r="AY412" s="1818"/>
      <c r="AZ412" s="1818"/>
      <c r="BA412" s="1818"/>
      <c r="BB412" s="1818"/>
      <c r="BC412" s="1818"/>
      <c r="BD412" s="1818"/>
      <c r="BE412" s="1818"/>
      <c r="BF412" s="1818"/>
      <c r="BG412" s="1818"/>
      <c r="BH412" s="1818"/>
      <c r="BI412" s="1818"/>
      <c r="BJ412" s="1818"/>
      <c r="BK412" s="1818"/>
      <c r="BL412" s="1818"/>
      <c r="BM412" s="1818"/>
      <c r="BN412" s="1818"/>
      <c r="BO412" s="1818"/>
      <c r="BP412" s="1818"/>
      <c r="BQ412" s="1818"/>
      <c r="BR412" s="1818"/>
      <c r="BS412" s="1818"/>
      <c r="BT412" s="1818"/>
      <c r="BU412" s="1818"/>
      <c r="BV412" s="1818"/>
      <c r="BW412" s="1818"/>
      <c r="BX412" s="1818"/>
      <c r="BY412" s="1818"/>
      <c r="BZ412" s="1818"/>
      <c r="CA412" s="1890"/>
      <c r="CB412" s="1890"/>
      <c r="CC412" s="1890"/>
      <c r="CD412" s="1890"/>
      <c r="CE412" s="1890"/>
      <c r="CF412" s="1890"/>
      <c r="CG412" s="1890"/>
      <c r="CH412" s="1890"/>
      <c r="CI412" s="1890"/>
      <c r="CJ412" s="1890"/>
      <c r="CK412" s="1890"/>
      <c r="CL412" s="1890"/>
      <c r="CM412" s="1890"/>
      <c r="CN412" s="1890"/>
      <c r="CO412" s="1890"/>
      <c r="CP412" s="1890"/>
      <c r="CQ412" s="1890"/>
      <c r="CR412" s="1890"/>
      <c r="CS412" s="1890"/>
      <c r="CT412" s="1890"/>
      <c r="CU412" s="1890"/>
      <c r="CV412" s="1890"/>
      <c r="CW412" s="1890"/>
      <c r="CX412" s="1890"/>
      <c r="CY412" s="1890"/>
      <c r="CZ412" s="1890"/>
      <c r="DA412" s="1890"/>
      <c r="DB412" s="1890"/>
      <c r="DC412" s="1890"/>
      <c r="DD412" s="1890"/>
      <c r="DE412" s="1890"/>
      <c r="DF412" s="1890"/>
      <c r="DG412" s="1890"/>
      <c r="DH412" s="1890"/>
      <c r="DI412" s="1890"/>
      <c r="DJ412" s="1890"/>
      <c r="DK412" s="1890"/>
      <c r="DL412" s="1890"/>
      <c r="DM412" s="1890"/>
      <c r="DN412" s="1890"/>
      <c r="DO412" s="1890"/>
      <c r="DP412" s="1890"/>
      <c r="DQ412" s="1890"/>
      <c r="DR412" s="1890"/>
      <c r="DS412" s="1890"/>
      <c r="DT412" s="1890"/>
      <c r="DU412" s="1890"/>
      <c r="DV412" s="1890"/>
      <c r="DW412" s="1890"/>
      <c r="DX412" s="1890"/>
      <c r="DY412" s="1890"/>
      <c r="DZ412" s="1890"/>
      <c r="EA412" s="1890"/>
      <c r="EB412" s="1890"/>
      <c r="EC412" s="1890"/>
      <c r="ED412" s="1890"/>
      <c r="EE412" s="1890"/>
      <c r="EF412" s="1890"/>
      <c r="EG412" s="1890"/>
      <c r="EH412" s="1890"/>
      <c r="EI412" s="1890"/>
      <c r="EJ412" s="1890"/>
      <c r="EK412" s="1890"/>
      <c r="EL412" s="1890"/>
      <c r="EM412" s="1890"/>
      <c r="EN412" s="1890"/>
      <c r="EO412" s="1890"/>
      <c r="EP412" s="1890"/>
      <c r="EQ412" s="1890"/>
      <c r="ER412" s="1890"/>
      <c r="ES412" s="1890"/>
      <c r="ET412" s="1890"/>
      <c r="EU412" s="1890"/>
      <c r="EV412" s="1890"/>
      <c r="EW412" s="1890"/>
      <c r="EX412" s="1890"/>
      <c r="EY412" s="1890"/>
      <c r="EZ412" s="1890"/>
      <c r="FA412" s="1890"/>
      <c r="FB412" s="1890"/>
      <c r="FC412" s="1890"/>
      <c r="FD412" s="1890"/>
      <c r="FE412" s="1890"/>
      <c r="FF412" s="1890"/>
      <c r="FG412" s="1890"/>
      <c r="FH412" s="1890"/>
      <c r="FI412" s="1890"/>
      <c r="FJ412" s="1890"/>
      <c r="FK412" s="1890"/>
      <c r="FL412" s="1890"/>
      <c r="FM412" s="1890"/>
      <c r="FN412" s="1890"/>
      <c r="FO412" s="1890"/>
      <c r="FP412" s="1890"/>
      <c r="FQ412" s="1890"/>
      <c r="FR412" s="1890"/>
      <c r="FS412" s="1890"/>
      <c r="FT412" s="1890"/>
    </row>
    <row r="413" spans="1:176" s="1965" customFormat="1" ht="32.1" customHeight="1">
      <c r="A413" s="2501"/>
      <c r="B413" s="1820" t="s">
        <v>390</v>
      </c>
      <c r="C413" s="1837">
        <v>1</v>
      </c>
      <c r="D413" s="1829">
        <v>1</v>
      </c>
      <c r="E413" s="1829">
        <v>0</v>
      </c>
      <c r="F413" s="1844">
        <v>1</v>
      </c>
      <c r="G413" s="1848">
        <v>1</v>
      </c>
      <c r="H413" s="1831">
        <v>1</v>
      </c>
      <c r="I413" s="2086" t="s">
        <v>38</v>
      </c>
      <c r="J413" s="2217">
        <v>1</v>
      </c>
      <c r="K413" s="1974" t="s">
        <v>811</v>
      </c>
      <c r="L413" s="1794">
        <v>0</v>
      </c>
      <c r="M413" s="1935">
        <v>1</v>
      </c>
      <c r="N413" s="1917" t="s">
        <v>811</v>
      </c>
      <c r="O413" s="1917" t="s">
        <v>8826</v>
      </c>
      <c r="P413" s="1917">
        <v>1</v>
      </c>
      <c r="Q413" s="1917">
        <v>0</v>
      </c>
      <c r="R413" s="2100"/>
      <c r="S413" s="2248" t="s">
        <v>9272</v>
      </c>
      <c r="T413" s="1974" t="s">
        <v>7652</v>
      </c>
      <c r="U413" s="1794" t="s">
        <v>7317</v>
      </c>
      <c r="V413" s="1935" t="s">
        <v>6176</v>
      </c>
      <c r="W413" s="1991" t="s">
        <v>1291</v>
      </c>
      <c r="X413" s="1917" t="s">
        <v>8826</v>
      </c>
      <c r="Y413" s="1818"/>
      <c r="Z413" s="1818"/>
      <c r="AA413" s="1818"/>
      <c r="AB413" s="1818"/>
      <c r="AC413" s="1818"/>
      <c r="AD413" s="1818"/>
      <c r="AE413" s="1818"/>
      <c r="AF413" s="1818"/>
      <c r="AG413" s="1818"/>
      <c r="AH413" s="1818"/>
      <c r="AI413" s="1818"/>
      <c r="AJ413" s="1818"/>
      <c r="AK413" s="1818"/>
      <c r="AL413" s="1818"/>
      <c r="AM413" s="1818"/>
      <c r="AN413" s="1818"/>
      <c r="AO413" s="1818"/>
      <c r="AP413" s="1818"/>
      <c r="AQ413" s="1818"/>
      <c r="AR413" s="1818"/>
      <c r="AS413" s="1818"/>
      <c r="AT413" s="1818"/>
      <c r="AU413" s="1818"/>
      <c r="AV413" s="1818"/>
      <c r="AW413" s="1818"/>
      <c r="AX413" s="1818"/>
      <c r="AY413" s="1818"/>
      <c r="AZ413" s="1818"/>
      <c r="BA413" s="1818"/>
      <c r="BB413" s="1818"/>
      <c r="BC413" s="1818"/>
      <c r="BD413" s="1818"/>
      <c r="BE413" s="1818"/>
      <c r="BF413" s="1818"/>
      <c r="BG413" s="1818"/>
      <c r="BH413" s="1818"/>
      <c r="BI413" s="1818"/>
      <c r="BJ413" s="1818"/>
      <c r="BK413" s="1818"/>
      <c r="BL413" s="1818"/>
      <c r="BM413" s="1818"/>
      <c r="BN413" s="1818"/>
      <c r="BO413" s="1818"/>
      <c r="BP413" s="1818"/>
      <c r="BQ413" s="1818"/>
      <c r="BR413" s="1818"/>
      <c r="BS413" s="1818"/>
      <c r="BT413" s="1818"/>
      <c r="BU413" s="1818"/>
      <c r="BV413" s="1818"/>
      <c r="BW413" s="1818"/>
      <c r="BX413" s="1818"/>
      <c r="BY413" s="1818"/>
      <c r="BZ413" s="1818"/>
      <c r="CA413" s="1890"/>
      <c r="CB413" s="1890"/>
      <c r="CC413" s="1890"/>
      <c r="CD413" s="1890"/>
      <c r="CE413" s="1890"/>
      <c r="CF413" s="1890"/>
      <c r="CG413" s="1890"/>
      <c r="CH413" s="1890"/>
      <c r="CI413" s="1890"/>
      <c r="CJ413" s="1890"/>
      <c r="CK413" s="1890"/>
      <c r="CL413" s="1890"/>
      <c r="CM413" s="1890"/>
      <c r="CN413" s="1890"/>
      <c r="CO413" s="1890"/>
      <c r="CP413" s="1890"/>
      <c r="CQ413" s="1890"/>
      <c r="CR413" s="1890"/>
      <c r="CS413" s="1890"/>
      <c r="CT413" s="1890"/>
      <c r="CU413" s="1890"/>
      <c r="CV413" s="1890"/>
      <c r="CW413" s="1890"/>
      <c r="CX413" s="1890"/>
      <c r="CY413" s="1890"/>
      <c r="CZ413" s="1890"/>
      <c r="DA413" s="1890"/>
      <c r="DB413" s="1890"/>
      <c r="DC413" s="1890"/>
      <c r="DD413" s="1890"/>
      <c r="DE413" s="1890"/>
      <c r="DF413" s="1890"/>
      <c r="DG413" s="1890"/>
      <c r="DH413" s="1890"/>
      <c r="DI413" s="1890"/>
      <c r="DJ413" s="1890"/>
      <c r="DK413" s="1890"/>
      <c r="DL413" s="1890"/>
      <c r="DM413" s="1890"/>
      <c r="DN413" s="1890"/>
      <c r="DO413" s="1890"/>
      <c r="DP413" s="1890"/>
      <c r="DQ413" s="1890"/>
      <c r="DR413" s="1890"/>
      <c r="DS413" s="1890"/>
      <c r="DT413" s="1890"/>
      <c r="DU413" s="1890"/>
      <c r="DV413" s="1890"/>
      <c r="DW413" s="1890"/>
      <c r="DX413" s="1890"/>
      <c r="DY413" s="1890"/>
      <c r="DZ413" s="1890"/>
      <c r="EA413" s="1890"/>
      <c r="EB413" s="1890"/>
      <c r="EC413" s="1890"/>
      <c r="ED413" s="1890"/>
      <c r="EE413" s="1890"/>
      <c r="EF413" s="1890"/>
      <c r="EG413" s="1890"/>
      <c r="EH413" s="1890"/>
      <c r="EI413" s="1890"/>
      <c r="EJ413" s="1890"/>
      <c r="EK413" s="1890"/>
      <c r="EL413" s="1890"/>
      <c r="EM413" s="1890"/>
      <c r="EN413" s="1890"/>
      <c r="EO413" s="1890"/>
      <c r="EP413" s="1890"/>
      <c r="EQ413" s="1890"/>
      <c r="ER413" s="1890"/>
      <c r="ES413" s="1890"/>
      <c r="ET413" s="1890"/>
      <c r="EU413" s="1890"/>
      <c r="EV413" s="1890"/>
      <c r="EW413" s="1890"/>
      <c r="EX413" s="1890"/>
      <c r="EY413" s="1890"/>
      <c r="EZ413" s="1890"/>
      <c r="FA413" s="1890"/>
      <c r="FB413" s="1890"/>
      <c r="FC413" s="1890"/>
      <c r="FD413" s="1890"/>
      <c r="FE413" s="1890"/>
      <c r="FF413" s="1890"/>
      <c r="FG413" s="1890"/>
      <c r="FH413" s="1890"/>
      <c r="FI413" s="1890"/>
      <c r="FJ413" s="1890"/>
      <c r="FK413" s="1890"/>
      <c r="FL413" s="1890"/>
      <c r="FM413" s="1890"/>
      <c r="FN413" s="1890"/>
      <c r="FO413" s="1890"/>
      <c r="FP413" s="1890"/>
      <c r="FQ413" s="1890"/>
      <c r="FR413" s="1890"/>
      <c r="FS413" s="1890"/>
      <c r="FT413" s="1890"/>
    </row>
    <row r="414" spans="1:176" s="1965" customFormat="1" ht="110.1" customHeight="1">
      <c r="A414" s="1899"/>
      <c r="B414" s="1840" t="s">
        <v>391</v>
      </c>
      <c r="C414" s="1837">
        <v>1</v>
      </c>
      <c r="D414" s="1829">
        <v>1</v>
      </c>
      <c r="E414" s="1829">
        <v>0</v>
      </c>
      <c r="F414" s="1844">
        <v>1</v>
      </c>
      <c r="G414" s="1848">
        <v>1</v>
      </c>
      <c r="H414" s="1831">
        <v>1</v>
      </c>
      <c r="I414" s="2086" t="s">
        <v>240</v>
      </c>
      <c r="J414" s="2217">
        <v>1</v>
      </c>
      <c r="K414" s="1974" t="s">
        <v>5427</v>
      </c>
      <c r="L414" s="1794">
        <v>0</v>
      </c>
      <c r="M414" s="1935">
        <v>1</v>
      </c>
      <c r="N414" s="1917" t="s">
        <v>811</v>
      </c>
      <c r="O414" s="1917" t="s">
        <v>8827</v>
      </c>
      <c r="P414" s="1917">
        <v>1</v>
      </c>
      <c r="Q414" s="1917">
        <v>0</v>
      </c>
      <c r="R414" s="2100"/>
      <c r="S414" s="2248" t="s">
        <v>9273</v>
      </c>
      <c r="T414" s="1974" t="s">
        <v>9151</v>
      </c>
      <c r="U414" s="1794" t="s">
        <v>1294</v>
      </c>
      <c r="V414" s="1935" t="s">
        <v>6177</v>
      </c>
      <c r="W414" s="1991" t="s">
        <v>5484</v>
      </c>
      <c r="X414" s="1917" t="s">
        <v>8827</v>
      </c>
      <c r="Y414" s="1818"/>
      <c r="Z414" s="1818"/>
      <c r="AA414" s="1818"/>
      <c r="AB414" s="1818"/>
      <c r="AC414" s="1818"/>
      <c r="AD414" s="1818"/>
      <c r="AE414" s="1818"/>
      <c r="AF414" s="1818"/>
      <c r="AG414" s="1818"/>
      <c r="AH414" s="1818"/>
      <c r="AI414" s="1818"/>
      <c r="AJ414" s="1818"/>
      <c r="AK414" s="1818"/>
      <c r="AL414" s="1818"/>
      <c r="AM414" s="1818"/>
      <c r="AN414" s="1818"/>
      <c r="AO414" s="1818"/>
      <c r="AP414" s="1818"/>
      <c r="AQ414" s="1818"/>
      <c r="AR414" s="1818"/>
      <c r="AS414" s="1818"/>
      <c r="AT414" s="1818"/>
      <c r="AU414" s="1818"/>
      <c r="AV414" s="1818"/>
      <c r="AW414" s="1818"/>
      <c r="AX414" s="1818"/>
      <c r="AY414" s="1818"/>
      <c r="AZ414" s="1818"/>
      <c r="BA414" s="1818"/>
      <c r="BB414" s="1818"/>
      <c r="BC414" s="1818"/>
      <c r="BD414" s="1818"/>
      <c r="BE414" s="1818"/>
      <c r="BF414" s="1818"/>
      <c r="BG414" s="1818"/>
      <c r="BH414" s="1818"/>
      <c r="BI414" s="1818"/>
      <c r="BJ414" s="1818"/>
      <c r="BK414" s="1818"/>
      <c r="BL414" s="1818"/>
      <c r="BM414" s="1818"/>
      <c r="BN414" s="1818"/>
      <c r="BO414" s="1818"/>
      <c r="BP414" s="1818"/>
      <c r="BQ414" s="1818"/>
      <c r="BR414" s="1818"/>
      <c r="BS414" s="1818"/>
      <c r="BT414" s="1818"/>
      <c r="BU414" s="1818"/>
      <c r="BV414" s="1818"/>
      <c r="BW414" s="1818"/>
      <c r="BX414" s="1818"/>
      <c r="BY414" s="1818"/>
      <c r="BZ414" s="1818"/>
      <c r="CA414" s="1890"/>
      <c r="CB414" s="1890"/>
      <c r="CC414" s="1890"/>
      <c r="CD414" s="1890"/>
      <c r="CE414" s="1890"/>
      <c r="CF414" s="1890"/>
      <c r="CG414" s="1890"/>
      <c r="CH414" s="1890"/>
      <c r="CI414" s="1890"/>
      <c r="CJ414" s="1890"/>
      <c r="CK414" s="1890"/>
      <c r="CL414" s="1890"/>
      <c r="CM414" s="1890"/>
      <c r="CN414" s="1890"/>
      <c r="CO414" s="1890"/>
      <c r="CP414" s="1890"/>
      <c r="CQ414" s="1890"/>
      <c r="CR414" s="1890"/>
      <c r="CS414" s="1890"/>
      <c r="CT414" s="1890"/>
      <c r="CU414" s="1890"/>
      <c r="CV414" s="1890"/>
      <c r="CW414" s="1890"/>
      <c r="CX414" s="1890"/>
      <c r="CY414" s="1890"/>
      <c r="CZ414" s="1890"/>
      <c r="DA414" s="1890"/>
      <c r="DB414" s="1890"/>
      <c r="DC414" s="1890"/>
      <c r="DD414" s="1890"/>
      <c r="DE414" s="1890"/>
      <c r="DF414" s="1890"/>
      <c r="DG414" s="1890"/>
      <c r="DH414" s="1890"/>
      <c r="DI414" s="1890"/>
      <c r="DJ414" s="1890"/>
      <c r="DK414" s="1890"/>
      <c r="DL414" s="1890"/>
      <c r="DM414" s="1890"/>
      <c r="DN414" s="1890"/>
      <c r="DO414" s="1890"/>
      <c r="DP414" s="1890"/>
      <c r="DQ414" s="1890"/>
      <c r="DR414" s="1890"/>
      <c r="DS414" s="1890"/>
      <c r="DT414" s="1890"/>
      <c r="DU414" s="1890"/>
      <c r="DV414" s="1890"/>
      <c r="DW414" s="1890"/>
      <c r="DX414" s="1890"/>
      <c r="DY414" s="1890"/>
      <c r="DZ414" s="1890"/>
      <c r="EA414" s="1890"/>
      <c r="EB414" s="1890"/>
      <c r="EC414" s="1890"/>
      <c r="ED414" s="1890"/>
      <c r="EE414" s="1890"/>
      <c r="EF414" s="1890"/>
      <c r="EG414" s="1890"/>
      <c r="EH414" s="1890"/>
      <c r="EI414" s="1890"/>
      <c r="EJ414" s="1890"/>
      <c r="EK414" s="1890"/>
      <c r="EL414" s="1890"/>
      <c r="EM414" s="1890"/>
      <c r="EN414" s="1890"/>
      <c r="EO414" s="1890"/>
      <c r="EP414" s="1890"/>
      <c r="EQ414" s="1890"/>
      <c r="ER414" s="1890"/>
      <c r="ES414" s="1890"/>
      <c r="ET414" s="1890"/>
      <c r="EU414" s="1890"/>
      <c r="EV414" s="1890"/>
      <c r="EW414" s="1890"/>
      <c r="EX414" s="1890"/>
      <c r="EY414" s="1890"/>
      <c r="EZ414" s="1890"/>
      <c r="FA414" s="1890"/>
      <c r="FB414" s="1890"/>
      <c r="FC414" s="1890"/>
      <c r="FD414" s="1890"/>
      <c r="FE414" s="1890"/>
      <c r="FF414" s="1890"/>
      <c r="FG414" s="1890"/>
      <c r="FH414" s="1890"/>
      <c r="FI414" s="1890"/>
      <c r="FJ414" s="1890"/>
      <c r="FK414" s="1890"/>
      <c r="FL414" s="1890"/>
      <c r="FM414" s="1890"/>
      <c r="FN414" s="1890"/>
      <c r="FO414" s="1890"/>
      <c r="FP414" s="1890"/>
      <c r="FQ414" s="1890"/>
      <c r="FR414" s="1890"/>
      <c r="FS414" s="1890"/>
      <c r="FT414" s="1890"/>
    </row>
    <row r="415" spans="1:176" s="1965" customFormat="1" ht="32.1" customHeight="1">
      <c r="A415" s="1899"/>
      <c r="B415" s="1820" t="s">
        <v>392</v>
      </c>
      <c r="C415" s="1837">
        <v>1</v>
      </c>
      <c r="D415" s="1863">
        <v>1</v>
      </c>
      <c r="E415" s="1829">
        <v>0</v>
      </c>
      <c r="F415" s="1844">
        <v>1</v>
      </c>
      <c r="G415" s="1848">
        <v>1</v>
      </c>
      <c r="H415" s="1870">
        <v>1</v>
      </c>
      <c r="I415" s="2086" t="s">
        <v>240</v>
      </c>
      <c r="J415" s="2217">
        <v>1</v>
      </c>
      <c r="K415" s="1974" t="s">
        <v>811</v>
      </c>
      <c r="L415" s="1794">
        <v>0</v>
      </c>
      <c r="M415" s="1935">
        <v>1</v>
      </c>
      <c r="N415" s="1917" t="s">
        <v>811</v>
      </c>
      <c r="O415" s="1917" t="s">
        <v>8828</v>
      </c>
      <c r="P415" s="1917">
        <v>1</v>
      </c>
      <c r="Q415" s="1917">
        <v>0</v>
      </c>
      <c r="R415" s="2100"/>
      <c r="S415" s="2248" t="s">
        <v>9274</v>
      </c>
      <c r="T415" s="1974" t="s">
        <v>7653</v>
      </c>
      <c r="U415" s="1794" t="s">
        <v>1060</v>
      </c>
      <c r="V415" s="1935" t="s">
        <v>6178</v>
      </c>
      <c r="W415" s="1798" t="s">
        <v>8558</v>
      </c>
      <c r="X415" s="1917" t="s">
        <v>8828</v>
      </c>
      <c r="Y415" s="1818"/>
      <c r="Z415" s="1818"/>
      <c r="AA415" s="1818"/>
      <c r="AB415" s="1818"/>
      <c r="AC415" s="1818"/>
      <c r="AD415" s="1818"/>
      <c r="AE415" s="1818"/>
      <c r="AF415" s="1818"/>
      <c r="AG415" s="1818"/>
      <c r="AH415" s="1818"/>
      <c r="AI415" s="1818"/>
      <c r="AJ415" s="1818"/>
      <c r="AK415" s="1818"/>
      <c r="AL415" s="1818"/>
      <c r="AM415" s="1818"/>
      <c r="AN415" s="1818"/>
      <c r="AO415" s="1818"/>
      <c r="AP415" s="1818"/>
      <c r="AQ415" s="1818"/>
      <c r="AR415" s="1818"/>
      <c r="AS415" s="1818"/>
      <c r="AT415" s="1818"/>
      <c r="AU415" s="1818"/>
      <c r="AV415" s="1818"/>
      <c r="AW415" s="1818"/>
      <c r="AX415" s="1818"/>
      <c r="AY415" s="1818"/>
      <c r="AZ415" s="1818"/>
      <c r="BA415" s="1818"/>
      <c r="BB415" s="1818"/>
      <c r="BC415" s="1818"/>
      <c r="BD415" s="1818"/>
      <c r="BE415" s="1818"/>
      <c r="BF415" s="1818"/>
      <c r="BG415" s="1818"/>
      <c r="BH415" s="1818"/>
      <c r="BI415" s="1818"/>
      <c r="BJ415" s="1818"/>
      <c r="BK415" s="1818"/>
      <c r="BL415" s="1818"/>
      <c r="BM415" s="1818"/>
      <c r="BN415" s="1818"/>
      <c r="BO415" s="1818"/>
      <c r="BP415" s="1818"/>
      <c r="BQ415" s="1818"/>
      <c r="BR415" s="1818"/>
      <c r="BS415" s="1818"/>
      <c r="BT415" s="1818"/>
      <c r="BU415" s="1818"/>
      <c r="BV415" s="1818"/>
      <c r="BW415" s="1818"/>
      <c r="BX415" s="1818"/>
      <c r="BY415" s="1818"/>
      <c r="BZ415" s="1818"/>
      <c r="CA415" s="1890"/>
      <c r="CB415" s="1890"/>
      <c r="CC415" s="1890"/>
      <c r="CD415" s="1890"/>
      <c r="CE415" s="1890"/>
      <c r="CF415" s="1890"/>
      <c r="CG415" s="1890"/>
      <c r="CH415" s="1890"/>
      <c r="CI415" s="1890"/>
      <c r="CJ415" s="1890"/>
      <c r="CK415" s="1890"/>
      <c r="CL415" s="1890"/>
      <c r="CM415" s="1890"/>
      <c r="CN415" s="1890"/>
      <c r="CO415" s="1890"/>
      <c r="CP415" s="1890"/>
      <c r="CQ415" s="1890"/>
      <c r="CR415" s="1890"/>
      <c r="CS415" s="1890"/>
      <c r="CT415" s="1890"/>
      <c r="CU415" s="1890"/>
      <c r="CV415" s="1890"/>
      <c r="CW415" s="1890"/>
      <c r="CX415" s="1890"/>
      <c r="CY415" s="1890"/>
      <c r="CZ415" s="1890"/>
      <c r="DA415" s="1890"/>
      <c r="DB415" s="1890"/>
      <c r="DC415" s="1890"/>
      <c r="DD415" s="1890"/>
      <c r="DE415" s="1890"/>
      <c r="DF415" s="1890"/>
      <c r="DG415" s="1890"/>
      <c r="DH415" s="1890"/>
      <c r="DI415" s="1890"/>
      <c r="DJ415" s="1890"/>
      <c r="DK415" s="1890"/>
      <c r="DL415" s="1890"/>
      <c r="DM415" s="1890"/>
      <c r="DN415" s="1890"/>
      <c r="DO415" s="1890"/>
      <c r="DP415" s="1890"/>
      <c r="DQ415" s="1890"/>
      <c r="DR415" s="1890"/>
      <c r="DS415" s="1890"/>
      <c r="DT415" s="1890"/>
      <c r="DU415" s="1890"/>
      <c r="DV415" s="1890"/>
      <c r="DW415" s="1890"/>
      <c r="DX415" s="1890"/>
      <c r="DY415" s="1890"/>
      <c r="DZ415" s="1890"/>
      <c r="EA415" s="1890"/>
      <c r="EB415" s="1890"/>
      <c r="EC415" s="1890"/>
      <c r="ED415" s="1890"/>
      <c r="EE415" s="1890"/>
      <c r="EF415" s="1890"/>
      <c r="EG415" s="1890"/>
      <c r="EH415" s="1890"/>
      <c r="EI415" s="1890"/>
      <c r="EJ415" s="1890"/>
      <c r="EK415" s="1890"/>
      <c r="EL415" s="1890"/>
      <c r="EM415" s="1890"/>
      <c r="EN415" s="1890"/>
      <c r="EO415" s="1890"/>
      <c r="EP415" s="1890"/>
      <c r="EQ415" s="1890"/>
      <c r="ER415" s="1890"/>
      <c r="ES415" s="1890"/>
      <c r="ET415" s="1890"/>
      <c r="EU415" s="1890"/>
      <c r="EV415" s="1890"/>
      <c r="EW415" s="1890"/>
      <c r="EX415" s="1890"/>
      <c r="EY415" s="1890"/>
      <c r="EZ415" s="1890"/>
      <c r="FA415" s="1890"/>
      <c r="FB415" s="1890"/>
      <c r="FC415" s="1890"/>
      <c r="FD415" s="1890"/>
      <c r="FE415" s="1890"/>
      <c r="FF415" s="1890"/>
      <c r="FG415" s="1890"/>
      <c r="FH415" s="1890"/>
      <c r="FI415" s="1890"/>
      <c r="FJ415" s="1890"/>
      <c r="FK415" s="1890"/>
      <c r="FL415" s="1890"/>
      <c r="FM415" s="1890"/>
      <c r="FN415" s="1890"/>
      <c r="FO415" s="1890"/>
      <c r="FP415" s="1890"/>
      <c r="FQ415" s="1890"/>
      <c r="FR415" s="1890"/>
      <c r="FS415" s="1890"/>
      <c r="FT415" s="1890"/>
    </row>
    <row r="416" spans="1:176" s="1965" customFormat="1" ht="32.1" customHeight="1">
      <c r="A416" s="1899"/>
      <c r="B416" s="1820" t="s">
        <v>393</v>
      </c>
      <c r="C416" s="1837">
        <v>1</v>
      </c>
      <c r="D416" s="1863">
        <v>1</v>
      </c>
      <c r="E416" s="1829">
        <v>1</v>
      </c>
      <c r="F416" s="1844">
        <v>1</v>
      </c>
      <c r="G416" s="1848">
        <v>1</v>
      </c>
      <c r="H416" s="1831">
        <v>1</v>
      </c>
      <c r="I416" s="2086" t="s">
        <v>123</v>
      </c>
      <c r="J416" s="2217">
        <v>1</v>
      </c>
      <c r="K416" s="1974" t="s">
        <v>811</v>
      </c>
      <c r="L416" s="1794">
        <v>1</v>
      </c>
      <c r="M416" s="1935">
        <v>1</v>
      </c>
      <c r="N416" s="1917" t="s">
        <v>811</v>
      </c>
      <c r="O416" s="1917" t="s">
        <v>5713</v>
      </c>
      <c r="P416" s="1917">
        <v>1</v>
      </c>
      <c r="Q416" s="1917">
        <v>0</v>
      </c>
      <c r="R416" s="2100"/>
      <c r="S416" s="2248" t="s">
        <v>8185</v>
      </c>
      <c r="T416" s="1974" t="s">
        <v>7654</v>
      </c>
      <c r="U416" s="1794" t="s">
        <v>5956</v>
      </c>
      <c r="V416" s="1935" t="s">
        <v>6179</v>
      </c>
      <c r="W416" s="1991" t="s">
        <v>5485</v>
      </c>
      <c r="X416" s="1917" t="s">
        <v>5713</v>
      </c>
      <c r="Y416" s="1818"/>
      <c r="Z416" s="1818"/>
      <c r="AA416" s="1818"/>
      <c r="AB416" s="1818"/>
      <c r="AC416" s="1818"/>
      <c r="AD416" s="1818"/>
      <c r="AE416" s="1818"/>
      <c r="AF416" s="1818"/>
      <c r="AG416" s="1818"/>
      <c r="AH416" s="1818"/>
      <c r="AI416" s="1818"/>
      <c r="AJ416" s="1818"/>
      <c r="AK416" s="1818"/>
      <c r="AL416" s="1818"/>
      <c r="AM416" s="1818"/>
      <c r="AN416" s="1818"/>
      <c r="AO416" s="1818"/>
      <c r="AP416" s="1818"/>
      <c r="AQ416" s="1818"/>
      <c r="AR416" s="1818"/>
      <c r="AS416" s="1818"/>
      <c r="AT416" s="1818"/>
      <c r="AU416" s="1818"/>
      <c r="AV416" s="1818"/>
      <c r="AW416" s="1818"/>
      <c r="AX416" s="1818"/>
      <c r="AY416" s="1818"/>
      <c r="AZ416" s="1818"/>
      <c r="BA416" s="1818"/>
      <c r="BB416" s="1818"/>
      <c r="BC416" s="1818"/>
      <c r="BD416" s="1818"/>
      <c r="BE416" s="1818"/>
      <c r="BF416" s="1818"/>
      <c r="BG416" s="1818"/>
      <c r="BH416" s="1818"/>
      <c r="BI416" s="1818"/>
      <c r="BJ416" s="1818"/>
      <c r="BK416" s="1818"/>
      <c r="BL416" s="1818"/>
      <c r="BM416" s="1818"/>
      <c r="BN416" s="1818"/>
      <c r="BO416" s="1818"/>
      <c r="BP416" s="1818"/>
      <c r="BQ416" s="1818"/>
      <c r="BR416" s="1818"/>
      <c r="BS416" s="1818"/>
      <c r="BT416" s="1818"/>
      <c r="BU416" s="1818"/>
      <c r="BV416" s="1818"/>
      <c r="BW416" s="1818"/>
      <c r="BX416" s="1818"/>
      <c r="BY416" s="1818"/>
      <c r="BZ416" s="1818"/>
      <c r="CA416" s="1890"/>
      <c r="CB416" s="1890"/>
      <c r="CC416" s="1890"/>
      <c r="CD416" s="1890"/>
      <c r="CE416" s="1890"/>
      <c r="CF416" s="1890"/>
      <c r="CG416" s="1890"/>
      <c r="CH416" s="1890"/>
      <c r="CI416" s="1890"/>
      <c r="CJ416" s="1890"/>
      <c r="CK416" s="1890"/>
      <c r="CL416" s="1890"/>
      <c r="CM416" s="1890"/>
      <c r="CN416" s="1890"/>
      <c r="CO416" s="1890"/>
      <c r="CP416" s="1890"/>
      <c r="CQ416" s="1890"/>
      <c r="CR416" s="1890"/>
      <c r="CS416" s="1890"/>
      <c r="CT416" s="1890"/>
      <c r="CU416" s="1890"/>
      <c r="CV416" s="1890"/>
      <c r="CW416" s="1890"/>
      <c r="CX416" s="1890"/>
      <c r="CY416" s="1890"/>
      <c r="CZ416" s="1890"/>
      <c r="DA416" s="1890"/>
      <c r="DB416" s="1890"/>
      <c r="DC416" s="1890"/>
      <c r="DD416" s="1890"/>
      <c r="DE416" s="1890"/>
      <c r="DF416" s="1890"/>
      <c r="DG416" s="1890"/>
      <c r="DH416" s="1890"/>
      <c r="DI416" s="1890"/>
      <c r="DJ416" s="1890"/>
      <c r="DK416" s="1890"/>
      <c r="DL416" s="1890"/>
      <c r="DM416" s="1890"/>
      <c r="DN416" s="1890"/>
      <c r="DO416" s="1890"/>
      <c r="DP416" s="1890"/>
      <c r="DQ416" s="1890"/>
      <c r="DR416" s="1890"/>
      <c r="DS416" s="1890"/>
      <c r="DT416" s="1890"/>
      <c r="DU416" s="1890"/>
      <c r="DV416" s="1890"/>
      <c r="DW416" s="1890"/>
      <c r="DX416" s="1890"/>
      <c r="DY416" s="1890"/>
      <c r="DZ416" s="1890"/>
      <c r="EA416" s="1890"/>
      <c r="EB416" s="1890"/>
      <c r="EC416" s="1890"/>
      <c r="ED416" s="1890"/>
      <c r="EE416" s="1890"/>
      <c r="EF416" s="1890"/>
      <c r="EG416" s="1890"/>
      <c r="EH416" s="1890"/>
      <c r="EI416" s="1890"/>
      <c r="EJ416" s="1890"/>
      <c r="EK416" s="1890"/>
      <c r="EL416" s="1890"/>
      <c r="EM416" s="1890"/>
      <c r="EN416" s="1890"/>
      <c r="EO416" s="1890"/>
      <c r="EP416" s="1890"/>
      <c r="EQ416" s="1890"/>
      <c r="ER416" s="1890"/>
      <c r="ES416" s="1890"/>
      <c r="ET416" s="1890"/>
      <c r="EU416" s="1890"/>
      <c r="EV416" s="1890"/>
      <c r="EW416" s="1890"/>
      <c r="EX416" s="1890"/>
      <c r="EY416" s="1890"/>
      <c r="EZ416" s="1890"/>
      <c r="FA416" s="1890"/>
      <c r="FB416" s="1890"/>
      <c r="FC416" s="1890"/>
      <c r="FD416" s="1890"/>
      <c r="FE416" s="1890"/>
      <c r="FF416" s="1890"/>
      <c r="FG416" s="1890"/>
      <c r="FH416" s="1890"/>
      <c r="FI416" s="1890"/>
      <c r="FJ416" s="1890"/>
      <c r="FK416" s="1890"/>
      <c r="FL416" s="1890"/>
      <c r="FM416" s="1890"/>
      <c r="FN416" s="1890"/>
      <c r="FO416" s="1890"/>
      <c r="FP416" s="1890"/>
      <c r="FQ416" s="1890"/>
      <c r="FR416" s="1890"/>
      <c r="FS416" s="1890"/>
      <c r="FT416" s="1890"/>
    </row>
    <row r="417" spans="1:176" s="1965" customFormat="1" ht="32.1" customHeight="1">
      <c r="A417" s="1899"/>
      <c r="B417" s="1820" t="s">
        <v>394</v>
      </c>
      <c r="C417" s="1837">
        <v>0.5</v>
      </c>
      <c r="D417" s="1863">
        <v>1</v>
      </c>
      <c r="E417" s="1829">
        <v>1</v>
      </c>
      <c r="F417" s="1844">
        <v>0</v>
      </c>
      <c r="G417" s="1848">
        <v>0</v>
      </c>
      <c r="H417" s="1856">
        <v>0</v>
      </c>
      <c r="I417" s="2086" t="s">
        <v>240</v>
      </c>
      <c r="J417" s="2218" t="s">
        <v>6225</v>
      </c>
      <c r="K417" s="1974" t="s">
        <v>811</v>
      </c>
      <c r="L417" s="1794">
        <v>1</v>
      </c>
      <c r="M417" s="1935">
        <v>0</v>
      </c>
      <c r="N417" s="1917" t="s">
        <v>748</v>
      </c>
      <c r="O417" s="1917" t="s">
        <v>8829</v>
      </c>
      <c r="P417" s="1917">
        <v>1</v>
      </c>
      <c r="Q417" s="1917">
        <v>0</v>
      </c>
      <c r="R417" s="2100"/>
      <c r="S417" s="2248" t="s">
        <v>9275</v>
      </c>
      <c r="T417" s="1974" t="s">
        <v>7655</v>
      </c>
      <c r="U417" s="1794" t="s">
        <v>811</v>
      </c>
      <c r="V417" s="1935" t="s">
        <v>1309</v>
      </c>
      <c r="W417" s="1991" t="s">
        <v>5486</v>
      </c>
      <c r="X417" s="1917" t="s">
        <v>8829</v>
      </c>
      <c r="Y417" s="1818"/>
      <c r="Z417" s="1818"/>
      <c r="AA417" s="1818"/>
      <c r="AB417" s="1818"/>
      <c r="AC417" s="1818"/>
      <c r="AD417" s="1818"/>
      <c r="AE417" s="1818"/>
      <c r="AF417" s="1818"/>
      <c r="AG417" s="1818"/>
      <c r="AH417" s="1818"/>
      <c r="AI417" s="1818"/>
      <c r="AJ417" s="1818"/>
      <c r="AK417" s="1818"/>
      <c r="AL417" s="1818"/>
      <c r="AM417" s="1818"/>
      <c r="AN417" s="1818"/>
      <c r="AO417" s="1818"/>
      <c r="AP417" s="1818"/>
      <c r="AQ417" s="1818"/>
      <c r="AR417" s="1818"/>
      <c r="AS417" s="1818"/>
      <c r="AT417" s="1818"/>
      <c r="AU417" s="1818"/>
      <c r="AV417" s="1818"/>
      <c r="AW417" s="1818"/>
      <c r="AX417" s="1818"/>
      <c r="AY417" s="1818"/>
      <c r="AZ417" s="1818"/>
      <c r="BA417" s="1818"/>
      <c r="BB417" s="1818"/>
      <c r="BC417" s="1818"/>
      <c r="BD417" s="1818"/>
      <c r="BE417" s="1818"/>
      <c r="BF417" s="1818"/>
      <c r="BG417" s="1818"/>
      <c r="BH417" s="1818"/>
      <c r="BI417" s="1818"/>
      <c r="BJ417" s="1818"/>
      <c r="BK417" s="1818"/>
      <c r="BL417" s="1818"/>
      <c r="BM417" s="1818"/>
      <c r="BN417" s="1818"/>
      <c r="BO417" s="1818"/>
      <c r="BP417" s="1818"/>
      <c r="BQ417" s="1818"/>
      <c r="BR417" s="1818"/>
      <c r="BS417" s="1818"/>
      <c r="BT417" s="1818"/>
      <c r="BU417" s="1818"/>
      <c r="BV417" s="1818"/>
      <c r="BW417" s="1818"/>
      <c r="BX417" s="1818"/>
      <c r="BY417" s="1818"/>
      <c r="BZ417" s="1818"/>
      <c r="CA417" s="1890"/>
      <c r="CB417" s="1890"/>
      <c r="CC417" s="1890"/>
      <c r="CD417" s="1890"/>
      <c r="CE417" s="1890"/>
      <c r="CF417" s="1890"/>
      <c r="CG417" s="1890"/>
      <c r="CH417" s="1890"/>
      <c r="CI417" s="1890"/>
      <c r="CJ417" s="1890"/>
      <c r="CK417" s="1890"/>
      <c r="CL417" s="1890"/>
      <c r="CM417" s="1890"/>
      <c r="CN417" s="1890"/>
      <c r="CO417" s="1890"/>
      <c r="CP417" s="1890"/>
      <c r="CQ417" s="1890"/>
      <c r="CR417" s="1890"/>
      <c r="CS417" s="1890"/>
      <c r="CT417" s="1890"/>
      <c r="CU417" s="1890"/>
      <c r="CV417" s="1890"/>
      <c r="CW417" s="1890"/>
      <c r="CX417" s="1890"/>
      <c r="CY417" s="1890"/>
      <c r="CZ417" s="1890"/>
      <c r="DA417" s="1890"/>
      <c r="DB417" s="1890"/>
      <c r="DC417" s="1890"/>
      <c r="DD417" s="1890"/>
      <c r="DE417" s="1890"/>
      <c r="DF417" s="1890"/>
      <c r="DG417" s="1890"/>
      <c r="DH417" s="1890"/>
      <c r="DI417" s="1890"/>
      <c r="DJ417" s="1890"/>
      <c r="DK417" s="1890"/>
      <c r="DL417" s="1890"/>
      <c r="DM417" s="1890"/>
      <c r="DN417" s="1890"/>
      <c r="DO417" s="1890"/>
      <c r="DP417" s="1890"/>
      <c r="DQ417" s="1890"/>
      <c r="DR417" s="1890"/>
      <c r="DS417" s="1890"/>
      <c r="DT417" s="1890"/>
      <c r="DU417" s="1890"/>
      <c r="DV417" s="1890"/>
      <c r="DW417" s="1890"/>
      <c r="DX417" s="1890"/>
      <c r="DY417" s="1890"/>
      <c r="DZ417" s="1890"/>
      <c r="EA417" s="1890"/>
      <c r="EB417" s="1890"/>
      <c r="EC417" s="1890"/>
      <c r="ED417" s="1890"/>
      <c r="EE417" s="1890"/>
      <c r="EF417" s="1890"/>
      <c r="EG417" s="1890"/>
      <c r="EH417" s="1890"/>
      <c r="EI417" s="1890"/>
      <c r="EJ417" s="1890"/>
      <c r="EK417" s="1890"/>
      <c r="EL417" s="1890"/>
      <c r="EM417" s="1890"/>
      <c r="EN417" s="1890"/>
      <c r="EO417" s="1890"/>
      <c r="EP417" s="1890"/>
      <c r="EQ417" s="1890"/>
      <c r="ER417" s="1890"/>
      <c r="ES417" s="1890"/>
      <c r="ET417" s="1890"/>
      <c r="EU417" s="1890"/>
      <c r="EV417" s="1890"/>
      <c r="EW417" s="1890"/>
      <c r="EX417" s="1890"/>
      <c r="EY417" s="1890"/>
      <c r="EZ417" s="1890"/>
      <c r="FA417" s="1890"/>
      <c r="FB417" s="1890"/>
      <c r="FC417" s="1890"/>
      <c r="FD417" s="1890"/>
      <c r="FE417" s="1890"/>
      <c r="FF417" s="1890"/>
      <c r="FG417" s="1890"/>
      <c r="FH417" s="1890"/>
      <c r="FI417" s="1890"/>
      <c r="FJ417" s="1890"/>
      <c r="FK417" s="1890"/>
      <c r="FL417" s="1890"/>
      <c r="FM417" s="1890"/>
      <c r="FN417" s="1890"/>
      <c r="FO417" s="1890"/>
      <c r="FP417" s="1890"/>
      <c r="FQ417" s="1890"/>
      <c r="FR417" s="1890"/>
      <c r="FS417" s="1890"/>
      <c r="FT417" s="1890"/>
    </row>
    <row r="418" spans="1:176" ht="32.1" customHeight="1">
      <c r="A418" s="1899"/>
      <c r="B418" s="1820" t="s">
        <v>395</v>
      </c>
      <c r="C418" s="1837">
        <v>1</v>
      </c>
      <c r="D418" s="1863">
        <v>0</v>
      </c>
      <c r="E418" s="1829">
        <v>0</v>
      </c>
      <c r="F418" s="1844">
        <v>0</v>
      </c>
      <c r="G418" s="1848">
        <v>1</v>
      </c>
      <c r="H418" s="1831">
        <v>1</v>
      </c>
      <c r="I418" s="2086" t="s">
        <v>38</v>
      </c>
      <c r="J418" s="2053">
        <v>1</v>
      </c>
      <c r="K418" s="1974" t="s">
        <v>748</v>
      </c>
      <c r="L418" s="1794">
        <v>0</v>
      </c>
      <c r="M418" s="1935">
        <v>0</v>
      </c>
      <c r="N418" s="1917" t="s">
        <v>811</v>
      </c>
      <c r="O418" s="1917" t="s">
        <v>8830</v>
      </c>
      <c r="P418" s="1917">
        <v>1</v>
      </c>
      <c r="Q418" s="1917">
        <v>0</v>
      </c>
      <c r="R418" s="2100"/>
      <c r="S418" s="2261" t="s">
        <v>811</v>
      </c>
      <c r="T418" s="1974" t="s">
        <v>7656</v>
      </c>
      <c r="U418" s="1794" t="s">
        <v>748</v>
      </c>
      <c r="V418" s="1935" t="s">
        <v>7962</v>
      </c>
      <c r="W418" s="1991" t="s">
        <v>5487</v>
      </c>
      <c r="X418" s="1917" t="s">
        <v>8830</v>
      </c>
    </row>
    <row r="419" spans="1:176" ht="32.1" customHeight="1">
      <c r="A419" s="1899"/>
      <c r="B419" s="1820" t="s">
        <v>396</v>
      </c>
      <c r="C419" s="1837">
        <v>1</v>
      </c>
      <c r="D419" s="1863">
        <v>1</v>
      </c>
      <c r="E419" s="1829">
        <v>1</v>
      </c>
      <c r="F419" s="1844">
        <v>1</v>
      </c>
      <c r="G419" s="1848">
        <v>1</v>
      </c>
      <c r="H419" s="1831">
        <v>1</v>
      </c>
      <c r="I419" s="2086" t="s">
        <v>38</v>
      </c>
      <c r="J419" s="2217">
        <v>1</v>
      </c>
      <c r="K419" s="1974" t="s">
        <v>811</v>
      </c>
      <c r="L419" s="1794">
        <v>1</v>
      </c>
      <c r="M419" s="1935">
        <v>1</v>
      </c>
      <c r="N419" s="1917" t="s">
        <v>811</v>
      </c>
      <c r="O419" s="1983" t="s">
        <v>8831</v>
      </c>
      <c r="P419" s="1917">
        <v>1</v>
      </c>
      <c r="Q419" s="1917">
        <v>0</v>
      </c>
      <c r="R419" s="2100"/>
      <c r="S419" s="2248" t="s">
        <v>9276</v>
      </c>
      <c r="T419" s="1974" t="s">
        <v>7657</v>
      </c>
      <c r="U419" s="1794" t="s">
        <v>1317</v>
      </c>
      <c r="V419" s="1935" t="s">
        <v>7963</v>
      </c>
      <c r="W419" s="1991" t="s">
        <v>1319</v>
      </c>
      <c r="X419" s="1983" t="s">
        <v>8831</v>
      </c>
    </row>
    <row r="420" spans="1:176" ht="32.1" customHeight="1">
      <c r="A420" s="1899"/>
      <c r="B420" s="1820" t="s">
        <v>397</v>
      </c>
      <c r="C420" s="1837">
        <v>1</v>
      </c>
      <c r="D420" s="1863">
        <v>1</v>
      </c>
      <c r="E420" s="1829">
        <v>1</v>
      </c>
      <c r="F420" s="1844">
        <v>1</v>
      </c>
      <c r="G420" s="1848">
        <v>1</v>
      </c>
      <c r="H420" s="1831">
        <v>0</v>
      </c>
      <c r="I420" s="2086" t="s">
        <v>38</v>
      </c>
      <c r="J420" s="2217">
        <v>1</v>
      </c>
      <c r="K420" s="1974" t="s">
        <v>811</v>
      </c>
      <c r="L420" s="1794">
        <v>1</v>
      </c>
      <c r="M420" s="1935">
        <v>1</v>
      </c>
      <c r="N420" s="1917" t="s">
        <v>811</v>
      </c>
      <c r="O420" s="1917" t="s">
        <v>8832</v>
      </c>
      <c r="P420" s="1917">
        <v>1</v>
      </c>
      <c r="Q420" s="1917">
        <v>0</v>
      </c>
      <c r="R420" s="2100"/>
      <c r="S420" s="2248" t="s">
        <v>9277</v>
      </c>
      <c r="T420" s="1974" t="s">
        <v>7658</v>
      </c>
      <c r="U420" s="1794" t="s">
        <v>1322</v>
      </c>
      <c r="V420" s="1935" t="s">
        <v>6181</v>
      </c>
      <c r="W420" s="1991" t="s">
        <v>1324</v>
      </c>
      <c r="X420" s="1917" t="s">
        <v>8832</v>
      </c>
    </row>
    <row r="421" spans="1:176" ht="189.75" customHeight="1">
      <c r="A421" s="1899"/>
      <c r="B421" s="1840" t="s">
        <v>398</v>
      </c>
      <c r="C421" s="1837">
        <v>0.5</v>
      </c>
      <c r="D421" s="1863">
        <v>0.5</v>
      </c>
      <c r="E421" s="1829">
        <v>0</v>
      </c>
      <c r="F421" s="1844">
        <v>0.5</v>
      </c>
      <c r="G421" s="1848">
        <v>0.5</v>
      </c>
      <c r="H421" s="1831">
        <v>0.5</v>
      </c>
      <c r="I421" s="2086" t="s">
        <v>240</v>
      </c>
      <c r="J421" s="2218" t="s">
        <v>6225</v>
      </c>
      <c r="K421" s="1974" t="s">
        <v>5427</v>
      </c>
      <c r="L421" s="1794">
        <v>0</v>
      </c>
      <c r="M421" s="1935">
        <v>1</v>
      </c>
      <c r="N421" s="1917" t="s">
        <v>8399</v>
      </c>
      <c r="O421" s="1917" t="s">
        <v>8833</v>
      </c>
      <c r="P421" s="1917">
        <v>1</v>
      </c>
      <c r="Q421" s="1917">
        <v>0</v>
      </c>
      <c r="R421" s="2100"/>
      <c r="S421" s="2248" t="s">
        <v>9278</v>
      </c>
      <c r="T421" s="1974" t="s">
        <v>7659</v>
      </c>
      <c r="U421" s="1794" t="s">
        <v>5957</v>
      </c>
      <c r="V421" s="1935" t="s">
        <v>7964</v>
      </c>
      <c r="W421" s="1991" t="s">
        <v>8399</v>
      </c>
      <c r="X421" s="1917" t="s">
        <v>8833</v>
      </c>
    </row>
    <row r="422" spans="1:176" ht="32.1" customHeight="1">
      <c r="A422" s="2499" t="s">
        <v>7031</v>
      </c>
      <c r="B422" s="2084" t="s">
        <v>400</v>
      </c>
      <c r="C422" s="2093">
        <f t="shared" ref="C422:H422" si="106">AVERAGE(C423,C424,C425)</f>
        <v>1</v>
      </c>
      <c r="D422" s="2093">
        <f t="shared" si="106"/>
        <v>0.66666666666666663</v>
      </c>
      <c r="E422" s="2093">
        <f t="shared" si="106"/>
        <v>0</v>
      </c>
      <c r="F422" s="2093">
        <f t="shared" si="106"/>
        <v>0.5</v>
      </c>
      <c r="G422" s="2093">
        <f t="shared" si="106"/>
        <v>0.66666666666666663</v>
      </c>
      <c r="H422" s="2093">
        <f t="shared" si="106"/>
        <v>0.33333333333333331</v>
      </c>
      <c r="I422" s="2086"/>
      <c r="J422" s="2089"/>
      <c r="K422" s="2089"/>
      <c r="L422" s="2089"/>
      <c r="M422" s="2089"/>
      <c r="N422" s="2089"/>
      <c r="O422" s="2089"/>
      <c r="P422" s="2090"/>
      <c r="Q422" s="2090"/>
      <c r="R422" s="2091"/>
      <c r="S422" s="2089"/>
      <c r="T422" s="2089"/>
      <c r="U422" s="2089"/>
      <c r="V422" s="2089"/>
      <c r="W422" s="2089"/>
      <c r="X422" s="2089"/>
    </row>
    <row r="423" spans="1:176" ht="96.95" customHeight="1">
      <c r="A423" s="1899"/>
      <c r="B423" s="1820" t="s">
        <v>401</v>
      </c>
      <c r="C423" s="1837">
        <v>1</v>
      </c>
      <c r="D423" s="1863">
        <v>1</v>
      </c>
      <c r="E423" s="1846">
        <v>0</v>
      </c>
      <c r="F423" s="1829">
        <v>1</v>
      </c>
      <c r="G423" s="1829">
        <v>1</v>
      </c>
      <c r="H423" s="1850">
        <v>0</v>
      </c>
      <c r="I423" s="2086" t="s">
        <v>38</v>
      </c>
      <c r="J423" s="2217">
        <v>1</v>
      </c>
      <c r="K423" s="1974" t="s">
        <v>811</v>
      </c>
      <c r="L423" s="1915">
        <v>0</v>
      </c>
      <c r="M423" s="1935">
        <v>1</v>
      </c>
      <c r="N423" s="1917" t="s">
        <v>811</v>
      </c>
      <c r="O423" s="1917" t="s">
        <v>8834</v>
      </c>
      <c r="P423" s="1915">
        <v>1</v>
      </c>
      <c r="Q423" s="1915">
        <v>0</v>
      </c>
      <c r="R423" s="2096"/>
      <c r="S423" s="2248" t="s">
        <v>9279</v>
      </c>
      <c r="T423" s="1974" t="s">
        <v>7660</v>
      </c>
      <c r="U423" s="1794" t="s">
        <v>1334</v>
      </c>
      <c r="V423" s="1935" t="s">
        <v>7965</v>
      </c>
      <c r="W423" s="1991" t="s">
        <v>1336</v>
      </c>
      <c r="X423" s="1917" t="s">
        <v>8834</v>
      </c>
    </row>
    <row r="424" spans="1:176" ht="219" customHeight="1">
      <c r="A424" s="1899"/>
      <c r="B424" s="1820" t="s">
        <v>402</v>
      </c>
      <c r="C424" s="1837">
        <v>1</v>
      </c>
      <c r="D424" s="1863">
        <v>0</v>
      </c>
      <c r="E424" s="1846">
        <v>0</v>
      </c>
      <c r="F424" s="1829">
        <v>0.5</v>
      </c>
      <c r="G424" s="1829">
        <v>1</v>
      </c>
      <c r="H424" s="1850">
        <v>1</v>
      </c>
      <c r="I424" s="2086" t="s">
        <v>38</v>
      </c>
      <c r="J424" s="2217">
        <v>1</v>
      </c>
      <c r="K424" s="1974" t="s">
        <v>748</v>
      </c>
      <c r="L424" s="1915">
        <v>1</v>
      </c>
      <c r="M424" s="1935">
        <v>1</v>
      </c>
      <c r="N424" s="1917" t="s">
        <v>811</v>
      </c>
      <c r="O424" s="1917" t="s">
        <v>8835</v>
      </c>
      <c r="P424" s="1915">
        <v>1</v>
      </c>
      <c r="Q424" s="1915">
        <v>0</v>
      </c>
      <c r="R424" s="2096"/>
      <c r="S424" s="2248" t="s">
        <v>9280</v>
      </c>
      <c r="T424" s="1974" t="s">
        <v>7661</v>
      </c>
      <c r="U424" s="1794" t="s">
        <v>1339</v>
      </c>
      <c r="V424" s="1935" t="s">
        <v>7966</v>
      </c>
      <c r="W424" s="1991" t="s">
        <v>5489</v>
      </c>
      <c r="X424" s="1917" t="s">
        <v>8835</v>
      </c>
    </row>
    <row r="425" spans="1:176" ht="71.099999999999994" customHeight="1">
      <c r="A425" s="1899"/>
      <c r="B425" s="1820" t="s">
        <v>403</v>
      </c>
      <c r="C425" s="1837">
        <v>1</v>
      </c>
      <c r="D425" s="1863">
        <v>1</v>
      </c>
      <c r="E425" s="1846">
        <v>0</v>
      </c>
      <c r="F425" s="1829">
        <v>0</v>
      </c>
      <c r="G425" s="1829">
        <v>0</v>
      </c>
      <c r="H425" s="1850">
        <v>0</v>
      </c>
      <c r="I425" s="2086" t="s">
        <v>38</v>
      </c>
      <c r="J425" s="2217">
        <v>1</v>
      </c>
      <c r="K425" s="1974" t="s">
        <v>811</v>
      </c>
      <c r="L425" s="1915">
        <v>0</v>
      </c>
      <c r="M425" s="1935">
        <v>0</v>
      </c>
      <c r="N425" s="1917" t="s">
        <v>748</v>
      </c>
      <c r="O425" s="1917" t="s">
        <v>8836</v>
      </c>
      <c r="P425" s="1915">
        <v>1</v>
      </c>
      <c r="Q425" s="1915">
        <v>0</v>
      </c>
      <c r="R425" s="2096"/>
      <c r="S425" s="2248" t="s">
        <v>9281</v>
      </c>
      <c r="T425" s="1974" t="s">
        <v>7662</v>
      </c>
      <c r="U425" s="1794" t="s">
        <v>1060</v>
      </c>
      <c r="V425" s="1935" t="s">
        <v>1344</v>
      </c>
      <c r="W425" s="1991" t="s">
        <v>5490</v>
      </c>
      <c r="X425" s="1917" t="s">
        <v>8836</v>
      </c>
    </row>
    <row r="426" spans="1:176" ht="32.1" customHeight="1">
      <c r="A426" s="2499" t="s">
        <v>7032</v>
      </c>
      <c r="B426" s="2084" t="s">
        <v>405</v>
      </c>
      <c r="C426" s="2093">
        <f t="shared" ref="C426:H426" si="107">AVERAGE(C427)</f>
        <v>0.5</v>
      </c>
      <c r="D426" s="2093">
        <f t="shared" si="107"/>
        <v>0</v>
      </c>
      <c r="E426" s="2093">
        <f t="shared" si="107"/>
        <v>0</v>
      </c>
      <c r="F426" s="2093">
        <f t="shared" si="107"/>
        <v>0</v>
      </c>
      <c r="G426" s="2093">
        <f t="shared" si="107"/>
        <v>0</v>
      </c>
      <c r="H426" s="2093">
        <f t="shared" si="107"/>
        <v>0</v>
      </c>
      <c r="I426" s="2086"/>
      <c r="J426" s="2220"/>
      <c r="K426" s="2089"/>
      <c r="L426" s="2089"/>
      <c r="M426" s="2089"/>
      <c r="N426" s="2089"/>
      <c r="O426" s="2089"/>
      <c r="P426" s="2090"/>
      <c r="Q426" s="2090"/>
      <c r="R426" s="2091"/>
      <c r="S426" s="2264"/>
      <c r="T426" s="2089"/>
      <c r="U426" s="2089"/>
      <c r="V426" s="2089"/>
      <c r="W426" s="2089"/>
      <c r="X426" s="2089"/>
    </row>
    <row r="427" spans="1:176" ht="32.1" customHeight="1">
      <c r="A427" s="2501"/>
      <c r="B427" s="1820" t="s">
        <v>406</v>
      </c>
      <c r="C427" s="1831">
        <v>0.5</v>
      </c>
      <c r="D427" s="1850">
        <v>0</v>
      </c>
      <c r="E427" s="1850">
        <v>0</v>
      </c>
      <c r="F427" s="1850">
        <v>0</v>
      </c>
      <c r="G427" s="1850">
        <v>0</v>
      </c>
      <c r="H427" s="1850">
        <v>0</v>
      </c>
      <c r="I427" s="2285" t="s">
        <v>123</v>
      </c>
      <c r="J427" s="2218" t="s">
        <v>6225</v>
      </c>
      <c r="K427" s="1794" t="s">
        <v>1060</v>
      </c>
      <c r="L427" s="1794">
        <v>0</v>
      </c>
      <c r="M427" s="1794">
        <v>0</v>
      </c>
      <c r="N427" s="1794" t="s">
        <v>8400</v>
      </c>
      <c r="O427" s="1917" t="s">
        <v>8837</v>
      </c>
      <c r="P427" s="1794">
        <v>1</v>
      </c>
      <c r="Q427" s="1794">
        <v>0</v>
      </c>
      <c r="R427" s="2096"/>
      <c r="S427" s="2248" t="s">
        <v>9282</v>
      </c>
      <c r="T427" s="1794" t="s">
        <v>8560</v>
      </c>
      <c r="U427" s="1794" t="s">
        <v>7318</v>
      </c>
      <c r="V427" s="1935" t="s">
        <v>7967</v>
      </c>
      <c r="W427" s="1917"/>
      <c r="X427" s="1917" t="s">
        <v>8837</v>
      </c>
    </row>
    <row r="428" spans="1:176" ht="32.1" customHeight="1">
      <c r="A428" s="2499" t="s">
        <v>7033</v>
      </c>
      <c r="B428" s="2084" t="s">
        <v>7124</v>
      </c>
      <c r="C428" s="2093">
        <f t="shared" ref="C428:H428" si="108">AVERAGE(C429:C445)</f>
        <v>0.73529411764705888</v>
      </c>
      <c r="D428" s="2093">
        <f t="shared" si="108"/>
        <v>0.52941176470588236</v>
      </c>
      <c r="E428" s="2093">
        <f t="shared" si="108"/>
        <v>0.17647058823529413</v>
      </c>
      <c r="F428" s="2093">
        <f t="shared" si="108"/>
        <v>0.6470588235294118</v>
      </c>
      <c r="G428" s="2093">
        <f t="shared" si="108"/>
        <v>0.44117647058823528</v>
      </c>
      <c r="H428" s="2093">
        <f t="shared" si="108"/>
        <v>0.61764705882352944</v>
      </c>
      <c r="I428" s="2086"/>
      <c r="J428" s="2220"/>
      <c r="K428" s="2089"/>
      <c r="L428" s="2089"/>
      <c r="M428" s="2089"/>
      <c r="N428" s="2089"/>
      <c r="O428" s="2089"/>
      <c r="P428" s="2090"/>
      <c r="Q428" s="2090"/>
      <c r="R428" s="2091"/>
      <c r="S428" s="2264"/>
      <c r="T428" s="2089"/>
      <c r="U428" s="2089"/>
      <c r="V428" s="2089"/>
      <c r="W428" s="2089"/>
      <c r="X428" s="2089"/>
    </row>
    <row r="429" spans="1:176" ht="32.1" customHeight="1">
      <c r="A429" s="2501"/>
      <c r="B429" s="1820" t="s">
        <v>409</v>
      </c>
      <c r="C429" s="1837">
        <v>0</v>
      </c>
      <c r="D429" s="1863">
        <v>0</v>
      </c>
      <c r="E429" s="1829">
        <v>0</v>
      </c>
      <c r="F429" s="1829">
        <v>0</v>
      </c>
      <c r="G429" s="1829">
        <v>0</v>
      </c>
      <c r="H429" s="1850">
        <v>1</v>
      </c>
      <c r="I429" s="2086" t="s">
        <v>38</v>
      </c>
      <c r="J429" s="2217">
        <v>0</v>
      </c>
      <c r="K429" s="1974" t="s">
        <v>748</v>
      </c>
      <c r="L429" s="1794">
        <v>0</v>
      </c>
      <c r="M429" s="1794" t="s">
        <v>8583</v>
      </c>
      <c r="N429" s="1794" t="s">
        <v>5492</v>
      </c>
      <c r="O429" s="1917" t="s">
        <v>8838</v>
      </c>
      <c r="P429" s="1915">
        <v>1</v>
      </c>
      <c r="Q429" s="1915">
        <v>0</v>
      </c>
      <c r="R429" s="2096"/>
      <c r="S429" s="2248" t="s">
        <v>9283</v>
      </c>
      <c r="T429" s="1974" t="s">
        <v>7663</v>
      </c>
      <c r="U429" s="1794" t="s">
        <v>1060</v>
      </c>
      <c r="V429" s="1794" t="s">
        <v>9123</v>
      </c>
      <c r="W429" s="1991" t="s">
        <v>5492</v>
      </c>
      <c r="X429" s="1917" t="s">
        <v>8838</v>
      </c>
    </row>
    <row r="430" spans="1:176" ht="32.1" customHeight="1">
      <c r="A430" s="2501"/>
      <c r="B430" s="1820" t="s">
        <v>410</v>
      </c>
      <c r="C430" s="1837">
        <v>0</v>
      </c>
      <c r="D430" s="1863">
        <v>1</v>
      </c>
      <c r="E430" s="1829">
        <v>1</v>
      </c>
      <c r="F430" s="1829">
        <v>1</v>
      </c>
      <c r="G430" s="1829">
        <v>1</v>
      </c>
      <c r="H430" s="1850">
        <v>0</v>
      </c>
      <c r="I430" s="2086" t="s">
        <v>38</v>
      </c>
      <c r="J430" s="2217">
        <v>0</v>
      </c>
      <c r="K430" s="1974" t="s">
        <v>811</v>
      </c>
      <c r="L430" s="1794">
        <v>1</v>
      </c>
      <c r="M430" s="1794">
        <v>1</v>
      </c>
      <c r="N430" s="1794" t="s">
        <v>1360</v>
      </c>
      <c r="O430" s="1917" t="s">
        <v>8839</v>
      </c>
      <c r="P430" s="1915">
        <v>1</v>
      </c>
      <c r="Q430" s="1915">
        <v>0</v>
      </c>
      <c r="R430" s="2096"/>
      <c r="S430" s="2248" t="s">
        <v>9284</v>
      </c>
      <c r="T430" s="1974" t="s">
        <v>7664</v>
      </c>
      <c r="U430" s="1794" t="s">
        <v>5959</v>
      </c>
      <c r="V430" s="1935" t="s">
        <v>7968</v>
      </c>
      <c r="W430" s="1991" t="s">
        <v>1360</v>
      </c>
      <c r="X430" s="1917" t="s">
        <v>8839</v>
      </c>
    </row>
    <row r="431" spans="1:176" ht="32.1" customHeight="1">
      <c r="A431" s="2501"/>
      <c r="B431" s="1820" t="s">
        <v>411</v>
      </c>
      <c r="C431" s="1837">
        <v>1</v>
      </c>
      <c r="D431" s="1863">
        <v>1</v>
      </c>
      <c r="E431" s="1829">
        <v>0</v>
      </c>
      <c r="F431" s="1829">
        <v>1</v>
      </c>
      <c r="G431" s="1829">
        <v>1</v>
      </c>
      <c r="H431" s="1850">
        <v>1</v>
      </c>
      <c r="I431" s="2086" t="s">
        <v>123</v>
      </c>
      <c r="J431" s="2217">
        <v>1</v>
      </c>
      <c r="K431" s="1974" t="s">
        <v>811</v>
      </c>
      <c r="L431" s="1794">
        <v>0</v>
      </c>
      <c r="M431" s="1794">
        <v>1</v>
      </c>
      <c r="N431" s="1794" t="s">
        <v>811</v>
      </c>
      <c r="O431" s="1917" t="s">
        <v>8840</v>
      </c>
      <c r="P431" s="1915">
        <v>1</v>
      </c>
      <c r="Q431" s="1915">
        <v>0</v>
      </c>
      <c r="R431" s="2096"/>
      <c r="S431" s="2248" t="s">
        <v>9285</v>
      </c>
      <c r="T431" s="1974" t="s">
        <v>7665</v>
      </c>
      <c r="U431" s="1794" t="s">
        <v>1364</v>
      </c>
      <c r="V431" s="1935" t="s">
        <v>7969</v>
      </c>
      <c r="W431" s="1991" t="s">
        <v>5493</v>
      </c>
      <c r="X431" s="1917" t="s">
        <v>8840</v>
      </c>
    </row>
    <row r="432" spans="1:176" ht="131.25" customHeight="1">
      <c r="A432" s="1899"/>
      <c r="B432" s="1820" t="s">
        <v>412</v>
      </c>
      <c r="C432" s="1837">
        <v>1</v>
      </c>
      <c r="D432" s="1863">
        <v>0.5</v>
      </c>
      <c r="E432" s="1829">
        <v>0</v>
      </c>
      <c r="F432" s="1829">
        <v>0.5</v>
      </c>
      <c r="G432" s="1829">
        <v>0.5</v>
      </c>
      <c r="H432" s="1850">
        <v>0.5</v>
      </c>
      <c r="I432" s="2086" t="s">
        <v>91</v>
      </c>
      <c r="J432" s="2217">
        <v>1</v>
      </c>
      <c r="K432" s="1974" t="s">
        <v>5427</v>
      </c>
      <c r="L432" s="1794">
        <v>0</v>
      </c>
      <c r="M432" s="1794" t="s">
        <v>6225</v>
      </c>
      <c r="N432" s="1794" t="s">
        <v>8401</v>
      </c>
      <c r="O432" s="1917" t="s">
        <v>8841</v>
      </c>
      <c r="P432" s="1915">
        <v>1</v>
      </c>
      <c r="Q432" s="1915">
        <v>0</v>
      </c>
      <c r="R432" s="2096"/>
      <c r="S432" s="2248" t="s">
        <v>9286</v>
      </c>
      <c r="T432" s="1974" t="s">
        <v>7666</v>
      </c>
      <c r="U432" s="1794" t="s">
        <v>5960</v>
      </c>
      <c r="V432" s="1935" t="s">
        <v>7970</v>
      </c>
      <c r="W432" s="1991" t="s">
        <v>8401</v>
      </c>
      <c r="X432" s="1917" t="s">
        <v>8841</v>
      </c>
    </row>
    <row r="433" spans="1:176" ht="32.1" customHeight="1">
      <c r="A433" s="1899"/>
      <c r="B433" s="1820" t="s">
        <v>413</v>
      </c>
      <c r="C433" s="1837">
        <v>0.5</v>
      </c>
      <c r="D433" s="1863">
        <v>1</v>
      </c>
      <c r="E433" s="1829">
        <v>0</v>
      </c>
      <c r="F433" s="1829">
        <v>1</v>
      </c>
      <c r="G433" s="1829">
        <v>1</v>
      </c>
      <c r="H433" s="1850">
        <v>1</v>
      </c>
      <c r="I433" s="2086" t="s">
        <v>91</v>
      </c>
      <c r="J433" s="2218" t="s">
        <v>6225</v>
      </c>
      <c r="K433" s="1974" t="s">
        <v>811</v>
      </c>
      <c r="L433" s="1794">
        <v>0</v>
      </c>
      <c r="M433" s="1935">
        <v>1</v>
      </c>
      <c r="N433" s="1917" t="s">
        <v>811</v>
      </c>
      <c r="O433" s="1917" t="s">
        <v>8842</v>
      </c>
      <c r="P433" s="1915">
        <v>1</v>
      </c>
      <c r="Q433" s="1915">
        <v>0</v>
      </c>
      <c r="R433" s="2096"/>
      <c r="S433" s="2248" t="s">
        <v>9287</v>
      </c>
      <c r="T433" s="1974" t="s">
        <v>7667</v>
      </c>
      <c r="U433" s="1794" t="s">
        <v>1374</v>
      </c>
      <c r="V433" s="1935" t="s">
        <v>7971</v>
      </c>
      <c r="W433" s="1991" t="s">
        <v>8423</v>
      </c>
      <c r="X433" s="1917" t="s">
        <v>8842</v>
      </c>
    </row>
    <row r="434" spans="1:176" s="1965" customFormat="1" ht="32.1" customHeight="1">
      <c r="A434" s="1899"/>
      <c r="B434" s="1820" t="s">
        <v>414</v>
      </c>
      <c r="C434" s="1837">
        <v>1</v>
      </c>
      <c r="D434" s="1863">
        <v>0.5</v>
      </c>
      <c r="E434" s="1829">
        <v>0</v>
      </c>
      <c r="F434" s="1829">
        <v>1</v>
      </c>
      <c r="G434" s="1829">
        <v>0</v>
      </c>
      <c r="H434" s="1850">
        <v>1</v>
      </c>
      <c r="I434" s="2086" t="s">
        <v>91</v>
      </c>
      <c r="J434" s="2217">
        <v>1</v>
      </c>
      <c r="K434" s="1974" t="s">
        <v>5427</v>
      </c>
      <c r="L434" s="1794">
        <v>0</v>
      </c>
      <c r="M434" s="1935">
        <v>1</v>
      </c>
      <c r="N434" s="1917" t="s">
        <v>748</v>
      </c>
      <c r="O434" s="1917" t="s">
        <v>8843</v>
      </c>
      <c r="P434" s="1915">
        <v>1</v>
      </c>
      <c r="Q434" s="1915">
        <v>0</v>
      </c>
      <c r="R434" s="2096"/>
      <c r="S434" s="2248" t="s">
        <v>9288</v>
      </c>
      <c r="T434" s="1974" t="s">
        <v>7668</v>
      </c>
      <c r="U434" s="1794" t="s">
        <v>748</v>
      </c>
      <c r="V434" s="1935" t="s">
        <v>7972</v>
      </c>
      <c r="W434" s="1991" t="s">
        <v>748</v>
      </c>
      <c r="X434" s="1917" t="s">
        <v>8843</v>
      </c>
      <c r="Y434" s="1818"/>
      <c r="Z434" s="1818"/>
      <c r="AA434" s="1818"/>
      <c r="AB434" s="1818"/>
      <c r="AC434" s="1818"/>
      <c r="AD434" s="1818"/>
      <c r="AE434" s="1818"/>
      <c r="AF434" s="1818"/>
      <c r="AG434" s="1818"/>
      <c r="AH434" s="1818"/>
      <c r="AI434" s="1818"/>
      <c r="AJ434" s="1818"/>
      <c r="AK434" s="1818"/>
      <c r="AL434" s="1818"/>
      <c r="AM434" s="1818"/>
      <c r="AN434" s="1818"/>
      <c r="AO434" s="1818"/>
      <c r="AP434" s="1818"/>
      <c r="AQ434" s="1818"/>
      <c r="AR434" s="1818"/>
      <c r="AS434" s="1818"/>
      <c r="AT434" s="1818"/>
      <c r="AU434" s="1818"/>
      <c r="AV434" s="1818"/>
      <c r="AW434" s="1818"/>
      <c r="AX434" s="1818"/>
      <c r="AY434" s="1818"/>
      <c r="AZ434" s="1818"/>
      <c r="BA434" s="1818"/>
      <c r="BB434" s="1818"/>
      <c r="BC434" s="1818"/>
      <c r="BD434" s="1818"/>
      <c r="BE434" s="1818"/>
      <c r="BF434" s="1818"/>
      <c r="BG434" s="1818"/>
      <c r="BH434" s="1818"/>
      <c r="BI434" s="1818"/>
      <c r="BJ434" s="1818"/>
      <c r="BK434" s="1818"/>
      <c r="BL434" s="1818"/>
      <c r="BM434" s="1818"/>
      <c r="BN434" s="1818"/>
      <c r="BO434" s="1818"/>
      <c r="BP434" s="1818"/>
      <c r="BQ434" s="1818"/>
      <c r="BR434" s="1818"/>
      <c r="BS434" s="1818"/>
      <c r="BT434" s="1818"/>
      <c r="BU434" s="1818"/>
      <c r="BV434" s="1818"/>
      <c r="BW434" s="1818"/>
      <c r="BX434" s="1818"/>
      <c r="BY434" s="1818"/>
      <c r="BZ434" s="1818"/>
      <c r="CA434" s="1890"/>
      <c r="CB434" s="1890"/>
      <c r="CC434" s="1890"/>
      <c r="CD434" s="1890"/>
      <c r="CE434" s="1890"/>
      <c r="CF434" s="1890"/>
      <c r="CG434" s="1890"/>
      <c r="CH434" s="1890"/>
      <c r="CI434" s="1890"/>
      <c r="CJ434" s="1890"/>
      <c r="CK434" s="1890"/>
      <c r="CL434" s="1890"/>
      <c r="CM434" s="1890"/>
      <c r="CN434" s="1890"/>
      <c r="CO434" s="1890"/>
      <c r="CP434" s="1890"/>
      <c r="CQ434" s="1890"/>
      <c r="CR434" s="1890"/>
      <c r="CS434" s="1890"/>
      <c r="CT434" s="1890"/>
      <c r="CU434" s="1890"/>
      <c r="CV434" s="1890"/>
      <c r="CW434" s="1890"/>
      <c r="CX434" s="1890"/>
      <c r="CY434" s="1890"/>
      <c r="CZ434" s="1890"/>
      <c r="DA434" s="1890"/>
      <c r="DB434" s="1890"/>
      <c r="DC434" s="1890"/>
      <c r="DD434" s="1890"/>
      <c r="DE434" s="1890"/>
      <c r="DF434" s="1890"/>
      <c r="DG434" s="1890"/>
      <c r="DH434" s="1890"/>
      <c r="DI434" s="1890"/>
      <c r="DJ434" s="1890"/>
      <c r="DK434" s="1890"/>
      <c r="DL434" s="1890"/>
      <c r="DM434" s="1890"/>
      <c r="DN434" s="1890"/>
      <c r="DO434" s="1890"/>
      <c r="DP434" s="1890"/>
      <c r="DQ434" s="1890"/>
      <c r="DR434" s="1890"/>
      <c r="DS434" s="1890"/>
      <c r="DT434" s="1890"/>
      <c r="DU434" s="1890"/>
      <c r="DV434" s="1890"/>
      <c r="DW434" s="1890"/>
      <c r="DX434" s="1890"/>
      <c r="DY434" s="1890"/>
      <c r="DZ434" s="1890"/>
      <c r="EA434" s="1890"/>
      <c r="EB434" s="1890"/>
      <c r="EC434" s="1890"/>
      <c r="ED434" s="1890"/>
      <c r="EE434" s="1890"/>
      <c r="EF434" s="1890"/>
      <c r="EG434" s="1890"/>
      <c r="EH434" s="1890"/>
      <c r="EI434" s="1890"/>
      <c r="EJ434" s="1890"/>
      <c r="EK434" s="1890"/>
      <c r="EL434" s="1890"/>
      <c r="EM434" s="1890"/>
      <c r="EN434" s="1890"/>
      <c r="EO434" s="1890"/>
      <c r="EP434" s="1890"/>
      <c r="EQ434" s="1890"/>
      <c r="ER434" s="1890"/>
      <c r="ES434" s="1890"/>
      <c r="ET434" s="1890"/>
      <c r="EU434" s="1890"/>
      <c r="EV434" s="1890"/>
      <c r="EW434" s="1890"/>
      <c r="EX434" s="1890"/>
      <c r="EY434" s="1890"/>
      <c r="EZ434" s="1890"/>
      <c r="FA434" s="1890"/>
      <c r="FB434" s="1890"/>
      <c r="FC434" s="1890"/>
      <c r="FD434" s="1890"/>
      <c r="FE434" s="1890"/>
      <c r="FF434" s="1890"/>
      <c r="FG434" s="1890"/>
      <c r="FH434" s="1890"/>
      <c r="FI434" s="1890"/>
      <c r="FJ434" s="1890"/>
      <c r="FK434" s="1890"/>
      <c r="FL434" s="1890"/>
      <c r="FM434" s="1890"/>
      <c r="FN434" s="1890"/>
      <c r="FO434" s="1890"/>
      <c r="FP434" s="1890"/>
      <c r="FQ434" s="1890"/>
      <c r="FR434" s="1890"/>
      <c r="FS434" s="1890"/>
      <c r="FT434" s="1890"/>
    </row>
    <row r="435" spans="1:176" s="1965" customFormat="1" ht="101.1" customHeight="1">
      <c r="A435" s="1899"/>
      <c r="B435" s="1820" t="s">
        <v>415</v>
      </c>
      <c r="C435" s="1837">
        <v>1</v>
      </c>
      <c r="D435" s="1863">
        <v>0.5</v>
      </c>
      <c r="E435" s="1829">
        <v>0.5</v>
      </c>
      <c r="F435" s="1829">
        <v>0.5</v>
      </c>
      <c r="G435" s="1829">
        <v>0</v>
      </c>
      <c r="H435" s="1850">
        <v>1</v>
      </c>
      <c r="I435" s="2086" t="s">
        <v>91</v>
      </c>
      <c r="J435" s="2217">
        <v>1</v>
      </c>
      <c r="K435" s="1974" t="s">
        <v>5427</v>
      </c>
      <c r="L435" s="1794">
        <v>0.5</v>
      </c>
      <c r="M435" s="1935" t="s">
        <v>6225</v>
      </c>
      <c r="N435" s="1917" t="s">
        <v>748</v>
      </c>
      <c r="O435" s="1917" t="s">
        <v>8844</v>
      </c>
      <c r="P435" s="1915">
        <v>1</v>
      </c>
      <c r="Q435" s="1915">
        <v>0</v>
      </c>
      <c r="R435" s="2096"/>
      <c r="S435" s="2248" t="s">
        <v>8186</v>
      </c>
      <c r="T435" s="1974" t="s">
        <v>7669</v>
      </c>
      <c r="U435" s="1794" t="s">
        <v>1382</v>
      </c>
      <c r="V435" s="1935" t="s">
        <v>7973</v>
      </c>
      <c r="W435" s="1991" t="s">
        <v>748</v>
      </c>
      <c r="X435" s="1917" t="s">
        <v>8844</v>
      </c>
      <c r="Y435" s="1818"/>
      <c r="Z435" s="1818"/>
      <c r="AA435" s="1818"/>
      <c r="AB435" s="1818"/>
      <c r="AC435" s="1818"/>
      <c r="AD435" s="1818"/>
      <c r="AE435" s="1818"/>
      <c r="AF435" s="1818"/>
      <c r="AG435" s="1818"/>
      <c r="AH435" s="1818"/>
      <c r="AI435" s="1818"/>
      <c r="AJ435" s="1818"/>
      <c r="AK435" s="1818"/>
      <c r="AL435" s="1818"/>
      <c r="AM435" s="1818"/>
      <c r="AN435" s="1818"/>
      <c r="AO435" s="1818"/>
      <c r="AP435" s="1818"/>
      <c r="AQ435" s="1818"/>
      <c r="AR435" s="1818"/>
      <c r="AS435" s="1818"/>
      <c r="AT435" s="1818"/>
      <c r="AU435" s="1818"/>
      <c r="AV435" s="1818"/>
      <c r="AW435" s="1818"/>
      <c r="AX435" s="1818"/>
      <c r="AY435" s="1818"/>
      <c r="AZ435" s="1818"/>
      <c r="BA435" s="1818"/>
      <c r="BB435" s="1818"/>
      <c r="BC435" s="1818"/>
      <c r="BD435" s="1818"/>
      <c r="BE435" s="1818"/>
      <c r="BF435" s="1818"/>
      <c r="BG435" s="1818"/>
      <c r="BH435" s="1818"/>
      <c r="BI435" s="1818"/>
      <c r="BJ435" s="1818"/>
      <c r="BK435" s="1818"/>
      <c r="BL435" s="1818"/>
      <c r="BM435" s="1818"/>
      <c r="BN435" s="1818"/>
      <c r="BO435" s="1818"/>
      <c r="BP435" s="1818"/>
      <c r="BQ435" s="1818"/>
      <c r="BR435" s="1818"/>
      <c r="BS435" s="1818"/>
      <c r="BT435" s="1818"/>
      <c r="BU435" s="1818"/>
      <c r="BV435" s="1818"/>
      <c r="BW435" s="1818"/>
      <c r="BX435" s="1818"/>
      <c r="BY435" s="1818"/>
      <c r="BZ435" s="1818"/>
      <c r="CA435" s="1890"/>
      <c r="CB435" s="1890"/>
      <c r="CC435" s="1890"/>
      <c r="CD435" s="1890"/>
      <c r="CE435" s="1890"/>
      <c r="CF435" s="1890"/>
      <c r="CG435" s="1890"/>
      <c r="CH435" s="1890"/>
      <c r="CI435" s="1890"/>
      <c r="CJ435" s="1890"/>
      <c r="CK435" s="1890"/>
      <c r="CL435" s="1890"/>
      <c r="CM435" s="1890"/>
      <c r="CN435" s="1890"/>
      <c r="CO435" s="1890"/>
      <c r="CP435" s="1890"/>
      <c r="CQ435" s="1890"/>
      <c r="CR435" s="1890"/>
      <c r="CS435" s="1890"/>
      <c r="CT435" s="1890"/>
      <c r="CU435" s="1890"/>
      <c r="CV435" s="1890"/>
      <c r="CW435" s="1890"/>
      <c r="CX435" s="1890"/>
      <c r="CY435" s="1890"/>
      <c r="CZ435" s="1890"/>
      <c r="DA435" s="1890"/>
      <c r="DB435" s="1890"/>
      <c r="DC435" s="1890"/>
      <c r="DD435" s="1890"/>
      <c r="DE435" s="1890"/>
      <c r="DF435" s="1890"/>
      <c r="DG435" s="1890"/>
      <c r="DH435" s="1890"/>
      <c r="DI435" s="1890"/>
      <c r="DJ435" s="1890"/>
      <c r="DK435" s="1890"/>
      <c r="DL435" s="1890"/>
      <c r="DM435" s="1890"/>
      <c r="DN435" s="1890"/>
      <c r="DO435" s="1890"/>
      <c r="DP435" s="1890"/>
      <c r="DQ435" s="1890"/>
      <c r="DR435" s="1890"/>
      <c r="DS435" s="1890"/>
      <c r="DT435" s="1890"/>
      <c r="DU435" s="1890"/>
      <c r="DV435" s="1890"/>
      <c r="DW435" s="1890"/>
      <c r="DX435" s="1890"/>
      <c r="DY435" s="1890"/>
      <c r="DZ435" s="1890"/>
      <c r="EA435" s="1890"/>
      <c r="EB435" s="1890"/>
      <c r="EC435" s="1890"/>
      <c r="ED435" s="1890"/>
      <c r="EE435" s="1890"/>
      <c r="EF435" s="1890"/>
      <c r="EG435" s="1890"/>
      <c r="EH435" s="1890"/>
      <c r="EI435" s="1890"/>
      <c r="EJ435" s="1890"/>
      <c r="EK435" s="1890"/>
      <c r="EL435" s="1890"/>
      <c r="EM435" s="1890"/>
      <c r="EN435" s="1890"/>
      <c r="EO435" s="1890"/>
      <c r="EP435" s="1890"/>
      <c r="EQ435" s="1890"/>
      <c r="ER435" s="1890"/>
      <c r="ES435" s="1890"/>
      <c r="ET435" s="1890"/>
      <c r="EU435" s="1890"/>
      <c r="EV435" s="1890"/>
      <c r="EW435" s="1890"/>
      <c r="EX435" s="1890"/>
      <c r="EY435" s="1890"/>
      <c r="EZ435" s="1890"/>
      <c r="FA435" s="1890"/>
      <c r="FB435" s="1890"/>
      <c r="FC435" s="1890"/>
      <c r="FD435" s="1890"/>
      <c r="FE435" s="1890"/>
      <c r="FF435" s="1890"/>
      <c r="FG435" s="1890"/>
      <c r="FH435" s="1890"/>
      <c r="FI435" s="1890"/>
      <c r="FJ435" s="1890"/>
      <c r="FK435" s="1890"/>
      <c r="FL435" s="1890"/>
      <c r="FM435" s="1890"/>
      <c r="FN435" s="1890"/>
      <c r="FO435" s="1890"/>
      <c r="FP435" s="1890"/>
      <c r="FQ435" s="1890"/>
      <c r="FR435" s="1890"/>
      <c r="FS435" s="1890"/>
      <c r="FT435" s="1890"/>
    </row>
    <row r="436" spans="1:176" s="1965" customFormat="1" ht="72" customHeight="1">
      <c r="A436" s="1899"/>
      <c r="B436" s="1820" t="s">
        <v>416</v>
      </c>
      <c r="C436" s="1837">
        <v>0</v>
      </c>
      <c r="D436" s="1863">
        <v>1</v>
      </c>
      <c r="E436" s="1829">
        <v>1</v>
      </c>
      <c r="F436" s="1829">
        <v>0.5</v>
      </c>
      <c r="G436" s="1829">
        <v>0.5</v>
      </c>
      <c r="H436" s="1850">
        <v>1</v>
      </c>
      <c r="I436" s="2086" t="s">
        <v>91</v>
      </c>
      <c r="J436" s="2217">
        <v>0</v>
      </c>
      <c r="K436" s="1974" t="s">
        <v>811</v>
      </c>
      <c r="L436" s="1794">
        <v>1</v>
      </c>
      <c r="M436" s="1935" t="s">
        <v>6225</v>
      </c>
      <c r="N436" s="1917" t="s">
        <v>811</v>
      </c>
      <c r="O436" s="1917" t="s">
        <v>8845</v>
      </c>
      <c r="P436" s="1915">
        <v>1</v>
      </c>
      <c r="Q436" s="1915">
        <v>0</v>
      </c>
      <c r="R436" s="2096"/>
      <c r="S436" s="2248" t="s">
        <v>9289</v>
      </c>
      <c r="T436" s="1974" t="s">
        <v>7670</v>
      </c>
      <c r="U436" s="1794" t="s">
        <v>1385</v>
      </c>
      <c r="V436" s="1935" t="s">
        <v>7974</v>
      </c>
      <c r="W436" s="1991" t="s">
        <v>8424</v>
      </c>
      <c r="X436" s="1917" t="s">
        <v>8845</v>
      </c>
      <c r="Y436" s="1818"/>
      <c r="Z436" s="1818"/>
      <c r="AA436" s="1818"/>
      <c r="AB436" s="1818"/>
      <c r="AC436" s="1818"/>
      <c r="AD436" s="1818"/>
      <c r="AE436" s="1818"/>
      <c r="AF436" s="1818"/>
      <c r="AG436" s="1818"/>
      <c r="AH436" s="1818"/>
      <c r="AI436" s="1818"/>
      <c r="AJ436" s="1818"/>
      <c r="AK436" s="1818"/>
      <c r="AL436" s="1818"/>
      <c r="AM436" s="1818"/>
      <c r="AN436" s="1818"/>
      <c r="AO436" s="1818"/>
      <c r="AP436" s="1818"/>
      <c r="AQ436" s="1818"/>
      <c r="AR436" s="1818"/>
      <c r="AS436" s="1818"/>
      <c r="AT436" s="1818"/>
      <c r="AU436" s="1818"/>
      <c r="AV436" s="1818"/>
      <c r="AW436" s="1818"/>
      <c r="AX436" s="1818"/>
      <c r="AY436" s="1818"/>
      <c r="AZ436" s="1818"/>
      <c r="BA436" s="1818"/>
      <c r="BB436" s="1818"/>
      <c r="BC436" s="1818"/>
      <c r="BD436" s="1818"/>
      <c r="BE436" s="1818"/>
      <c r="BF436" s="1818"/>
      <c r="BG436" s="1818"/>
      <c r="BH436" s="1818"/>
      <c r="BI436" s="1818"/>
      <c r="BJ436" s="1818"/>
      <c r="BK436" s="1818"/>
      <c r="BL436" s="1818"/>
      <c r="BM436" s="1818"/>
      <c r="BN436" s="1818"/>
      <c r="BO436" s="1818"/>
      <c r="BP436" s="1818"/>
      <c r="BQ436" s="1818"/>
      <c r="BR436" s="1818"/>
      <c r="BS436" s="1818"/>
      <c r="BT436" s="1818"/>
      <c r="BU436" s="1818"/>
      <c r="BV436" s="1818"/>
      <c r="BW436" s="1818"/>
      <c r="BX436" s="1818"/>
      <c r="BY436" s="1818"/>
      <c r="BZ436" s="1818"/>
      <c r="CA436" s="1890"/>
      <c r="CB436" s="1890"/>
      <c r="CC436" s="1890"/>
      <c r="CD436" s="1890"/>
      <c r="CE436" s="1890"/>
      <c r="CF436" s="1890"/>
      <c r="CG436" s="1890"/>
      <c r="CH436" s="1890"/>
      <c r="CI436" s="1890"/>
      <c r="CJ436" s="1890"/>
      <c r="CK436" s="1890"/>
      <c r="CL436" s="1890"/>
      <c r="CM436" s="1890"/>
      <c r="CN436" s="1890"/>
      <c r="CO436" s="1890"/>
      <c r="CP436" s="1890"/>
      <c r="CQ436" s="1890"/>
      <c r="CR436" s="1890"/>
      <c r="CS436" s="1890"/>
      <c r="CT436" s="1890"/>
      <c r="CU436" s="1890"/>
      <c r="CV436" s="1890"/>
      <c r="CW436" s="1890"/>
      <c r="CX436" s="1890"/>
      <c r="CY436" s="1890"/>
      <c r="CZ436" s="1890"/>
      <c r="DA436" s="1890"/>
      <c r="DB436" s="1890"/>
      <c r="DC436" s="1890"/>
      <c r="DD436" s="1890"/>
      <c r="DE436" s="1890"/>
      <c r="DF436" s="1890"/>
      <c r="DG436" s="1890"/>
      <c r="DH436" s="1890"/>
      <c r="DI436" s="1890"/>
      <c r="DJ436" s="1890"/>
      <c r="DK436" s="1890"/>
      <c r="DL436" s="1890"/>
      <c r="DM436" s="1890"/>
      <c r="DN436" s="1890"/>
      <c r="DO436" s="1890"/>
      <c r="DP436" s="1890"/>
      <c r="DQ436" s="1890"/>
      <c r="DR436" s="1890"/>
      <c r="DS436" s="1890"/>
      <c r="DT436" s="1890"/>
      <c r="DU436" s="1890"/>
      <c r="DV436" s="1890"/>
      <c r="DW436" s="1890"/>
      <c r="DX436" s="1890"/>
      <c r="DY436" s="1890"/>
      <c r="DZ436" s="1890"/>
      <c r="EA436" s="1890"/>
      <c r="EB436" s="1890"/>
      <c r="EC436" s="1890"/>
      <c r="ED436" s="1890"/>
      <c r="EE436" s="1890"/>
      <c r="EF436" s="1890"/>
      <c r="EG436" s="1890"/>
      <c r="EH436" s="1890"/>
      <c r="EI436" s="1890"/>
      <c r="EJ436" s="1890"/>
      <c r="EK436" s="1890"/>
      <c r="EL436" s="1890"/>
      <c r="EM436" s="1890"/>
      <c r="EN436" s="1890"/>
      <c r="EO436" s="1890"/>
      <c r="EP436" s="1890"/>
      <c r="EQ436" s="1890"/>
      <c r="ER436" s="1890"/>
      <c r="ES436" s="1890"/>
      <c r="ET436" s="1890"/>
      <c r="EU436" s="1890"/>
      <c r="EV436" s="1890"/>
      <c r="EW436" s="1890"/>
      <c r="EX436" s="1890"/>
      <c r="EY436" s="1890"/>
      <c r="EZ436" s="1890"/>
      <c r="FA436" s="1890"/>
      <c r="FB436" s="1890"/>
      <c r="FC436" s="1890"/>
      <c r="FD436" s="1890"/>
      <c r="FE436" s="1890"/>
      <c r="FF436" s="1890"/>
      <c r="FG436" s="1890"/>
      <c r="FH436" s="1890"/>
      <c r="FI436" s="1890"/>
      <c r="FJ436" s="1890"/>
      <c r="FK436" s="1890"/>
      <c r="FL436" s="1890"/>
      <c r="FM436" s="1890"/>
      <c r="FN436" s="1890"/>
      <c r="FO436" s="1890"/>
      <c r="FP436" s="1890"/>
      <c r="FQ436" s="1890"/>
      <c r="FR436" s="1890"/>
      <c r="FS436" s="1890"/>
      <c r="FT436" s="1890"/>
    </row>
    <row r="437" spans="1:176" s="1965" customFormat="1" ht="87.95" customHeight="1">
      <c r="A437" s="1899"/>
      <c r="B437" s="1820" t="s">
        <v>417</v>
      </c>
      <c r="C437" s="1837">
        <v>1</v>
      </c>
      <c r="D437" s="1863">
        <v>1</v>
      </c>
      <c r="E437" s="1829">
        <v>0</v>
      </c>
      <c r="F437" s="1829">
        <v>0</v>
      </c>
      <c r="G437" s="1829">
        <v>1</v>
      </c>
      <c r="H437" s="1850">
        <v>1</v>
      </c>
      <c r="I437" s="2086" t="s">
        <v>38</v>
      </c>
      <c r="J437" s="2217">
        <v>1</v>
      </c>
      <c r="K437" s="1974" t="s">
        <v>811</v>
      </c>
      <c r="L437" s="1794">
        <v>0</v>
      </c>
      <c r="M437" s="1935">
        <v>0</v>
      </c>
      <c r="N437" s="1917" t="s">
        <v>8402</v>
      </c>
      <c r="O437" s="1917" t="s">
        <v>8846</v>
      </c>
      <c r="P437" s="1915">
        <v>1</v>
      </c>
      <c r="Q437" s="1915">
        <v>0</v>
      </c>
      <c r="R437" s="2096"/>
      <c r="S437" s="2248" t="s">
        <v>9290</v>
      </c>
      <c r="T437" s="1974" t="s">
        <v>7671</v>
      </c>
      <c r="U437" s="1794" t="s">
        <v>748</v>
      </c>
      <c r="V437" s="1935" t="s">
        <v>7975</v>
      </c>
      <c r="W437" s="1991" t="s">
        <v>8402</v>
      </c>
      <c r="X437" s="1917" t="s">
        <v>8846</v>
      </c>
      <c r="Y437" s="1818"/>
      <c r="Z437" s="1818"/>
      <c r="AA437" s="1818"/>
      <c r="AB437" s="1818"/>
      <c r="AC437" s="1818"/>
      <c r="AD437" s="1818"/>
      <c r="AE437" s="1818"/>
      <c r="AF437" s="1818"/>
      <c r="AG437" s="1818"/>
      <c r="AH437" s="1818"/>
      <c r="AI437" s="1818"/>
      <c r="AJ437" s="1818"/>
      <c r="AK437" s="1818"/>
      <c r="AL437" s="1818"/>
      <c r="AM437" s="1818"/>
      <c r="AN437" s="1818"/>
      <c r="AO437" s="1818"/>
      <c r="AP437" s="1818"/>
      <c r="AQ437" s="1818"/>
      <c r="AR437" s="1818"/>
      <c r="AS437" s="1818"/>
      <c r="AT437" s="1818"/>
      <c r="AU437" s="1818"/>
      <c r="AV437" s="1818"/>
      <c r="AW437" s="1818"/>
      <c r="AX437" s="1818"/>
      <c r="AY437" s="1818"/>
      <c r="AZ437" s="1818"/>
      <c r="BA437" s="1818"/>
      <c r="BB437" s="1818"/>
      <c r="BC437" s="1818"/>
      <c r="BD437" s="1818"/>
      <c r="BE437" s="1818"/>
      <c r="BF437" s="1818"/>
      <c r="BG437" s="1818"/>
      <c r="BH437" s="1818"/>
      <c r="BI437" s="1818"/>
      <c r="BJ437" s="1818"/>
      <c r="BK437" s="1818"/>
      <c r="BL437" s="1818"/>
      <c r="BM437" s="1818"/>
      <c r="BN437" s="1818"/>
      <c r="BO437" s="1818"/>
      <c r="BP437" s="1818"/>
      <c r="BQ437" s="1818"/>
      <c r="BR437" s="1818"/>
      <c r="BS437" s="1818"/>
      <c r="BT437" s="1818"/>
      <c r="BU437" s="1818"/>
      <c r="BV437" s="1818"/>
      <c r="BW437" s="1818"/>
      <c r="BX437" s="1818"/>
      <c r="BY437" s="1818"/>
      <c r="BZ437" s="1818"/>
      <c r="CA437" s="1890"/>
      <c r="CB437" s="1890"/>
      <c r="CC437" s="1890"/>
      <c r="CD437" s="1890"/>
      <c r="CE437" s="1890"/>
      <c r="CF437" s="1890"/>
      <c r="CG437" s="1890"/>
      <c r="CH437" s="1890"/>
      <c r="CI437" s="1890"/>
      <c r="CJ437" s="1890"/>
      <c r="CK437" s="1890"/>
      <c r="CL437" s="1890"/>
      <c r="CM437" s="1890"/>
      <c r="CN437" s="1890"/>
      <c r="CO437" s="1890"/>
      <c r="CP437" s="1890"/>
      <c r="CQ437" s="1890"/>
      <c r="CR437" s="1890"/>
      <c r="CS437" s="1890"/>
      <c r="CT437" s="1890"/>
      <c r="CU437" s="1890"/>
      <c r="CV437" s="1890"/>
      <c r="CW437" s="1890"/>
      <c r="CX437" s="1890"/>
      <c r="CY437" s="1890"/>
      <c r="CZ437" s="1890"/>
      <c r="DA437" s="1890"/>
      <c r="DB437" s="1890"/>
      <c r="DC437" s="1890"/>
      <c r="DD437" s="1890"/>
      <c r="DE437" s="1890"/>
      <c r="DF437" s="1890"/>
      <c r="DG437" s="1890"/>
      <c r="DH437" s="1890"/>
      <c r="DI437" s="1890"/>
      <c r="DJ437" s="1890"/>
      <c r="DK437" s="1890"/>
      <c r="DL437" s="1890"/>
      <c r="DM437" s="1890"/>
      <c r="DN437" s="1890"/>
      <c r="DO437" s="1890"/>
      <c r="DP437" s="1890"/>
      <c r="DQ437" s="1890"/>
      <c r="DR437" s="1890"/>
      <c r="DS437" s="1890"/>
      <c r="DT437" s="1890"/>
      <c r="DU437" s="1890"/>
      <c r="DV437" s="1890"/>
      <c r="DW437" s="1890"/>
      <c r="DX437" s="1890"/>
      <c r="DY437" s="1890"/>
      <c r="DZ437" s="1890"/>
      <c r="EA437" s="1890"/>
      <c r="EB437" s="1890"/>
      <c r="EC437" s="1890"/>
      <c r="ED437" s="1890"/>
      <c r="EE437" s="1890"/>
      <c r="EF437" s="1890"/>
      <c r="EG437" s="1890"/>
      <c r="EH437" s="1890"/>
      <c r="EI437" s="1890"/>
      <c r="EJ437" s="1890"/>
      <c r="EK437" s="1890"/>
      <c r="EL437" s="1890"/>
      <c r="EM437" s="1890"/>
      <c r="EN437" s="1890"/>
      <c r="EO437" s="1890"/>
      <c r="EP437" s="1890"/>
      <c r="EQ437" s="1890"/>
      <c r="ER437" s="1890"/>
      <c r="ES437" s="1890"/>
      <c r="ET437" s="1890"/>
      <c r="EU437" s="1890"/>
      <c r="EV437" s="1890"/>
      <c r="EW437" s="1890"/>
      <c r="EX437" s="1890"/>
      <c r="EY437" s="1890"/>
      <c r="EZ437" s="1890"/>
      <c r="FA437" s="1890"/>
      <c r="FB437" s="1890"/>
      <c r="FC437" s="1890"/>
      <c r="FD437" s="1890"/>
      <c r="FE437" s="1890"/>
      <c r="FF437" s="1890"/>
      <c r="FG437" s="1890"/>
      <c r="FH437" s="1890"/>
      <c r="FI437" s="1890"/>
      <c r="FJ437" s="1890"/>
      <c r="FK437" s="1890"/>
      <c r="FL437" s="1890"/>
      <c r="FM437" s="1890"/>
      <c r="FN437" s="1890"/>
      <c r="FO437" s="1890"/>
      <c r="FP437" s="1890"/>
      <c r="FQ437" s="1890"/>
      <c r="FR437" s="1890"/>
      <c r="FS437" s="1890"/>
      <c r="FT437" s="1890"/>
    </row>
    <row r="438" spans="1:176" s="1965" customFormat="1" ht="177.95" customHeight="1">
      <c r="A438" s="1899"/>
      <c r="B438" s="1820" t="s">
        <v>418</v>
      </c>
      <c r="C438" s="1837">
        <v>1</v>
      </c>
      <c r="D438" s="1863">
        <v>1</v>
      </c>
      <c r="E438" s="1829">
        <v>0</v>
      </c>
      <c r="F438" s="1829">
        <v>1</v>
      </c>
      <c r="G438" s="1829">
        <v>0</v>
      </c>
      <c r="H438" s="1850">
        <v>1</v>
      </c>
      <c r="I438" s="2086" t="s">
        <v>38</v>
      </c>
      <c r="J438" s="2217">
        <v>1</v>
      </c>
      <c r="K438" s="1974" t="s">
        <v>811</v>
      </c>
      <c r="L438" s="1794">
        <v>0</v>
      </c>
      <c r="M438" s="1935">
        <v>1</v>
      </c>
      <c r="N438" s="1917" t="s">
        <v>748</v>
      </c>
      <c r="O438" s="1917" t="s">
        <v>8847</v>
      </c>
      <c r="P438" s="1915">
        <v>1</v>
      </c>
      <c r="Q438" s="1915">
        <v>0</v>
      </c>
      <c r="R438" s="2096"/>
      <c r="S438" s="2248" t="s">
        <v>9291</v>
      </c>
      <c r="T438" s="1974" t="s">
        <v>7672</v>
      </c>
      <c r="U438" s="1794" t="s">
        <v>5961</v>
      </c>
      <c r="V438" s="1935" t="s">
        <v>7976</v>
      </c>
      <c r="W438" s="1917" t="s">
        <v>943</v>
      </c>
      <c r="X438" s="1917" t="s">
        <v>8847</v>
      </c>
      <c r="Y438" s="1818"/>
      <c r="Z438" s="1818"/>
      <c r="AA438" s="1818"/>
      <c r="AB438" s="1818"/>
      <c r="AC438" s="1818"/>
      <c r="AD438" s="1818"/>
      <c r="AE438" s="1818"/>
      <c r="AF438" s="1818"/>
      <c r="AG438" s="1818"/>
      <c r="AH438" s="1818"/>
      <c r="AI438" s="1818"/>
      <c r="AJ438" s="1818"/>
      <c r="AK438" s="1818"/>
      <c r="AL438" s="1818"/>
      <c r="AM438" s="1818"/>
      <c r="AN438" s="1818"/>
      <c r="AO438" s="1818"/>
      <c r="AP438" s="1818"/>
      <c r="AQ438" s="1818"/>
      <c r="AR438" s="1818"/>
      <c r="AS438" s="1818"/>
      <c r="AT438" s="1818"/>
      <c r="AU438" s="1818"/>
      <c r="AV438" s="1818"/>
      <c r="AW438" s="1818"/>
      <c r="AX438" s="1818"/>
      <c r="AY438" s="1818"/>
      <c r="AZ438" s="1818"/>
      <c r="BA438" s="1818"/>
      <c r="BB438" s="1818"/>
      <c r="BC438" s="1818"/>
      <c r="BD438" s="1818"/>
      <c r="BE438" s="1818"/>
      <c r="BF438" s="1818"/>
      <c r="BG438" s="1818"/>
      <c r="BH438" s="1818"/>
      <c r="BI438" s="1818"/>
      <c r="BJ438" s="1818"/>
      <c r="BK438" s="1818"/>
      <c r="BL438" s="1818"/>
      <c r="BM438" s="1818"/>
      <c r="BN438" s="1818"/>
      <c r="BO438" s="1818"/>
      <c r="BP438" s="1818"/>
      <c r="BQ438" s="1818"/>
      <c r="BR438" s="1818"/>
      <c r="BS438" s="1818"/>
      <c r="BT438" s="1818"/>
      <c r="BU438" s="1818"/>
      <c r="BV438" s="1818"/>
      <c r="BW438" s="1818"/>
      <c r="BX438" s="1818"/>
      <c r="BY438" s="1818"/>
      <c r="BZ438" s="1818"/>
      <c r="CA438" s="1890"/>
      <c r="CB438" s="1890"/>
      <c r="CC438" s="1890"/>
      <c r="CD438" s="1890"/>
      <c r="CE438" s="1890"/>
      <c r="CF438" s="1890"/>
      <c r="CG438" s="1890"/>
      <c r="CH438" s="1890"/>
      <c r="CI438" s="1890"/>
      <c r="CJ438" s="1890"/>
      <c r="CK438" s="1890"/>
      <c r="CL438" s="1890"/>
      <c r="CM438" s="1890"/>
      <c r="CN438" s="1890"/>
      <c r="CO438" s="1890"/>
      <c r="CP438" s="1890"/>
      <c r="CQ438" s="1890"/>
      <c r="CR438" s="1890"/>
      <c r="CS438" s="1890"/>
      <c r="CT438" s="1890"/>
      <c r="CU438" s="1890"/>
      <c r="CV438" s="1890"/>
      <c r="CW438" s="1890"/>
      <c r="CX438" s="1890"/>
      <c r="CY438" s="1890"/>
      <c r="CZ438" s="1890"/>
      <c r="DA438" s="1890"/>
      <c r="DB438" s="1890"/>
      <c r="DC438" s="1890"/>
      <c r="DD438" s="1890"/>
      <c r="DE438" s="1890"/>
      <c r="DF438" s="1890"/>
      <c r="DG438" s="1890"/>
      <c r="DH438" s="1890"/>
      <c r="DI438" s="1890"/>
      <c r="DJ438" s="1890"/>
      <c r="DK438" s="1890"/>
      <c r="DL438" s="1890"/>
      <c r="DM438" s="1890"/>
      <c r="DN438" s="1890"/>
      <c r="DO438" s="1890"/>
      <c r="DP438" s="1890"/>
      <c r="DQ438" s="1890"/>
      <c r="DR438" s="1890"/>
      <c r="DS438" s="1890"/>
      <c r="DT438" s="1890"/>
      <c r="DU438" s="1890"/>
      <c r="DV438" s="1890"/>
      <c r="DW438" s="1890"/>
      <c r="DX438" s="1890"/>
      <c r="DY438" s="1890"/>
      <c r="DZ438" s="1890"/>
      <c r="EA438" s="1890"/>
      <c r="EB438" s="1890"/>
      <c r="EC438" s="1890"/>
      <c r="ED438" s="1890"/>
      <c r="EE438" s="1890"/>
      <c r="EF438" s="1890"/>
      <c r="EG438" s="1890"/>
      <c r="EH438" s="1890"/>
      <c r="EI438" s="1890"/>
      <c r="EJ438" s="1890"/>
      <c r="EK438" s="1890"/>
      <c r="EL438" s="1890"/>
      <c r="EM438" s="1890"/>
      <c r="EN438" s="1890"/>
      <c r="EO438" s="1890"/>
      <c r="EP438" s="1890"/>
      <c r="EQ438" s="1890"/>
      <c r="ER438" s="1890"/>
      <c r="ES438" s="1890"/>
      <c r="ET438" s="1890"/>
      <c r="EU438" s="1890"/>
      <c r="EV438" s="1890"/>
      <c r="EW438" s="1890"/>
      <c r="EX438" s="1890"/>
      <c r="EY438" s="1890"/>
      <c r="EZ438" s="1890"/>
      <c r="FA438" s="1890"/>
      <c r="FB438" s="1890"/>
      <c r="FC438" s="1890"/>
      <c r="FD438" s="1890"/>
      <c r="FE438" s="1890"/>
      <c r="FF438" s="1890"/>
      <c r="FG438" s="1890"/>
      <c r="FH438" s="1890"/>
      <c r="FI438" s="1890"/>
      <c r="FJ438" s="1890"/>
      <c r="FK438" s="1890"/>
      <c r="FL438" s="1890"/>
      <c r="FM438" s="1890"/>
      <c r="FN438" s="1890"/>
      <c r="FO438" s="1890"/>
      <c r="FP438" s="1890"/>
      <c r="FQ438" s="1890"/>
      <c r="FR438" s="1890"/>
      <c r="FS438" s="1890"/>
      <c r="FT438" s="1890"/>
    </row>
    <row r="439" spans="1:176" s="1965" customFormat="1" ht="32.1" customHeight="1">
      <c r="A439" s="1899"/>
      <c r="B439" s="1820" t="s">
        <v>419</v>
      </c>
      <c r="C439" s="1837">
        <v>1</v>
      </c>
      <c r="D439" s="1863">
        <v>0</v>
      </c>
      <c r="E439" s="1829">
        <v>0</v>
      </c>
      <c r="F439" s="1829">
        <v>1</v>
      </c>
      <c r="G439" s="1829">
        <v>0</v>
      </c>
      <c r="H439" s="1850">
        <v>0</v>
      </c>
      <c r="I439" s="2086" t="s">
        <v>38</v>
      </c>
      <c r="J439" s="2217">
        <v>1</v>
      </c>
      <c r="K439" s="1974" t="s">
        <v>748</v>
      </c>
      <c r="L439" s="1794">
        <v>0</v>
      </c>
      <c r="M439" s="1935">
        <v>1</v>
      </c>
      <c r="N439" s="1917" t="s">
        <v>748</v>
      </c>
      <c r="O439" s="1917" t="s">
        <v>8848</v>
      </c>
      <c r="P439" s="1915">
        <v>1</v>
      </c>
      <c r="Q439" s="1915">
        <v>0</v>
      </c>
      <c r="R439" s="2096"/>
      <c r="S439" s="2248" t="s">
        <v>8187</v>
      </c>
      <c r="T439" s="1974" t="s">
        <v>7673</v>
      </c>
      <c r="U439" s="1794" t="s">
        <v>5962</v>
      </c>
      <c r="V439" s="1935" t="s">
        <v>7977</v>
      </c>
      <c r="W439" s="1917" t="s">
        <v>943</v>
      </c>
      <c r="X439" s="1917" t="s">
        <v>8848</v>
      </c>
      <c r="Y439" s="1818"/>
      <c r="Z439" s="1818"/>
      <c r="AA439" s="1818"/>
      <c r="AB439" s="1818"/>
      <c r="AC439" s="1818"/>
      <c r="AD439" s="1818"/>
      <c r="AE439" s="1818"/>
      <c r="AF439" s="1818"/>
      <c r="AG439" s="1818"/>
      <c r="AH439" s="1818"/>
      <c r="AI439" s="1818"/>
      <c r="AJ439" s="1818"/>
      <c r="AK439" s="1818"/>
      <c r="AL439" s="1818"/>
      <c r="AM439" s="1818"/>
      <c r="AN439" s="1818"/>
      <c r="AO439" s="1818"/>
      <c r="AP439" s="1818"/>
      <c r="AQ439" s="1818"/>
      <c r="AR439" s="1818"/>
      <c r="AS439" s="1818"/>
      <c r="AT439" s="1818"/>
      <c r="AU439" s="1818"/>
      <c r="AV439" s="1818"/>
      <c r="AW439" s="1818"/>
      <c r="AX439" s="1818"/>
      <c r="AY439" s="1818"/>
      <c r="AZ439" s="1818"/>
      <c r="BA439" s="1818"/>
      <c r="BB439" s="1818"/>
      <c r="BC439" s="1818"/>
      <c r="BD439" s="1818"/>
      <c r="BE439" s="1818"/>
      <c r="BF439" s="1818"/>
      <c r="BG439" s="1818"/>
      <c r="BH439" s="1818"/>
      <c r="BI439" s="1818"/>
      <c r="BJ439" s="1818"/>
      <c r="BK439" s="1818"/>
      <c r="BL439" s="1818"/>
      <c r="BM439" s="1818"/>
      <c r="BN439" s="1818"/>
      <c r="BO439" s="1818"/>
      <c r="BP439" s="1818"/>
      <c r="BQ439" s="1818"/>
      <c r="BR439" s="1818"/>
      <c r="BS439" s="1818"/>
      <c r="BT439" s="1818"/>
      <c r="BU439" s="1818"/>
      <c r="BV439" s="1818"/>
      <c r="BW439" s="1818"/>
      <c r="BX439" s="1818"/>
      <c r="BY439" s="1818"/>
      <c r="BZ439" s="1818"/>
      <c r="CA439" s="1890"/>
      <c r="CB439" s="1890"/>
      <c r="CC439" s="1890"/>
      <c r="CD439" s="1890"/>
      <c r="CE439" s="1890"/>
      <c r="CF439" s="1890"/>
      <c r="CG439" s="1890"/>
      <c r="CH439" s="1890"/>
      <c r="CI439" s="1890"/>
      <c r="CJ439" s="1890"/>
      <c r="CK439" s="1890"/>
      <c r="CL439" s="1890"/>
      <c r="CM439" s="1890"/>
      <c r="CN439" s="1890"/>
      <c r="CO439" s="1890"/>
      <c r="CP439" s="1890"/>
      <c r="CQ439" s="1890"/>
      <c r="CR439" s="1890"/>
      <c r="CS439" s="1890"/>
      <c r="CT439" s="1890"/>
      <c r="CU439" s="1890"/>
      <c r="CV439" s="1890"/>
      <c r="CW439" s="1890"/>
      <c r="CX439" s="1890"/>
      <c r="CY439" s="1890"/>
      <c r="CZ439" s="1890"/>
      <c r="DA439" s="1890"/>
      <c r="DB439" s="1890"/>
      <c r="DC439" s="1890"/>
      <c r="DD439" s="1890"/>
      <c r="DE439" s="1890"/>
      <c r="DF439" s="1890"/>
      <c r="DG439" s="1890"/>
      <c r="DH439" s="1890"/>
      <c r="DI439" s="1890"/>
      <c r="DJ439" s="1890"/>
      <c r="DK439" s="1890"/>
      <c r="DL439" s="1890"/>
      <c r="DM439" s="1890"/>
      <c r="DN439" s="1890"/>
      <c r="DO439" s="1890"/>
      <c r="DP439" s="1890"/>
      <c r="DQ439" s="1890"/>
      <c r="DR439" s="1890"/>
      <c r="DS439" s="1890"/>
      <c r="DT439" s="1890"/>
      <c r="DU439" s="1890"/>
      <c r="DV439" s="1890"/>
      <c r="DW439" s="1890"/>
      <c r="DX439" s="1890"/>
      <c r="DY439" s="1890"/>
      <c r="DZ439" s="1890"/>
      <c r="EA439" s="1890"/>
      <c r="EB439" s="1890"/>
      <c r="EC439" s="1890"/>
      <c r="ED439" s="1890"/>
      <c r="EE439" s="1890"/>
      <c r="EF439" s="1890"/>
      <c r="EG439" s="1890"/>
      <c r="EH439" s="1890"/>
      <c r="EI439" s="1890"/>
      <c r="EJ439" s="1890"/>
      <c r="EK439" s="1890"/>
      <c r="EL439" s="1890"/>
      <c r="EM439" s="1890"/>
      <c r="EN439" s="1890"/>
      <c r="EO439" s="1890"/>
      <c r="EP439" s="1890"/>
      <c r="EQ439" s="1890"/>
      <c r="ER439" s="1890"/>
      <c r="ES439" s="1890"/>
      <c r="ET439" s="1890"/>
      <c r="EU439" s="1890"/>
      <c r="EV439" s="1890"/>
      <c r="EW439" s="1890"/>
      <c r="EX439" s="1890"/>
      <c r="EY439" s="1890"/>
      <c r="EZ439" s="1890"/>
      <c r="FA439" s="1890"/>
      <c r="FB439" s="1890"/>
      <c r="FC439" s="1890"/>
      <c r="FD439" s="1890"/>
      <c r="FE439" s="1890"/>
      <c r="FF439" s="1890"/>
      <c r="FG439" s="1890"/>
      <c r="FH439" s="1890"/>
      <c r="FI439" s="1890"/>
      <c r="FJ439" s="1890"/>
      <c r="FK439" s="1890"/>
      <c r="FL439" s="1890"/>
      <c r="FM439" s="1890"/>
      <c r="FN439" s="1890"/>
      <c r="FO439" s="1890"/>
      <c r="FP439" s="1890"/>
      <c r="FQ439" s="1890"/>
      <c r="FR439" s="1890"/>
      <c r="FS439" s="1890"/>
      <c r="FT439" s="1890"/>
    </row>
    <row r="440" spans="1:176" s="1965" customFormat="1" ht="32.1" customHeight="1">
      <c r="A440" s="1899"/>
      <c r="B440" s="1820" t="s">
        <v>420</v>
      </c>
      <c r="C440" s="1837">
        <v>1</v>
      </c>
      <c r="D440" s="1863">
        <v>0</v>
      </c>
      <c r="E440" s="1829">
        <v>0</v>
      </c>
      <c r="F440" s="1829">
        <v>1</v>
      </c>
      <c r="G440" s="1829">
        <v>1</v>
      </c>
      <c r="H440" s="1850">
        <v>0</v>
      </c>
      <c r="I440" s="2086" t="s">
        <v>38</v>
      </c>
      <c r="J440" s="2053">
        <v>1</v>
      </c>
      <c r="K440" s="1974" t="s">
        <v>748</v>
      </c>
      <c r="L440" s="1794">
        <v>0</v>
      </c>
      <c r="M440" s="1935">
        <v>1</v>
      </c>
      <c r="N440" s="1917" t="s">
        <v>8403</v>
      </c>
      <c r="O440" s="1917" t="s">
        <v>8849</v>
      </c>
      <c r="P440" s="1915">
        <v>1</v>
      </c>
      <c r="Q440" s="1915">
        <v>0</v>
      </c>
      <c r="R440" s="2096"/>
      <c r="S440" s="2261" t="s">
        <v>811</v>
      </c>
      <c r="T440" s="1974" t="s">
        <v>7674</v>
      </c>
      <c r="U440" s="1794" t="s">
        <v>748</v>
      </c>
      <c r="V440" s="1935" t="s">
        <v>7978</v>
      </c>
      <c r="W440" s="1991" t="s">
        <v>8403</v>
      </c>
      <c r="X440" s="1917" t="s">
        <v>8849</v>
      </c>
      <c r="Y440" s="1818"/>
      <c r="Z440" s="1818"/>
      <c r="AA440" s="1818"/>
      <c r="AB440" s="1818"/>
      <c r="AC440" s="1818"/>
      <c r="AD440" s="1818"/>
      <c r="AE440" s="1818"/>
      <c r="AF440" s="1818"/>
      <c r="AG440" s="1818"/>
      <c r="AH440" s="1818"/>
      <c r="AI440" s="1818"/>
      <c r="AJ440" s="1818"/>
      <c r="AK440" s="1818"/>
      <c r="AL440" s="1818"/>
      <c r="AM440" s="1818"/>
      <c r="AN440" s="1818"/>
      <c r="AO440" s="1818"/>
      <c r="AP440" s="1818"/>
      <c r="AQ440" s="1818"/>
      <c r="AR440" s="1818"/>
      <c r="AS440" s="1818"/>
      <c r="AT440" s="1818"/>
      <c r="AU440" s="1818"/>
      <c r="AV440" s="1818"/>
      <c r="AW440" s="1818"/>
      <c r="AX440" s="1818"/>
      <c r="AY440" s="1818"/>
      <c r="AZ440" s="1818"/>
      <c r="BA440" s="1818"/>
      <c r="BB440" s="1818"/>
      <c r="BC440" s="1818"/>
      <c r="BD440" s="1818"/>
      <c r="BE440" s="1818"/>
      <c r="BF440" s="1818"/>
      <c r="BG440" s="1818"/>
      <c r="BH440" s="1818"/>
      <c r="BI440" s="1818"/>
      <c r="BJ440" s="1818"/>
      <c r="BK440" s="1818"/>
      <c r="BL440" s="1818"/>
      <c r="BM440" s="1818"/>
      <c r="BN440" s="1818"/>
      <c r="BO440" s="1818"/>
      <c r="BP440" s="1818"/>
      <c r="BQ440" s="1818"/>
      <c r="BR440" s="1818"/>
      <c r="BS440" s="1818"/>
      <c r="BT440" s="1818"/>
      <c r="BU440" s="1818"/>
      <c r="BV440" s="1818"/>
      <c r="BW440" s="1818"/>
      <c r="BX440" s="1818"/>
      <c r="BY440" s="1818"/>
      <c r="BZ440" s="1818"/>
      <c r="CA440" s="1890"/>
      <c r="CB440" s="1890"/>
      <c r="CC440" s="1890"/>
      <c r="CD440" s="1890"/>
      <c r="CE440" s="1890"/>
      <c r="CF440" s="1890"/>
      <c r="CG440" s="1890"/>
      <c r="CH440" s="1890"/>
      <c r="CI440" s="1890"/>
      <c r="CJ440" s="1890"/>
      <c r="CK440" s="1890"/>
      <c r="CL440" s="1890"/>
      <c r="CM440" s="1890"/>
      <c r="CN440" s="1890"/>
      <c r="CO440" s="1890"/>
      <c r="CP440" s="1890"/>
      <c r="CQ440" s="1890"/>
      <c r="CR440" s="1890"/>
      <c r="CS440" s="1890"/>
      <c r="CT440" s="1890"/>
      <c r="CU440" s="1890"/>
      <c r="CV440" s="1890"/>
      <c r="CW440" s="1890"/>
      <c r="CX440" s="1890"/>
      <c r="CY440" s="1890"/>
      <c r="CZ440" s="1890"/>
      <c r="DA440" s="1890"/>
      <c r="DB440" s="1890"/>
      <c r="DC440" s="1890"/>
      <c r="DD440" s="1890"/>
      <c r="DE440" s="1890"/>
      <c r="DF440" s="1890"/>
      <c r="DG440" s="1890"/>
      <c r="DH440" s="1890"/>
      <c r="DI440" s="1890"/>
      <c r="DJ440" s="1890"/>
      <c r="DK440" s="1890"/>
      <c r="DL440" s="1890"/>
      <c r="DM440" s="1890"/>
      <c r="DN440" s="1890"/>
      <c r="DO440" s="1890"/>
      <c r="DP440" s="1890"/>
      <c r="DQ440" s="1890"/>
      <c r="DR440" s="1890"/>
      <c r="DS440" s="1890"/>
      <c r="DT440" s="1890"/>
      <c r="DU440" s="1890"/>
      <c r="DV440" s="1890"/>
      <c r="DW440" s="1890"/>
      <c r="DX440" s="1890"/>
      <c r="DY440" s="1890"/>
      <c r="DZ440" s="1890"/>
      <c r="EA440" s="1890"/>
      <c r="EB440" s="1890"/>
      <c r="EC440" s="1890"/>
      <c r="ED440" s="1890"/>
      <c r="EE440" s="1890"/>
      <c r="EF440" s="1890"/>
      <c r="EG440" s="1890"/>
      <c r="EH440" s="1890"/>
      <c r="EI440" s="1890"/>
      <c r="EJ440" s="1890"/>
      <c r="EK440" s="1890"/>
      <c r="EL440" s="1890"/>
      <c r="EM440" s="1890"/>
      <c r="EN440" s="1890"/>
      <c r="EO440" s="1890"/>
      <c r="EP440" s="1890"/>
      <c r="EQ440" s="1890"/>
      <c r="ER440" s="1890"/>
      <c r="ES440" s="1890"/>
      <c r="ET440" s="1890"/>
      <c r="EU440" s="1890"/>
      <c r="EV440" s="1890"/>
      <c r="EW440" s="1890"/>
      <c r="EX440" s="1890"/>
      <c r="EY440" s="1890"/>
      <c r="EZ440" s="1890"/>
      <c r="FA440" s="1890"/>
      <c r="FB440" s="1890"/>
      <c r="FC440" s="1890"/>
      <c r="FD440" s="1890"/>
      <c r="FE440" s="1890"/>
      <c r="FF440" s="1890"/>
      <c r="FG440" s="1890"/>
      <c r="FH440" s="1890"/>
      <c r="FI440" s="1890"/>
      <c r="FJ440" s="1890"/>
      <c r="FK440" s="1890"/>
      <c r="FL440" s="1890"/>
      <c r="FM440" s="1890"/>
      <c r="FN440" s="1890"/>
      <c r="FO440" s="1890"/>
      <c r="FP440" s="1890"/>
      <c r="FQ440" s="1890"/>
      <c r="FR440" s="1890"/>
      <c r="FS440" s="1890"/>
      <c r="FT440" s="1890"/>
    </row>
    <row r="441" spans="1:176" s="1965" customFormat="1" ht="141.75" customHeight="1">
      <c r="A441" s="1899"/>
      <c r="B441" s="1820" t="s">
        <v>421</v>
      </c>
      <c r="C441" s="1837">
        <v>0</v>
      </c>
      <c r="D441" s="1863">
        <v>0</v>
      </c>
      <c r="E441" s="1829">
        <v>0</v>
      </c>
      <c r="F441" s="1829">
        <v>0.5</v>
      </c>
      <c r="G441" s="1829">
        <v>0</v>
      </c>
      <c r="H441" s="1850">
        <v>0</v>
      </c>
      <c r="I441" s="2086" t="s">
        <v>38</v>
      </c>
      <c r="J441" s="2053">
        <v>0</v>
      </c>
      <c r="K441" s="1974" t="s">
        <v>748</v>
      </c>
      <c r="L441" s="1794">
        <v>0</v>
      </c>
      <c r="M441" s="1935">
        <v>1</v>
      </c>
      <c r="N441" s="1917" t="s">
        <v>943</v>
      </c>
      <c r="O441" s="1917" t="s">
        <v>8850</v>
      </c>
      <c r="P441" s="1915">
        <v>1</v>
      </c>
      <c r="Q441" s="1915">
        <v>0</v>
      </c>
      <c r="R441" s="2096"/>
      <c r="S441" s="2261" t="s">
        <v>748</v>
      </c>
      <c r="T441" s="1974" t="s">
        <v>8996</v>
      </c>
      <c r="U441" s="1794" t="s">
        <v>748</v>
      </c>
      <c r="V441" s="1935" t="s">
        <v>7979</v>
      </c>
      <c r="W441" s="1917" t="s">
        <v>943</v>
      </c>
      <c r="X441" s="1917" t="s">
        <v>8850</v>
      </c>
      <c r="Y441" s="1818"/>
      <c r="Z441" s="1818"/>
      <c r="AA441" s="1818"/>
      <c r="AB441" s="1818"/>
      <c r="AC441" s="1818"/>
      <c r="AD441" s="1818"/>
      <c r="AE441" s="1818"/>
      <c r="AF441" s="1818"/>
      <c r="AG441" s="1818"/>
      <c r="AH441" s="1818"/>
      <c r="AI441" s="1818"/>
      <c r="AJ441" s="1818"/>
      <c r="AK441" s="1818"/>
      <c r="AL441" s="1818"/>
      <c r="AM441" s="1818"/>
      <c r="AN441" s="1818"/>
      <c r="AO441" s="1818"/>
      <c r="AP441" s="1818"/>
      <c r="AQ441" s="1818"/>
      <c r="AR441" s="1818"/>
      <c r="AS441" s="1818"/>
      <c r="AT441" s="1818"/>
      <c r="AU441" s="1818"/>
      <c r="AV441" s="1818"/>
      <c r="AW441" s="1818"/>
      <c r="AX441" s="1818"/>
      <c r="AY441" s="1818"/>
      <c r="AZ441" s="1818"/>
      <c r="BA441" s="1818"/>
      <c r="BB441" s="1818"/>
      <c r="BC441" s="1818"/>
      <c r="BD441" s="1818"/>
      <c r="BE441" s="1818"/>
      <c r="BF441" s="1818"/>
      <c r="BG441" s="1818"/>
      <c r="BH441" s="1818"/>
      <c r="BI441" s="1818"/>
      <c r="BJ441" s="1818"/>
      <c r="BK441" s="1818"/>
      <c r="BL441" s="1818"/>
      <c r="BM441" s="1818"/>
      <c r="BN441" s="1818"/>
      <c r="BO441" s="1818"/>
      <c r="BP441" s="1818"/>
      <c r="BQ441" s="1818"/>
      <c r="BR441" s="1818"/>
      <c r="BS441" s="1818"/>
      <c r="BT441" s="1818"/>
      <c r="BU441" s="1818"/>
      <c r="BV441" s="1818"/>
      <c r="BW441" s="1818"/>
      <c r="BX441" s="1818"/>
      <c r="BY441" s="1818"/>
      <c r="BZ441" s="1818"/>
      <c r="CA441" s="1890"/>
      <c r="CB441" s="1890"/>
      <c r="CC441" s="1890"/>
      <c r="CD441" s="1890"/>
      <c r="CE441" s="1890"/>
      <c r="CF441" s="1890"/>
      <c r="CG441" s="1890"/>
      <c r="CH441" s="1890"/>
      <c r="CI441" s="1890"/>
      <c r="CJ441" s="1890"/>
      <c r="CK441" s="1890"/>
      <c r="CL441" s="1890"/>
      <c r="CM441" s="1890"/>
      <c r="CN441" s="1890"/>
      <c r="CO441" s="1890"/>
      <c r="CP441" s="1890"/>
      <c r="CQ441" s="1890"/>
      <c r="CR441" s="1890"/>
      <c r="CS441" s="1890"/>
      <c r="CT441" s="1890"/>
      <c r="CU441" s="1890"/>
      <c r="CV441" s="1890"/>
      <c r="CW441" s="1890"/>
      <c r="CX441" s="1890"/>
      <c r="CY441" s="1890"/>
      <c r="CZ441" s="1890"/>
      <c r="DA441" s="1890"/>
      <c r="DB441" s="1890"/>
      <c r="DC441" s="1890"/>
      <c r="DD441" s="1890"/>
      <c r="DE441" s="1890"/>
      <c r="DF441" s="1890"/>
      <c r="DG441" s="1890"/>
      <c r="DH441" s="1890"/>
      <c r="DI441" s="1890"/>
      <c r="DJ441" s="1890"/>
      <c r="DK441" s="1890"/>
      <c r="DL441" s="1890"/>
      <c r="DM441" s="1890"/>
      <c r="DN441" s="1890"/>
      <c r="DO441" s="1890"/>
      <c r="DP441" s="1890"/>
      <c r="DQ441" s="1890"/>
      <c r="DR441" s="1890"/>
      <c r="DS441" s="1890"/>
      <c r="DT441" s="1890"/>
      <c r="DU441" s="1890"/>
      <c r="DV441" s="1890"/>
      <c r="DW441" s="1890"/>
      <c r="DX441" s="1890"/>
      <c r="DY441" s="1890"/>
      <c r="DZ441" s="1890"/>
      <c r="EA441" s="1890"/>
      <c r="EB441" s="1890"/>
      <c r="EC441" s="1890"/>
      <c r="ED441" s="1890"/>
      <c r="EE441" s="1890"/>
      <c r="EF441" s="1890"/>
      <c r="EG441" s="1890"/>
      <c r="EH441" s="1890"/>
      <c r="EI441" s="1890"/>
      <c r="EJ441" s="1890"/>
      <c r="EK441" s="1890"/>
      <c r="EL441" s="1890"/>
      <c r="EM441" s="1890"/>
      <c r="EN441" s="1890"/>
      <c r="EO441" s="1890"/>
      <c r="EP441" s="1890"/>
      <c r="EQ441" s="1890"/>
      <c r="ER441" s="1890"/>
      <c r="ES441" s="1890"/>
      <c r="ET441" s="1890"/>
      <c r="EU441" s="1890"/>
      <c r="EV441" s="1890"/>
      <c r="EW441" s="1890"/>
      <c r="EX441" s="1890"/>
      <c r="EY441" s="1890"/>
      <c r="EZ441" s="1890"/>
      <c r="FA441" s="1890"/>
      <c r="FB441" s="1890"/>
      <c r="FC441" s="1890"/>
      <c r="FD441" s="1890"/>
      <c r="FE441" s="1890"/>
      <c r="FF441" s="1890"/>
      <c r="FG441" s="1890"/>
      <c r="FH441" s="1890"/>
      <c r="FI441" s="1890"/>
      <c r="FJ441" s="1890"/>
      <c r="FK441" s="1890"/>
      <c r="FL441" s="1890"/>
      <c r="FM441" s="1890"/>
      <c r="FN441" s="1890"/>
      <c r="FO441" s="1890"/>
      <c r="FP441" s="1890"/>
      <c r="FQ441" s="1890"/>
      <c r="FR441" s="1890"/>
      <c r="FS441" s="1890"/>
      <c r="FT441" s="1890"/>
    </row>
    <row r="442" spans="1:176" s="1965" customFormat="1" ht="32.1" customHeight="1">
      <c r="A442" s="1899"/>
      <c r="B442" s="1820" t="s">
        <v>422</v>
      </c>
      <c r="C442" s="1837">
        <v>1</v>
      </c>
      <c r="D442" s="1863">
        <v>0</v>
      </c>
      <c r="E442" s="1829">
        <v>0</v>
      </c>
      <c r="F442" s="1829">
        <v>1</v>
      </c>
      <c r="G442" s="1829">
        <v>0</v>
      </c>
      <c r="H442" s="1850">
        <v>0</v>
      </c>
      <c r="I442" s="2086" t="s">
        <v>91</v>
      </c>
      <c r="J442" s="2217">
        <v>1</v>
      </c>
      <c r="K442" s="1974" t="s">
        <v>748</v>
      </c>
      <c r="L442" s="1794">
        <v>0</v>
      </c>
      <c r="M442" s="1935">
        <v>1</v>
      </c>
      <c r="N442" s="1917" t="s">
        <v>748</v>
      </c>
      <c r="O442" s="1917" t="s">
        <v>8850</v>
      </c>
      <c r="P442" s="1915">
        <v>1</v>
      </c>
      <c r="Q442" s="1915">
        <v>0</v>
      </c>
      <c r="R442" s="2096"/>
      <c r="S442" s="2248" t="s">
        <v>9292</v>
      </c>
      <c r="T442" s="1974" t="s">
        <v>1411</v>
      </c>
      <c r="U442" s="1794" t="s">
        <v>1060</v>
      </c>
      <c r="V442" s="1935" t="s">
        <v>7980</v>
      </c>
      <c r="W442" s="1917" t="s">
        <v>943</v>
      </c>
      <c r="X442" s="1917" t="s">
        <v>8850</v>
      </c>
      <c r="Y442" s="1818"/>
      <c r="Z442" s="1818"/>
      <c r="AA442" s="1818"/>
      <c r="AB442" s="1818"/>
      <c r="AC442" s="1818"/>
      <c r="AD442" s="1818"/>
      <c r="AE442" s="1818"/>
      <c r="AF442" s="1818"/>
      <c r="AG442" s="1818"/>
      <c r="AH442" s="1818"/>
      <c r="AI442" s="1818"/>
      <c r="AJ442" s="1818"/>
      <c r="AK442" s="1818"/>
      <c r="AL442" s="1818"/>
      <c r="AM442" s="1818"/>
      <c r="AN442" s="1818"/>
      <c r="AO442" s="1818"/>
      <c r="AP442" s="1818"/>
      <c r="AQ442" s="1818"/>
      <c r="AR442" s="1818"/>
      <c r="AS442" s="1818"/>
      <c r="AT442" s="1818"/>
      <c r="AU442" s="1818"/>
      <c r="AV442" s="1818"/>
      <c r="AW442" s="1818"/>
      <c r="AX442" s="1818"/>
      <c r="AY442" s="1818"/>
      <c r="AZ442" s="1818"/>
      <c r="BA442" s="1818"/>
      <c r="BB442" s="1818"/>
      <c r="BC442" s="1818"/>
      <c r="BD442" s="1818"/>
      <c r="BE442" s="1818"/>
      <c r="BF442" s="1818"/>
      <c r="BG442" s="1818"/>
      <c r="BH442" s="1818"/>
      <c r="BI442" s="1818"/>
      <c r="BJ442" s="1818"/>
      <c r="BK442" s="1818"/>
      <c r="BL442" s="1818"/>
      <c r="BM442" s="1818"/>
      <c r="BN442" s="1818"/>
      <c r="BO442" s="1818"/>
      <c r="BP442" s="1818"/>
      <c r="BQ442" s="1818"/>
      <c r="BR442" s="1818"/>
      <c r="BS442" s="1818"/>
      <c r="BT442" s="1818"/>
      <c r="BU442" s="1818"/>
      <c r="BV442" s="1818"/>
      <c r="BW442" s="1818"/>
      <c r="BX442" s="1818"/>
      <c r="BY442" s="1818"/>
      <c r="BZ442" s="1818"/>
      <c r="CA442" s="1890"/>
      <c r="CB442" s="1890"/>
      <c r="CC442" s="1890"/>
      <c r="CD442" s="1890"/>
      <c r="CE442" s="1890"/>
      <c r="CF442" s="1890"/>
      <c r="CG442" s="1890"/>
      <c r="CH442" s="1890"/>
      <c r="CI442" s="1890"/>
      <c r="CJ442" s="1890"/>
      <c r="CK442" s="1890"/>
      <c r="CL442" s="1890"/>
      <c r="CM442" s="1890"/>
      <c r="CN442" s="1890"/>
      <c r="CO442" s="1890"/>
      <c r="CP442" s="1890"/>
      <c r="CQ442" s="1890"/>
      <c r="CR442" s="1890"/>
      <c r="CS442" s="1890"/>
      <c r="CT442" s="1890"/>
      <c r="CU442" s="1890"/>
      <c r="CV442" s="1890"/>
      <c r="CW442" s="1890"/>
      <c r="CX442" s="1890"/>
      <c r="CY442" s="1890"/>
      <c r="CZ442" s="1890"/>
      <c r="DA442" s="1890"/>
      <c r="DB442" s="1890"/>
      <c r="DC442" s="1890"/>
      <c r="DD442" s="1890"/>
      <c r="DE442" s="1890"/>
      <c r="DF442" s="1890"/>
      <c r="DG442" s="1890"/>
      <c r="DH442" s="1890"/>
      <c r="DI442" s="1890"/>
      <c r="DJ442" s="1890"/>
      <c r="DK442" s="1890"/>
      <c r="DL442" s="1890"/>
      <c r="DM442" s="1890"/>
      <c r="DN442" s="1890"/>
      <c r="DO442" s="1890"/>
      <c r="DP442" s="1890"/>
      <c r="DQ442" s="1890"/>
      <c r="DR442" s="1890"/>
      <c r="DS442" s="1890"/>
      <c r="DT442" s="1890"/>
      <c r="DU442" s="1890"/>
      <c r="DV442" s="1890"/>
      <c r="DW442" s="1890"/>
      <c r="DX442" s="1890"/>
      <c r="DY442" s="1890"/>
      <c r="DZ442" s="1890"/>
      <c r="EA442" s="1890"/>
      <c r="EB442" s="1890"/>
      <c r="EC442" s="1890"/>
      <c r="ED442" s="1890"/>
      <c r="EE442" s="1890"/>
      <c r="EF442" s="1890"/>
      <c r="EG442" s="1890"/>
      <c r="EH442" s="1890"/>
      <c r="EI442" s="1890"/>
      <c r="EJ442" s="1890"/>
      <c r="EK442" s="1890"/>
      <c r="EL442" s="1890"/>
      <c r="EM442" s="1890"/>
      <c r="EN442" s="1890"/>
      <c r="EO442" s="1890"/>
      <c r="EP442" s="1890"/>
      <c r="EQ442" s="1890"/>
      <c r="ER442" s="1890"/>
      <c r="ES442" s="1890"/>
      <c r="ET442" s="1890"/>
      <c r="EU442" s="1890"/>
      <c r="EV442" s="1890"/>
      <c r="EW442" s="1890"/>
      <c r="EX442" s="1890"/>
      <c r="EY442" s="1890"/>
      <c r="EZ442" s="1890"/>
      <c r="FA442" s="1890"/>
      <c r="FB442" s="1890"/>
      <c r="FC442" s="1890"/>
      <c r="FD442" s="1890"/>
      <c r="FE442" s="1890"/>
      <c r="FF442" s="1890"/>
      <c r="FG442" s="1890"/>
      <c r="FH442" s="1890"/>
      <c r="FI442" s="1890"/>
      <c r="FJ442" s="1890"/>
      <c r="FK442" s="1890"/>
      <c r="FL442" s="1890"/>
      <c r="FM442" s="1890"/>
      <c r="FN442" s="1890"/>
      <c r="FO442" s="1890"/>
      <c r="FP442" s="1890"/>
      <c r="FQ442" s="1890"/>
      <c r="FR442" s="1890"/>
      <c r="FS442" s="1890"/>
      <c r="FT442" s="1890"/>
    </row>
    <row r="443" spans="1:176" s="1965" customFormat="1" ht="108.95" customHeight="1">
      <c r="A443" s="1899"/>
      <c r="B443" s="1820" t="s">
        <v>423</v>
      </c>
      <c r="C443" s="1837">
        <v>1</v>
      </c>
      <c r="D443" s="1863">
        <v>0.5</v>
      </c>
      <c r="E443" s="1829">
        <v>0</v>
      </c>
      <c r="F443" s="1829">
        <v>1</v>
      </c>
      <c r="G443" s="1829">
        <v>1</v>
      </c>
      <c r="H443" s="1850">
        <v>1</v>
      </c>
      <c r="I443" s="2086" t="s">
        <v>424</v>
      </c>
      <c r="J443" s="2217">
        <v>1</v>
      </c>
      <c r="K443" s="1974" t="s">
        <v>7394</v>
      </c>
      <c r="L443" s="1794">
        <v>0</v>
      </c>
      <c r="M443" s="1935">
        <v>1</v>
      </c>
      <c r="N443" s="1917" t="s">
        <v>811</v>
      </c>
      <c r="O443" s="1917" t="s">
        <v>8851</v>
      </c>
      <c r="P443" s="1915">
        <v>1</v>
      </c>
      <c r="Q443" s="1915">
        <v>0</v>
      </c>
      <c r="R443" s="2096"/>
      <c r="S443" s="2248" t="s">
        <v>9293</v>
      </c>
      <c r="T443" s="1974" t="s">
        <v>7675</v>
      </c>
      <c r="U443" s="1974" t="s">
        <v>6435</v>
      </c>
      <c r="V443" s="1935" t="s">
        <v>7981</v>
      </c>
      <c r="W443" s="1917" t="s">
        <v>1418</v>
      </c>
      <c r="X443" s="1917" t="s">
        <v>8851</v>
      </c>
      <c r="Y443" s="1818"/>
      <c r="Z443" s="1818"/>
      <c r="AA443" s="1818"/>
      <c r="AB443" s="1818"/>
      <c r="AC443" s="1818"/>
      <c r="AD443" s="1818"/>
      <c r="AE443" s="1818"/>
      <c r="AF443" s="1818"/>
      <c r="AG443" s="1818"/>
      <c r="AH443" s="1818"/>
      <c r="AI443" s="1818"/>
      <c r="AJ443" s="1818"/>
      <c r="AK443" s="1818"/>
      <c r="AL443" s="1818"/>
      <c r="AM443" s="1818"/>
      <c r="AN443" s="1818"/>
      <c r="AO443" s="1818"/>
      <c r="AP443" s="1818"/>
      <c r="AQ443" s="1818"/>
      <c r="AR443" s="1818"/>
      <c r="AS443" s="1818"/>
      <c r="AT443" s="1818"/>
      <c r="AU443" s="1818"/>
      <c r="AV443" s="1818"/>
      <c r="AW443" s="1818"/>
      <c r="AX443" s="1818"/>
      <c r="AY443" s="1818"/>
      <c r="AZ443" s="1818"/>
      <c r="BA443" s="1818"/>
      <c r="BB443" s="1818"/>
      <c r="BC443" s="1818"/>
      <c r="BD443" s="1818"/>
      <c r="BE443" s="1818"/>
      <c r="BF443" s="1818"/>
      <c r="BG443" s="1818"/>
      <c r="BH443" s="1818"/>
      <c r="BI443" s="1818"/>
      <c r="BJ443" s="1818"/>
      <c r="BK443" s="1818"/>
      <c r="BL443" s="1818"/>
      <c r="BM443" s="1818"/>
      <c r="BN443" s="1818"/>
      <c r="BO443" s="1818"/>
      <c r="BP443" s="1818"/>
      <c r="BQ443" s="1818"/>
      <c r="BR443" s="1818"/>
      <c r="BS443" s="1818"/>
      <c r="BT443" s="1818"/>
      <c r="BU443" s="1818"/>
      <c r="BV443" s="1818"/>
      <c r="BW443" s="1818"/>
      <c r="BX443" s="1818"/>
      <c r="BY443" s="1818"/>
      <c r="BZ443" s="1818"/>
      <c r="CA443" s="1890"/>
      <c r="CB443" s="1890"/>
      <c r="CC443" s="1890"/>
      <c r="CD443" s="1890"/>
      <c r="CE443" s="1890"/>
      <c r="CF443" s="1890"/>
      <c r="CG443" s="1890"/>
      <c r="CH443" s="1890"/>
      <c r="CI443" s="1890"/>
      <c r="CJ443" s="1890"/>
      <c r="CK443" s="1890"/>
      <c r="CL443" s="1890"/>
      <c r="CM443" s="1890"/>
      <c r="CN443" s="1890"/>
      <c r="CO443" s="1890"/>
      <c r="CP443" s="1890"/>
      <c r="CQ443" s="1890"/>
      <c r="CR443" s="1890"/>
      <c r="CS443" s="1890"/>
      <c r="CT443" s="1890"/>
      <c r="CU443" s="1890"/>
      <c r="CV443" s="1890"/>
      <c r="CW443" s="1890"/>
      <c r="CX443" s="1890"/>
      <c r="CY443" s="1890"/>
      <c r="CZ443" s="1890"/>
      <c r="DA443" s="1890"/>
      <c r="DB443" s="1890"/>
      <c r="DC443" s="1890"/>
      <c r="DD443" s="1890"/>
      <c r="DE443" s="1890"/>
      <c r="DF443" s="1890"/>
      <c r="DG443" s="1890"/>
      <c r="DH443" s="1890"/>
      <c r="DI443" s="1890"/>
      <c r="DJ443" s="1890"/>
      <c r="DK443" s="1890"/>
      <c r="DL443" s="1890"/>
      <c r="DM443" s="1890"/>
      <c r="DN443" s="1890"/>
      <c r="DO443" s="1890"/>
      <c r="DP443" s="1890"/>
      <c r="DQ443" s="1890"/>
      <c r="DR443" s="1890"/>
      <c r="DS443" s="1890"/>
      <c r="DT443" s="1890"/>
      <c r="DU443" s="1890"/>
      <c r="DV443" s="1890"/>
      <c r="DW443" s="1890"/>
      <c r="DX443" s="1890"/>
      <c r="DY443" s="1890"/>
      <c r="DZ443" s="1890"/>
      <c r="EA443" s="1890"/>
      <c r="EB443" s="1890"/>
      <c r="EC443" s="1890"/>
      <c r="ED443" s="1890"/>
      <c r="EE443" s="1890"/>
      <c r="EF443" s="1890"/>
      <c r="EG443" s="1890"/>
      <c r="EH443" s="1890"/>
      <c r="EI443" s="1890"/>
      <c r="EJ443" s="1890"/>
      <c r="EK443" s="1890"/>
      <c r="EL443" s="1890"/>
      <c r="EM443" s="1890"/>
      <c r="EN443" s="1890"/>
      <c r="EO443" s="1890"/>
      <c r="EP443" s="1890"/>
      <c r="EQ443" s="1890"/>
      <c r="ER443" s="1890"/>
      <c r="ES443" s="1890"/>
      <c r="ET443" s="1890"/>
      <c r="EU443" s="1890"/>
      <c r="EV443" s="1890"/>
      <c r="EW443" s="1890"/>
      <c r="EX443" s="1890"/>
      <c r="EY443" s="1890"/>
      <c r="EZ443" s="1890"/>
      <c r="FA443" s="1890"/>
      <c r="FB443" s="1890"/>
      <c r="FC443" s="1890"/>
      <c r="FD443" s="1890"/>
      <c r="FE443" s="1890"/>
      <c r="FF443" s="1890"/>
      <c r="FG443" s="1890"/>
      <c r="FH443" s="1890"/>
      <c r="FI443" s="1890"/>
      <c r="FJ443" s="1890"/>
      <c r="FK443" s="1890"/>
      <c r="FL443" s="1890"/>
      <c r="FM443" s="1890"/>
      <c r="FN443" s="1890"/>
      <c r="FO443" s="1890"/>
      <c r="FP443" s="1890"/>
      <c r="FQ443" s="1890"/>
      <c r="FR443" s="1890"/>
      <c r="FS443" s="1890"/>
      <c r="FT443" s="1890"/>
    </row>
    <row r="444" spans="1:176" s="1965" customFormat="1" ht="32.1" customHeight="1">
      <c r="A444" s="1899"/>
      <c r="B444" s="1820" t="s">
        <v>425</v>
      </c>
      <c r="C444" s="1837">
        <v>1</v>
      </c>
      <c r="D444" s="1863">
        <v>1</v>
      </c>
      <c r="E444" s="1829">
        <v>0.5</v>
      </c>
      <c r="F444" s="1844">
        <v>0</v>
      </c>
      <c r="G444" s="1848">
        <v>0.5</v>
      </c>
      <c r="H444" s="1831">
        <v>1</v>
      </c>
      <c r="I444" s="2086" t="s">
        <v>426</v>
      </c>
      <c r="J444" s="2217">
        <v>1</v>
      </c>
      <c r="K444" s="1974" t="s">
        <v>811</v>
      </c>
      <c r="L444" s="1794">
        <v>0.5</v>
      </c>
      <c r="M444" s="1935">
        <v>0</v>
      </c>
      <c r="N444" s="1917" t="s">
        <v>8404</v>
      </c>
      <c r="O444" s="1917" t="s">
        <v>8852</v>
      </c>
      <c r="P444" s="1915">
        <v>1</v>
      </c>
      <c r="Q444" s="1915">
        <v>0</v>
      </c>
      <c r="R444" s="2096"/>
      <c r="S444" s="2248" t="s">
        <v>9294</v>
      </c>
      <c r="T444" s="1974" t="s">
        <v>7676</v>
      </c>
      <c r="U444" s="1974" t="s">
        <v>6436</v>
      </c>
      <c r="V444" s="1935" t="s">
        <v>6191</v>
      </c>
      <c r="W444" s="1917" t="s">
        <v>8404</v>
      </c>
      <c r="X444" s="1917" t="s">
        <v>8852</v>
      </c>
      <c r="Y444" s="1818"/>
      <c r="Z444" s="1818"/>
      <c r="AA444" s="1818"/>
      <c r="AB444" s="1818"/>
      <c r="AC444" s="1818"/>
      <c r="AD444" s="1818"/>
      <c r="AE444" s="1818"/>
      <c r="AF444" s="1818"/>
      <c r="AG444" s="1818"/>
      <c r="AH444" s="1818"/>
      <c r="AI444" s="1818"/>
      <c r="AJ444" s="1818"/>
      <c r="AK444" s="1818"/>
      <c r="AL444" s="1818"/>
      <c r="AM444" s="1818"/>
      <c r="AN444" s="1818"/>
      <c r="AO444" s="1818"/>
      <c r="AP444" s="1818"/>
      <c r="AQ444" s="1818"/>
      <c r="AR444" s="1818"/>
      <c r="AS444" s="1818"/>
      <c r="AT444" s="1818"/>
      <c r="AU444" s="1818"/>
      <c r="AV444" s="1818"/>
      <c r="AW444" s="1818"/>
      <c r="AX444" s="1818"/>
      <c r="AY444" s="1818"/>
      <c r="AZ444" s="1818"/>
      <c r="BA444" s="1818"/>
      <c r="BB444" s="1818"/>
      <c r="BC444" s="1818"/>
      <c r="BD444" s="1818"/>
      <c r="BE444" s="1818"/>
      <c r="BF444" s="1818"/>
      <c r="BG444" s="1818"/>
      <c r="BH444" s="1818"/>
      <c r="BI444" s="1818"/>
      <c r="BJ444" s="1818"/>
      <c r="BK444" s="1818"/>
      <c r="BL444" s="1818"/>
      <c r="BM444" s="1818"/>
      <c r="BN444" s="1818"/>
      <c r="BO444" s="1818"/>
      <c r="BP444" s="1818"/>
      <c r="BQ444" s="1818"/>
      <c r="BR444" s="1818"/>
      <c r="BS444" s="1818"/>
      <c r="BT444" s="1818"/>
      <c r="BU444" s="1818"/>
      <c r="BV444" s="1818"/>
      <c r="BW444" s="1818"/>
      <c r="BX444" s="1818"/>
      <c r="BY444" s="1818"/>
      <c r="BZ444" s="1818"/>
      <c r="CA444" s="1890"/>
      <c r="CB444" s="1890"/>
      <c r="CC444" s="1890"/>
      <c r="CD444" s="1890"/>
      <c r="CE444" s="1890"/>
      <c r="CF444" s="1890"/>
      <c r="CG444" s="1890"/>
      <c r="CH444" s="1890"/>
      <c r="CI444" s="1890"/>
      <c r="CJ444" s="1890"/>
      <c r="CK444" s="1890"/>
      <c r="CL444" s="1890"/>
      <c r="CM444" s="1890"/>
      <c r="CN444" s="1890"/>
      <c r="CO444" s="1890"/>
      <c r="CP444" s="1890"/>
      <c r="CQ444" s="1890"/>
      <c r="CR444" s="1890"/>
      <c r="CS444" s="1890"/>
      <c r="CT444" s="1890"/>
      <c r="CU444" s="1890"/>
      <c r="CV444" s="1890"/>
      <c r="CW444" s="1890"/>
      <c r="CX444" s="1890"/>
      <c r="CY444" s="1890"/>
      <c r="CZ444" s="1890"/>
      <c r="DA444" s="1890"/>
      <c r="DB444" s="1890"/>
      <c r="DC444" s="1890"/>
      <c r="DD444" s="1890"/>
      <c r="DE444" s="1890"/>
      <c r="DF444" s="1890"/>
      <c r="DG444" s="1890"/>
      <c r="DH444" s="1890"/>
      <c r="DI444" s="1890"/>
      <c r="DJ444" s="1890"/>
      <c r="DK444" s="1890"/>
      <c r="DL444" s="1890"/>
      <c r="DM444" s="1890"/>
      <c r="DN444" s="1890"/>
      <c r="DO444" s="1890"/>
      <c r="DP444" s="1890"/>
      <c r="DQ444" s="1890"/>
      <c r="DR444" s="1890"/>
      <c r="DS444" s="1890"/>
      <c r="DT444" s="1890"/>
      <c r="DU444" s="1890"/>
      <c r="DV444" s="1890"/>
      <c r="DW444" s="1890"/>
      <c r="DX444" s="1890"/>
      <c r="DY444" s="1890"/>
      <c r="DZ444" s="1890"/>
      <c r="EA444" s="1890"/>
      <c r="EB444" s="1890"/>
      <c r="EC444" s="1890"/>
      <c r="ED444" s="1890"/>
      <c r="EE444" s="1890"/>
      <c r="EF444" s="1890"/>
      <c r="EG444" s="1890"/>
      <c r="EH444" s="1890"/>
      <c r="EI444" s="1890"/>
      <c r="EJ444" s="1890"/>
      <c r="EK444" s="1890"/>
      <c r="EL444" s="1890"/>
      <c r="EM444" s="1890"/>
      <c r="EN444" s="1890"/>
      <c r="EO444" s="1890"/>
      <c r="EP444" s="1890"/>
      <c r="EQ444" s="1890"/>
      <c r="ER444" s="1890"/>
      <c r="ES444" s="1890"/>
      <c r="ET444" s="1890"/>
      <c r="EU444" s="1890"/>
      <c r="EV444" s="1890"/>
      <c r="EW444" s="1890"/>
      <c r="EX444" s="1890"/>
      <c r="EY444" s="1890"/>
      <c r="EZ444" s="1890"/>
      <c r="FA444" s="1890"/>
      <c r="FB444" s="1890"/>
      <c r="FC444" s="1890"/>
      <c r="FD444" s="1890"/>
      <c r="FE444" s="1890"/>
      <c r="FF444" s="1890"/>
      <c r="FG444" s="1890"/>
      <c r="FH444" s="1890"/>
      <c r="FI444" s="1890"/>
      <c r="FJ444" s="1890"/>
      <c r="FK444" s="1890"/>
      <c r="FL444" s="1890"/>
      <c r="FM444" s="1890"/>
      <c r="FN444" s="1890"/>
      <c r="FO444" s="1890"/>
      <c r="FP444" s="1890"/>
      <c r="FQ444" s="1890"/>
      <c r="FR444" s="1890"/>
      <c r="FS444" s="1890"/>
      <c r="FT444" s="1890"/>
    </row>
    <row r="445" spans="1:176" s="1965" customFormat="1" ht="51" customHeight="1">
      <c r="A445" s="2501"/>
      <c r="B445" s="1820" t="s">
        <v>427</v>
      </c>
      <c r="C445" s="1837">
        <v>1</v>
      </c>
      <c r="D445" s="1863">
        <v>0</v>
      </c>
      <c r="E445" s="1829">
        <v>0</v>
      </c>
      <c r="F445" s="1844">
        <v>0</v>
      </c>
      <c r="G445" s="1848">
        <v>0</v>
      </c>
      <c r="H445" s="1831">
        <v>0</v>
      </c>
      <c r="I445" s="2086" t="s">
        <v>38</v>
      </c>
      <c r="J445" s="2217">
        <v>1</v>
      </c>
      <c r="K445" s="1974" t="s">
        <v>748</v>
      </c>
      <c r="L445" s="1794">
        <v>0</v>
      </c>
      <c r="M445" s="1935">
        <v>0</v>
      </c>
      <c r="N445" s="1917" t="s">
        <v>748</v>
      </c>
      <c r="O445" s="1917" t="s">
        <v>8853</v>
      </c>
      <c r="P445" s="1915">
        <v>1</v>
      </c>
      <c r="Q445" s="1915">
        <v>0</v>
      </c>
      <c r="R445" s="2096"/>
      <c r="S445" s="2248" t="s">
        <v>8188</v>
      </c>
      <c r="T445" s="1974" t="s">
        <v>7677</v>
      </c>
      <c r="U445" s="1974" t="s">
        <v>6437</v>
      </c>
      <c r="V445" s="1935" t="s">
        <v>7982</v>
      </c>
      <c r="W445" s="1917" t="s">
        <v>8425</v>
      </c>
      <c r="X445" s="1917" t="s">
        <v>8853</v>
      </c>
      <c r="Y445" s="1818"/>
      <c r="Z445" s="1818"/>
      <c r="AA445" s="1818"/>
      <c r="AB445" s="1818"/>
      <c r="AC445" s="1818"/>
      <c r="AD445" s="1818"/>
      <c r="AE445" s="1818"/>
      <c r="AF445" s="1818"/>
      <c r="AG445" s="1818"/>
      <c r="AH445" s="1818"/>
      <c r="AI445" s="1818"/>
      <c r="AJ445" s="1818"/>
      <c r="AK445" s="1818"/>
      <c r="AL445" s="1818"/>
      <c r="AM445" s="1818"/>
      <c r="AN445" s="1818"/>
      <c r="AO445" s="1818"/>
      <c r="AP445" s="1818"/>
      <c r="AQ445" s="1818"/>
      <c r="AR445" s="1818"/>
      <c r="AS445" s="1818"/>
      <c r="AT445" s="1818"/>
      <c r="AU445" s="1818"/>
      <c r="AV445" s="1818"/>
      <c r="AW445" s="1818"/>
      <c r="AX445" s="1818"/>
      <c r="AY445" s="1818"/>
      <c r="AZ445" s="1818"/>
      <c r="BA445" s="1818"/>
      <c r="BB445" s="1818"/>
      <c r="BC445" s="1818"/>
      <c r="BD445" s="1818"/>
      <c r="BE445" s="1818"/>
      <c r="BF445" s="1818"/>
      <c r="BG445" s="1818"/>
      <c r="BH445" s="1818"/>
      <c r="BI445" s="1818"/>
      <c r="BJ445" s="1818"/>
      <c r="BK445" s="1818"/>
      <c r="BL445" s="1818"/>
      <c r="BM445" s="1818"/>
      <c r="BN445" s="1818"/>
      <c r="BO445" s="1818"/>
      <c r="BP445" s="1818"/>
      <c r="BQ445" s="1818"/>
      <c r="BR445" s="1818"/>
      <c r="BS445" s="1818"/>
      <c r="BT445" s="1818"/>
      <c r="BU445" s="1818"/>
      <c r="BV445" s="1818"/>
      <c r="BW445" s="1818"/>
      <c r="BX445" s="1818"/>
      <c r="BY445" s="1818"/>
      <c r="BZ445" s="1818"/>
      <c r="CA445" s="1890"/>
      <c r="CB445" s="1890"/>
      <c r="CC445" s="1890"/>
      <c r="CD445" s="1890"/>
      <c r="CE445" s="1890"/>
      <c r="CF445" s="1890"/>
      <c r="CG445" s="1890"/>
      <c r="CH445" s="1890"/>
      <c r="CI445" s="1890"/>
      <c r="CJ445" s="1890"/>
      <c r="CK445" s="1890"/>
      <c r="CL445" s="1890"/>
      <c r="CM445" s="1890"/>
      <c r="CN445" s="1890"/>
      <c r="CO445" s="1890"/>
      <c r="CP445" s="1890"/>
      <c r="CQ445" s="1890"/>
      <c r="CR445" s="1890"/>
      <c r="CS445" s="1890"/>
      <c r="CT445" s="1890"/>
      <c r="CU445" s="1890"/>
      <c r="CV445" s="1890"/>
      <c r="CW445" s="1890"/>
      <c r="CX445" s="1890"/>
      <c r="CY445" s="1890"/>
      <c r="CZ445" s="1890"/>
      <c r="DA445" s="1890"/>
      <c r="DB445" s="1890"/>
      <c r="DC445" s="1890"/>
      <c r="DD445" s="1890"/>
      <c r="DE445" s="1890"/>
      <c r="DF445" s="1890"/>
      <c r="DG445" s="1890"/>
      <c r="DH445" s="1890"/>
      <c r="DI445" s="1890"/>
      <c r="DJ445" s="1890"/>
      <c r="DK445" s="1890"/>
      <c r="DL445" s="1890"/>
      <c r="DM445" s="1890"/>
      <c r="DN445" s="1890"/>
      <c r="DO445" s="1890"/>
      <c r="DP445" s="1890"/>
      <c r="DQ445" s="1890"/>
      <c r="DR445" s="1890"/>
      <c r="DS445" s="1890"/>
      <c r="DT445" s="1890"/>
      <c r="DU445" s="1890"/>
      <c r="DV445" s="1890"/>
      <c r="DW445" s="1890"/>
      <c r="DX445" s="1890"/>
      <c r="DY445" s="1890"/>
      <c r="DZ445" s="1890"/>
      <c r="EA445" s="1890"/>
      <c r="EB445" s="1890"/>
      <c r="EC445" s="1890"/>
      <c r="ED445" s="1890"/>
      <c r="EE445" s="1890"/>
      <c r="EF445" s="1890"/>
      <c r="EG445" s="1890"/>
      <c r="EH445" s="1890"/>
      <c r="EI445" s="1890"/>
      <c r="EJ445" s="1890"/>
      <c r="EK445" s="1890"/>
      <c r="EL445" s="1890"/>
      <c r="EM445" s="1890"/>
      <c r="EN445" s="1890"/>
      <c r="EO445" s="1890"/>
      <c r="EP445" s="1890"/>
      <c r="EQ445" s="1890"/>
      <c r="ER445" s="1890"/>
      <c r="ES445" s="1890"/>
      <c r="ET445" s="1890"/>
      <c r="EU445" s="1890"/>
      <c r="EV445" s="1890"/>
      <c r="EW445" s="1890"/>
      <c r="EX445" s="1890"/>
      <c r="EY445" s="1890"/>
      <c r="EZ445" s="1890"/>
      <c r="FA445" s="1890"/>
      <c r="FB445" s="1890"/>
      <c r="FC445" s="1890"/>
      <c r="FD445" s="1890"/>
      <c r="FE445" s="1890"/>
      <c r="FF445" s="1890"/>
      <c r="FG445" s="1890"/>
      <c r="FH445" s="1890"/>
      <c r="FI445" s="1890"/>
      <c r="FJ445" s="1890"/>
      <c r="FK445" s="1890"/>
      <c r="FL445" s="1890"/>
      <c r="FM445" s="1890"/>
      <c r="FN445" s="1890"/>
      <c r="FO445" s="1890"/>
      <c r="FP445" s="1890"/>
      <c r="FQ445" s="1890"/>
      <c r="FR445" s="1890"/>
      <c r="FS445" s="1890"/>
      <c r="FT445" s="1890"/>
    </row>
    <row r="446" spans="1:176" s="1965" customFormat="1" ht="32.1" customHeight="1">
      <c r="A446" s="2499" t="s">
        <v>7034</v>
      </c>
      <c r="B446" s="2084" t="s">
        <v>429</v>
      </c>
      <c r="C446" s="2093">
        <f t="shared" ref="C446:H446" si="109">AVERAGE(C447:C451)</f>
        <v>0.6</v>
      </c>
      <c r="D446" s="2093">
        <f t="shared" si="109"/>
        <v>0.6</v>
      </c>
      <c r="E446" s="2093">
        <f t="shared" si="109"/>
        <v>0.6</v>
      </c>
      <c r="F446" s="2093">
        <f t="shared" si="109"/>
        <v>0.3</v>
      </c>
      <c r="G446" s="2093">
        <f t="shared" si="109"/>
        <v>0.2</v>
      </c>
      <c r="H446" s="2093">
        <f t="shared" si="109"/>
        <v>0.4</v>
      </c>
      <c r="I446" s="2086"/>
      <c r="J446" s="2220"/>
      <c r="K446" s="2089"/>
      <c r="L446" s="2089"/>
      <c r="M446" s="2089"/>
      <c r="N446" s="2089"/>
      <c r="O446" s="2089"/>
      <c r="P446" s="2090"/>
      <c r="Q446" s="2090"/>
      <c r="R446" s="2091"/>
      <c r="S446" s="2264"/>
      <c r="T446" s="2089"/>
      <c r="U446" s="2089"/>
      <c r="V446" s="2089"/>
      <c r="W446" s="2089"/>
      <c r="X446" s="2089"/>
      <c r="Y446" s="1818"/>
      <c r="Z446" s="1818"/>
      <c r="AA446" s="1818"/>
      <c r="AB446" s="1818"/>
      <c r="AC446" s="1818"/>
      <c r="AD446" s="1818"/>
      <c r="AE446" s="1818"/>
      <c r="AF446" s="1818"/>
      <c r="AG446" s="1818"/>
      <c r="AH446" s="1818"/>
      <c r="AI446" s="1818"/>
      <c r="AJ446" s="1818"/>
      <c r="AK446" s="1818"/>
      <c r="AL446" s="1818"/>
      <c r="AM446" s="1818"/>
      <c r="AN446" s="1818"/>
      <c r="AO446" s="1818"/>
      <c r="AP446" s="1818"/>
      <c r="AQ446" s="1818"/>
      <c r="AR446" s="1818"/>
      <c r="AS446" s="1818"/>
      <c r="AT446" s="1818"/>
      <c r="AU446" s="1818"/>
      <c r="AV446" s="1818"/>
      <c r="AW446" s="1818"/>
      <c r="AX446" s="1818"/>
      <c r="AY446" s="1818"/>
      <c r="AZ446" s="1818"/>
      <c r="BA446" s="1818"/>
      <c r="BB446" s="1818"/>
      <c r="BC446" s="1818"/>
      <c r="BD446" s="1818"/>
      <c r="BE446" s="1818"/>
      <c r="BF446" s="1818"/>
      <c r="BG446" s="1818"/>
      <c r="BH446" s="1818"/>
      <c r="BI446" s="1818"/>
      <c r="BJ446" s="1818"/>
      <c r="BK446" s="1818"/>
      <c r="BL446" s="1818"/>
      <c r="BM446" s="1818"/>
      <c r="BN446" s="1818"/>
      <c r="BO446" s="1818"/>
      <c r="BP446" s="1818"/>
      <c r="BQ446" s="1818"/>
      <c r="BR446" s="1818"/>
      <c r="BS446" s="1818"/>
      <c r="BT446" s="1818"/>
      <c r="BU446" s="1818"/>
      <c r="BV446" s="1818"/>
      <c r="BW446" s="1818"/>
      <c r="BX446" s="1818"/>
      <c r="BY446" s="1818"/>
      <c r="BZ446" s="1818"/>
      <c r="CA446" s="1890"/>
      <c r="CB446" s="1890"/>
      <c r="CC446" s="1890"/>
      <c r="CD446" s="1890"/>
      <c r="CE446" s="1890"/>
      <c r="CF446" s="1890"/>
      <c r="CG446" s="1890"/>
      <c r="CH446" s="1890"/>
      <c r="CI446" s="1890"/>
      <c r="CJ446" s="1890"/>
      <c r="CK446" s="1890"/>
      <c r="CL446" s="1890"/>
      <c r="CM446" s="1890"/>
      <c r="CN446" s="1890"/>
      <c r="CO446" s="1890"/>
      <c r="CP446" s="1890"/>
      <c r="CQ446" s="1890"/>
      <c r="CR446" s="1890"/>
      <c r="CS446" s="1890"/>
      <c r="CT446" s="1890"/>
      <c r="CU446" s="1890"/>
      <c r="CV446" s="1890"/>
      <c r="CW446" s="1890"/>
      <c r="CX446" s="1890"/>
      <c r="CY446" s="1890"/>
      <c r="CZ446" s="1890"/>
      <c r="DA446" s="1890"/>
      <c r="DB446" s="1890"/>
      <c r="DC446" s="1890"/>
      <c r="DD446" s="1890"/>
      <c r="DE446" s="1890"/>
      <c r="DF446" s="1890"/>
      <c r="DG446" s="1890"/>
      <c r="DH446" s="1890"/>
      <c r="DI446" s="1890"/>
      <c r="DJ446" s="1890"/>
      <c r="DK446" s="1890"/>
      <c r="DL446" s="1890"/>
      <c r="DM446" s="1890"/>
      <c r="DN446" s="1890"/>
      <c r="DO446" s="1890"/>
      <c r="DP446" s="1890"/>
      <c r="DQ446" s="1890"/>
      <c r="DR446" s="1890"/>
      <c r="DS446" s="1890"/>
      <c r="DT446" s="1890"/>
      <c r="DU446" s="1890"/>
      <c r="DV446" s="1890"/>
      <c r="DW446" s="1890"/>
      <c r="DX446" s="1890"/>
      <c r="DY446" s="1890"/>
      <c r="DZ446" s="1890"/>
      <c r="EA446" s="1890"/>
      <c r="EB446" s="1890"/>
      <c r="EC446" s="1890"/>
      <c r="ED446" s="1890"/>
      <c r="EE446" s="1890"/>
      <c r="EF446" s="1890"/>
      <c r="EG446" s="1890"/>
      <c r="EH446" s="1890"/>
      <c r="EI446" s="1890"/>
      <c r="EJ446" s="1890"/>
      <c r="EK446" s="1890"/>
      <c r="EL446" s="1890"/>
      <c r="EM446" s="1890"/>
      <c r="EN446" s="1890"/>
      <c r="EO446" s="1890"/>
      <c r="EP446" s="1890"/>
      <c r="EQ446" s="1890"/>
      <c r="ER446" s="1890"/>
      <c r="ES446" s="1890"/>
      <c r="ET446" s="1890"/>
      <c r="EU446" s="1890"/>
      <c r="EV446" s="1890"/>
      <c r="EW446" s="1890"/>
      <c r="EX446" s="1890"/>
      <c r="EY446" s="1890"/>
      <c r="EZ446" s="1890"/>
      <c r="FA446" s="1890"/>
      <c r="FB446" s="1890"/>
      <c r="FC446" s="1890"/>
      <c r="FD446" s="1890"/>
      <c r="FE446" s="1890"/>
      <c r="FF446" s="1890"/>
      <c r="FG446" s="1890"/>
      <c r="FH446" s="1890"/>
      <c r="FI446" s="1890"/>
      <c r="FJ446" s="1890"/>
      <c r="FK446" s="1890"/>
      <c r="FL446" s="1890"/>
      <c r="FM446" s="1890"/>
      <c r="FN446" s="1890"/>
      <c r="FO446" s="1890"/>
      <c r="FP446" s="1890"/>
      <c r="FQ446" s="1890"/>
      <c r="FR446" s="1890"/>
      <c r="FS446" s="1890"/>
      <c r="FT446" s="1890"/>
    </row>
    <row r="447" spans="1:176" s="1965" customFormat="1" ht="32.1" customHeight="1">
      <c r="A447" s="2501"/>
      <c r="B447" s="1820" t="s">
        <v>430</v>
      </c>
      <c r="C447" s="1837">
        <v>1</v>
      </c>
      <c r="D447" s="1863">
        <v>1</v>
      </c>
      <c r="E447" s="1846">
        <v>1</v>
      </c>
      <c r="F447" s="1829">
        <v>0</v>
      </c>
      <c r="G447" s="1829">
        <v>0</v>
      </c>
      <c r="H447" s="1850">
        <v>0</v>
      </c>
      <c r="I447" s="2086" t="s">
        <v>38</v>
      </c>
      <c r="J447" s="2217">
        <v>1</v>
      </c>
      <c r="K447" s="1974" t="s">
        <v>5427</v>
      </c>
      <c r="L447" s="1794">
        <v>1</v>
      </c>
      <c r="M447" s="1935">
        <v>0</v>
      </c>
      <c r="N447" s="1917" t="s">
        <v>748</v>
      </c>
      <c r="O447" s="1941" t="s">
        <v>8854</v>
      </c>
      <c r="P447" s="1992">
        <v>1</v>
      </c>
      <c r="Q447" s="1992">
        <v>0</v>
      </c>
      <c r="R447" s="2299"/>
      <c r="S447" s="2248" t="s">
        <v>9295</v>
      </c>
      <c r="T447" s="1974" t="s">
        <v>7678</v>
      </c>
      <c r="U447" s="1794" t="s">
        <v>5965</v>
      </c>
      <c r="V447" s="1935" t="s">
        <v>1433</v>
      </c>
      <c r="W447" s="1917" t="s">
        <v>8426</v>
      </c>
      <c r="X447" s="1941" t="s">
        <v>8854</v>
      </c>
      <c r="Y447" s="1818"/>
      <c r="Z447" s="1818"/>
      <c r="AA447" s="1818"/>
      <c r="AB447" s="1818"/>
      <c r="AC447" s="1818"/>
      <c r="AD447" s="1818"/>
      <c r="AE447" s="1818"/>
      <c r="AF447" s="1818"/>
      <c r="AG447" s="1818"/>
      <c r="AH447" s="1818"/>
      <c r="AI447" s="1818"/>
      <c r="AJ447" s="1818"/>
      <c r="AK447" s="1818"/>
      <c r="AL447" s="1818"/>
      <c r="AM447" s="1818"/>
      <c r="AN447" s="1818"/>
      <c r="AO447" s="1818"/>
      <c r="AP447" s="1818"/>
      <c r="AQ447" s="1818"/>
      <c r="AR447" s="1818"/>
      <c r="AS447" s="1818"/>
      <c r="AT447" s="1818"/>
      <c r="AU447" s="1818"/>
      <c r="AV447" s="1818"/>
      <c r="AW447" s="1818"/>
      <c r="AX447" s="1818"/>
      <c r="AY447" s="1818"/>
      <c r="AZ447" s="1818"/>
      <c r="BA447" s="1818"/>
      <c r="BB447" s="1818"/>
      <c r="BC447" s="1818"/>
      <c r="BD447" s="1818"/>
      <c r="BE447" s="1818"/>
      <c r="BF447" s="1818"/>
      <c r="BG447" s="1818"/>
      <c r="BH447" s="1818"/>
      <c r="BI447" s="1818"/>
      <c r="BJ447" s="1818"/>
      <c r="BK447" s="1818"/>
      <c r="BL447" s="1818"/>
      <c r="BM447" s="1818"/>
      <c r="BN447" s="1818"/>
      <c r="BO447" s="1818"/>
      <c r="BP447" s="1818"/>
      <c r="BQ447" s="1818"/>
      <c r="BR447" s="1818"/>
      <c r="BS447" s="1818"/>
      <c r="BT447" s="1818"/>
      <c r="BU447" s="1818"/>
      <c r="BV447" s="1818"/>
      <c r="BW447" s="1818"/>
      <c r="BX447" s="1818"/>
      <c r="BY447" s="1818"/>
      <c r="BZ447" s="1818"/>
      <c r="CA447" s="1890"/>
      <c r="CB447" s="1890"/>
      <c r="CC447" s="1890"/>
      <c r="CD447" s="1890"/>
      <c r="CE447" s="1890"/>
      <c r="CF447" s="1890"/>
      <c r="CG447" s="1890"/>
      <c r="CH447" s="1890"/>
      <c r="CI447" s="1890"/>
      <c r="CJ447" s="1890"/>
      <c r="CK447" s="1890"/>
      <c r="CL447" s="1890"/>
      <c r="CM447" s="1890"/>
      <c r="CN447" s="1890"/>
      <c r="CO447" s="1890"/>
      <c r="CP447" s="1890"/>
      <c r="CQ447" s="1890"/>
      <c r="CR447" s="1890"/>
      <c r="CS447" s="1890"/>
      <c r="CT447" s="1890"/>
      <c r="CU447" s="1890"/>
      <c r="CV447" s="1890"/>
      <c r="CW447" s="1890"/>
      <c r="CX447" s="1890"/>
      <c r="CY447" s="1890"/>
      <c r="CZ447" s="1890"/>
      <c r="DA447" s="1890"/>
      <c r="DB447" s="1890"/>
      <c r="DC447" s="1890"/>
      <c r="DD447" s="1890"/>
      <c r="DE447" s="1890"/>
      <c r="DF447" s="1890"/>
      <c r="DG447" s="1890"/>
      <c r="DH447" s="1890"/>
      <c r="DI447" s="1890"/>
      <c r="DJ447" s="1890"/>
      <c r="DK447" s="1890"/>
      <c r="DL447" s="1890"/>
      <c r="DM447" s="1890"/>
      <c r="DN447" s="1890"/>
      <c r="DO447" s="1890"/>
      <c r="DP447" s="1890"/>
      <c r="DQ447" s="1890"/>
      <c r="DR447" s="1890"/>
      <c r="DS447" s="1890"/>
      <c r="DT447" s="1890"/>
      <c r="DU447" s="1890"/>
      <c r="DV447" s="1890"/>
      <c r="DW447" s="1890"/>
      <c r="DX447" s="1890"/>
      <c r="DY447" s="1890"/>
      <c r="DZ447" s="1890"/>
      <c r="EA447" s="1890"/>
      <c r="EB447" s="1890"/>
      <c r="EC447" s="1890"/>
      <c r="ED447" s="1890"/>
      <c r="EE447" s="1890"/>
      <c r="EF447" s="1890"/>
      <c r="EG447" s="1890"/>
      <c r="EH447" s="1890"/>
      <c r="EI447" s="1890"/>
      <c r="EJ447" s="1890"/>
      <c r="EK447" s="1890"/>
      <c r="EL447" s="1890"/>
      <c r="EM447" s="1890"/>
      <c r="EN447" s="1890"/>
      <c r="EO447" s="1890"/>
      <c r="EP447" s="1890"/>
      <c r="EQ447" s="1890"/>
      <c r="ER447" s="1890"/>
      <c r="ES447" s="1890"/>
      <c r="ET447" s="1890"/>
      <c r="EU447" s="1890"/>
      <c r="EV447" s="1890"/>
      <c r="EW447" s="1890"/>
      <c r="EX447" s="1890"/>
      <c r="EY447" s="1890"/>
      <c r="EZ447" s="1890"/>
      <c r="FA447" s="1890"/>
      <c r="FB447" s="1890"/>
      <c r="FC447" s="1890"/>
      <c r="FD447" s="1890"/>
      <c r="FE447" s="1890"/>
      <c r="FF447" s="1890"/>
      <c r="FG447" s="1890"/>
      <c r="FH447" s="1890"/>
      <c r="FI447" s="1890"/>
      <c r="FJ447" s="1890"/>
      <c r="FK447" s="1890"/>
      <c r="FL447" s="1890"/>
      <c r="FM447" s="1890"/>
      <c r="FN447" s="1890"/>
      <c r="FO447" s="1890"/>
      <c r="FP447" s="1890"/>
      <c r="FQ447" s="1890"/>
      <c r="FR447" s="1890"/>
      <c r="FS447" s="1890"/>
      <c r="FT447" s="1890"/>
    </row>
    <row r="448" spans="1:176" s="1965" customFormat="1" ht="69" customHeight="1">
      <c r="A448" s="1899"/>
      <c r="B448" s="1820" t="s">
        <v>431</v>
      </c>
      <c r="C448" s="1837">
        <v>0</v>
      </c>
      <c r="D448" s="1863">
        <v>1</v>
      </c>
      <c r="E448" s="1829">
        <v>0</v>
      </c>
      <c r="F448" s="1829">
        <v>0</v>
      </c>
      <c r="G448" s="1829">
        <v>0</v>
      </c>
      <c r="H448" s="1850">
        <v>0</v>
      </c>
      <c r="I448" s="2086" t="s">
        <v>38</v>
      </c>
      <c r="J448" s="2217">
        <v>0</v>
      </c>
      <c r="K448" s="1974" t="s">
        <v>811</v>
      </c>
      <c r="L448" s="1794">
        <v>0</v>
      </c>
      <c r="M448" s="1935">
        <v>0</v>
      </c>
      <c r="N448" s="1917" t="s">
        <v>748</v>
      </c>
      <c r="O448" s="1941" t="s">
        <v>8855</v>
      </c>
      <c r="P448" s="1992">
        <v>1</v>
      </c>
      <c r="Q448" s="1992">
        <v>0</v>
      </c>
      <c r="R448" s="2299"/>
      <c r="S448" s="2248" t="s">
        <v>9296</v>
      </c>
      <c r="T448" s="1974" t="s">
        <v>7679</v>
      </c>
      <c r="U448" s="1794" t="s">
        <v>5966</v>
      </c>
      <c r="V448" s="1935" t="s">
        <v>968</v>
      </c>
      <c r="W448" s="1917" t="s">
        <v>5497</v>
      </c>
      <c r="X448" s="1941" t="s">
        <v>8855</v>
      </c>
      <c r="Y448" s="1818"/>
      <c r="Z448" s="1818"/>
      <c r="AA448" s="1818"/>
      <c r="AB448" s="1818"/>
      <c r="AC448" s="1818"/>
      <c r="AD448" s="1818"/>
      <c r="AE448" s="1818"/>
      <c r="AF448" s="1818"/>
      <c r="AG448" s="1818"/>
      <c r="AH448" s="1818"/>
      <c r="AI448" s="1818"/>
      <c r="AJ448" s="1818"/>
      <c r="AK448" s="1818"/>
      <c r="AL448" s="1818"/>
      <c r="AM448" s="1818"/>
      <c r="AN448" s="1818"/>
      <c r="AO448" s="1818"/>
      <c r="AP448" s="1818"/>
      <c r="AQ448" s="1818"/>
      <c r="AR448" s="1818"/>
      <c r="AS448" s="1818"/>
      <c r="AT448" s="1818"/>
      <c r="AU448" s="1818"/>
      <c r="AV448" s="1818"/>
      <c r="AW448" s="1818"/>
      <c r="AX448" s="1818"/>
      <c r="AY448" s="1818"/>
      <c r="AZ448" s="1818"/>
      <c r="BA448" s="1818"/>
      <c r="BB448" s="1818"/>
      <c r="BC448" s="1818"/>
      <c r="BD448" s="1818"/>
      <c r="BE448" s="1818"/>
      <c r="BF448" s="1818"/>
      <c r="BG448" s="1818"/>
      <c r="BH448" s="1818"/>
      <c r="BI448" s="1818"/>
      <c r="BJ448" s="1818"/>
      <c r="BK448" s="1818"/>
      <c r="BL448" s="1818"/>
      <c r="BM448" s="1818"/>
      <c r="BN448" s="1818"/>
      <c r="BO448" s="1818"/>
      <c r="BP448" s="1818"/>
      <c r="BQ448" s="1818"/>
      <c r="BR448" s="1818"/>
      <c r="BS448" s="1818"/>
      <c r="BT448" s="1818"/>
      <c r="BU448" s="1818"/>
      <c r="BV448" s="1818"/>
      <c r="BW448" s="1818"/>
      <c r="BX448" s="1818"/>
      <c r="BY448" s="1818"/>
      <c r="BZ448" s="1818"/>
      <c r="CA448" s="1890"/>
      <c r="CB448" s="1890"/>
      <c r="CC448" s="1890"/>
      <c r="CD448" s="1890"/>
      <c r="CE448" s="1890"/>
      <c r="CF448" s="1890"/>
      <c r="CG448" s="1890"/>
      <c r="CH448" s="1890"/>
      <c r="CI448" s="1890"/>
      <c r="CJ448" s="1890"/>
      <c r="CK448" s="1890"/>
      <c r="CL448" s="1890"/>
      <c r="CM448" s="1890"/>
      <c r="CN448" s="1890"/>
      <c r="CO448" s="1890"/>
      <c r="CP448" s="1890"/>
      <c r="CQ448" s="1890"/>
      <c r="CR448" s="1890"/>
      <c r="CS448" s="1890"/>
      <c r="CT448" s="1890"/>
      <c r="CU448" s="1890"/>
      <c r="CV448" s="1890"/>
      <c r="CW448" s="1890"/>
      <c r="CX448" s="1890"/>
      <c r="CY448" s="1890"/>
      <c r="CZ448" s="1890"/>
      <c r="DA448" s="1890"/>
      <c r="DB448" s="1890"/>
      <c r="DC448" s="1890"/>
      <c r="DD448" s="1890"/>
      <c r="DE448" s="1890"/>
      <c r="DF448" s="1890"/>
      <c r="DG448" s="1890"/>
      <c r="DH448" s="1890"/>
      <c r="DI448" s="1890"/>
      <c r="DJ448" s="1890"/>
      <c r="DK448" s="1890"/>
      <c r="DL448" s="1890"/>
      <c r="DM448" s="1890"/>
      <c r="DN448" s="1890"/>
      <c r="DO448" s="1890"/>
      <c r="DP448" s="1890"/>
      <c r="DQ448" s="1890"/>
      <c r="DR448" s="1890"/>
      <c r="DS448" s="1890"/>
      <c r="DT448" s="1890"/>
      <c r="DU448" s="1890"/>
      <c r="DV448" s="1890"/>
      <c r="DW448" s="1890"/>
      <c r="DX448" s="1890"/>
      <c r="DY448" s="1890"/>
      <c r="DZ448" s="1890"/>
      <c r="EA448" s="1890"/>
      <c r="EB448" s="1890"/>
      <c r="EC448" s="1890"/>
      <c r="ED448" s="1890"/>
      <c r="EE448" s="1890"/>
      <c r="EF448" s="1890"/>
      <c r="EG448" s="1890"/>
      <c r="EH448" s="1890"/>
      <c r="EI448" s="1890"/>
      <c r="EJ448" s="1890"/>
      <c r="EK448" s="1890"/>
      <c r="EL448" s="1890"/>
      <c r="EM448" s="1890"/>
      <c r="EN448" s="1890"/>
      <c r="EO448" s="1890"/>
      <c r="EP448" s="1890"/>
      <c r="EQ448" s="1890"/>
      <c r="ER448" s="1890"/>
      <c r="ES448" s="1890"/>
      <c r="ET448" s="1890"/>
      <c r="EU448" s="1890"/>
      <c r="EV448" s="1890"/>
      <c r="EW448" s="1890"/>
      <c r="EX448" s="1890"/>
      <c r="EY448" s="1890"/>
      <c r="EZ448" s="1890"/>
      <c r="FA448" s="1890"/>
      <c r="FB448" s="1890"/>
      <c r="FC448" s="1890"/>
      <c r="FD448" s="1890"/>
      <c r="FE448" s="1890"/>
      <c r="FF448" s="1890"/>
      <c r="FG448" s="1890"/>
      <c r="FH448" s="1890"/>
      <c r="FI448" s="1890"/>
      <c r="FJ448" s="1890"/>
      <c r="FK448" s="1890"/>
      <c r="FL448" s="1890"/>
      <c r="FM448" s="1890"/>
      <c r="FN448" s="1890"/>
      <c r="FO448" s="1890"/>
      <c r="FP448" s="1890"/>
      <c r="FQ448" s="1890"/>
      <c r="FR448" s="1890"/>
      <c r="FS448" s="1890"/>
      <c r="FT448" s="1890"/>
    </row>
    <row r="449" spans="1:176" s="1965" customFormat="1" ht="62.1" customHeight="1">
      <c r="A449" s="1899"/>
      <c r="B449" s="1820" t="s">
        <v>432</v>
      </c>
      <c r="C449" s="1837">
        <v>0</v>
      </c>
      <c r="D449" s="1863">
        <v>0</v>
      </c>
      <c r="E449" s="1829">
        <v>0</v>
      </c>
      <c r="F449" s="1829">
        <v>0</v>
      </c>
      <c r="G449" s="1846">
        <v>0</v>
      </c>
      <c r="H449" s="1850">
        <v>1</v>
      </c>
      <c r="I449" s="2086" t="s">
        <v>38</v>
      </c>
      <c r="J449" s="2217">
        <v>0</v>
      </c>
      <c r="K449" s="1974" t="s">
        <v>748</v>
      </c>
      <c r="L449" s="1794">
        <v>0</v>
      </c>
      <c r="M449" s="1935">
        <v>0</v>
      </c>
      <c r="N449" s="1794" t="s">
        <v>748</v>
      </c>
      <c r="O449" s="1941" t="s">
        <v>8856</v>
      </c>
      <c r="P449" s="1992">
        <v>1</v>
      </c>
      <c r="Q449" s="1992">
        <v>0</v>
      </c>
      <c r="R449" s="2299"/>
      <c r="S449" s="2248" t="s">
        <v>9297</v>
      </c>
      <c r="T449" s="1974" t="s">
        <v>7680</v>
      </c>
      <c r="U449" s="1794" t="s">
        <v>1060</v>
      </c>
      <c r="V449" s="1935" t="s">
        <v>943</v>
      </c>
      <c r="W449" s="1794" t="s">
        <v>748</v>
      </c>
      <c r="X449" s="1941" t="s">
        <v>8856</v>
      </c>
      <c r="Y449" s="1818"/>
      <c r="Z449" s="1818"/>
      <c r="AA449" s="1818"/>
      <c r="AB449" s="1818"/>
      <c r="AC449" s="1818"/>
      <c r="AD449" s="1818"/>
      <c r="AE449" s="1818"/>
      <c r="AF449" s="1818"/>
      <c r="AG449" s="1818"/>
      <c r="AH449" s="1818"/>
      <c r="AI449" s="1818"/>
      <c r="AJ449" s="1818"/>
      <c r="AK449" s="1818"/>
      <c r="AL449" s="1818"/>
      <c r="AM449" s="1818"/>
      <c r="AN449" s="1818"/>
      <c r="AO449" s="1818"/>
      <c r="AP449" s="1818"/>
      <c r="AQ449" s="1818"/>
      <c r="AR449" s="1818"/>
      <c r="AS449" s="1818"/>
      <c r="AT449" s="1818"/>
      <c r="AU449" s="1818"/>
      <c r="AV449" s="1818"/>
      <c r="AW449" s="1818"/>
      <c r="AX449" s="1818"/>
      <c r="AY449" s="1818"/>
      <c r="AZ449" s="1818"/>
      <c r="BA449" s="1818"/>
      <c r="BB449" s="1818"/>
      <c r="BC449" s="1818"/>
      <c r="BD449" s="1818"/>
      <c r="BE449" s="1818"/>
      <c r="BF449" s="1818"/>
      <c r="BG449" s="1818"/>
      <c r="BH449" s="1818"/>
      <c r="BI449" s="1818"/>
      <c r="BJ449" s="1818"/>
      <c r="BK449" s="1818"/>
      <c r="BL449" s="1818"/>
      <c r="BM449" s="1818"/>
      <c r="BN449" s="1818"/>
      <c r="BO449" s="1818"/>
      <c r="BP449" s="1818"/>
      <c r="BQ449" s="1818"/>
      <c r="BR449" s="1818"/>
      <c r="BS449" s="1818"/>
      <c r="BT449" s="1818"/>
      <c r="BU449" s="1818"/>
      <c r="BV449" s="1818"/>
      <c r="BW449" s="1818"/>
      <c r="BX449" s="1818"/>
      <c r="BY449" s="1818"/>
      <c r="BZ449" s="1818"/>
      <c r="CA449" s="1890"/>
      <c r="CB449" s="1890"/>
      <c r="CC449" s="1890"/>
      <c r="CD449" s="1890"/>
      <c r="CE449" s="1890"/>
      <c r="CF449" s="1890"/>
      <c r="CG449" s="1890"/>
      <c r="CH449" s="1890"/>
      <c r="CI449" s="1890"/>
      <c r="CJ449" s="1890"/>
      <c r="CK449" s="1890"/>
      <c r="CL449" s="1890"/>
      <c r="CM449" s="1890"/>
      <c r="CN449" s="1890"/>
      <c r="CO449" s="1890"/>
      <c r="CP449" s="1890"/>
      <c r="CQ449" s="1890"/>
      <c r="CR449" s="1890"/>
      <c r="CS449" s="1890"/>
      <c r="CT449" s="1890"/>
      <c r="CU449" s="1890"/>
      <c r="CV449" s="1890"/>
      <c r="CW449" s="1890"/>
      <c r="CX449" s="1890"/>
      <c r="CY449" s="1890"/>
      <c r="CZ449" s="1890"/>
      <c r="DA449" s="1890"/>
      <c r="DB449" s="1890"/>
      <c r="DC449" s="1890"/>
      <c r="DD449" s="1890"/>
      <c r="DE449" s="1890"/>
      <c r="DF449" s="1890"/>
      <c r="DG449" s="1890"/>
      <c r="DH449" s="1890"/>
      <c r="DI449" s="1890"/>
      <c r="DJ449" s="1890"/>
      <c r="DK449" s="1890"/>
      <c r="DL449" s="1890"/>
      <c r="DM449" s="1890"/>
      <c r="DN449" s="1890"/>
      <c r="DO449" s="1890"/>
      <c r="DP449" s="1890"/>
      <c r="DQ449" s="1890"/>
      <c r="DR449" s="1890"/>
      <c r="DS449" s="1890"/>
      <c r="DT449" s="1890"/>
      <c r="DU449" s="1890"/>
      <c r="DV449" s="1890"/>
      <c r="DW449" s="1890"/>
      <c r="DX449" s="1890"/>
      <c r="DY449" s="1890"/>
      <c r="DZ449" s="1890"/>
      <c r="EA449" s="1890"/>
      <c r="EB449" s="1890"/>
      <c r="EC449" s="1890"/>
      <c r="ED449" s="1890"/>
      <c r="EE449" s="1890"/>
      <c r="EF449" s="1890"/>
      <c r="EG449" s="1890"/>
      <c r="EH449" s="1890"/>
      <c r="EI449" s="1890"/>
      <c r="EJ449" s="1890"/>
      <c r="EK449" s="1890"/>
      <c r="EL449" s="1890"/>
      <c r="EM449" s="1890"/>
      <c r="EN449" s="1890"/>
      <c r="EO449" s="1890"/>
      <c r="EP449" s="1890"/>
      <c r="EQ449" s="1890"/>
      <c r="ER449" s="1890"/>
      <c r="ES449" s="1890"/>
      <c r="ET449" s="1890"/>
      <c r="EU449" s="1890"/>
      <c r="EV449" s="1890"/>
      <c r="EW449" s="1890"/>
      <c r="EX449" s="1890"/>
      <c r="EY449" s="1890"/>
      <c r="EZ449" s="1890"/>
      <c r="FA449" s="1890"/>
      <c r="FB449" s="1890"/>
      <c r="FC449" s="1890"/>
      <c r="FD449" s="1890"/>
      <c r="FE449" s="1890"/>
      <c r="FF449" s="1890"/>
      <c r="FG449" s="1890"/>
      <c r="FH449" s="1890"/>
      <c r="FI449" s="1890"/>
      <c r="FJ449" s="1890"/>
      <c r="FK449" s="1890"/>
      <c r="FL449" s="1890"/>
      <c r="FM449" s="1890"/>
      <c r="FN449" s="1890"/>
      <c r="FO449" s="1890"/>
      <c r="FP449" s="1890"/>
      <c r="FQ449" s="1890"/>
      <c r="FR449" s="1890"/>
      <c r="FS449" s="1890"/>
      <c r="FT449" s="1890"/>
    </row>
    <row r="450" spans="1:176" ht="32.1" customHeight="1">
      <c r="A450" s="1899"/>
      <c r="B450" s="1820" t="s">
        <v>433</v>
      </c>
      <c r="C450" s="1837">
        <v>1</v>
      </c>
      <c r="D450" s="1863">
        <v>1</v>
      </c>
      <c r="E450" s="1829">
        <v>1</v>
      </c>
      <c r="F450" s="1829">
        <v>1</v>
      </c>
      <c r="G450" s="1829">
        <v>1</v>
      </c>
      <c r="H450" s="1850">
        <v>1</v>
      </c>
      <c r="I450" s="2086" t="s">
        <v>38</v>
      </c>
      <c r="J450" s="2053">
        <v>1</v>
      </c>
      <c r="K450" s="1974" t="s">
        <v>811</v>
      </c>
      <c r="L450" s="1794">
        <v>1</v>
      </c>
      <c r="M450" s="1948">
        <v>1</v>
      </c>
      <c r="N450" s="1917" t="s">
        <v>8405</v>
      </c>
      <c r="O450" s="1915" t="s">
        <v>8857</v>
      </c>
      <c r="P450" s="1992">
        <v>1</v>
      </c>
      <c r="Q450" s="1992">
        <v>0</v>
      </c>
      <c r="R450" s="2299"/>
      <c r="S450" s="2261" t="s">
        <v>811</v>
      </c>
      <c r="T450" s="1974" t="s">
        <v>7681</v>
      </c>
      <c r="U450" s="1794" t="s">
        <v>1442</v>
      </c>
      <c r="V450" s="1948" t="s">
        <v>6193</v>
      </c>
      <c r="W450" s="1991" t="s">
        <v>8427</v>
      </c>
      <c r="X450" s="1915" t="s">
        <v>8857</v>
      </c>
    </row>
    <row r="451" spans="1:176" ht="92.25" customHeight="1">
      <c r="A451" s="1899"/>
      <c r="B451" s="1820" t="s">
        <v>434</v>
      </c>
      <c r="C451" s="1837">
        <v>1</v>
      </c>
      <c r="D451" s="1863">
        <v>0</v>
      </c>
      <c r="E451" s="1829">
        <v>1</v>
      </c>
      <c r="F451" s="1829">
        <v>0.5</v>
      </c>
      <c r="G451" s="1829">
        <v>0</v>
      </c>
      <c r="H451" s="1850">
        <v>0</v>
      </c>
      <c r="I451" s="2086" t="s">
        <v>38</v>
      </c>
      <c r="J451" s="2053">
        <v>1</v>
      </c>
      <c r="K451" s="1974" t="s">
        <v>748</v>
      </c>
      <c r="L451" s="1794">
        <v>1</v>
      </c>
      <c r="M451" s="1949" t="s">
        <v>8584</v>
      </c>
      <c r="N451" s="1917" t="s">
        <v>748</v>
      </c>
      <c r="O451" s="1941" t="s">
        <v>8858</v>
      </c>
      <c r="P451" s="1992">
        <v>1</v>
      </c>
      <c r="Q451" s="1992">
        <v>0</v>
      </c>
      <c r="R451" s="2299"/>
      <c r="S451" s="2261" t="s">
        <v>811</v>
      </c>
      <c r="T451" s="1974" t="s">
        <v>7682</v>
      </c>
      <c r="U451" s="1794" t="s">
        <v>1447</v>
      </c>
      <c r="V451" s="1949" t="s">
        <v>1448</v>
      </c>
      <c r="W451" s="1991" t="s">
        <v>8428</v>
      </c>
      <c r="X451" s="1941" t="s">
        <v>8858</v>
      </c>
    </row>
    <row r="452" spans="1:176" ht="32.1" customHeight="1" thickBot="1">
      <c r="A452" s="2512"/>
      <c r="B452" s="2462"/>
      <c r="C452" s="2463"/>
      <c r="D452" s="2463"/>
      <c r="E452" s="2463"/>
      <c r="F452" s="2463"/>
      <c r="G452" s="2463"/>
      <c r="H452" s="2463"/>
      <c r="I452" s="2464"/>
      <c r="J452" s="2465"/>
      <c r="K452" s="2465"/>
      <c r="L452" s="2465"/>
      <c r="M452" s="2465"/>
      <c r="N452" s="2465"/>
      <c r="O452" s="2465"/>
      <c r="P452" s="2466"/>
      <c r="Q452" s="2466"/>
      <c r="R452" s="2467"/>
      <c r="S452" s="2465"/>
      <c r="T452" s="2465"/>
      <c r="U452" s="2465"/>
      <c r="V452" s="2465"/>
      <c r="W452" s="2465"/>
      <c r="X452" s="2465"/>
    </row>
    <row r="453" spans="1:176" s="1896" customFormat="1" ht="38.25" thickBot="1">
      <c r="A453" s="2549">
        <v>2</v>
      </c>
      <c r="B453" s="2548" t="s">
        <v>527</v>
      </c>
      <c r="C453" s="2475">
        <f t="shared" ref="C453:G453" si="110">AVERAGE(C454,C563,C600,C620,C657)</f>
        <v>0.71647801131547073</v>
      </c>
      <c r="D453" s="2475">
        <f t="shared" si="110"/>
        <v>0.70306705804620928</v>
      </c>
      <c r="E453" s="2475">
        <f t="shared" si="110"/>
        <v>0.51004030630969843</v>
      </c>
      <c r="F453" s="2475">
        <f t="shared" si="110"/>
        <v>0.64883541929423338</v>
      </c>
      <c r="G453" s="2475">
        <f t="shared" si="110"/>
        <v>0.65130798942252943</v>
      </c>
      <c r="H453" s="2475">
        <f>AVERAGE(H454,H563,H600,H620,H657)</f>
        <v>0.56611863536759444</v>
      </c>
      <c r="I453" s="2476"/>
      <c r="J453" s="2477"/>
      <c r="K453" s="2477"/>
      <c r="L453" s="2477"/>
      <c r="M453" s="2477"/>
      <c r="N453" s="2477"/>
      <c r="O453" s="2477"/>
      <c r="P453" s="2478"/>
      <c r="Q453" s="2478"/>
      <c r="R453" s="2479"/>
      <c r="S453" s="2476"/>
      <c r="T453" s="2476"/>
      <c r="U453" s="2476"/>
      <c r="V453" s="2476"/>
      <c r="W453" s="2476"/>
      <c r="X453" s="2480"/>
      <c r="Y453" s="1818"/>
      <c r="Z453" s="1818"/>
      <c r="AA453" s="1818"/>
      <c r="AB453" s="1818"/>
      <c r="AC453" s="1818"/>
      <c r="AD453" s="1818"/>
      <c r="AE453" s="1818"/>
      <c r="AF453" s="1818"/>
      <c r="AG453" s="1818"/>
      <c r="AH453" s="1818"/>
      <c r="AI453" s="1818"/>
      <c r="AJ453" s="1818"/>
      <c r="AK453" s="1818"/>
      <c r="AL453" s="1818"/>
      <c r="AM453" s="1818"/>
      <c r="AN453" s="1818"/>
      <c r="AO453" s="1818"/>
      <c r="AP453" s="1818"/>
      <c r="AQ453" s="1818"/>
      <c r="AR453" s="1818"/>
      <c r="AS453" s="1818"/>
      <c r="AT453" s="1818"/>
      <c r="AU453" s="1818"/>
      <c r="AV453" s="1818"/>
      <c r="AW453" s="1818"/>
      <c r="AX453" s="1818"/>
      <c r="AY453" s="1818"/>
      <c r="AZ453" s="1818"/>
      <c r="BA453" s="1818"/>
      <c r="BB453" s="1818"/>
      <c r="BC453" s="1818"/>
      <c r="BD453" s="1818"/>
      <c r="BE453" s="1818"/>
      <c r="BF453" s="1818"/>
      <c r="BG453" s="1818"/>
      <c r="BH453" s="1818"/>
      <c r="BI453" s="1818"/>
      <c r="BJ453" s="1818"/>
      <c r="BK453" s="1818"/>
      <c r="BL453" s="1818"/>
      <c r="BM453" s="1818"/>
      <c r="BN453" s="1818"/>
      <c r="BO453" s="1818"/>
      <c r="BP453" s="1818"/>
      <c r="BQ453" s="1818"/>
      <c r="BR453" s="1818"/>
      <c r="BS453" s="1818"/>
      <c r="BT453" s="1818"/>
      <c r="BU453" s="1818"/>
      <c r="BV453" s="1818"/>
      <c r="BW453" s="1818"/>
      <c r="BX453" s="1818"/>
      <c r="BY453" s="1818"/>
      <c r="BZ453" s="1818"/>
    </row>
    <row r="454" spans="1:176" ht="144.94999999999999" customHeight="1">
      <c r="A454" s="2513">
        <v>2.1</v>
      </c>
      <c r="B454" s="2468" t="s">
        <v>7072</v>
      </c>
      <c r="C454" s="2469">
        <f t="shared" ref="C454:H454" si="111">AVERAGE(C455, C478)</f>
        <v>0.57981954375684031</v>
      </c>
      <c r="D454" s="2469">
        <f t="shared" si="111"/>
        <v>0.6156714975972879</v>
      </c>
      <c r="E454" s="2469">
        <f t="shared" si="111"/>
        <v>0.58069143209417107</v>
      </c>
      <c r="F454" s="2469">
        <f t="shared" si="111"/>
        <v>0.8353922340224027</v>
      </c>
      <c r="G454" s="2469">
        <f t="shared" si="111"/>
        <v>0.70105413810853112</v>
      </c>
      <c r="H454" s="2469">
        <f t="shared" si="111"/>
        <v>0.63867757494504085</v>
      </c>
      <c r="I454" s="2470"/>
      <c r="J454" s="2471"/>
      <c r="K454" s="2471"/>
      <c r="L454" s="2471"/>
      <c r="M454" s="2472"/>
      <c r="N454" s="2471"/>
      <c r="O454" s="2471"/>
      <c r="P454" s="2473"/>
      <c r="Q454" s="2473"/>
      <c r="R454" s="2474"/>
      <c r="S454" s="2471"/>
      <c r="T454" s="2471"/>
      <c r="U454" s="2471"/>
      <c r="V454" s="2471"/>
      <c r="W454" s="2471"/>
      <c r="X454" s="2471"/>
    </row>
    <row r="455" spans="1:176" ht="32.1" customHeight="1">
      <c r="A455" s="2514" t="s">
        <v>6862</v>
      </c>
      <c r="B455" s="2068" t="s">
        <v>529</v>
      </c>
      <c r="C455" s="2069">
        <f>AVERAGE(C456,C462,C467,C472,C476,C477)</f>
        <v>0.4185048694531639</v>
      </c>
      <c r="D455" s="2069">
        <f t="shared" ref="D455:H455" si="112">AVERAGE(D456,D462,D467,D472,D476,D477)</f>
        <v>0.54004151883197826</v>
      </c>
      <c r="E455" s="2069">
        <f t="shared" si="112"/>
        <v>0.77349316004974977</v>
      </c>
      <c r="F455" s="2069">
        <f t="shared" si="112"/>
        <v>0.90321206938299559</v>
      </c>
      <c r="G455" s="2069">
        <f t="shared" si="112"/>
        <v>0.72611473964061524</v>
      </c>
      <c r="H455" s="2069">
        <f t="shared" si="112"/>
        <v>0.82815001157613877</v>
      </c>
      <c r="I455" s="2064"/>
      <c r="J455" s="2065"/>
      <c r="K455" s="2065"/>
      <c r="L455" s="2065"/>
      <c r="M455" s="2131"/>
      <c r="N455" s="2065"/>
      <c r="O455" s="2065"/>
      <c r="P455" s="2066"/>
      <c r="Q455" s="2066"/>
      <c r="R455" s="2067"/>
      <c r="S455" s="2065"/>
      <c r="T455" s="2065"/>
      <c r="U455" s="2065"/>
      <c r="V455" s="2126"/>
      <c r="W455" s="2065"/>
      <c r="X455" s="2065"/>
    </row>
    <row r="456" spans="1:176" s="1893" customFormat="1" ht="399.95" customHeight="1">
      <c r="A456" s="2504"/>
      <c r="B456" s="2057" t="s">
        <v>9132</v>
      </c>
      <c r="C456" s="2194">
        <f t="shared" ref="C456:H456" si="113">AVERAGE(C458:C461)</f>
        <v>0.72345430107526876</v>
      </c>
      <c r="D456" s="2194">
        <f t="shared" si="113"/>
        <v>0.75</v>
      </c>
      <c r="E456" s="2194">
        <f t="shared" si="113"/>
        <v>0.875</v>
      </c>
      <c r="F456" s="2194">
        <f t="shared" si="113"/>
        <v>0.90104166666666663</v>
      </c>
      <c r="G456" s="2194">
        <f t="shared" si="113"/>
        <v>0.984375</v>
      </c>
      <c r="H456" s="2194">
        <f t="shared" si="113"/>
        <v>0.9375</v>
      </c>
      <c r="I456" s="2168"/>
      <c r="J456" s="2222"/>
      <c r="K456" s="2222"/>
      <c r="L456" s="2222"/>
      <c r="M456" s="2197"/>
      <c r="N456" s="2222"/>
      <c r="O456" s="2222"/>
      <c r="P456" s="2222"/>
      <c r="Q456" s="2222"/>
      <c r="R456" s="2172"/>
      <c r="S456" s="2222"/>
      <c r="T456" s="2222"/>
      <c r="U456" s="2222"/>
      <c r="V456" s="2195"/>
      <c r="W456" s="2222"/>
      <c r="X456" s="2222"/>
      <c r="Y456" s="1818"/>
      <c r="Z456" s="1818"/>
      <c r="AA456" s="1818"/>
      <c r="AB456" s="1818"/>
      <c r="AC456" s="1818"/>
      <c r="AD456" s="1818"/>
      <c r="AE456" s="1818"/>
      <c r="AF456" s="1818"/>
      <c r="AG456" s="1818"/>
      <c r="AH456" s="1818"/>
      <c r="AI456" s="1818"/>
      <c r="AJ456" s="1818"/>
      <c r="AK456" s="1818"/>
      <c r="AL456" s="1818"/>
      <c r="AM456" s="1818"/>
      <c r="AN456" s="1818"/>
      <c r="AO456" s="1818"/>
      <c r="AP456" s="1818"/>
      <c r="AQ456" s="1818"/>
      <c r="AR456" s="1818"/>
      <c r="AS456" s="1818"/>
      <c r="AT456" s="1818"/>
      <c r="AU456" s="1818"/>
      <c r="AV456" s="1818"/>
      <c r="AW456" s="1818"/>
      <c r="AX456" s="1818"/>
      <c r="AY456" s="1818"/>
      <c r="AZ456" s="1818"/>
      <c r="BA456" s="1818"/>
      <c r="BB456" s="1818"/>
      <c r="BC456" s="1818"/>
      <c r="BD456" s="1818"/>
      <c r="BE456" s="1818"/>
      <c r="BF456" s="1818"/>
      <c r="BG456" s="1818"/>
      <c r="BH456" s="1818"/>
      <c r="BI456" s="1818"/>
      <c r="BJ456" s="1818"/>
      <c r="BK456" s="1818"/>
      <c r="BL456" s="1818"/>
      <c r="BM456" s="1818"/>
      <c r="BN456" s="1818"/>
      <c r="BO456" s="1818"/>
      <c r="BP456" s="1818"/>
      <c r="BQ456" s="1818"/>
      <c r="BR456" s="1818"/>
      <c r="BS456" s="1818"/>
      <c r="BT456" s="1818"/>
      <c r="BU456" s="1818"/>
      <c r="BV456" s="1818"/>
      <c r="BW456" s="1818"/>
      <c r="BX456" s="1818"/>
      <c r="BY456" s="1818"/>
      <c r="BZ456" s="1818"/>
    </row>
    <row r="457" spans="1:176" s="1815" customFormat="1" ht="32.1" customHeight="1">
      <c r="A457" s="2504"/>
      <c r="B457" s="2195" t="s">
        <v>530</v>
      </c>
      <c r="C457" s="2058">
        <f t="shared" ref="C457:H461" si="114">IF(J457&lt;$P457,1,IF(J457&gt;$Q457,0,(J457-$Q457)/($P457-$Q457)))</f>
        <v>0</v>
      </c>
      <c r="D457" s="2058">
        <f t="shared" si="114"/>
        <v>1</v>
      </c>
      <c r="E457" s="2058">
        <f t="shared" si="114"/>
        <v>0.82352941176470584</v>
      </c>
      <c r="F457" s="2058">
        <f t="shared" si="114"/>
        <v>1</v>
      </c>
      <c r="G457" s="2058">
        <f t="shared" si="114"/>
        <v>1</v>
      </c>
      <c r="H457" s="2058">
        <f t="shared" si="114"/>
        <v>1</v>
      </c>
      <c r="I457" s="2168" t="s">
        <v>5295</v>
      </c>
      <c r="J457" s="2198">
        <v>52</v>
      </c>
      <c r="K457" s="2198">
        <v>23</v>
      </c>
      <c r="L457" s="2198">
        <v>30</v>
      </c>
      <c r="M457" s="2198">
        <v>4</v>
      </c>
      <c r="N457" s="2198">
        <v>15</v>
      </c>
      <c r="O457" s="2198">
        <v>18</v>
      </c>
      <c r="P457" s="2199">
        <v>27</v>
      </c>
      <c r="Q457" s="2223">
        <v>44</v>
      </c>
      <c r="R457" s="2173"/>
      <c r="S457" s="2195"/>
      <c r="T457" s="2195"/>
      <c r="U457" s="2195"/>
      <c r="V457" s="2195"/>
      <c r="W457" s="2195"/>
      <c r="X457" s="2204"/>
      <c r="Y457" s="1748"/>
      <c r="Z457" s="1748"/>
      <c r="AA457" s="1748"/>
      <c r="AB457" s="1748"/>
      <c r="AC457" s="1748"/>
      <c r="AD457" s="1748"/>
      <c r="AE457" s="1748"/>
      <c r="AF457" s="1748"/>
      <c r="AG457" s="1748"/>
      <c r="AH457" s="1748"/>
      <c r="AI457" s="1748"/>
      <c r="AJ457" s="1748"/>
      <c r="AK457" s="1748"/>
      <c r="AL457" s="1748"/>
      <c r="AM457" s="1748"/>
      <c r="AN457" s="1748"/>
      <c r="AO457" s="1748"/>
      <c r="AP457" s="1748"/>
      <c r="AQ457" s="1748"/>
      <c r="AR457" s="1748"/>
      <c r="AS457" s="1748"/>
      <c r="AT457" s="1748"/>
      <c r="AU457" s="1748"/>
      <c r="AV457" s="1748"/>
      <c r="AW457" s="1748"/>
      <c r="AX457" s="1748"/>
      <c r="AY457" s="1748"/>
      <c r="AZ457" s="1748"/>
      <c r="BA457" s="1748"/>
      <c r="BB457" s="1748"/>
      <c r="BC457" s="1748"/>
      <c r="BD457" s="1748"/>
      <c r="BE457" s="1748"/>
      <c r="BF457" s="1748"/>
      <c r="BG457" s="1748"/>
      <c r="BH457" s="1748"/>
      <c r="BI457" s="1748"/>
      <c r="BJ457" s="1748"/>
      <c r="BK457" s="1748"/>
      <c r="BL457" s="1748"/>
      <c r="BM457" s="1748"/>
      <c r="BN457" s="1748"/>
      <c r="BO457" s="1748"/>
      <c r="BP457" s="1748"/>
      <c r="BQ457" s="1748"/>
      <c r="BR457" s="1748"/>
      <c r="BS457" s="1748"/>
      <c r="BT457" s="1748"/>
      <c r="BU457" s="1748"/>
      <c r="BV457" s="1748"/>
      <c r="BW457" s="1748"/>
      <c r="BX457" s="1748"/>
      <c r="BY457" s="1748"/>
    </row>
    <row r="458" spans="1:176" s="1893" customFormat="1" ht="32.1" customHeight="1">
      <c r="A458" s="2504"/>
      <c r="B458" s="2195" t="s">
        <v>531</v>
      </c>
      <c r="C458" s="2058">
        <f t="shared" si="114"/>
        <v>0.93548387096774188</v>
      </c>
      <c r="D458" s="2058">
        <f t="shared" si="114"/>
        <v>1</v>
      </c>
      <c r="E458" s="2058">
        <f t="shared" si="114"/>
        <v>1</v>
      </c>
      <c r="F458" s="2058">
        <f t="shared" si="114"/>
        <v>1</v>
      </c>
      <c r="G458" s="2058">
        <f t="shared" si="114"/>
        <v>1</v>
      </c>
      <c r="H458" s="2058">
        <f t="shared" si="114"/>
        <v>1</v>
      </c>
      <c r="I458" s="2168" t="s">
        <v>5295</v>
      </c>
      <c r="J458" s="2200">
        <v>6.5</v>
      </c>
      <c r="K458" s="2200">
        <v>5</v>
      </c>
      <c r="L458" s="2200">
        <v>5</v>
      </c>
      <c r="M458" s="2200">
        <v>2</v>
      </c>
      <c r="N458" s="2200">
        <v>4.5</v>
      </c>
      <c r="O458" s="2200">
        <v>4.5</v>
      </c>
      <c r="P458" s="2201">
        <v>5.5</v>
      </c>
      <c r="Q458" s="2223">
        <v>21</v>
      </c>
      <c r="R458" s="2174"/>
      <c r="S458" s="2198"/>
      <c r="T458" s="2198"/>
      <c r="U458" s="2198"/>
      <c r="V458" s="2198"/>
      <c r="W458" s="2198"/>
      <c r="X458" s="2205"/>
      <c r="Y458" s="1818"/>
      <c r="Z458" s="1818"/>
      <c r="AA458" s="1818"/>
      <c r="AB458" s="1818"/>
      <c r="AC458" s="1818"/>
      <c r="AD458" s="1818"/>
      <c r="AE458" s="1818"/>
      <c r="AF458" s="1818"/>
      <c r="AG458" s="1818"/>
      <c r="AH458" s="1818"/>
      <c r="AI458" s="1818"/>
      <c r="AJ458" s="1818"/>
      <c r="AK458" s="1818"/>
      <c r="AL458" s="1818"/>
      <c r="AM458" s="1818"/>
      <c r="AN458" s="1818"/>
      <c r="AO458" s="1818"/>
      <c r="AP458" s="1818"/>
      <c r="AQ458" s="1818"/>
      <c r="AR458" s="1818"/>
      <c r="AS458" s="1818"/>
      <c r="AT458" s="1818"/>
      <c r="AU458" s="1818"/>
      <c r="AV458" s="1818"/>
      <c r="AW458" s="1818"/>
      <c r="AX458" s="1818"/>
      <c r="AY458" s="1818"/>
      <c r="AZ458" s="1818"/>
      <c r="BA458" s="1818"/>
      <c r="BB458" s="1818"/>
      <c r="BC458" s="1818"/>
      <c r="BD458" s="1818"/>
      <c r="BE458" s="1818"/>
      <c r="BF458" s="1818"/>
      <c r="BG458" s="1818"/>
      <c r="BH458" s="1818"/>
      <c r="BI458" s="1818"/>
      <c r="BJ458" s="1818"/>
      <c r="BK458" s="1818"/>
      <c r="BL458" s="1818"/>
      <c r="BM458" s="1818"/>
      <c r="BN458" s="1818"/>
      <c r="BO458" s="1818"/>
      <c r="BP458" s="1818"/>
      <c r="BQ458" s="1818"/>
      <c r="BR458" s="1818"/>
      <c r="BS458" s="1818"/>
      <c r="BT458" s="1818"/>
      <c r="BU458" s="1818"/>
      <c r="BV458" s="1818"/>
      <c r="BW458" s="1818"/>
      <c r="BX458" s="1818"/>
      <c r="BY458" s="1818"/>
      <c r="BZ458" s="1818"/>
    </row>
    <row r="459" spans="1:176" s="1893" customFormat="1" ht="32.1" customHeight="1">
      <c r="A459" s="2504"/>
      <c r="B459" s="2195" t="s">
        <v>532</v>
      </c>
      <c r="C459" s="2058">
        <f t="shared" si="114"/>
        <v>0</v>
      </c>
      <c r="D459" s="2058">
        <f t="shared" si="114"/>
        <v>1</v>
      </c>
      <c r="E459" s="2058">
        <f t="shared" si="114"/>
        <v>0.5</v>
      </c>
      <c r="F459" s="2058">
        <f t="shared" si="114"/>
        <v>1</v>
      </c>
      <c r="G459" s="2058">
        <f t="shared" si="114"/>
        <v>1</v>
      </c>
      <c r="H459" s="2058">
        <f t="shared" si="114"/>
        <v>1</v>
      </c>
      <c r="I459" s="2168" t="s">
        <v>5295</v>
      </c>
      <c r="J459" s="2200">
        <v>6</v>
      </c>
      <c r="K459" s="2200">
        <v>4</v>
      </c>
      <c r="L459" s="2200">
        <v>5</v>
      </c>
      <c r="M459" s="2200">
        <v>2</v>
      </c>
      <c r="N459" s="2200">
        <v>4</v>
      </c>
      <c r="O459" s="2200">
        <v>4</v>
      </c>
      <c r="P459" s="2201">
        <v>4</v>
      </c>
      <c r="Q459" s="2223">
        <v>6</v>
      </c>
      <c r="R459" s="2174"/>
      <c r="S459" s="2198"/>
      <c r="T459" s="2198"/>
      <c r="U459" s="2198"/>
      <c r="V459" s="2198"/>
      <c r="W459" s="2198"/>
      <c r="X459" s="2205"/>
      <c r="Y459" s="1818"/>
      <c r="Z459" s="1818"/>
      <c r="AA459" s="1818"/>
      <c r="AB459" s="1818"/>
      <c r="AC459" s="1818"/>
      <c r="AD459" s="1818"/>
      <c r="AE459" s="1818"/>
      <c r="AF459" s="1818"/>
      <c r="AG459" s="1818"/>
      <c r="AH459" s="1818"/>
      <c r="AI459" s="1818"/>
      <c r="AJ459" s="1818"/>
      <c r="AK459" s="1818"/>
      <c r="AL459" s="1818"/>
      <c r="AM459" s="1818"/>
      <c r="AN459" s="1818"/>
      <c r="AO459" s="1818"/>
      <c r="AP459" s="1818"/>
      <c r="AQ459" s="1818"/>
      <c r="AR459" s="1818"/>
      <c r="AS459" s="1818"/>
      <c r="AT459" s="1818"/>
      <c r="AU459" s="1818"/>
      <c r="AV459" s="1818"/>
      <c r="AW459" s="1818"/>
      <c r="AX459" s="1818"/>
      <c r="AY459" s="1818"/>
      <c r="AZ459" s="1818"/>
      <c r="BA459" s="1818"/>
      <c r="BB459" s="1818"/>
      <c r="BC459" s="1818"/>
      <c r="BD459" s="1818"/>
      <c r="BE459" s="1818"/>
      <c r="BF459" s="1818"/>
      <c r="BG459" s="1818"/>
      <c r="BH459" s="1818"/>
      <c r="BI459" s="1818"/>
      <c r="BJ459" s="1818"/>
      <c r="BK459" s="1818"/>
      <c r="BL459" s="1818"/>
      <c r="BM459" s="1818"/>
      <c r="BN459" s="1818"/>
      <c r="BO459" s="1818"/>
      <c r="BP459" s="1818"/>
      <c r="BQ459" s="1818"/>
      <c r="BR459" s="1818"/>
      <c r="BS459" s="1818"/>
      <c r="BT459" s="1818"/>
      <c r="BU459" s="1818"/>
      <c r="BV459" s="1818"/>
      <c r="BW459" s="1818"/>
      <c r="BX459" s="1818"/>
      <c r="BY459" s="1818"/>
      <c r="BZ459" s="1818"/>
    </row>
    <row r="460" spans="1:176" s="1893" customFormat="1" ht="32.1" customHeight="1">
      <c r="A460" s="2504"/>
      <c r="B460" s="2195" t="s">
        <v>533</v>
      </c>
      <c r="C460" s="2058">
        <f t="shared" si="114"/>
        <v>0.95833333333333326</v>
      </c>
      <c r="D460" s="2058">
        <f t="shared" si="114"/>
        <v>0</v>
      </c>
      <c r="E460" s="2058">
        <f t="shared" si="114"/>
        <v>1</v>
      </c>
      <c r="F460" s="2058">
        <f t="shared" si="114"/>
        <v>0.60416666666666663</v>
      </c>
      <c r="G460" s="2058">
        <f t="shared" si="114"/>
        <v>0.93749999999999989</v>
      </c>
      <c r="H460" s="2058">
        <f t="shared" si="114"/>
        <v>0.75</v>
      </c>
      <c r="I460" s="2168" t="s">
        <v>5295</v>
      </c>
      <c r="J460" s="2200">
        <v>0.8</v>
      </c>
      <c r="K460" s="2200">
        <v>5.6</v>
      </c>
      <c r="L460" s="2200">
        <v>0.6</v>
      </c>
      <c r="M460" s="2200">
        <v>2.5</v>
      </c>
      <c r="N460" s="2200">
        <v>0.9</v>
      </c>
      <c r="O460" s="2200">
        <v>1.8</v>
      </c>
      <c r="P460" s="2201">
        <v>0.6</v>
      </c>
      <c r="Q460" s="2224">
        <v>5.4</v>
      </c>
      <c r="R460" s="2175"/>
      <c r="S460" s="2198"/>
      <c r="T460" s="2198"/>
      <c r="U460" s="2198"/>
      <c r="V460" s="2198"/>
      <c r="W460" s="2198"/>
      <c r="X460" s="2205"/>
      <c r="Y460" s="1818"/>
      <c r="Z460" s="1818"/>
      <c r="AA460" s="1818"/>
      <c r="AB460" s="1818"/>
      <c r="AC460" s="1818"/>
      <c r="AD460" s="1818"/>
      <c r="AE460" s="1818"/>
      <c r="AF460" s="1818"/>
      <c r="AG460" s="1818"/>
      <c r="AH460" s="1818"/>
      <c r="AI460" s="1818"/>
      <c r="AJ460" s="1818"/>
      <c r="AK460" s="1818"/>
      <c r="AL460" s="1818"/>
      <c r="AM460" s="1818"/>
      <c r="AN460" s="1818"/>
      <c r="AO460" s="1818"/>
      <c r="AP460" s="1818"/>
      <c r="AQ460" s="1818"/>
      <c r="AR460" s="1818"/>
      <c r="AS460" s="1818"/>
      <c r="AT460" s="1818"/>
      <c r="AU460" s="1818"/>
      <c r="AV460" s="1818"/>
      <c r="AW460" s="1818"/>
      <c r="AX460" s="1818"/>
      <c r="AY460" s="1818"/>
      <c r="AZ460" s="1818"/>
      <c r="BA460" s="1818"/>
      <c r="BB460" s="1818"/>
      <c r="BC460" s="1818"/>
      <c r="BD460" s="1818"/>
      <c r="BE460" s="1818"/>
      <c r="BF460" s="1818"/>
      <c r="BG460" s="1818"/>
      <c r="BH460" s="1818"/>
      <c r="BI460" s="1818"/>
      <c r="BJ460" s="1818"/>
      <c r="BK460" s="1818"/>
      <c r="BL460" s="1818"/>
      <c r="BM460" s="1818"/>
      <c r="BN460" s="1818"/>
      <c r="BO460" s="1818"/>
      <c r="BP460" s="1818"/>
      <c r="BQ460" s="1818"/>
      <c r="BR460" s="1818"/>
      <c r="BS460" s="1818"/>
      <c r="BT460" s="1818"/>
      <c r="BU460" s="1818"/>
      <c r="BV460" s="1818"/>
      <c r="BW460" s="1818"/>
      <c r="BX460" s="1818"/>
      <c r="BY460" s="1818"/>
      <c r="BZ460" s="1818"/>
    </row>
    <row r="461" spans="1:176" s="1893" customFormat="1" ht="32.1" customHeight="1">
      <c r="A461" s="2504"/>
      <c r="B461" s="2195" t="s">
        <v>534</v>
      </c>
      <c r="C461" s="2058">
        <f t="shared" si="114"/>
        <v>1</v>
      </c>
      <c r="D461" s="2058">
        <f t="shared" si="114"/>
        <v>1</v>
      </c>
      <c r="E461" s="2058">
        <f t="shared" si="114"/>
        <v>1</v>
      </c>
      <c r="F461" s="2058">
        <f t="shared" si="114"/>
        <v>1</v>
      </c>
      <c r="G461" s="2058">
        <f t="shared" si="114"/>
        <v>1</v>
      </c>
      <c r="H461" s="2058">
        <f t="shared" si="114"/>
        <v>1</v>
      </c>
      <c r="I461" s="2168" t="s">
        <v>5295</v>
      </c>
      <c r="J461" s="2200">
        <v>0</v>
      </c>
      <c r="K461" s="2200">
        <v>0</v>
      </c>
      <c r="L461" s="2200">
        <v>0</v>
      </c>
      <c r="M461" s="2200">
        <v>0</v>
      </c>
      <c r="N461" s="2200">
        <v>0</v>
      </c>
      <c r="O461" s="2200">
        <v>0</v>
      </c>
      <c r="P461" s="2201">
        <v>19.3</v>
      </c>
      <c r="Q461" s="2224">
        <v>8.1</v>
      </c>
      <c r="R461" s="2175"/>
      <c r="S461" s="2198"/>
      <c r="T461" s="2198"/>
      <c r="U461" s="2198"/>
      <c r="V461" s="2198"/>
      <c r="W461" s="2198"/>
      <c r="X461" s="2205"/>
      <c r="Y461" s="1818"/>
      <c r="Z461" s="1818"/>
      <c r="AA461" s="1818"/>
      <c r="AB461" s="1818"/>
      <c r="AC461" s="1818"/>
      <c r="AD461" s="1818"/>
      <c r="AE461" s="1818"/>
      <c r="AF461" s="1818"/>
      <c r="AG461" s="1818"/>
      <c r="AH461" s="1818"/>
      <c r="AI461" s="1818"/>
      <c r="AJ461" s="1818"/>
      <c r="AK461" s="1818"/>
      <c r="AL461" s="1818"/>
      <c r="AM461" s="1818"/>
      <c r="AN461" s="1818"/>
      <c r="AO461" s="1818"/>
      <c r="AP461" s="1818"/>
      <c r="AQ461" s="1818"/>
      <c r="AR461" s="1818"/>
      <c r="AS461" s="1818"/>
      <c r="AT461" s="1818"/>
      <c r="AU461" s="1818"/>
      <c r="AV461" s="1818"/>
      <c r="AW461" s="1818"/>
      <c r="AX461" s="1818"/>
      <c r="AY461" s="1818"/>
      <c r="AZ461" s="1818"/>
      <c r="BA461" s="1818"/>
      <c r="BB461" s="1818"/>
      <c r="BC461" s="1818"/>
      <c r="BD461" s="1818"/>
      <c r="BE461" s="1818"/>
      <c r="BF461" s="1818"/>
      <c r="BG461" s="1818"/>
      <c r="BH461" s="1818"/>
      <c r="BI461" s="1818"/>
      <c r="BJ461" s="1818"/>
      <c r="BK461" s="1818"/>
      <c r="BL461" s="1818"/>
      <c r="BM461" s="1818"/>
      <c r="BN461" s="1818"/>
      <c r="BO461" s="1818"/>
      <c r="BP461" s="1818"/>
      <c r="BQ461" s="1818"/>
      <c r="BR461" s="1818"/>
      <c r="BS461" s="1818"/>
      <c r="BT461" s="1818"/>
      <c r="BU461" s="1818"/>
      <c r="BV461" s="1818"/>
      <c r="BW461" s="1818"/>
      <c r="BX461" s="1818"/>
      <c r="BY461" s="1818"/>
      <c r="BZ461" s="1818"/>
    </row>
    <row r="462" spans="1:176" s="1893" customFormat="1" ht="32.1" customHeight="1">
      <c r="A462" s="2504"/>
      <c r="B462" s="2057" t="s">
        <v>9131</v>
      </c>
      <c r="C462" s="2194">
        <f t="shared" ref="C462:H462" si="115">AVERAGE(C464:C466)</f>
        <v>2.1914308176100638E-2</v>
      </c>
      <c r="D462" s="2194">
        <f t="shared" si="115"/>
        <v>0.5147031296795449</v>
      </c>
      <c r="E462" s="2194">
        <f t="shared" si="115"/>
        <v>0.85430705300988319</v>
      </c>
      <c r="F462" s="2194">
        <f t="shared" si="115"/>
        <v>0.94699011680143752</v>
      </c>
      <c r="G462" s="2194">
        <f t="shared" si="115"/>
        <v>0.90961927223719685</v>
      </c>
      <c r="H462" s="2194">
        <f t="shared" si="115"/>
        <v>0.9333445642407906</v>
      </c>
      <c r="I462" s="2168"/>
      <c r="J462" s="2222"/>
      <c r="K462" s="2222"/>
      <c r="L462" s="2222"/>
      <c r="M462" s="2222"/>
      <c r="N462" s="2222"/>
      <c r="O462" s="2222"/>
      <c r="P462" s="2222"/>
      <c r="Q462" s="2222"/>
      <c r="R462" s="2172"/>
      <c r="S462" s="2222"/>
      <c r="T462" s="2222"/>
      <c r="U462" s="2222"/>
      <c r="V462" s="2222"/>
      <c r="W462" s="2222"/>
      <c r="X462" s="2222"/>
      <c r="Y462" s="1818"/>
      <c r="Z462" s="1818"/>
      <c r="AA462" s="1818"/>
      <c r="AB462" s="1818"/>
      <c r="AC462" s="1818"/>
      <c r="AD462" s="1818"/>
      <c r="AE462" s="1818"/>
      <c r="AF462" s="1818"/>
      <c r="AG462" s="1818"/>
      <c r="AH462" s="1818"/>
      <c r="AI462" s="1818"/>
      <c r="AJ462" s="1818"/>
      <c r="AK462" s="1818"/>
      <c r="AL462" s="1818"/>
      <c r="AM462" s="1818"/>
      <c r="AN462" s="1818"/>
      <c r="AO462" s="1818"/>
      <c r="AP462" s="1818"/>
      <c r="AQ462" s="1818"/>
      <c r="AR462" s="1818"/>
      <c r="AS462" s="1818"/>
      <c r="AT462" s="1818"/>
      <c r="AU462" s="1818"/>
      <c r="AV462" s="1818"/>
      <c r="AW462" s="1818"/>
      <c r="AX462" s="1818"/>
      <c r="AY462" s="1818"/>
      <c r="AZ462" s="1818"/>
      <c r="BA462" s="1818"/>
      <c r="BB462" s="1818"/>
      <c r="BC462" s="1818"/>
      <c r="BD462" s="1818"/>
      <c r="BE462" s="1818"/>
      <c r="BF462" s="1818"/>
      <c r="BG462" s="1818"/>
      <c r="BH462" s="1818"/>
      <c r="BI462" s="1818"/>
      <c r="BJ462" s="1818"/>
      <c r="BK462" s="1818"/>
      <c r="BL462" s="1818"/>
      <c r="BM462" s="1818"/>
      <c r="BN462" s="1818"/>
      <c r="BO462" s="1818"/>
      <c r="BP462" s="1818"/>
      <c r="BQ462" s="1818"/>
      <c r="BR462" s="1818"/>
      <c r="BS462" s="1818"/>
      <c r="BT462" s="1818"/>
      <c r="BU462" s="1818"/>
      <c r="BV462" s="1818"/>
      <c r="BW462" s="1818"/>
      <c r="BX462" s="1818"/>
      <c r="BY462" s="1818"/>
      <c r="BZ462" s="1818"/>
    </row>
    <row r="463" spans="1:176" s="1815" customFormat="1" ht="32.1" customHeight="1">
      <c r="A463" s="2504"/>
      <c r="B463" s="2195" t="s">
        <v>530</v>
      </c>
      <c r="C463" s="2058">
        <f t="shared" ref="C463:H463" si="116">IF(J463&lt;$P463,1,IF(J463&gt;$Q463,0,(J463-$Q463)/($P463-$Q463)))</f>
        <v>0.14130434782608695</v>
      </c>
      <c r="D463" s="2058">
        <f t="shared" si="116"/>
        <v>1</v>
      </c>
      <c r="E463" s="2058">
        <f t="shared" si="116"/>
        <v>1</v>
      </c>
      <c r="F463" s="2058">
        <f t="shared" si="116"/>
        <v>1</v>
      </c>
      <c r="G463" s="2058">
        <f t="shared" si="116"/>
        <v>0.70652173913043481</v>
      </c>
      <c r="H463" s="2058">
        <f t="shared" si="116"/>
        <v>1</v>
      </c>
      <c r="I463" s="2168" t="s">
        <v>5295</v>
      </c>
      <c r="J463" s="2198">
        <v>149</v>
      </c>
      <c r="K463" s="2198">
        <v>65</v>
      </c>
      <c r="L463" s="2198">
        <v>68</v>
      </c>
      <c r="M463" s="2198">
        <v>57</v>
      </c>
      <c r="N463" s="2198">
        <v>97</v>
      </c>
      <c r="O463" s="2198">
        <v>47</v>
      </c>
      <c r="P463" s="2199">
        <v>70</v>
      </c>
      <c r="Q463" s="2223">
        <v>162</v>
      </c>
      <c r="R463" s="2173"/>
      <c r="S463" s="2195"/>
      <c r="T463" s="2195"/>
      <c r="U463" s="2195"/>
      <c r="V463" s="2195"/>
      <c r="W463" s="2195"/>
      <c r="X463" s="2204"/>
      <c r="Y463" s="1748"/>
      <c r="Z463" s="1748"/>
      <c r="AA463" s="1748"/>
      <c r="AB463" s="1748"/>
      <c r="AC463" s="1748"/>
      <c r="AD463" s="1748"/>
      <c r="AE463" s="1748"/>
      <c r="AF463" s="1748"/>
      <c r="AG463" s="1748"/>
      <c r="AH463" s="1748"/>
      <c r="AI463" s="1748"/>
      <c r="AJ463" s="1748"/>
      <c r="AK463" s="1748"/>
      <c r="AL463" s="1748"/>
      <c r="AM463" s="1748"/>
      <c r="AN463" s="1748"/>
      <c r="AO463" s="1748"/>
      <c r="AP463" s="1748"/>
      <c r="AQ463" s="1748"/>
      <c r="AR463" s="1748"/>
      <c r="AS463" s="1748"/>
      <c r="AT463" s="1748"/>
      <c r="AU463" s="1748"/>
      <c r="AV463" s="1748"/>
      <c r="AW463" s="1748"/>
      <c r="AX463" s="1748"/>
      <c r="AY463" s="1748"/>
      <c r="AZ463" s="1748"/>
      <c r="BA463" s="1748"/>
      <c r="BB463" s="1748"/>
      <c r="BC463" s="1748"/>
      <c r="BD463" s="1748"/>
      <c r="BE463" s="1748"/>
      <c r="BF463" s="1748"/>
      <c r="BG463" s="1748"/>
      <c r="BH463" s="1748"/>
      <c r="BI463" s="1748"/>
      <c r="BJ463" s="1748"/>
      <c r="BK463" s="1748"/>
      <c r="BL463" s="1748"/>
      <c r="BM463" s="1748"/>
      <c r="BN463" s="1748"/>
      <c r="BO463" s="1748"/>
      <c r="BP463" s="1748"/>
      <c r="BQ463" s="1748"/>
      <c r="BR463" s="1748"/>
      <c r="BS463" s="1748"/>
      <c r="BT463" s="1748"/>
      <c r="BU463" s="1748"/>
      <c r="BV463" s="1748"/>
      <c r="BW463" s="1748"/>
      <c r="BX463" s="1748"/>
      <c r="BY463" s="1748"/>
    </row>
    <row r="464" spans="1:176" s="1893" customFormat="1" ht="32.1" customHeight="1">
      <c r="A464" s="2504"/>
      <c r="B464" s="2195" t="s">
        <v>536</v>
      </c>
      <c r="C464" s="2058">
        <f t="shared" ref="C464:H464" si="117">IF(J464&gt;$P464,1,IF(J464&lt;$Q464,0,(J464-$Q464)/($P464-$Q464)))</f>
        <v>1.8867924528301917E-2</v>
      </c>
      <c r="D464" s="2058">
        <f t="shared" si="117"/>
        <v>0.53369272237196774</v>
      </c>
      <c r="E464" s="2058">
        <f t="shared" si="117"/>
        <v>0.78167115902964979</v>
      </c>
      <c r="F464" s="2058">
        <f t="shared" si="117"/>
        <v>0.84097035040431278</v>
      </c>
      <c r="G464" s="2058">
        <f t="shared" si="117"/>
        <v>0.76010781671159044</v>
      </c>
      <c r="H464" s="2058">
        <f t="shared" si="117"/>
        <v>0.86253369272237213</v>
      </c>
      <c r="I464" s="2168" t="s">
        <v>5295</v>
      </c>
      <c r="J464" s="2200">
        <v>8.9</v>
      </c>
      <c r="K464" s="2200">
        <v>28</v>
      </c>
      <c r="L464" s="2200">
        <v>37.200000000000003</v>
      </c>
      <c r="M464" s="2200">
        <v>39.4</v>
      </c>
      <c r="N464" s="2200">
        <v>36.4</v>
      </c>
      <c r="O464" s="2200">
        <v>40.200000000000003</v>
      </c>
      <c r="P464" s="2201">
        <v>45.3</v>
      </c>
      <c r="Q464" s="2224">
        <v>8.1999999999999993</v>
      </c>
      <c r="R464" s="2175"/>
      <c r="S464" s="2198"/>
      <c r="T464" s="2198"/>
      <c r="U464" s="2198"/>
      <c r="V464" s="2198"/>
      <c r="W464" s="2198"/>
      <c r="X464" s="2205"/>
      <c r="Y464" s="1818"/>
      <c r="Z464" s="1818"/>
      <c r="AA464" s="1818"/>
      <c r="AB464" s="1818"/>
      <c r="AC464" s="1818"/>
      <c r="AD464" s="1818"/>
      <c r="AE464" s="1818"/>
      <c r="AF464" s="1818"/>
      <c r="AG464" s="1818"/>
      <c r="AH464" s="1818"/>
      <c r="AI464" s="1818"/>
      <c r="AJ464" s="1818"/>
      <c r="AK464" s="1818"/>
      <c r="AL464" s="1818"/>
      <c r="AM464" s="1818"/>
      <c r="AN464" s="1818"/>
      <c r="AO464" s="1818"/>
      <c r="AP464" s="1818"/>
      <c r="AQ464" s="1818"/>
      <c r="AR464" s="1818"/>
      <c r="AS464" s="1818"/>
      <c r="AT464" s="1818"/>
      <c r="AU464" s="1818"/>
      <c r="AV464" s="1818"/>
      <c r="AW464" s="1818"/>
      <c r="AX464" s="1818"/>
      <c r="AY464" s="1818"/>
      <c r="AZ464" s="1818"/>
      <c r="BA464" s="1818"/>
      <c r="BB464" s="1818"/>
      <c r="BC464" s="1818"/>
      <c r="BD464" s="1818"/>
      <c r="BE464" s="1818"/>
      <c r="BF464" s="1818"/>
      <c r="BG464" s="1818"/>
      <c r="BH464" s="1818"/>
      <c r="BI464" s="1818"/>
      <c r="BJ464" s="1818"/>
      <c r="BK464" s="1818"/>
      <c r="BL464" s="1818"/>
      <c r="BM464" s="1818"/>
      <c r="BN464" s="1818"/>
      <c r="BO464" s="1818"/>
      <c r="BP464" s="1818"/>
      <c r="BQ464" s="1818"/>
      <c r="BR464" s="1818"/>
      <c r="BS464" s="1818"/>
      <c r="BT464" s="1818"/>
      <c r="BU464" s="1818"/>
      <c r="BV464" s="1818"/>
      <c r="BW464" s="1818"/>
      <c r="BX464" s="1818"/>
      <c r="BY464" s="1818"/>
      <c r="BZ464" s="1818"/>
    </row>
    <row r="465" spans="1:78" s="1893" customFormat="1" ht="32.1" customHeight="1">
      <c r="A465" s="2504"/>
      <c r="B465" s="2195" t="s">
        <v>537</v>
      </c>
      <c r="C465" s="2058">
        <f t="shared" ref="C465:H466" si="118">IF(J465&lt;$P465,1,IF(J465&gt;$Q465,0,(J465-$Q465)/($P465-$Q465)))</f>
        <v>0</v>
      </c>
      <c r="D465" s="2058">
        <f t="shared" si="118"/>
        <v>0.1666666666666668</v>
      </c>
      <c r="E465" s="2058">
        <f t="shared" si="118"/>
        <v>1</v>
      </c>
      <c r="F465" s="2058">
        <f t="shared" si="118"/>
        <v>1</v>
      </c>
      <c r="G465" s="2058">
        <f t="shared" si="118"/>
        <v>1</v>
      </c>
      <c r="H465" s="2058">
        <f t="shared" si="118"/>
        <v>1</v>
      </c>
      <c r="I465" s="2168" t="s">
        <v>5295</v>
      </c>
      <c r="J465" s="2200">
        <v>2.9</v>
      </c>
      <c r="K465" s="2200">
        <v>2.8</v>
      </c>
      <c r="L465" s="2200">
        <v>1.5</v>
      </c>
      <c r="M465" s="2200">
        <v>2</v>
      </c>
      <c r="N465" s="2200">
        <v>1.9</v>
      </c>
      <c r="O465" s="2200">
        <v>1.5</v>
      </c>
      <c r="P465" s="2201">
        <v>2.2999999999999998</v>
      </c>
      <c r="Q465" s="2223">
        <v>2.9</v>
      </c>
      <c r="R465" s="2174"/>
      <c r="S465" s="2198"/>
      <c r="T465" s="2198"/>
      <c r="U465" s="2198"/>
      <c r="V465" s="2198"/>
      <c r="W465" s="2198"/>
      <c r="X465" s="2205"/>
      <c r="Y465" s="1818"/>
      <c r="Z465" s="1818"/>
      <c r="AA465" s="1818"/>
      <c r="AB465" s="1818"/>
      <c r="AC465" s="1818"/>
      <c r="AD465" s="1818"/>
      <c r="AE465" s="1818"/>
      <c r="AF465" s="1818"/>
      <c r="AG465" s="1818"/>
      <c r="AH465" s="1818"/>
      <c r="AI465" s="1818"/>
      <c r="AJ465" s="1818"/>
      <c r="AK465" s="1818"/>
      <c r="AL465" s="1818"/>
      <c r="AM465" s="1818"/>
      <c r="AN465" s="1818"/>
      <c r="AO465" s="1818"/>
      <c r="AP465" s="1818"/>
      <c r="AQ465" s="1818"/>
      <c r="AR465" s="1818"/>
      <c r="AS465" s="1818"/>
      <c r="AT465" s="1818"/>
      <c r="AU465" s="1818"/>
      <c r="AV465" s="1818"/>
      <c r="AW465" s="1818"/>
      <c r="AX465" s="1818"/>
      <c r="AY465" s="1818"/>
      <c r="AZ465" s="1818"/>
      <c r="BA465" s="1818"/>
      <c r="BB465" s="1818"/>
      <c r="BC465" s="1818"/>
      <c r="BD465" s="1818"/>
      <c r="BE465" s="1818"/>
      <c r="BF465" s="1818"/>
      <c r="BG465" s="1818"/>
      <c r="BH465" s="1818"/>
      <c r="BI465" s="1818"/>
      <c r="BJ465" s="1818"/>
      <c r="BK465" s="1818"/>
      <c r="BL465" s="1818"/>
      <c r="BM465" s="1818"/>
      <c r="BN465" s="1818"/>
      <c r="BO465" s="1818"/>
      <c r="BP465" s="1818"/>
      <c r="BQ465" s="1818"/>
      <c r="BR465" s="1818"/>
      <c r="BS465" s="1818"/>
      <c r="BT465" s="1818"/>
      <c r="BU465" s="1818"/>
      <c r="BV465" s="1818"/>
      <c r="BW465" s="1818"/>
      <c r="BX465" s="1818"/>
      <c r="BY465" s="1818"/>
      <c r="BZ465" s="1818"/>
    </row>
    <row r="466" spans="1:78" s="1893" customFormat="1" ht="32.1" customHeight="1">
      <c r="A466" s="2504"/>
      <c r="B466" s="2195" t="s">
        <v>538</v>
      </c>
      <c r="C466" s="2058">
        <f t="shared" si="118"/>
        <v>4.6875E-2</v>
      </c>
      <c r="D466" s="2058">
        <f t="shared" si="118"/>
        <v>0.84375</v>
      </c>
      <c r="E466" s="2058">
        <f t="shared" si="118"/>
        <v>0.78125</v>
      </c>
      <c r="F466" s="2058">
        <f t="shared" si="118"/>
        <v>1</v>
      </c>
      <c r="G466" s="2058">
        <f t="shared" si="118"/>
        <v>0.96875</v>
      </c>
      <c r="H466" s="2058">
        <f t="shared" si="118"/>
        <v>0.9375</v>
      </c>
      <c r="I466" s="2168" t="s">
        <v>5295</v>
      </c>
      <c r="J466" s="2200">
        <v>40.5</v>
      </c>
      <c r="K466" s="2200">
        <v>15</v>
      </c>
      <c r="L466" s="2200">
        <v>17</v>
      </c>
      <c r="M466" s="2200">
        <v>10</v>
      </c>
      <c r="N466" s="2200">
        <v>11</v>
      </c>
      <c r="O466" s="2200">
        <v>12</v>
      </c>
      <c r="P466" s="2201">
        <v>10</v>
      </c>
      <c r="Q466" s="2223">
        <v>42</v>
      </c>
      <c r="R466" s="2174"/>
      <c r="S466" s="2198"/>
      <c r="T466" s="2198"/>
      <c r="U466" s="2198"/>
      <c r="V466" s="2198"/>
      <c r="W466" s="2198"/>
      <c r="X466" s="2205"/>
      <c r="Y466" s="1818"/>
      <c r="Z466" s="1818"/>
      <c r="AA466" s="1818"/>
      <c r="AB466" s="1818"/>
      <c r="AC466" s="1818"/>
      <c r="AD466" s="1818"/>
      <c r="AE466" s="1818"/>
      <c r="AF466" s="1818"/>
      <c r="AG466" s="1818"/>
      <c r="AH466" s="1818"/>
      <c r="AI466" s="1818"/>
      <c r="AJ466" s="1818"/>
      <c r="AK466" s="1818"/>
      <c r="AL466" s="1818"/>
      <c r="AM466" s="1818"/>
      <c r="AN466" s="1818"/>
      <c r="AO466" s="1818"/>
      <c r="AP466" s="1818"/>
      <c r="AQ466" s="1818"/>
      <c r="AR466" s="1818"/>
      <c r="AS466" s="1818"/>
      <c r="AT466" s="1818"/>
      <c r="AU466" s="1818"/>
      <c r="AV466" s="1818"/>
      <c r="AW466" s="1818"/>
      <c r="AX466" s="1818"/>
      <c r="AY466" s="1818"/>
      <c r="AZ466" s="1818"/>
      <c r="BA466" s="1818"/>
      <c r="BB466" s="1818"/>
      <c r="BC466" s="1818"/>
      <c r="BD466" s="1818"/>
      <c r="BE466" s="1818"/>
      <c r="BF466" s="1818"/>
      <c r="BG466" s="1818"/>
      <c r="BH466" s="1818"/>
      <c r="BI466" s="1818"/>
      <c r="BJ466" s="1818"/>
      <c r="BK466" s="1818"/>
      <c r="BL466" s="1818"/>
      <c r="BM466" s="1818"/>
      <c r="BN466" s="1818"/>
      <c r="BO466" s="1818"/>
      <c r="BP466" s="1818"/>
      <c r="BQ466" s="1818"/>
      <c r="BR466" s="1818"/>
      <c r="BS466" s="1818"/>
      <c r="BT466" s="1818"/>
      <c r="BU466" s="1818"/>
      <c r="BV466" s="1818"/>
      <c r="BW466" s="1818"/>
      <c r="BX466" s="1818"/>
      <c r="BY466" s="1818"/>
      <c r="BZ466" s="1818"/>
    </row>
    <row r="467" spans="1:78" s="1893" customFormat="1" ht="32.1" customHeight="1">
      <c r="A467" s="2504"/>
      <c r="B467" s="2057" t="s">
        <v>9133</v>
      </c>
      <c r="C467" s="2194">
        <f t="shared" ref="C467:H467" si="119">AVERAGE(C469:C471)</f>
        <v>0.74088588053675331</v>
      </c>
      <c r="D467" s="2194">
        <f t="shared" si="119"/>
        <v>0.9148557178482366</v>
      </c>
      <c r="E467" s="2194">
        <f t="shared" si="119"/>
        <v>0.63260467099230855</v>
      </c>
      <c r="F467" s="2194">
        <f t="shared" si="119"/>
        <v>0.81035506471915453</v>
      </c>
      <c r="G467" s="2194">
        <f t="shared" si="119"/>
        <v>0.7081047381546135</v>
      </c>
      <c r="H467" s="2194">
        <f t="shared" si="119"/>
        <v>0.89823061394133719</v>
      </c>
      <c r="I467" s="2168"/>
      <c r="J467" s="2222"/>
      <c r="K467" s="2222"/>
      <c r="L467" s="2222"/>
      <c r="M467" s="2222"/>
      <c r="N467" s="2222"/>
      <c r="O467" s="2222"/>
      <c r="P467" s="2222"/>
      <c r="Q467" s="2222"/>
      <c r="R467" s="2172"/>
      <c r="S467" s="2222"/>
      <c r="T467" s="2222"/>
      <c r="U467" s="2222"/>
      <c r="V467" s="2222"/>
      <c r="W467" s="2222"/>
      <c r="X467" s="2222"/>
      <c r="Y467" s="1818"/>
      <c r="Z467" s="1818"/>
      <c r="AA467" s="1818"/>
      <c r="AB467" s="1818"/>
      <c r="AC467" s="1818"/>
      <c r="AD467" s="1818"/>
      <c r="AE467" s="1818"/>
      <c r="AF467" s="1818"/>
      <c r="AG467" s="1818"/>
      <c r="AH467" s="1818"/>
      <c r="AI467" s="1818"/>
      <c r="AJ467" s="1818"/>
      <c r="AK467" s="1818"/>
      <c r="AL467" s="1818"/>
      <c r="AM467" s="1818"/>
      <c r="AN467" s="1818"/>
      <c r="AO467" s="1818"/>
      <c r="AP467" s="1818"/>
      <c r="AQ467" s="1818"/>
      <c r="AR467" s="1818"/>
      <c r="AS467" s="1818"/>
      <c r="AT467" s="1818"/>
      <c r="AU467" s="1818"/>
      <c r="AV467" s="1818"/>
      <c r="AW467" s="1818"/>
      <c r="AX467" s="1818"/>
      <c r="AY467" s="1818"/>
      <c r="AZ467" s="1818"/>
      <c r="BA467" s="1818"/>
      <c r="BB467" s="1818"/>
      <c r="BC467" s="1818"/>
      <c r="BD467" s="1818"/>
      <c r="BE467" s="1818"/>
      <c r="BF467" s="1818"/>
      <c r="BG467" s="1818"/>
      <c r="BH467" s="1818"/>
      <c r="BI467" s="1818"/>
      <c r="BJ467" s="1818"/>
      <c r="BK467" s="1818"/>
      <c r="BL467" s="1818"/>
      <c r="BM467" s="1818"/>
      <c r="BN467" s="1818"/>
      <c r="BO467" s="1818"/>
      <c r="BP467" s="1818"/>
      <c r="BQ467" s="1818"/>
      <c r="BR467" s="1818"/>
      <c r="BS467" s="1818"/>
      <c r="BT467" s="1818"/>
      <c r="BU467" s="1818"/>
      <c r="BV467" s="1818"/>
      <c r="BW467" s="1818"/>
      <c r="BX467" s="1818"/>
      <c r="BY467" s="1818"/>
      <c r="BZ467" s="1818"/>
    </row>
    <row r="468" spans="1:78" s="1815" customFormat="1" ht="32.1" customHeight="1">
      <c r="A468" s="2504"/>
      <c r="B468" s="2195" t="s">
        <v>530</v>
      </c>
      <c r="C468" s="2058">
        <f t="shared" ref="C468:H471" si="120">IF(J468&lt;$P468,1,IF(J468&gt;$Q468,0,(J468-$Q468)/($P468-$Q468)))</f>
        <v>0.82876712328767121</v>
      </c>
      <c r="D468" s="2058">
        <f t="shared" si="120"/>
        <v>0.90410958904109584</v>
      </c>
      <c r="E468" s="2058">
        <f t="shared" si="120"/>
        <v>0.46575342465753422</v>
      </c>
      <c r="F468" s="2058">
        <f t="shared" si="120"/>
        <v>0.9726027397260274</v>
      </c>
      <c r="G468" s="2058">
        <f t="shared" si="120"/>
        <v>0.5273972602739726</v>
      </c>
      <c r="H468" s="2058">
        <f t="shared" si="120"/>
        <v>0.88356164383561642</v>
      </c>
      <c r="I468" s="2168" t="s">
        <v>5295</v>
      </c>
      <c r="J468" s="2198">
        <v>43</v>
      </c>
      <c r="K468" s="2198">
        <v>32</v>
      </c>
      <c r="L468" s="2198">
        <v>96</v>
      </c>
      <c r="M468" s="2198">
        <v>22</v>
      </c>
      <c r="N468" s="2198">
        <v>87</v>
      </c>
      <c r="O468" s="2198">
        <v>35</v>
      </c>
      <c r="P468" s="2199">
        <v>18</v>
      </c>
      <c r="Q468" s="2223">
        <v>164</v>
      </c>
      <c r="R468" s="2173"/>
      <c r="S468" s="2195"/>
      <c r="T468" s="2195"/>
      <c r="U468" s="2195"/>
      <c r="V468" s="2195"/>
      <c r="W468" s="2195"/>
      <c r="X468" s="2204"/>
      <c r="Y468" s="1748"/>
      <c r="Z468" s="1748"/>
      <c r="AA468" s="1748"/>
      <c r="AB468" s="1748"/>
      <c r="AC468" s="1748"/>
      <c r="AD468" s="1748"/>
      <c r="AE468" s="1748"/>
      <c r="AF468" s="1748"/>
      <c r="AG468" s="1748"/>
      <c r="AH468" s="1748"/>
      <c r="AI468" s="1748"/>
      <c r="AJ468" s="1748"/>
      <c r="AK468" s="1748"/>
      <c r="AL468" s="1748"/>
      <c r="AM468" s="1748"/>
      <c r="AN468" s="1748"/>
      <c r="AO468" s="1748"/>
      <c r="AP468" s="1748"/>
      <c r="AQ468" s="1748"/>
      <c r="AR468" s="1748"/>
      <c r="AS468" s="1748"/>
      <c r="AT468" s="1748"/>
      <c r="AU468" s="1748"/>
      <c r="AV468" s="1748"/>
      <c r="AW468" s="1748"/>
      <c r="AX468" s="1748"/>
      <c r="AY468" s="1748"/>
      <c r="AZ468" s="1748"/>
      <c r="BA468" s="1748"/>
      <c r="BB468" s="1748"/>
      <c r="BC468" s="1748"/>
      <c r="BD468" s="1748"/>
      <c r="BE468" s="1748"/>
      <c r="BF468" s="1748"/>
      <c r="BG468" s="1748"/>
      <c r="BH468" s="1748"/>
      <c r="BI468" s="1748"/>
      <c r="BJ468" s="1748"/>
      <c r="BK468" s="1748"/>
      <c r="BL468" s="1748"/>
      <c r="BM468" s="1748"/>
      <c r="BN468" s="1748"/>
      <c r="BO468" s="1748"/>
      <c r="BP468" s="1748"/>
      <c r="BQ468" s="1748"/>
      <c r="BR468" s="1748"/>
      <c r="BS468" s="1748"/>
      <c r="BT468" s="1748"/>
      <c r="BU468" s="1748"/>
      <c r="BV468" s="1748"/>
      <c r="BW468" s="1748"/>
      <c r="BX468" s="1748"/>
      <c r="BY468" s="1748"/>
    </row>
    <row r="469" spans="1:78" s="1893" customFormat="1" ht="32.1" customHeight="1">
      <c r="A469" s="2504"/>
      <c r="B469" s="2195" t="s">
        <v>540</v>
      </c>
      <c r="C469" s="2058">
        <f t="shared" si="120"/>
        <v>0.22265764161026008</v>
      </c>
      <c r="D469" s="2058">
        <f t="shared" si="120"/>
        <v>0.7445671535447097</v>
      </c>
      <c r="E469" s="2058">
        <f t="shared" si="120"/>
        <v>0.73387958674741716</v>
      </c>
      <c r="F469" s="2058">
        <f t="shared" si="120"/>
        <v>0.43106519415746353</v>
      </c>
      <c r="G469" s="2058">
        <f t="shared" si="120"/>
        <v>0.27431421446384041</v>
      </c>
      <c r="H469" s="2058">
        <f t="shared" si="120"/>
        <v>0.69469184182401145</v>
      </c>
      <c r="I469" s="2168" t="s">
        <v>5295</v>
      </c>
      <c r="J469" s="2200">
        <v>327.5</v>
      </c>
      <c r="K469" s="2200">
        <v>181</v>
      </c>
      <c r="L469" s="2200">
        <v>184</v>
      </c>
      <c r="M469" s="2200">
        <v>269</v>
      </c>
      <c r="N469" s="2200">
        <v>313</v>
      </c>
      <c r="O469" s="2200">
        <v>195</v>
      </c>
      <c r="P469" s="2201">
        <v>109.3</v>
      </c>
      <c r="Q469" s="2223">
        <v>390</v>
      </c>
      <c r="R469" s="2174"/>
      <c r="S469" s="2198"/>
      <c r="T469" s="2198"/>
      <c r="U469" s="2198"/>
      <c r="V469" s="2198"/>
      <c r="W469" s="2198"/>
      <c r="X469" s="2205"/>
      <c r="Y469" s="1818"/>
      <c r="Z469" s="1818"/>
      <c r="AA469" s="1818"/>
      <c r="AB469" s="1818"/>
      <c r="AC469" s="1818"/>
      <c r="AD469" s="1818"/>
      <c r="AE469" s="1818"/>
      <c r="AF469" s="1818"/>
      <c r="AG469" s="1818"/>
      <c r="AH469" s="1818"/>
      <c r="AI469" s="1818"/>
      <c r="AJ469" s="1818"/>
      <c r="AK469" s="1818"/>
      <c r="AL469" s="1818"/>
      <c r="AM469" s="1818"/>
      <c r="AN469" s="1818"/>
      <c r="AO469" s="1818"/>
      <c r="AP469" s="1818"/>
      <c r="AQ469" s="1818"/>
      <c r="AR469" s="1818"/>
      <c r="AS469" s="1818"/>
      <c r="AT469" s="1818"/>
      <c r="AU469" s="1818"/>
      <c r="AV469" s="1818"/>
      <c r="AW469" s="1818"/>
      <c r="AX469" s="1818"/>
      <c r="AY469" s="1818"/>
      <c r="AZ469" s="1818"/>
      <c r="BA469" s="1818"/>
      <c r="BB469" s="1818"/>
      <c r="BC469" s="1818"/>
      <c r="BD469" s="1818"/>
      <c r="BE469" s="1818"/>
      <c r="BF469" s="1818"/>
      <c r="BG469" s="1818"/>
      <c r="BH469" s="1818"/>
      <c r="BI469" s="1818"/>
      <c r="BJ469" s="1818"/>
      <c r="BK469" s="1818"/>
      <c r="BL469" s="1818"/>
      <c r="BM469" s="1818"/>
      <c r="BN469" s="1818"/>
      <c r="BO469" s="1818"/>
      <c r="BP469" s="1818"/>
      <c r="BQ469" s="1818"/>
      <c r="BR469" s="1818"/>
      <c r="BS469" s="1818"/>
      <c r="BT469" s="1818"/>
      <c r="BU469" s="1818"/>
      <c r="BV469" s="1818"/>
      <c r="BW469" s="1818"/>
      <c r="BX469" s="1818"/>
      <c r="BY469" s="1818"/>
      <c r="BZ469" s="1818"/>
    </row>
    <row r="470" spans="1:78" s="1893" customFormat="1" ht="32.1" customHeight="1">
      <c r="A470" s="2504"/>
      <c r="B470" s="2195" t="s">
        <v>541</v>
      </c>
      <c r="C470" s="2058">
        <f t="shared" si="120"/>
        <v>1</v>
      </c>
      <c r="D470" s="2058">
        <f t="shared" si="120"/>
        <v>1</v>
      </c>
      <c r="E470" s="2058">
        <f t="shared" si="120"/>
        <v>1</v>
      </c>
      <c r="F470" s="2058">
        <f t="shared" si="120"/>
        <v>1</v>
      </c>
      <c r="G470" s="2058">
        <f t="shared" si="120"/>
        <v>0.85</v>
      </c>
      <c r="H470" s="2058">
        <f t="shared" si="120"/>
        <v>1</v>
      </c>
      <c r="I470" s="2168" t="s">
        <v>5295</v>
      </c>
      <c r="J470" s="2200">
        <v>5</v>
      </c>
      <c r="K470" s="2200">
        <v>10</v>
      </c>
      <c r="L470" s="2200">
        <v>7</v>
      </c>
      <c r="M470" s="2200">
        <v>5</v>
      </c>
      <c r="N470" s="2200">
        <v>14</v>
      </c>
      <c r="O470" s="2200">
        <v>6</v>
      </c>
      <c r="P470" s="2201">
        <v>11</v>
      </c>
      <c r="Q470" s="2223">
        <v>31</v>
      </c>
      <c r="R470" s="2174"/>
      <c r="S470" s="2198"/>
      <c r="T470" s="2198"/>
      <c r="U470" s="2198"/>
      <c r="V470" s="2198"/>
      <c r="W470" s="2198"/>
      <c r="X470" s="2205"/>
      <c r="Y470" s="1818"/>
      <c r="Z470" s="1818"/>
      <c r="AA470" s="1818"/>
      <c r="AB470" s="1818"/>
      <c r="AC470" s="1818"/>
      <c r="AD470" s="1818"/>
      <c r="AE470" s="1818"/>
      <c r="AF470" s="1818"/>
      <c r="AG470" s="1818"/>
      <c r="AH470" s="1818"/>
      <c r="AI470" s="1818"/>
      <c r="AJ470" s="1818"/>
      <c r="AK470" s="1818"/>
      <c r="AL470" s="1818"/>
      <c r="AM470" s="1818"/>
      <c r="AN470" s="1818"/>
      <c r="AO470" s="1818"/>
      <c r="AP470" s="1818"/>
      <c r="AQ470" s="1818"/>
      <c r="AR470" s="1818"/>
      <c r="AS470" s="1818"/>
      <c r="AT470" s="1818"/>
      <c r="AU470" s="1818"/>
      <c r="AV470" s="1818"/>
      <c r="AW470" s="1818"/>
      <c r="AX470" s="1818"/>
      <c r="AY470" s="1818"/>
      <c r="AZ470" s="1818"/>
      <c r="BA470" s="1818"/>
      <c r="BB470" s="1818"/>
      <c r="BC470" s="1818"/>
      <c r="BD470" s="1818"/>
      <c r="BE470" s="1818"/>
      <c r="BF470" s="1818"/>
      <c r="BG470" s="1818"/>
      <c r="BH470" s="1818"/>
      <c r="BI470" s="1818"/>
      <c r="BJ470" s="1818"/>
      <c r="BK470" s="1818"/>
      <c r="BL470" s="1818"/>
      <c r="BM470" s="1818"/>
      <c r="BN470" s="1818"/>
      <c r="BO470" s="1818"/>
      <c r="BP470" s="1818"/>
      <c r="BQ470" s="1818"/>
      <c r="BR470" s="1818"/>
      <c r="BS470" s="1818"/>
      <c r="BT470" s="1818"/>
      <c r="BU470" s="1818"/>
      <c r="BV470" s="1818"/>
      <c r="BW470" s="1818"/>
      <c r="BX470" s="1818"/>
      <c r="BY470" s="1818"/>
      <c r="BZ470" s="1818"/>
    </row>
    <row r="471" spans="1:78" s="1893" customFormat="1" ht="32.1" customHeight="1">
      <c r="A471" s="2504"/>
      <c r="B471" s="2195" t="s">
        <v>542</v>
      </c>
      <c r="C471" s="2058">
        <f t="shared" si="120"/>
        <v>1</v>
      </c>
      <c r="D471" s="2058">
        <f t="shared" si="120"/>
        <v>1</v>
      </c>
      <c r="E471" s="2058">
        <f t="shared" si="120"/>
        <v>0.16393442622950827</v>
      </c>
      <c r="F471" s="2058">
        <f t="shared" si="120"/>
        <v>1</v>
      </c>
      <c r="G471" s="2058">
        <f t="shared" si="120"/>
        <v>1</v>
      </c>
      <c r="H471" s="2058">
        <f t="shared" si="120"/>
        <v>1</v>
      </c>
      <c r="I471" s="2168" t="s">
        <v>5295</v>
      </c>
      <c r="J471" s="2200">
        <v>37.799999999999997</v>
      </c>
      <c r="K471" s="2200">
        <v>40.5</v>
      </c>
      <c r="L471" s="2200">
        <v>52.9</v>
      </c>
      <c r="M471" s="2200">
        <v>16.399999999999999</v>
      </c>
      <c r="N471" s="2200">
        <v>18.5</v>
      </c>
      <c r="O471" s="2200">
        <v>39.799999999999997</v>
      </c>
      <c r="P471" s="2201">
        <v>42.7</v>
      </c>
      <c r="Q471" s="2224">
        <v>54.9</v>
      </c>
      <c r="R471" s="2175"/>
      <c r="S471" s="2198"/>
      <c r="T471" s="2198"/>
      <c r="U471" s="2198"/>
      <c r="V471" s="2198"/>
      <c r="W471" s="2198"/>
      <c r="X471" s="2205"/>
      <c r="Y471" s="1818"/>
      <c r="Z471" s="1818"/>
      <c r="AA471" s="1818"/>
      <c r="AB471" s="1818"/>
      <c r="AC471" s="1818"/>
      <c r="AD471" s="1818"/>
      <c r="AE471" s="1818"/>
      <c r="AF471" s="1818"/>
      <c r="AG471" s="1818"/>
      <c r="AH471" s="1818"/>
      <c r="AI471" s="1818"/>
      <c r="AJ471" s="1818"/>
      <c r="AK471" s="1818"/>
      <c r="AL471" s="1818"/>
      <c r="AM471" s="1818"/>
      <c r="AN471" s="1818"/>
      <c r="AO471" s="1818"/>
      <c r="AP471" s="1818"/>
      <c r="AQ471" s="1818"/>
      <c r="AR471" s="1818"/>
      <c r="AS471" s="1818"/>
      <c r="AT471" s="1818"/>
      <c r="AU471" s="1818"/>
      <c r="AV471" s="1818"/>
      <c r="AW471" s="1818"/>
      <c r="AX471" s="1818"/>
      <c r="AY471" s="1818"/>
      <c r="AZ471" s="1818"/>
      <c r="BA471" s="1818"/>
      <c r="BB471" s="1818"/>
      <c r="BC471" s="1818"/>
      <c r="BD471" s="1818"/>
      <c r="BE471" s="1818"/>
      <c r="BF471" s="1818"/>
      <c r="BG471" s="1818"/>
      <c r="BH471" s="1818"/>
      <c r="BI471" s="1818"/>
      <c r="BJ471" s="1818"/>
      <c r="BK471" s="1818"/>
      <c r="BL471" s="1818"/>
      <c r="BM471" s="1818"/>
      <c r="BN471" s="1818"/>
      <c r="BO471" s="1818"/>
      <c r="BP471" s="1818"/>
      <c r="BQ471" s="1818"/>
      <c r="BR471" s="1818"/>
      <c r="BS471" s="1818"/>
      <c r="BT471" s="1818"/>
      <c r="BU471" s="1818"/>
      <c r="BV471" s="1818"/>
      <c r="BW471" s="1818"/>
      <c r="BX471" s="1818"/>
      <c r="BY471" s="1818"/>
      <c r="BZ471" s="1818"/>
    </row>
    <row r="472" spans="1:78" s="1893" customFormat="1" ht="32.1" customHeight="1">
      <c r="A472" s="2504"/>
      <c r="B472" s="2057" t="s">
        <v>9134</v>
      </c>
      <c r="C472" s="2194">
        <f t="shared" ref="C472:H472" si="121">AVERAGE(C474:C475)</f>
        <v>0.48</v>
      </c>
      <c r="D472" s="2194">
        <f t="shared" si="121"/>
        <v>0.37623762376237624</v>
      </c>
      <c r="E472" s="2194">
        <f t="shared" si="121"/>
        <v>1</v>
      </c>
      <c r="F472" s="2194">
        <f t="shared" si="121"/>
        <v>0.96534653465346532</v>
      </c>
      <c r="G472" s="2194">
        <f t="shared" si="121"/>
        <v>0.5</v>
      </c>
      <c r="H472" s="2194">
        <f t="shared" si="121"/>
        <v>1</v>
      </c>
      <c r="I472" s="2168"/>
      <c r="J472" s="2222"/>
      <c r="K472" s="2222"/>
      <c r="L472" s="2222"/>
      <c r="M472" s="2222"/>
      <c r="N472" s="2222"/>
      <c r="O472" s="2222"/>
      <c r="P472" s="2222"/>
      <c r="Q472" s="2222"/>
      <c r="R472" s="2172"/>
      <c r="S472" s="2222"/>
      <c r="T472" s="2222"/>
      <c r="U472" s="2222"/>
      <c r="V472" s="2222"/>
      <c r="W472" s="2222"/>
      <c r="X472" s="2222"/>
      <c r="Y472" s="1818"/>
      <c r="Z472" s="1818"/>
      <c r="AA472" s="1818"/>
      <c r="AB472" s="1818"/>
      <c r="AC472" s="1818"/>
      <c r="AD472" s="1818"/>
      <c r="AE472" s="1818"/>
      <c r="AF472" s="1818"/>
      <c r="AG472" s="1818"/>
      <c r="AH472" s="1818"/>
      <c r="AI472" s="1818"/>
      <c r="AJ472" s="1818"/>
      <c r="AK472" s="1818"/>
      <c r="AL472" s="1818"/>
      <c r="AM472" s="1818"/>
      <c r="AN472" s="1818"/>
      <c r="AO472" s="1818"/>
      <c r="AP472" s="1818"/>
      <c r="AQ472" s="1818"/>
      <c r="AR472" s="1818"/>
      <c r="AS472" s="1818"/>
      <c r="AT472" s="1818"/>
      <c r="AU472" s="1818"/>
      <c r="AV472" s="1818"/>
      <c r="AW472" s="1818"/>
      <c r="AX472" s="1818"/>
      <c r="AY472" s="1818"/>
      <c r="AZ472" s="1818"/>
      <c r="BA472" s="1818"/>
      <c r="BB472" s="1818"/>
      <c r="BC472" s="1818"/>
      <c r="BD472" s="1818"/>
      <c r="BE472" s="1818"/>
      <c r="BF472" s="1818"/>
      <c r="BG472" s="1818"/>
      <c r="BH472" s="1818"/>
      <c r="BI472" s="1818"/>
      <c r="BJ472" s="1818"/>
      <c r="BK472" s="1818"/>
      <c r="BL472" s="1818"/>
      <c r="BM472" s="1818"/>
      <c r="BN472" s="1818"/>
      <c r="BO472" s="1818"/>
      <c r="BP472" s="1818"/>
      <c r="BQ472" s="1818"/>
      <c r="BR472" s="1818"/>
      <c r="BS472" s="1818"/>
      <c r="BT472" s="1818"/>
      <c r="BU472" s="1818"/>
      <c r="BV472" s="1818"/>
      <c r="BW472" s="1818"/>
      <c r="BX472" s="1818"/>
      <c r="BY472" s="1818"/>
      <c r="BZ472" s="1818"/>
    </row>
    <row r="473" spans="1:78" s="1815" customFormat="1" ht="32.1" customHeight="1">
      <c r="A473" s="2504"/>
      <c r="B473" s="2195" t="s">
        <v>530</v>
      </c>
      <c r="C473" s="2058">
        <f t="shared" ref="C473:H475" si="122">IF(J473&lt;$P473,1,IF(J473&gt;$Q473,0,(J473-$Q473)/($P473-$Q473)))</f>
        <v>0.27777777777777779</v>
      </c>
      <c r="D473" s="2058">
        <f t="shared" si="122"/>
        <v>0.46296296296296297</v>
      </c>
      <c r="E473" s="2058">
        <f t="shared" si="122"/>
        <v>0.81481481481481477</v>
      </c>
      <c r="F473" s="2058">
        <f t="shared" si="122"/>
        <v>0.97222222222222221</v>
      </c>
      <c r="G473" s="2058">
        <f t="shared" si="122"/>
        <v>0.60185185185185186</v>
      </c>
      <c r="H473" s="2058">
        <f t="shared" si="122"/>
        <v>0.68518518518518523</v>
      </c>
      <c r="I473" s="2168" t="s">
        <v>5295</v>
      </c>
      <c r="J473" s="2198">
        <v>82</v>
      </c>
      <c r="K473" s="2198">
        <v>62</v>
      </c>
      <c r="L473" s="2198">
        <v>24</v>
      </c>
      <c r="M473" s="2198">
        <v>7</v>
      </c>
      <c r="N473" s="2198">
        <v>47</v>
      </c>
      <c r="O473" s="2198">
        <v>38</v>
      </c>
      <c r="P473" s="2199">
        <v>4</v>
      </c>
      <c r="Q473" s="2223">
        <v>112</v>
      </c>
      <c r="R473" s="2173"/>
      <c r="S473" s="2195"/>
      <c r="T473" s="2195"/>
      <c r="U473" s="2195"/>
      <c r="V473" s="2195"/>
      <c r="W473" s="2195"/>
      <c r="X473" s="2204"/>
      <c r="Y473" s="1748"/>
      <c r="Z473" s="1748"/>
      <c r="AA473" s="1748"/>
      <c r="AB473" s="1748"/>
      <c r="AC473" s="1748"/>
      <c r="AD473" s="1748"/>
      <c r="AE473" s="1748"/>
      <c r="AF473" s="1748"/>
      <c r="AG473" s="1748"/>
      <c r="AH473" s="1748"/>
      <c r="AI473" s="1748"/>
      <c r="AJ473" s="1748"/>
      <c r="AK473" s="1748"/>
      <c r="AL473" s="1748"/>
      <c r="AM473" s="1748"/>
      <c r="AN473" s="1748"/>
      <c r="AO473" s="1748"/>
      <c r="AP473" s="1748"/>
      <c r="AQ473" s="1748"/>
      <c r="AR473" s="1748"/>
      <c r="AS473" s="1748"/>
      <c r="AT473" s="1748"/>
      <c r="AU473" s="1748"/>
      <c r="AV473" s="1748"/>
      <c r="AW473" s="1748"/>
      <c r="AX473" s="1748"/>
      <c r="AY473" s="1748"/>
      <c r="AZ473" s="1748"/>
      <c r="BA473" s="1748"/>
      <c r="BB473" s="1748"/>
      <c r="BC473" s="1748"/>
      <c r="BD473" s="1748"/>
      <c r="BE473" s="1748"/>
      <c r="BF473" s="1748"/>
      <c r="BG473" s="1748"/>
      <c r="BH473" s="1748"/>
      <c r="BI473" s="1748"/>
      <c r="BJ473" s="1748"/>
      <c r="BK473" s="1748"/>
      <c r="BL473" s="1748"/>
      <c r="BM473" s="1748"/>
      <c r="BN473" s="1748"/>
      <c r="BO473" s="1748"/>
      <c r="BP473" s="1748"/>
      <c r="BQ473" s="1748"/>
      <c r="BR473" s="1748"/>
      <c r="BS473" s="1748"/>
      <c r="BT473" s="1748"/>
      <c r="BU473" s="1748"/>
      <c r="BV473" s="1748"/>
      <c r="BW473" s="1748"/>
      <c r="BX473" s="1748"/>
      <c r="BY473" s="1748"/>
    </row>
    <row r="474" spans="1:78" s="1893" customFormat="1" ht="32.1" customHeight="1">
      <c r="A474" s="2504"/>
      <c r="B474" s="2195" t="s">
        <v>531</v>
      </c>
      <c r="C474" s="2058">
        <f t="shared" si="122"/>
        <v>0.96</v>
      </c>
      <c r="D474" s="2058">
        <f t="shared" si="122"/>
        <v>0</v>
      </c>
      <c r="E474" s="2058">
        <f t="shared" si="122"/>
        <v>1</v>
      </c>
      <c r="F474" s="2058">
        <f t="shared" si="122"/>
        <v>1</v>
      </c>
      <c r="G474" s="2058">
        <f t="shared" si="122"/>
        <v>0</v>
      </c>
      <c r="H474" s="2058">
        <f t="shared" si="122"/>
        <v>1</v>
      </c>
      <c r="I474" s="2168" t="s">
        <v>5295</v>
      </c>
      <c r="J474" s="2200">
        <v>378</v>
      </c>
      <c r="K474" s="2200">
        <v>585</v>
      </c>
      <c r="L474" s="2200">
        <v>275</v>
      </c>
      <c r="M474" s="2200">
        <v>285</v>
      </c>
      <c r="N474" s="2200">
        <v>570</v>
      </c>
      <c r="O474" s="2200">
        <v>277</v>
      </c>
      <c r="P474" s="2201">
        <v>370</v>
      </c>
      <c r="Q474" s="2223">
        <v>570</v>
      </c>
      <c r="R474" s="2174"/>
      <c r="S474" s="2198"/>
      <c r="T474" s="2198"/>
      <c r="U474" s="2198"/>
      <c r="V474" s="2198"/>
      <c r="W474" s="2198"/>
      <c r="X474" s="2205"/>
      <c r="Y474" s="1818"/>
      <c r="Z474" s="1818"/>
      <c r="AA474" s="1818"/>
      <c r="AB474" s="1818"/>
      <c r="AC474" s="1818"/>
      <c r="AD474" s="1818"/>
      <c r="AE474" s="1818"/>
      <c r="AF474" s="1818"/>
      <c r="AG474" s="1818"/>
      <c r="AH474" s="1818"/>
      <c r="AI474" s="1818"/>
      <c r="AJ474" s="1818"/>
      <c r="AK474" s="1818"/>
      <c r="AL474" s="1818"/>
      <c r="AM474" s="1818"/>
      <c r="AN474" s="1818"/>
      <c r="AO474" s="1818"/>
      <c r="AP474" s="1818"/>
      <c r="AQ474" s="1818"/>
      <c r="AR474" s="1818"/>
      <c r="AS474" s="1818"/>
      <c r="AT474" s="1818"/>
      <c r="AU474" s="1818"/>
      <c r="AV474" s="1818"/>
      <c r="AW474" s="1818"/>
      <c r="AX474" s="1818"/>
      <c r="AY474" s="1818"/>
      <c r="AZ474" s="1818"/>
      <c r="BA474" s="1818"/>
      <c r="BB474" s="1818"/>
      <c r="BC474" s="1818"/>
      <c r="BD474" s="1818"/>
      <c r="BE474" s="1818"/>
      <c r="BF474" s="1818"/>
      <c r="BG474" s="1818"/>
      <c r="BH474" s="1818"/>
      <c r="BI474" s="1818"/>
      <c r="BJ474" s="1818"/>
      <c r="BK474" s="1818"/>
      <c r="BL474" s="1818"/>
      <c r="BM474" s="1818"/>
      <c r="BN474" s="1818"/>
      <c r="BO474" s="1818"/>
      <c r="BP474" s="1818"/>
      <c r="BQ474" s="1818"/>
      <c r="BR474" s="1818"/>
      <c r="BS474" s="1818"/>
      <c r="BT474" s="1818"/>
      <c r="BU474" s="1818"/>
      <c r="BV474" s="1818"/>
      <c r="BW474" s="1818"/>
      <c r="BX474" s="1818"/>
      <c r="BY474" s="1818"/>
      <c r="BZ474" s="1818"/>
    </row>
    <row r="475" spans="1:78" s="1893" customFormat="1" ht="32.1" customHeight="1">
      <c r="A475" s="2504"/>
      <c r="B475" s="2195" t="s">
        <v>544</v>
      </c>
      <c r="C475" s="2058">
        <f t="shared" si="122"/>
        <v>0</v>
      </c>
      <c r="D475" s="2058">
        <f t="shared" si="122"/>
        <v>0.75247524752475248</v>
      </c>
      <c r="E475" s="2058">
        <f t="shared" si="122"/>
        <v>1</v>
      </c>
      <c r="F475" s="2058">
        <f t="shared" si="122"/>
        <v>0.93069306930693074</v>
      </c>
      <c r="G475" s="2058">
        <f t="shared" si="122"/>
        <v>1</v>
      </c>
      <c r="H475" s="2058">
        <f t="shared" si="122"/>
        <v>1</v>
      </c>
      <c r="I475" s="2168" t="s">
        <v>5295</v>
      </c>
      <c r="J475" s="2200">
        <v>46.3</v>
      </c>
      <c r="K475" s="2200">
        <v>28.6</v>
      </c>
      <c r="L475" s="2200">
        <v>23.4</v>
      </c>
      <c r="M475" s="2200">
        <v>25</v>
      </c>
      <c r="N475" s="2200">
        <v>16</v>
      </c>
      <c r="O475" s="2200">
        <v>18.5</v>
      </c>
      <c r="P475" s="2201">
        <v>23.6</v>
      </c>
      <c r="Q475" s="2224">
        <v>43.8</v>
      </c>
      <c r="R475" s="2175"/>
      <c r="S475" s="2198"/>
      <c r="T475" s="2198"/>
      <c r="U475" s="2198"/>
      <c r="V475" s="2198"/>
      <c r="W475" s="2198"/>
      <c r="X475" s="2205"/>
      <c r="Y475" s="1818"/>
      <c r="Z475" s="1818"/>
      <c r="AA475" s="1818"/>
      <c r="AB475" s="1818"/>
      <c r="AC475" s="1818"/>
      <c r="AD475" s="1818"/>
      <c r="AE475" s="1818"/>
      <c r="AF475" s="1818"/>
      <c r="AG475" s="1818"/>
      <c r="AH475" s="1818"/>
      <c r="AI475" s="1818"/>
      <c r="AJ475" s="1818"/>
      <c r="AK475" s="1818"/>
      <c r="AL475" s="1818"/>
      <c r="AM475" s="1818"/>
      <c r="AN475" s="1818"/>
      <c r="AO475" s="1818"/>
      <c r="AP475" s="1818"/>
      <c r="AQ475" s="1818"/>
      <c r="AR475" s="1818"/>
      <c r="AS475" s="1818"/>
      <c r="AT475" s="1818"/>
      <c r="AU475" s="1818"/>
      <c r="AV475" s="1818"/>
      <c r="AW475" s="1818"/>
      <c r="AX475" s="1818"/>
      <c r="AY475" s="1818"/>
      <c r="AZ475" s="1818"/>
      <c r="BA475" s="1818"/>
      <c r="BB475" s="1818"/>
      <c r="BC475" s="1818"/>
      <c r="BD475" s="1818"/>
      <c r="BE475" s="1818"/>
      <c r="BF475" s="1818"/>
      <c r="BG475" s="1818"/>
      <c r="BH475" s="1818"/>
      <c r="BI475" s="1818"/>
      <c r="BJ475" s="1818"/>
      <c r="BK475" s="1818"/>
      <c r="BL475" s="1818"/>
      <c r="BM475" s="1818"/>
      <c r="BN475" s="1818"/>
      <c r="BO475" s="1818"/>
      <c r="BP475" s="1818"/>
      <c r="BQ475" s="1818"/>
      <c r="BR475" s="1818"/>
      <c r="BS475" s="1818"/>
      <c r="BT475" s="1818"/>
      <c r="BU475" s="1818"/>
      <c r="BV475" s="1818"/>
      <c r="BW475" s="1818"/>
      <c r="BX475" s="1818"/>
      <c r="BY475" s="1818"/>
      <c r="BZ475" s="1818"/>
    </row>
    <row r="476" spans="1:78" s="1893" customFormat="1" ht="32.1" customHeight="1">
      <c r="A476" s="2504"/>
      <c r="B476" s="2196" t="s">
        <v>8078</v>
      </c>
      <c r="C476" s="2058">
        <f t="shared" ref="C476:H477" si="123">IF(J476&gt;$P476,1,IF(J476&lt;$Q476,0,(J476-$Q476)/($P476-$Q476)))</f>
        <v>0.39033457249070636</v>
      </c>
      <c r="D476" s="2058">
        <f t="shared" si="123"/>
        <v>0.62267657992565062</v>
      </c>
      <c r="E476" s="2058">
        <f t="shared" si="123"/>
        <v>0.62267657992565062</v>
      </c>
      <c r="F476" s="2058">
        <f t="shared" si="123"/>
        <v>0.79553903345724908</v>
      </c>
      <c r="G476" s="2058">
        <f t="shared" si="123"/>
        <v>0.65613382899628248</v>
      </c>
      <c r="H476" s="2058">
        <f t="shared" si="123"/>
        <v>0.62453531598513012</v>
      </c>
      <c r="I476" s="2168" t="s">
        <v>5295</v>
      </c>
      <c r="J476" s="2202">
        <v>41</v>
      </c>
      <c r="K476" s="2202">
        <v>53.5</v>
      </c>
      <c r="L476" s="2202">
        <v>53.5</v>
      </c>
      <c r="M476" s="2202">
        <v>62.8</v>
      </c>
      <c r="N476" s="2202">
        <v>55.3</v>
      </c>
      <c r="O476" s="2202">
        <v>53.6</v>
      </c>
      <c r="P476" s="2203">
        <v>73.8</v>
      </c>
      <c r="Q476" s="2203">
        <v>20</v>
      </c>
      <c r="R476" s="2176"/>
      <c r="S476" s="2202"/>
      <c r="T476" s="2202"/>
      <c r="U476" s="2202"/>
      <c r="V476" s="2202"/>
      <c r="W476" s="2202"/>
      <c r="X476" s="2206"/>
      <c r="Y476" s="1818"/>
      <c r="Z476" s="1818"/>
      <c r="AA476" s="1818"/>
      <c r="AB476" s="1818"/>
      <c r="AC476" s="1818"/>
      <c r="AD476" s="1818"/>
      <c r="AE476" s="1818"/>
      <c r="AF476" s="1818"/>
      <c r="AG476" s="1818"/>
      <c r="AH476" s="1818"/>
      <c r="AI476" s="1818"/>
      <c r="AJ476" s="1818"/>
      <c r="AK476" s="1818"/>
      <c r="AL476" s="1818"/>
      <c r="AM476" s="1818"/>
      <c r="AN476" s="1818"/>
      <c r="AO476" s="1818"/>
      <c r="AP476" s="1818"/>
      <c r="AQ476" s="1818"/>
      <c r="AR476" s="1818"/>
      <c r="AS476" s="1818"/>
      <c r="AT476" s="1818"/>
      <c r="AU476" s="1818"/>
      <c r="AV476" s="1818"/>
      <c r="AW476" s="1818"/>
      <c r="AX476" s="1818"/>
      <c r="AY476" s="1818"/>
      <c r="AZ476" s="1818"/>
      <c r="BA476" s="1818"/>
      <c r="BB476" s="1818"/>
      <c r="BC476" s="1818"/>
      <c r="BD476" s="1818"/>
      <c r="BE476" s="1818"/>
      <c r="BF476" s="1818"/>
      <c r="BG476" s="1818"/>
      <c r="BH476" s="1818"/>
      <c r="BI476" s="1818"/>
      <c r="BJ476" s="1818"/>
      <c r="BK476" s="1818"/>
      <c r="BL476" s="1818"/>
      <c r="BM476" s="1818"/>
      <c r="BN476" s="1818"/>
      <c r="BO476" s="1818"/>
      <c r="BP476" s="1818"/>
      <c r="BQ476" s="1818"/>
      <c r="BR476" s="1818"/>
      <c r="BS476" s="1818"/>
      <c r="BT476" s="1818"/>
      <c r="BU476" s="1818"/>
      <c r="BV476" s="1818"/>
      <c r="BW476" s="1818"/>
      <c r="BX476" s="1818"/>
      <c r="BY476" s="1818"/>
      <c r="BZ476" s="1818"/>
    </row>
    <row r="477" spans="1:78" s="1893" customFormat="1" ht="32.1" customHeight="1">
      <c r="A477" s="2504"/>
      <c r="B477" s="2196" t="s">
        <v>8079</v>
      </c>
      <c r="C477" s="2058">
        <f t="shared" si="123"/>
        <v>0.15444015444015444</v>
      </c>
      <c r="D477" s="2058">
        <f t="shared" si="123"/>
        <v>6.1776061776061833E-2</v>
      </c>
      <c r="E477" s="2058">
        <f t="shared" si="123"/>
        <v>0.65637065637065639</v>
      </c>
      <c r="F477" s="2058">
        <f t="shared" si="123"/>
        <v>1</v>
      </c>
      <c r="G477" s="2058">
        <f t="shared" si="123"/>
        <v>0.59845559845559848</v>
      </c>
      <c r="H477" s="2058">
        <f t="shared" si="123"/>
        <v>0.57528957528957525</v>
      </c>
      <c r="I477" s="2168" t="s">
        <v>5295</v>
      </c>
      <c r="J477" s="2202">
        <v>29</v>
      </c>
      <c r="K477" s="2202">
        <v>26.6</v>
      </c>
      <c r="L477" s="2202">
        <v>42</v>
      </c>
      <c r="M477" s="2202">
        <v>61.8</v>
      </c>
      <c r="N477" s="2202">
        <v>40.5</v>
      </c>
      <c r="O477" s="2202">
        <v>39.9</v>
      </c>
      <c r="P477" s="2203">
        <v>50.9</v>
      </c>
      <c r="Q477" s="2203">
        <v>25</v>
      </c>
      <c r="R477" s="2176"/>
      <c r="S477" s="2202"/>
      <c r="T477" s="2202"/>
      <c r="U477" s="2202"/>
      <c r="V477" s="2202"/>
      <c r="W477" s="2202"/>
      <c r="X477" s="2206"/>
      <c r="Y477" s="1818"/>
      <c r="Z477" s="1818"/>
      <c r="AA477" s="1818"/>
      <c r="AB477" s="1818"/>
      <c r="AC477" s="1818"/>
      <c r="AD477" s="1818"/>
      <c r="AE477" s="1818"/>
      <c r="AF477" s="1818"/>
      <c r="AG477" s="1818"/>
      <c r="AH477" s="1818"/>
      <c r="AI477" s="1818"/>
      <c r="AJ477" s="1818"/>
      <c r="AK477" s="1818"/>
      <c r="AL477" s="1818"/>
      <c r="AM477" s="1818"/>
      <c r="AN477" s="1818"/>
      <c r="AO477" s="1818"/>
      <c r="AP477" s="1818"/>
      <c r="AQ477" s="1818"/>
      <c r="AR477" s="1818"/>
      <c r="AS477" s="1818"/>
      <c r="AT477" s="1818"/>
      <c r="AU477" s="1818"/>
      <c r="AV477" s="1818"/>
      <c r="AW477" s="1818"/>
      <c r="AX477" s="1818"/>
      <c r="AY477" s="1818"/>
      <c r="AZ477" s="1818"/>
      <c r="BA477" s="1818"/>
      <c r="BB477" s="1818"/>
      <c r="BC477" s="1818"/>
      <c r="BD477" s="1818"/>
      <c r="BE477" s="1818"/>
      <c r="BF477" s="1818"/>
      <c r="BG477" s="1818"/>
      <c r="BH477" s="1818"/>
      <c r="BI477" s="1818"/>
      <c r="BJ477" s="1818"/>
      <c r="BK477" s="1818"/>
      <c r="BL477" s="1818"/>
      <c r="BM477" s="1818"/>
      <c r="BN477" s="1818"/>
      <c r="BO477" s="1818"/>
      <c r="BP477" s="1818"/>
      <c r="BQ477" s="1818"/>
      <c r="BR477" s="1818"/>
      <c r="BS477" s="1818"/>
      <c r="BT477" s="1818"/>
      <c r="BU477" s="1818"/>
      <c r="BV477" s="1818"/>
      <c r="BW477" s="1818"/>
      <c r="BX477" s="1818"/>
      <c r="BY477" s="1818"/>
      <c r="BZ477" s="1818"/>
    </row>
    <row r="478" spans="1:78" ht="32.1" customHeight="1">
      <c r="A478" s="2514" t="s">
        <v>6863</v>
      </c>
      <c r="B478" s="2068" t="s">
        <v>577</v>
      </c>
      <c r="C478" s="2069">
        <f t="shared" ref="C478:H478" si="124">AVERAGE(C479,C495,C506,C525,C538,C544,C551)</f>
        <v>0.74113421806051683</v>
      </c>
      <c r="D478" s="2069">
        <f t="shared" si="124"/>
        <v>0.69130147636259764</v>
      </c>
      <c r="E478" s="2069">
        <f t="shared" si="124"/>
        <v>0.38788970413859242</v>
      </c>
      <c r="F478" s="2069">
        <f t="shared" si="124"/>
        <v>0.76757239866180971</v>
      </c>
      <c r="G478" s="2069">
        <f t="shared" si="124"/>
        <v>0.67599353657644712</v>
      </c>
      <c r="H478" s="2069">
        <f t="shared" si="124"/>
        <v>0.44920513831394299</v>
      </c>
      <c r="I478" s="2064"/>
      <c r="J478" s="2065"/>
      <c r="K478" s="2065"/>
      <c r="L478" s="2065"/>
      <c r="M478" s="2131"/>
      <c r="N478" s="2065"/>
      <c r="O478" s="2065"/>
      <c r="P478" s="2066"/>
      <c r="Q478" s="2066"/>
      <c r="R478" s="2067"/>
      <c r="S478" s="2065"/>
      <c r="T478" s="2065"/>
      <c r="U478" s="2065"/>
      <c r="V478" s="2065"/>
      <c r="W478" s="2065"/>
      <c r="X478" s="2065"/>
    </row>
    <row r="479" spans="1:78" ht="32.1" customHeight="1">
      <c r="A479" s="2071" t="s">
        <v>9324</v>
      </c>
      <c r="B479" s="2071" t="s">
        <v>578</v>
      </c>
      <c r="C479" s="2072">
        <f>AVERAGE(C480,C483)</f>
        <v>0.86318181818181827</v>
      </c>
      <c r="D479" s="2072">
        <f t="shared" ref="D479:G479" si="125">AVERAGE(D480,D483)</f>
        <v>0.89589511126818167</v>
      </c>
      <c r="E479" s="2072">
        <f t="shared" si="125"/>
        <v>0.71590909090909094</v>
      </c>
      <c r="F479" s="2072">
        <f t="shared" si="125"/>
        <v>0.38322727272727275</v>
      </c>
      <c r="G479" s="2072">
        <f t="shared" si="125"/>
        <v>0.73436363636363633</v>
      </c>
      <c r="H479" s="2072">
        <f>AVERAGE(H480,H483)</f>
        <v>0.62628636363636359</v>
      </c>
      <c r="I479" s="2073"/>
      <c r="J479" s="2074"/>
      <c r="K479" s="2074"/>
      <c r="L479" s="2074"/>
      <c r="M479" s="2166"/>
      <c r="N479" s="2074"/>
      <c r="O479" s="2074"/>
      <c r="P479" s="2141"/>
      <c r="Q479" s="2141"/>
      <c r="R479" s="2142"/>
      <c r="S479" s="2074"/>
      <c r="T479" s="2074"/>
      <c r="U479" s="2074"/>
      <c r="V479" s="2074"/>
      <c r="W479" s="2074"/>
      <c r="X479" s="2074"/>
    </row>
    <row r="480" spans="1:78" ht="32.1" customHeight="1">
      <c r="A480" s="2071" t="s">
        <v>9325</v>
      </c>
      <c r="B480" s="2071" t="s">
        <v>579</v>
      </c>
      <c r="C480" s="2072">
        <f t="shared" ref="C480:H480" si="126">AVERAGE(C481:C482)</f>
        <v>1</v>
      </c>
      <c r="D480" s="2072">
        <f t="shared" si="126"/>
        <v>1</v>
      </c>
      <c r="E480" s="2072">
        <f t="shared" si="126"/>
        <v>1</v>
      </c>
      <c r="F480" s="2072">
        <f t="shared" si="126"/>
        <v>0</v>
      </c>
      <c r="G480" s="2072">
        <f t="shared" si="126"/>
        <v>1</v>
      </c>
      <c r="H480" s="2072">
        <f t="shared" si="126"/>
        <v>1</v>
      </c>
      <c r="I480" s="2073"/>
      <c r="J480" s="2074"/>
      <c r="K480" s="2074"/>
      <c r="L480" s="2074"/>
      <c r="M480" s="2166"/>
      <c r="N480" s="2074"/>
      <c r="O480" s="2074"/>
      <c r="P480" s="2141"/>
      <c r="Q480" s="2141"/>
      <c r="R480" s="2142"/>
      <c r="S480" s="2074"/>
      <c r="T480" s="2074"/>
      <c r="U480" s="2074"/>
      <c r="V480" s="2074"/>
      <c r="W480" s="2074"/>
      <c r="X480" s="2074"/>
    </row>
    <row r="481" spans="1:46" ht="32.1" customHeight="1">
      <c r="A481" s="2501"/>
      <c r="B481" s="1820" t="s">
        <v>580</v>
      </c>
      <c r="C481" s="1847">
        <v>1</v>
      </c>
      <c r="D481" s="1844">
        <v>1</v>
      </c>
      <c r="E481" s="2212">
        <v>1</v>
      </c>
      <c r="F481" s="1845">
        <v>0</v>
      </c>
      <c r="G481" s="1848">
        <v>1</v>
      </c>
      <c r="H481" s="1848">
        <v>1</v>
      </c>
      <c r="I481" s="2073" t="s">
        <v>38</v>
      </c>
      <c r="J481" s="1917">
        <v>1</v>
      </c>
      <c r="K481" s="1935" t="s">
        <v>960</v>
      </c>
      <c r="L481" s="2225">
        <v>1</v>
      </c>
      <c r="M481" s="1806">
        <v>0</v>
      </c>
      <c r="N481" s="1917" t="s">
        <v>8429</v>
      </c>
      <c r="O481" s="1917" t="s">
        <v>8859</v>
      </c>
      <c r="P481" s="1917">
        <v>1</v>
      </c>
      <c r="Q481" s="1917">
        <v>0</v>
      </c>
      <c r="R481" s="2178"/>
      <c r="S481" s="1794"/>
      <c r="T481" s="1794" t="s">
        <v>6471</v>
      </c>
      <c r="U481" s="2265" t="s">
        <v>7319</v>
      </c>
      <c r="V481" s="1935"/>
      <c r="W481" s="1917"/>
      <c r="X481" s="1917" t="s">
        <v>8859</v>
      </c>
    </row>
    <row r="482" spans="1:46" ht="32.1" customHeight="1">
      <c r="A482" s="2501"/>
      <c r="B482" s="1820" t="s">
        <v>6932</v>
      </c>
      <c r="C482" s="1847">
        <v>1</v>
      </c>
      <c r="D482" s="1844">
        <v>1</v>
      </c>
      <c r="E482" s="2212">
        <v>1</v>
      </c>
      <c r="F482" s="1845">
        <v>0</v>
      </c>
      <c r="G482" s="1848">
        <v>1</v>
      </c>
      <c r="H482" s="1848">
        <v>1</v>
      </c>
      <c r="I482" s="2073" t="s">
        <v>38</v>
      </c>
      <c r="J482" s="1917">
        <v>1</v>
      </c>
      <c r="K482" s="1935" t="s">
        <v>960</v>
      </c>
      <c r="L482" s="2225">
        <v>1</v>
      </c>
      <c r="M482" s="1806">
        <v>0</v>
      </c>
      <c r="N482" s="1917" t="s">
        <v>8430</v>
      </c>
      <c r="O482" s="1917" t="s">
        <v>8860</v>
      </c>
      <c r="P482" s="1917"/>
      <c r="Q482" s="1917"/>
      <c r="R482" s="2178"/>
      <c r="S482" s="1794"/>
      <c r="T482" s="1794" t="s">
        <v>7683</v>
      </c>
      <c r="U482" s="2265" t="s">
        <v>7320</v>
      </c>
      <c r="V482" s="1935"/>
      <c r="W482" s="1917"/>
      <c r="X482" s="1917" t="s">
        <v>8860</v>
      </c>
    </row>
    <row r="483" spans="1:46" ht="32.1" customHeight="1">
      <c r="A483" s="2071" t="s">
        <v>9326</v>
      </c>
      <c r="B483" s="2071" t="s">
        <v>5335</v>
      </c>
      <c r="C483" s="2072">
        <f t="shared" ref="C483:H483" si="127">AVERAGE(C484:C494)</f>
        <v>0.72636363636363643</v>
      </c>
      <c r="D483" s="2072">
        <f t="shared" si="127"/>
        <v>0.79179022253636322</v>
      </c>
      <c r="E483" s="2072">
        <f t="shared" si="127"/>
        <v>0.43181818181818182</v>
      </c>
      <c r="F483" s="2072">
        <f t="shared" si="127"/>
        <v>0.7664545454545455</v>
      </c>
      <c r="G483" s="2072">
        <f t="shared" si="127"/>
        <v>0.46872727272727271</v>
      </c>
      <c r="H483" s="2072">
        <f t="shared" si="127"/>
        <v>0.25257272727272723</v>
      </c>
      <c r="I483" s="2073"/>
      <c r="J483" s="2074"/>
      <c r="K483" s="2074"/>
      <c r="L483" s="2074"/>
      <c r="M483" s="2166"/>
      <c r="N483" s="2074"/>
      <c r="O483" s="2074"/>
      <c r="P483" s="2141"/>
      <c r="Q483" s="2141"/>
      <c r="R483" s="2142"/>
      <c r="S483" s="2074"/>
      <c r="T483" s="2074"/>
      <c r="U483" s="2167"/>
      <c r="V483" s="2074"/>
      <c r="W483" s="2074"/>
      <c r="X483" s="2074"/>
    </row>
    <row r="484" spans="1:46" ht="32.1" customHeight="1">
      <c r="A484" s="2501"/>
      <c r="B484" s="1820" t="s">
        <v>582</v>
      </c>
      <c r="C484" s="1846">
        <v>1</v>
      </c>
      <c r="D484" s="1829">
        <v>1</v>
      </c>
      <c r="E484" s="2212">
        <v>0</v>
      </c>
      <c r="F484" s="1808">
        <v>1</v>
      </c>
      <c r="G484" s="1829">
        <v>1</v>
      </c>
      <c r="H484" s="1870">
        <v>0</v>
      </c>
      <c r="I484" s="2073" t="s">
        <v>38</v>
      </c>
      <c r="J484" s="1794">
        <v>1</v>
      </c>
      <c r="K484" s="1794" t="s">
        <v>960</v>
      </c>
      <c r="L484" s="2225">
        <v>0</v>
      </c>
      <c r="M484" s="1993">
        <v>1</v>
      </c>
      <c r="N484" s="1794">
        <v>1</v>
      </c>
      <c r="O484" s="1917" t="s">
        <v>8861</v>
      </c>
      <c r="P484" s="1917">
        <v>1</v>
      </c>
      <c r="Q484" s="1917">
        <v>0</v>
      </c>
      <c r="R484" s="2178"/>
      <c r="S484" s="1794"/>
      <c r="T484" s="1794" t="s">
        <v>7684</v>
      </c>
      <c r="U484" s="2265" t="s">
        <v>7321</v>
      </c>
      <c r="V484" s="1794"/>
      <c r="W484" s="1794"/>
      <c r="X484" s="1794" t="s">
        <v>8861</v>
      </c>
    </row>
    <row r="485" spans="1:46" ht="32.1" customHeight="1">
      <c r="A485" s="2501"/>
      <c r="B485" s="1820" t="s">
        <v>584</v>
      </c>
      <c r="C485" s="1846">
        <v>1</v>
      </c>
      <c r="D485" s="1829">
        <v>1</v>
      </c>
      <c r="E485" s="2212">
        <v>1</v>
      </c>
      <c r="F485" s="1808">
        <v>1</v>
      </c>
      <c r="G485" s="1829">
        <v>1</v>
      </c>
      <c r="H485" s="1808">
        <v>1</v>
      </c>
      <c r="I485" s="2073" t="s">
        <v>38</v>
      </c>
      <c r="J485" s="1794">
        <v>1</v>
      </c>
      <c r="K485" s="1794" t="s">
        <v>960</v>
      </c>
      <c r="L485" s="2225">
        <v>1</v>
      </c>
      <c r="M485" s="1993">
        <v>1</v>
      </c>
      <c r="N485" s="1794">
        <v>1</v>
      </c>
      <c r="O485" s="1935" t="s">
        <v>8862</v>
      </c>
      <c r="P485" s="1917">
        <v>1</v>
      </c>
      <c r="Q485" s="1917">
        <v>0</v>
      </c>
      <c r="R485" s="2178"/>
      <c r="S485" s="1794"/>
      <c r="T485" s="1794" t="s">
        <v>7685</v>
      </c>
      <c r="U485" s="2225" t="s">
        <v>811</v>
      </c>
      <c r="V485" s="1794"/>
      <c r="W485" s="1794"/>
      <c r="X485" s="1794" t="s">
        <v>8862</v>
      </c>
    </row>
    <row r="486" spans="1:46" ht="47.1" customHeight="1">
      <c r="A486" s="2501"/>
      <c r="B486" s="1820" t="s">
        <v>585</v>
      </c>
      <c r="C486" s="1846">
        <v>1</v>
      </c>
      <c r="D486" s="1829">
        <v>1</v>
      </c>
      <c r="E486" s="2212">
        <v>1</v>
      </c>
      <c r="F486" s="1808">
        <v>1</v>
      </c>
      <c r="G486" s="1829">
        <v>1</v>
      </c>
      <c r="H486" s="1808">
        <v>0</v>
      </c>
      <c r="I486" s="2073" t="s">
        <v>154</v>
      </c>
      <c r="J486" s="1794">
        <v>1</v>
      </c>
      <c r="K486" s="1794" t="s">
        <v>960</v>
      </c>
      <c r="L486" s="2225">
        <v>1</v>
      </c>
      <c r="M486" s="1994">
        <v>1</v>
      </c>
      <c r="N486" s="1794">
        <v>1</v>
      </c>
      <c r="O486" s="1794" t="s">
        <v>8863</v>
      </c>
      <c r="P486" s="1917">
        <v>1</v>
      </c>
      <c r="Q486" s="1917">
        <v>0</v>
      </c>
      <c r="R486" s="2178"/>
      <c r="S486" s="1794"/>
      <c r="T486" s="1794" t="s">
        <v>7686</v>
      </c>
      <c r="U486" s="2225" t="s">
        <v>811</v>
      </c>
      <c r="V486" s="1794"/>
      <c r="W486" s="1794"/>
      <c r="X486" s="1794" t="s">
        <v>8863</v>
      </c>
    </row>
    <row r="487" spans="1:46" ht="259.5" customHeight="1">
      <c r="A487" s="1899"/>
      <c r="B487" s="1820" t="s">
        <v>586</v>
      </c>
      <c r="C487" s="1808">
        <f>(J487-$Q487)/($P487-$Q487)</f>
        <v>0.6</v>
      </c>
      <c r="D487" s="1808">
        <f t="shared" ref="D487:G487" si="128">(K487-$Q487)/($P487-$Q487)</f>
        <v>0.8361218361218361</v>
      </c>
      <c r="E487" s="1808">
        <f t="shared" si="128"/>
        <v>0.6</v>
      </c>
      <c r="F487" s="1808">
        <f t="shared" si="128"/>
        <v>0.65599999999999992</v>
      </c>
      <c r="G487" s="1808">
        <f t="shared" si="128"/>
        <v>0.65599999999999992</v>
      </c>
      <c r="H487" s="1808">
        <f t="shared" ref="H487" si="129">(O487-$Q487)/($P487-$Q487)</f>
        <v>0.2571</v>
      </c>
      <c r="I487" s="2073" t="s">
        <v>525</v>
      </c>
      <c r="J487" s="2010">
        <v>60</v>
      </c>
      <c r="K487" s="1794">
        <f>(20206+3182)*100/27972</f>
        <v>83.612183612183614</v>
      </c>
      <c r="L487" s="2225">
        <v>60</v>
      </c>
      <c r="M487" s="1794">
        <v>65.599999999999994</v>
      </c>
      <c r="N487" s="1794">
        <v>65.599999999999994</v>
      </c>
      <c r="O487" s="1794">
        <v>25.71</v>
      </c>
      <c r="P487" s="1794">
        <v>100</v>
      </c>
      <c r="Q487" s="1794">
        <v>0</v>
      </c>
      <c r="R487" s="2178"/>
      <c r="S487" s="1794" t="s">
        <v>8551</v>
      </c>
      <c r="T487" s="1996" t="s">
        <v>8561</v>
      </c>
      <c r="U487" s="2225" t="s">
        <v>7322</v>
      </c>
      <c r="V487" s="1801" t="s">
        <v>8431</v>
      </c>
      <c r="W487" s="1801"/>
      <c r="X487" s="1794" t="s">
        <v>8864</v>
      </c>
    </row>
    <row r="488" spans="1:46" ht="170.1" customHeight="1">
      <c r="A488" s="1899"/>
      <c r="B488" s="1820" t="s">
        <v>587</v>
      </c>
      <c r="C488" s="1808">
        <f>(J488-$Q488)/($P488-$Q488)</f>
        <v>0.39</v>
      </c>
      <c r="D488" s="1808">
        <f t="shared" ref="D488:G488" si="130">(K488-$Q488)/($P488-$Q488)</f>
        <v>0.99857061177815898</v>
      </c>
      <c r="E488" s="1808">
        <f t="shared" si="130"/>
        <v>0.15</v>
      </c>
      <c r="F488" s="1808">
        <f t="shared" si="130"/>
        <v>0.9</v>
      </c>
      <c r="G488" s="1808">
        <f t="shared" si="130"/>
        <v>0</v>
      </c>
      <c r="H488" s="1808">
        <f>(O488-$Q488)/($P488-$Q488)</f>
        <v>2.12E-2</v>
      </c>
      <c r="I488" s="2073" t="s">
        <v>525</v>
      </c>
      <c r="J488" s="1995">
        <v>39</v>
      </c>
      <c r="K488" s="2282">
        <f>3493*100/3498</f>
        <v>99.857061177815893</v>
      </c>
      <c r="L488" s="2283">
        <v>15</v>
      </c>
      <c r="M488" s="1994">
        <v>90</v>
      </c>
      <c r="N488" s="1995">
        <v>0</v>
      </c>
      <c r="O488" s="1794">
        <v>2.12</v>
      </c>
      <c r="P488" s="1794">
        <v>100</v>
      </c>
      <c r="Q488" s="1794">
        <v>0</v>
      </c>
      <c r="R488" s="2178"/>
      <c r="S488" s="1794"/>
      <c r="T488" s="1996" t="s">
        <v>7687</v>
      </c>
      <c r="U488" s="2225" t="s">
        <v>7322</v>
      </c>
      <c r="V488" s="1794"/>
      <c r="W488" s="1996"/>
      <c r="X488" s="1794" t="s">
        <v>8865</v>
      </c>
    </row>
    <row r="489" spans="1:46" ht="135" customHeight="1">
      <c r="A489" s="1899"/>
      <c r="B489" s="1820" t="s">
        <v>9135</v>
      </c>
      <c r="C489" s="1846">
        <v>0.25</v>
      </c>
      <c r="D489" s="1829">
        <v>0.25</v>
      </c>
      <c r="E489" s="2214">
        <v>0</v>
      </c>
      <c r="F489" s="1808">
        <v>0.25</v>
      </c>
      <c r="G489" s="1829">
        <v>0</v>
      </c>
      <c r="H489" s="1808">
        <v>0</v>
      </c>
      <c r="I489" s="2169" t="s">
        <v>5253</v>
      </c>
      <c r="J489" s="1794" t="s">
        <v>9172</v>
      </c>
      <c r="K489" s="1794" t="s">
        <v>748</v>
      </c>
      <c r="L489" s="2225">
        <v>0</v>
      </c>
      <c r="M489" s="1806">
        <v>0</v>
      </c>
      <c r="N489" s="1794" t="s">
        <v>1060</v>
      </c>
      <c r="O489" s="1794" t="s">
        <v>8866</v>
      </c>
      <c r="P489" s="1794">
        <v>1</v>
      </c>
      <c r="Q489" s="1794">
        <v>0</v>
      </c>
      <c r="R489" s="2178"/>
      <c r="S489" s="1794"/>
      <c r="T489" s="1794" t="s">
        <v>7688</v>
      </c>
      <c r="U489" s="2225" t="s">
        <v>748</v>
      </c>
      <c r="V489" s="1794"/>
      <c r="W489" s="1794"/>
      <c r="X489" s="1794" t="s">
        <v>8866</v>
      </c>
    </row>
    <row r="490" spans="1:46" s="1891" customFormat="1" ht="63" customHeight="1">
      <c r="A490" s="1899"/>
      <c r="B490" s="1843" t="s">
        <v>7073</v>
      </c>
      <c r="C490" s="1846">
        <v>1</v>
      </c>
      <c r="D490" s="1829">
        <v>1</v>
      </c>
      <c r="E490" s="2214">
        <v>1</v>
      </c>
      <c r="F490" s="1808">
        <v>1</v>
      </c>
      <c r="G490" s="1829">
        <v>1</v>
      </c>
      <c r="H490" s="1808">
        <v>1</v>
      </c>
      <c r="I490" s="2169" t="s">
        <v>5253</v>
      </c>
      <c r="J490" s="1794">
        <v>1</v>
      </c>
      <c r="K490" s="1794" t="s">
        <v>960</v>
      </c>
      <c r="L490" s="2225">
        <v>1</v>
      </c>
      <c r="M490" s="1993">
        <v>1</v>
      </c>
      <c r="N490" s="1794" t="s">
        <v>8432</v>
      </c>
      <c r="O490" s="1794" t="s">
        <v>9174</v>
      </c>
      <c r="P490" s="1794">
        <v>1</v>
      </c>
      <c r="Q490" s="1794">
        <v>0</v>
      </c>
      <c r="R490" s="2178"/>
      <c r="S490" s="1794"/>
      <c r="T490" s="1794" t="s">
        <v>7689</v>
      </c>
      <c r="U490" s="2265" t="s">
        <v>7323</v>
      </c>
      <c r="V490" s="1794"/>
      <c r="W490" s="1794"/>
      <c r="X490" s="1794" t="s">
        <v>8867</v>
      </c>
      <c r="Y490" s="1818"/>
      <c r="Z490" s="1818"/>
      <c r="AA490" s="1818"/>
      <c r="AB490" s="1818"/>
      <c r="AC490" s="1818"/>
      <c r="AD490" s="1818"/>
      <c r="AE490" s="1818"/>
      <c r="AF490" s="1818"/>
      <c r="AG490" s="1818"/>
      <c r="AH490" s="1818"/>
      <c r="AI490" s="1818"/>
      <c r="AJ490" s="1818"/>
      <c r="AK490" s="1818"/>
      <c r="AL490" s="1818"/>
      <c r="AM490" s="1818"/>
      <c r="AN490" s="1818"/>
      <c r="AO490" s="1818"/>
      <c r="AP490" s="1818"/>
      <c r="AQ490" s="1818"/>
      <c r="AR490" s="1818"/>
      <c r="AS490" s="1818"/>
      <c r="AT490" s="1818"/>
    </row>
    <row r="491" spans="1:46" ht="32.1" customHeight="1">
      <c r="A491" s="1899"/>
      <c r="B491" s="1820" t="s">
        <v>5353</v>
      </c>
      <c r="C491" s="1808">
        <f>(J491-$Q491)/($P491-$Q491)</f>
        <v>0.75</v>
      </c>
      <c r="D491" s="1808">
        <f t="shared" ref="D491:G491" si="131">(K491-$Q491)/($P491-$Q491)</f>
        <v>0.625</v>
      </c>
      <c r="E491" s="1808">
        <f t="shared" si="131"/>
        <v>0</v>
      </c>
      <c r="F491" s="1808">
        <f>(M491-$Q491)/($P491-$Q491)</f>
        <v>0.625</v>
      </c>
      <c r="G491" s="1808">
        <f t="shared" si="131"/>
        <v>0</v>
      </c>
      <c r="H491" s="1808">
        <f>(O491-$Q491)/($P491-$Q491)</f>
        <v>0</v>
      </c>
      <c r="I491" s="2073" t="s">
        <v>525</v>
      </c>
      <c r="J491" s="1794">
        <v>6</v>
      </c>
      <c r="K491" s="1794">
        <v>5</v>
      </c>
      <c r="L491" s="2225">
        <v>0</v>
      </c>
      <c r="M491" s="1806">
        <v>5</v>
      </c>
      <c r="N491" s="1794">
        <v>0</v>
      </c>
      <c r="O491" s="1794">
        <v>0</v>
      </c>
      <c r="P491" s="1794">
        <v>8</v>
      </c>
      <c r="Q491" s="1794">
        <v>0</v>
      </c>
      <c r="R491" s="2178"/>
      <c r="S491" s="1794"/>
      <c r="T491" s="1794" t="s">
        <v>7690</v>
      </c>
      <c r="U491" s="2265" t="s">
        <v>7324</v>
      </c>
      <c r="V491" s="1794" t="s">
        <v>7983</v>
      </c>
      <c r="W491" s="1794"/>
      <c r="X491" s="1794" t="s">
        <v>8868</v>
      </c>
    </row>
    <row r="492" spans="1:46" ht="32.1" customHeight="1">
      <c r="A492" s="1899"/>
      <c r="B492" s="1820" t="s">
        <v>589</v>
      </c>
      <c r="C492" s="1808">
        <v>0.5</v>
      </c>
      <c r="D492" s="1808">
        <v>0.5</v>
      </c>
      <c r="E492" s="2212">
        <v>0.5</v>
      </c>
      <c r="F492" s="1808">
        <v>0.5</v>
      </c>
      <c r="G492" s="1829">
        <v>0.5</v>
      </c>
      <c r="H492" s="1808">
        <v>0.5</v>
      </c>
      <c r="I492" s="2073" t="s">
        <v>5254</v>
      </c>
      <c r="J492" s="1794" t="s">
        <v>5354</v>
      </c>
      <c r="K492" s="1794" t="s">
        <v>7691</v>
      </c>
      <c r="L492" s="2225">
        <v>0.5</v>
      </c>
      <c r="M492" s="1994">
        <v>0.5</v>
      </c>
      <c r="N492" s="1794" t="s">
        <v>8433</v>
      </c>
      <c r="O492" s="1794" t="s">
        <v>8869</v>
      </c>
      <c r="P492" s="1794">
        <v>1</v>
      </c>
      <c r="Q492" s="1794">
        <v>0</v>
      </c>
      <c r="R492" s="2178"/>
      <c r="S492" s="1794" t="s">
        <v>5354</v>
      </c>
      <c r="T492" s="1794" t="s">
        <v>7691</v>
      </c>
      <c r="U492" s="2225" t="s">
        <v>7325</v>
      </c>
      <c r="V492" s="1794" t="s">
        <v>7984</v>
      </c>
      <c r="W492" s="1794"/>
      <c r="X492" s="1794" t="s">
        <v>8869</v>
      </c>
    </row>
    <row r="493" spans="1:46" ht="32.1" customHeight="1">
      <c r="A493" s="2501"/>
      <c r="B493" s="1820" t="s">
        <v>590</v>
      </c>
      <c r="C493" s="1808">
        <v>0.5</v>
      </c>
      <c r="D493" s="1808">
        <v>0.5</v>
      </c>
      <c r="E493" s="2212">
        <v>0.5</v>
      </c>
      <c r="F493" s="1808">
        <v>0.5</v>
      </c>
      <c r="G493" s="1829">
        <v>0</v>
      </c>
      <c r="H493" s="1808">
        <v>0</v>
      </c>
      <c r="I493" s="2073" t="s">
        <v>5254</v>
      </c>
      <c r="J493" s="1794" t="s">
        <v>5355</v>
      </c>
      <c r="K493" s="1794" t="s">
        <v>7692</v>
      </c>
      <c r="L493" s="2225">
        <v>0.5</v>
      </c>
      <c r="M493" s="1994">
        <v>0.5</v>
      </c>
      <c r="N493" s="1794" t="s">
        <v>748</v>
      </c>
      <c r="O493" s="1794" t="s">
        <v>8870</v>
      </c>
      <c r="P493" s="1794">
        <v>1</v>
      </c>
      <c r="Q493" s="1794">
        <v>0</v>
      </c>
      <c r="R493" s="2178"/>
      <c r="S493" s="1794" t="s">
        <v>5355</v>
      </c>
      <c r="T493" s="1794" t="s">
        <v>7692</v>
      </c>
      <c r="U493" s="2225" t="s">
        <v>7325</v>
      </c>
      <c r="V493" s="1794" t="s">
        <v>7985</v>
      </c>
      <c r="W493" s="1794"/>
      <c r="X493" s="1794" t="s">
        <v>8870</v>
      </c>
    </row>
    <row r="494" spans="1:46" ht="32.1" customHeight="1">
      <c r="A494" s="2501"/>
      <c r="B494" s="1820" t="s">
        <v>591</v>
      </c>
      <c r="C494" s="1808">
        <v>1</v>
      </c>
      <c r="D494" s="1808">
        <v>1</v>
      </c>
      <c r="E494" s="2212">
        <v>0</v>
      </c>
      <c r="F494" s="1808">
        <v>1</v>
      </c>
      <c r="G494" s="1829">
        <v>0</v>
      </c>
      <c r="H494" s="1808">
        <v>0</v>
      </c>
      <c r="I494" s="2073" t="s">
        <v>5254</v>
      </c>
      <c r="J494" s="1794" t="s">
        <v>5356</v>
      </c>
      <c r="K494" s="1794" t="s">
        <v>7693</v>
      </c>
      <c r="L494" s="2225">
        <v>0</v>
      </c>
      <c r="M494" s="1994">
        <v>1</v>
      </c>
      <c r="N494" s="1794">
        <v>0</v>
      </c>
      <c r="O494" s="1794" t="s">
        <v>8871</v>
      </c>
      <c r="P494" s="1794">
        <v>1</v>
      </c>
      <c r="Q494" s="1794">
        <v>0</v>
      </c>
      <c r="R494" s="2178"/>
      <c r="S494" s="1794" t="s">
        <v>5356</v>
      </c>
      <c r="T494" s="1794" t="s">
        <v>7693</v>
      </c>
      <c r="U494" s="2265" t="s">
        <v>7326</v>
      </c>
      <c r="V494" s="1794" t="s">
        <v>7986</v>
      </c>
      <c r="W494" s="1794"/>
      <c r="X494" s="1794" t="s">
        <v>8871</v>
      </c>
    </row>
    <row r="495" spans="1:46" ht="32.1" customHeight="1">
      <c r="A495" s="2515" t="s">
        <v>9327</v>
      </c>
      <c r="B495" s="2071" t="s">
        <v>592</v>
      </c>
      <c r="C495" s="2160">
        <f>AVERAGE(C496:C505)</f>
        <v>0.84589743589743593</v>
      </c>
      <c r="D495" s="2160">
        <f t="shared" ref="D495:H495" si="132">AVERAGE(D496:D505)</f>
        <v>0.65538461538461545</v>
      </c>
      <c r="E495" s="2160">
        <f t="shared" si="132"/>
        <v>0.44743589743589746</v>
      </c>
      <c r="F495" s="2160">
        <f t="shared" si="132"/>
        <v>0.64602564102564108</v>
      </c>
      <c r="G495" s="2160">
        <f t="shared" si="132"/>
        <v>0.46807692307692311</v>
      </c>
      <c r="H495" s="2160">
        <f t="shared" si="132"/>
        <v>0.1</v>
      </c>
      <c r="I495" s="2073"/>
      <c r="J495" s="2227"/>
      <c r="K495" s="2227"/>
      <c r="L495" s="2227"/>
      <c r="M495" s="2161"/>
      <c r="N495" s="2227"/>
      <c r="O495" s="2227"/>
      <c r="P495" s="2228"/>
      <c r="Q495" s="2228"/>
      <c r="R495" s="2165"/>
      <c r="S495" s="2073"/>
      <c r="T495" s="2073"/>
      <c r="U495" s="2267"/>
      <c r="V495" s="2073"/>
      <c r="W495" s="2073"/>
      <c r="X495" s="2073"/>
    </row>
    <row r="496" spans="1:46" ht="32.1" customHeight="1">
      <c r="A496" s="1874"/>
      <c r="B496" s="1843" t="s">
        <v>593</v>
      </c>
      <c r="C496" s="1846">
        <v>1</v>
      </c>
      <c r="D496" s="1846">
        <v>1</v>
      </c>
      <c r="E496" s="2214">
        <v>0.5</v>
      </c>
      <c r="F496" s="1808">
        <v>1</v>
      </c>
      <c r="G496" s="1829">
        <v>1</v>
      </c>
      <c r="H496" s="1845">
        <v>0.5</v>
      </c>
      <c r="I496" s="2073" t="s">
        <v>583</v>
      </c>
      <c r="J496" s="1935">
        <v>1</v>
      </c>
      <c r="K496" s="1935" t="s">
        <v>811</v>
      </c>
      <c r="L496" s="2226">
        <v>0.5</v>
      </c>
      <c r="M496" s="1994">
        <v>1</v>
      </c>
      <c r="N496" s="1935" t="s">
        <v>960</v>
      </c>
      <c r="O496" s="1935" t="s">
        <v>8872</v>
      </c>
      <c r="P496" s="1917">
        <v>1</v>
      </c>
      <c r="Q496" s="1917">
        <v>0</v>
      </c>
      <c r="R496" s="2178"/>
      <c r="S496" s="1794"/>
      <c r="T496" s="1996" t="s">
        <v>960</v>
      </c>
      <c r="U496" s="2225" t="s">
        <v>7327</v>
      </c>
      <c r="V496" s="1794"/>
      <c r="W496" s="1935"/>
      <c r="X496" s="1935" t="s">
        <v>8872</v>
      </c>
    </row>
    <row r="497" spans="1:24" ht="164.25" customHeight="1">
      <c r="A497" s="1899"/>
      <c r="B497" s="1843" t="s">
        <v>594</v>
      </c>
      <c r="C497" s="1846">
        <v>1</v>
      </c>
      <c r="D497" s="1829">
        <v>0.5</v>
      </c>
      <c r="E497" s="2214">
        <v>1</v>
      </c>
      <c r="F497" s="1808">
        <v>0</v>
      </c>
      <c r="G497" s="1829">
        <v>1</v>
      </c>
      <c r="H497" s="1808">
        <v>0.5</v>
      </c>
      <c r="I497" s="2073" t="s">
        <v>154</v>
      </c>
      <c r="J497" s="1935">
        <v>1</v>
      </c>
      <c r="K497" s="1935" t="s">
        <v>7395</v>
      </c>
      <c r="L497" s="2226">
        <v>1</v>
      </c>
      <c r="M497" s="1994">
        <v>0.5</v>
      </c>
      <c r="N497" s="1935" t="s">
        <v>960</v>
      </c>
      <c r="O497" s="1935" t="s">
        <v>8873</v>
      </c>
      <c r="P497" s="1975">
        <v>1</v>
      </c>
      <c r="Q497" s="1975">
        <v>0</v>
      </c>
      <c r="R497" s="2179"/>
      <c r="S497" s="1794"/>
      <c r="T497" s="1996" t="s">
        <v>7694</v>
      </c>
      <c r="U497" s="2225" t="s">
        <v>5979</v>
      </c>
      <c r="V497" s="1794"/>
      <c r="W497" s="1935"/>
      <c r="X497" s="1935" t="s">
        <v>8873</v>
      </c>
    </row>
    <row r="498" spans="1:24" ht="164.25" customHeight="1">
      <c r="A498" s="1874"/>
      <c r="B498" s="1843" t="s">
        <v>595</v>
      </c>
      <c r="C498" s="1846">
        <v>1</v>
      </c>
      <c r="D498" s="1829">
        <v>1</v>
      </c>
      <c r="E498" s="2214">
        <v>0</v>
      </c>
      <c r="F498" s="1808">
        <v>1</v>
      </c>
      <c r="G498" s="1829">
        <v>1</v>
      </c>
      <c r="H498" s="1808">
        <v>0</v>
      </c>
      <c r="I498" s="2073" t="s">
        <v>38</v>
      </c>
      <c r="J498" s="1916">
        <v>1</v>
      </c>
      <c r="K498" s="1916" t="s">
        <v>960</v>
      </c>
      <c r="L498" s="2226">
        <v>0</v>
      </c>
      <c r="M498" s="1994">
        <v>1</v>
      </c>
      <c r="N498" s="1935" t="s">
        <v>960</v>
      </c>
      <c r="O498" s="1935" t="s">
        <v>8874</v>
      </c>
      <c r="P498" s="1917">
        <v>1</v>
      </c>
      <c r="Q498" s="1917">
        <v>0</v>
      </c>
      <c r="R498" s="2178"/>
      <c r="S498" s="1794"/>
      <c r="T498" s="1996" t="s">
        <v>7695</v>
      </c>
      <c r="U498" s="2225" t="s">
        <v>7328</v>
      </c>
      <c r="V498" s="1794"/>
      <c r="W498" s="1935"/>
      <c r="X498" s="1935" t="s">
        <v>8874</v>
      </c>
    </row>
    <row r="499" spans="1:24" ht="32.1" customHeight="1">
      <c r="A499" s="1874"/>
      <c r="B499" s="1843" t="s">
        <v>9136</v>
      </c>
      <c r="C499" s="1846">
        <v>1</v>
      </c>
      <c r="D499" s="1829">
        <v>1</v>
      </c>
      <c r="E499" s="2214">
        <v>1</v>
      </c>
      <c r="F499" s="1808">
        <v>1</v>
      </c>
      <c r="G499" s="1829">
        <v>1</v>
      </c>
      <c r="H499" s="1808">
        <v>0</v>
      </c>
      <c r="I499" s="2073" t="s">
        <v>596</v>
      </c>
      <c r="J499" s="1935">
        <v>1</v>
      </c>
      <c r="K499" s="1916" t="s">
        <v>960</v>
      </c>
      <c r="L499" s="2226">
        <v>1</v>
      </c>
      <c r="M499" s="1994">
        <v>1</v>
      </c>
      <c r="N499" s="1935" t="s">
        <v>960</v>
      </c>
      <c r="O499" s="1935" t="s">
        <v>748</v>
      </c>
      <c r="P499" s="1917">
        <v>1</v>
      </c>
      <c r="Q499" s="1917">
        <v>0</v>
      </c>
      <c r="R499" s="2178"/>
      <c r="S499" s="1794"/>
      <c r="T499" s="1996" t="s">
        <v>960</v>
      </c>
      <c r="U499" s="2225" t="s">
        <v>7329</v>
      </c>
      <c r="V499" s="1794"/>
      <c r="W499" s="1935"/>
      <c r="X499" s="1935" t="s">
        <v>8875</v>
      </c>
    </row>
    <row r="500" spans="1:24" ht="32.1" customHeight="1">
      <c r="A500" s="1874"/>
      <c r="B500" s="1843" t="s">
        <v>9137</v>
      </c>
      <c r="C500" s="1808">
        <f>(J500-$Q500)/($P500-$Q500)</f>
        <v>0.66666666666666663</v>
      </c>
      <c r="D500" s="1808">
        <f t="shared" ref="D500:G500" si="133">(K500-$Q500)/($P500-$Q500)</f>
        <v>0.33333333333333331</v>
      </c>
      <c r="E500" s="1808">
        <f t="shared" si="133"/>
        <v>0.33333333333333331</v>
      </c>
      <c r="F500" s="1808">
        <f t="shared" si="133"/>
        <v>0.25</v>
      </c>
      <c r="G500" s="1808">
        <f t="shared" si="133"/>
        <v>0.25</v>
      </c>
      <c r="H500" s="1808">
        <f>(O500-$Q500)/($P500-$Q500)</f>
        <v>0</v>
      </c>
      <c r="I500" s="2073" t="s">
        <v>525</v>
      </c>
      <c r="J500" s="1794">
        <v>8</v>
      </c>
      <c r="K500" s="1794">
        <v>4</v>
      </c>
      <c r="L500" s="2225">
        <v>4</v>
      </c>
      <c r="M500" s="1806">
        <v>3</v>
      </c>
      <c r="N500" s="1802">
        <v>3</v>
      </c>
      <c r="O500" s="1794">
        <v>0</v>
      </c>
      <c r="P500" s="1794">
        <v>12</v>
      </c>
      <c r="Q500" s="1917">
        <v>0</v>
      </c>
      <c r="R500" s="2178"/>
      <c r="S500" s="1794"/>
      <c r="T500" s="1996" t="s">
        <v>7696</v>
      </c>
      <c r="U500" s="2225" t="s">
        <v>5981</v>
      </c>
      <c r="V500" s="1794" t="s">
        <v>7987</v>
      </c>
      <c r="W500" s="1928" t="s">
        <v>8435</v>
      </c>
      <c r="X500" s="1935" t="s">
        <v>943</v>
      </c>
    </row>
    <row r="501" spans="1:24" ht="47.1" customHeight="1">
      <c r="A501" s="1874"/>
      <c r="B501" s="1843" t="s">
        <v>598</v>
      </c>
      <c r="C501" s="1850">
        <f>IF(J501&gt;$P501,1,IF(J501&lt;$Q501,0,(J501-$Q501)/($P501-$Q501)))</f>
        <v>0.6</v>
      </c>
      <c r="D501" s="1850">
        <f>IF(1&gt;$P501,1,IF(1&lt;$Q501,0,(1-$Q501)/($P501-$Q501)))</f>
        <v>6.6666666666666666E-2</v>
      </c>
      <c r="E501" s="1850">
        <f>IF(L501&gt;$P501,1,IF(L501&lt;$Q501,0,(L501-$Q501)/($P501-$Q501)))</f>
        <v>0.33333333333333331</v>
      </c>
      <c r="F501" s="1850">
        <f>IF(M501&gt;$P501,1,IF(M501&lt;$Q501,0,(M501-$Q501)/($P501-$Q501)))</f>
        <v>0.13333333333333333</v>
      </c>
      <c r="G501" s="1850">
        <f>IF(N501&gt;$P501,1,IF(N501&lt;$Q501,0,(N501-$Q501)/($P501-$Q501)))</f>
        <v>0.2</v>
      </c>
      <c r="H501" s="1850">
        <v>0</v>
      </c>
      <c r="I501" s="2073" t="s">
        <v>525</v>
      </c>
      <c r="J501" s="1794">
        <v>9</v>
      </c>
      <c r="K501" s="1794">
        <v>1</v>
      </c>
      <c r="L501" s="2225">
        <v>5</v>
      </c>
      <c r="M501" s="1806">
        <v>2</v>
      </c>
      <c r="N501" s="1794">
        <v>3</v>
      </c>
      <c r="O501" s="1794" t="s">
        <v>748</v>
      </c>
      <c r="P501" s="1794">
        <v>15</v>
      </c>
      <c r="Q501" s="1917">
        <v>0</v>
      </c>
      <c r="R501" s="2178"/>
      <c r="S501" s="1794"/>
      <c r="T501" s="1996" t="s">
        <v>7697</v>
      </c>
      <c r="U501" s="2225" t="s">
        <v>7330</v>
      </c>
      <c r="V501" s="1794"/>
      <c r="W501" s="1935"/>
      <c r="X501" s="1935" t="s">
        <v>943</v>
      </c>
    </row>
    <row r="502" spans="1:24" ht="47.1" customHeight="1">
      <c r="A502" s="1874"/>
      <c r="B502" s="1843" t="s">
        <v>599</v>
      </c>
      <c r="C502" s="1850">
        <f>IF(J502&gt;$P502,1,IF(J502&lt;$Q502,0,(J502-$Q502)/($P502-$Q502)))</f>
        <v>0.69230769230769229</v>
      </c>
      <c r="D502" s="1850">
        <f>IF(2&gt;$P502,1,IF(2&lt;$Q502,0,(2-$Q502)/($P502-$Q502)))</f>
        <v>0.15384615384615385</v>
      </c>
      <c r="E502" s="1850">
        <f>IF(L502&gt;$P502,1,IF(L502&lt;$Q502,0,(L502-$Q502)/($P502-$Q502)))</f>
        <v>0.30769230769230771</v>
      </c>
      <c r="F502" s="1850">
        <f>IF(M502&gt;$P502,1,IF(M502&lt;$Q502,0,(M502-$Q502)/($P502-$Q502)))</f>
        <v>7.6923076923076927E-2</v>
      </c>
      <c r="G502" s="1850">
        <f>IF(3&gt;$P502,1,IF(3&lt;$Q502,0,(3-$Q502)/($P502-$Q502)))</f>
        <v>0.23076923076923078</v>
      </c>
      <c r="H502" s="1850">
        <v>0</v>
      </c>
      <c r="I502" s="2073" t="s">
        <v>525</v>
      </c>
      <c r="J502" s="1794">
        <v>9</v>
      </c>
      <c r="K502" s="1794">
        <v>2</v>
      </c>
      <c r="L502" s="2225">
        <v>4</v>
      </c>
      <c r="M502" s="1806">
        <v>1</v>
      </c>
      <c r="N502" s="1794">
        <v>3</v>
      </c>
      <c r="O502" s="1794" t="s">
        <v>943</v>
      </c>
      <c r="P502" s="1794">
        <v>13</v>
      </c>
      <c r="Q502" s="1917">
        <v>0</v>
      </c>
      <c r="R502" s="2178"/>
      <c r="S502" s="1794"/>
      <c r="T502" s="1996" t="s">
        <v>7698</v>
      </c>
      <c r="U502" s="2225" t="s">
        <v>7330</v>
      </c>
      <c r="V502" s="1794"/>
      <c r="W502" s="1935"/>
      <c r="X502" s="1935" t="s">
        <v>943</v>
      </c>
    </row>
    <row r="503" spans="1:24" ht="32.1" customHeight="1">
      <c r="A503" s="1874"/>
      <c r="B503" s="1843" t="s">
        <v>9138</v>
      </c>
      <c r="C503" s="1846">
        <v>1</v>
      </c>
      <c r="D503" s="1829">
        <v>1</v>
      </c>
      <c r="E503" s="2214">
        <v>1</v>
      </c>
      <c r="F503" s="1808">
        <v>1</v>
      </c>
      <c r="G503" s="1829">
        <v>0</v>
      </c>
      <c r="H503" s="1808">
        <v>0</v>
      </c>
      <c r="I503" s="2170" t="s">
        <v>38</v>
      </c>
      <c r="J503" s="1794">
        <v>1</v>
      </c>
      <c r="K503" s="1794" t="s">
        <v>811</v>
      </c>
      <c r="L503" s="2225">
        <v>1</v>
      </c>
      <c r="M503" s="1806">
        <v>1</v>
      </c>
      <c r="N503" s="1794" t="s">
        <v>748</v>
      </c>
      <c r="O503" s="1794" t="s">
        <v>943</v>
      </c>
      <c r="P503" s="1794">
        <v>1</v>
      </c>
      <c r="Q503" s="1917">
        <v>0</v>
      </c>
      <c r="R503" s="2178"/>
      <c r="S503" s="1794"/>
      <c r="T503" s="1996" t="s">
        <v>7699</v>
      </c>
      <c r="U503" s="2225" t="s">
        <v>811</v>
      </c>
      <c r="V503" s="1794"/>
      <c r="W503" s="1935" t="s">
        <v>8436</v>
      </c>
      <c r="X503" s="1935" t="s">
        <v>943</v>
      </c>
    </row>
    <row r="504" spans="1:24" ht="45" customHeight="1">
      <c r="A504" s="1874"/>
      <c r="B504" s="1843" t="s">
        <v>601</v>
      </c>
      <c r="C504" s="1846">
        <v>0.5</v>
      </c>
      <c r="D504" s="1829">
        <v>1</v>
      </c>
      <c r="E504" s="2214">
        <v>0</v>
      </c>
      <c r="F504" s="1808">
        <v>1</v>
      </c>
      <c r="G504" s="1846">
        <v>0</v>
      </c>
      <c r="H504" s="1808">
        <v>0</v>
      </c>
      <c r="I504" s="2073" t="s">
        <v>596</v>
      </c>
      <c r="J504" s="1794">
        <v>0.5</v>
      </c>
      <c r="K504" s="1794" t="s">
        <v>960</v>
      </c>
      <c r="L504" s="2225">
        <v>0</v>
      </c>
      <c r="M504" s="1994">
        <v>1</v>
      </c>
      <c r="N504" s="1794" t="s">
        <v>1060</v>
      </c>
      <c r="O504" s="1794" t="s">
        <v>943</v>
      </c>
      <c r="P504" s="1794">
        <v>1</v>
      </c>
      <c r="Q504" s="1917">
        <v>0</v>
      </c>
      <c r="R504" s="2178"/>
      <c r="S504" s="1794"/>
      <c r="T504" s="1996" t="s">
        <v>7700</v>
      </c>
      <c r="U504" s="2225" t="s">
        <v>7331</v>
      </c>
      <c r="V504" s="1794"/>
      <c r="W504" s="1935"/>
      <c r="X504" s="1935" t="s">
        <v>943</v>
      </c>
    </row>
    <row r="505" spans="1:24" ht="179.1" customHeight="1">
      <c r="A505" s="1899"/>
      <c r="B505" s="1843" t="s">
        <v>9139</v>
      </c>
      <c r="C505" s="1846">
        <v>1</v>
      </c>
      <c r="D505" s="1829">
        <v>0.5</v>
      </c>
      <c r="E505" s="2214">
        <v>0</v>
      </c>
      <c r="F505" s="1808">
        <v>1</v>
      </c>
      <c r="G505" s="1829">
        <v>0</v>
      </c>
      <c r="H505" s="1808">
        <v>0</v>
      </c>
      <c r="I505" s="2073" t="s">
        <v>596</v>
      </c>
      <c r="J505" s="1916">
        <v>1</v>
      </c>
      <c r="K505" s="1935" t="s">
        <v>960</v>
      </c>
      <c r="L505" s="2226">
        <v>0</v>
      </c>
      <c r="M505" s="1994">
        <v>1</v>
      </c>
      <c r="N505" s="1935" t="s">
        <v>8434</v>
      </c>
      <c r="O505" s="1935" t="s">
        <v>943</v>
      </c>
      <c r="P505" s="1917">
        <v>1</v>
      </c>
      <c r="Q505" s="1917">
        <v>0</v>
      </c>
      <c r="R505" s="2178"/>
      <c r="S505" s="1794"/>
      <c r="T505" s="1996" t="s">
        <v>9152</v>
      </c>
      <c r="U505" s="2225" t="s">
        <v>7331</v>
      </c>
      <c r="V505" s="1794"/>
      <c r="W505" s="1935"/>
      <c r="X505" s="1935" t="s">
        <v>943</v>
      </c>
    </row>
    <row r="506" spans="1:24" ht="32.1" customHeight="1">
      <c r="A506" s="2515" t="s">
        <v>9328</v>
      </c>
      <c r="B506" s="2071" t="s">
        <v>602</v>
      </c>
      <c r="C506" s="2164">
        <f>AVERAGE(C507:C524)</f>
        <v>0.55649929998339109</v>
      </c>
      <c r="D506" s="2164">
        <f t="shared" ref="D506:G506" si="134">AVERAGE(D507:D524)</f>
        <v>0.54750426755904558</v>
      </c>
      <c r="E506" s="2164">
        <f t="shared" si="134"/>
        <v>0.33521627395849213</v>
      </c>
      <c r="F506" s="2164">
        <f t="shared" si="134"/>
        <v>0.83418278130865897</v>
      </c>
      <c r="G506" s="2164">
        <f t="shared" si="134"/>
        <v>0.60745359053396364</v>
      </c>
      <c r="H506" s="2164">
        <f>AVERAGE(H507:H524)</f>
        <v>0.67269505910669203</v>
      </c>
      <c r="I506" s="2073"/>
      <c r="J506" s="2227"/>
      <c r="K506" s="2227"/>
      <c r="L506" s="2227"/>
      <c r="M506" s="2161"/>
      <c r="N506" s="2227"/>
      <c r="O506" s="2227"/>
      <c r="P506" s="2228"/>
      <c r="Q506" s="2228"/>
      <c r="R506" s="2165"/>
      <c r="S506" s="2073"/>
      <c r="T506" s="2073"/>
      <c r="U506" s="2267"/>
      <c r="V506" s="2073"/>
      <c r="W506" s="2073"/>
      <c r="X506" s="2073"/>
    </row>
    <row r="507" spans="1:24" ht="32.1" customHeight="1">
      <c r="A507" s="2501"/>
      <c r="B507" s="1843" t="s">
        <v>603</v>
      </c>
      <c r="C507" s="1858">
        <v>1</v>
      </c>
      <c r="D507" s="1860">
        <v>0</v>
      </c>
      <c r="E507" s="2213">
        <v>1</v>
      </c>
      <c r="F507" s="1808">
        <v>0</v>
      </c>
      <c r="G507" s="1844">
        <v>1</v>
      </c>
      <c r="H507" s="1870">
        <v>1</v>
      </c>
      <c r="I507" s="2073" t="s">
        <v>38</v>
      </c>
      <c r="J507" s="1916">
        <v>1</v>
      </c>
      <c r="K507" s="1935" t="s">
        <v>748</v>
      </c>
      <c r="L507" s="2226">
        <v>1</v>
      </c>
      <c r="M507" s="1993">
        <v>0</v>
      </c>
      <c r="N507" s="1935" t="s">
        <v>960</v>
      </c>
      <c r="O507" s="1998" t="s">
        <v>8876</v>
      </c>
      <c r="P507" s="1917">
        <v>1</v>
      </c>
      <c r="Q507" s="1917">
        <v>0</v>
      </c>
      <c r="R507" s="2178"/>
      <c r="S507" s="1794"/>
      <c r="T507" s="1802" t="s">
        <v>2425</v>
      </c>
      <c r="U507" s="2265" t="s">
        <v>7332</v>
      </c>
      <c r="V507" s="1935"/>
      <c r="W507" s="1935"/>
      <c r="X507" s="1998" t="s">
        <v>8876</v>
      </c>
    </row>
    <row r="508" spans="1:24" ht="32.1" customHeight="1">
      <c r="A508" s="2501"/>
      <c r="B508" s="1843" t="s">
        <v>604</v>
      </c>
      <c r="C508" s="1858">
        <v>1</v>
      </c>
      <c r="D508" s="1860">
        <v>1</v>
      </c>
      <c r="E508" s="2213">
        <v>0</v>
      </c>
      <c r="F508" s="1808">
        <v>1</v>
      </c>
      <c r="G508" s="1844">
        <v>1</v>
      </c>
      <c r="H508" s="1870">
        <v>1</v>
      </c>
      <c r="I508" s="2073" t="s">
        <v>38</v>
      </c>
      <c r="J508" s="1916">
        <v>1</v>
      </c>
      <c r="K508" s="1935" t="s">
        <v>811</v>
      </c>
      <c r="L508" s="2226">
        <v>0</v>
      </c>
      <c r="M508" s="1993">
        <v>1</v>
      </c>
      <c r="N508" s="1935" t="s">
        <v>960</v>
      </c>
      <c r="O508" s="1935" t="s">
        <v>8877</v>
      </c>
      <c r="P508" s="1917">
        <v>1</v>
      </c>
      <c r="Q508" s="1917">
        <v>0</v>
      </c>
      <c r="R508" s="2178"/>
      <c r="S508" s="1794"/>
      <c r="T508" s="1802" t="s">
        <v>7701</v>
      </c>
      <c r="U508" s="2265" t="s">
        <v>748</v>
      </c>
      <c r="V508" s="1935"/>
      <c r="W508" s="1935"/>
      <c r="X508" s="1935" t="s">
        <v>8877</v>
      </c>
    </row>
    <row r="509" spans="1:24" ht="32.1" customHeight="1">
      <c r="A509" s="2501"/>
      <c r="B509" s="1843" t="s">
        <v>605</v>
      </c>
      <c r="C509" s="1858">
        <v>1</v>
      </c>
      <c r="D509" s="1860">
        <v>1</v>
      </c>
      <c r="E509" s="2213">
        <v>1</v>
      </c>
      <c r="F509" s="1808">
        <v>1</v>
      </c>
      <c r="G509" s="1844">
        <v>1</v>
      </c>
      <c r="H509" s="1870">
        <v>1</v>
      </c>
      <c r="I509" s="2073" t="s">
        <v>38</v>
      </c>
      <c r="J509" s="1916">
        <v>1</v>
      </c>
      <c r="K509" s="1935" t="s">
        <v>811</v>
      </c>
      <c r="L509" s="2226">
        <v>1</v>
      </c>
      <c r="M509" s="1806">
        <v>1</v>
      </c>
      <c r="N509" s="1935" t="s">
        <v>960</v>
      </c>
      <c r="O509" s="1935" t="s">
        <v>8878</v>
      </c>
      <c r="P509" s="1917">
        <v>1</v>
      </c>
      <c r="Q509" s="1917">
        <v>0</v>
      </c>
      <c r="R509" s="2178"/>
      <c r="S509" s="1794"/>
      <c r="T509" s="1802" t="s">
        <v>7702</v>
      </c>
      <c r="U509" s="2265" t="s">
        <v>7333</v>
      </c>
      <c r="V509" s="1935"/>
      <c r="W509" s="1935"/>
      <c r="X509" s="1935" t="s">
        <v>8878</v>
      </c>
    </row>
    <row r="510" spans="1:24" ht="69" customHeight="1">
      <c r="A510" s="1899"/>
      <c r="B510" s="1843" t="s">
        <v>606</v>
      </c>
      <c r="C510" s="1858">
        <v>0.5</v>
      </c>
      <c r="D510" s="1860">
        <v>1</v>
      </c>
      <c r="E510" s="2213">
        <v>1</v>
      </c>
      <c r="F510" s="1808">
        <v>1</v>
      </c>
      <c r="G510" s="1844">
        <v>1</v>
      </c>
      <c r="H510" s="1808">
        <v>0.5</v>
      </c>
      <c r="I510" s="2073" t="s">
        <v>596</v>
      </c>
      <c r="J510" s="1794">
        <v>0.5</v>
      </c>
      <c r="K510" s="1935" t="s">
        <v>2898</v>
      </c>
      <c r="L510" s="2226">
        <v>1</v>
      </c>
      <c r="M510" s="1994">
        <v>1</v>
      </c>
      <c r="N510" s="1935" t="s">
        <v>960</v>
      </c>
      <c r="O510" s="1935" t="s">
        <v>8879</v>
      </c>
      <c r="P510" s="1917">
        <v>1</v>
      </c>
      <c r="Q510" s="1917">
        <v>0</v>
      </c>
      <c r="R510" s="2178"/>
      <c r="S510" s="1794" t="s">
        <v>8552</v>
      </c>
      <c r="T510" s="1802" t="s">
        <v>7703</v>
      </c>
      <c r="U510" s="2265" t="s">
        <v>811</v>
      </c>
      <c r="V510" s="1935"/>
      <c r="W510" s="1935"/>
      <c r="X510" s="1935" t="s">
        <v>8879</v>
      </c>
    </row>
    <row r="511" spans="1:24" ht="32.1" customHeight="1">
      <c r="A511" s="2501"/>
      <c r="B511" s="1820" t="s">
        <v>607</v>
      </c>
      <c r="C511" s="1858">
        <v>0.5</v>
      </c>
      <c r="D511" s="1860">
        <v>1</v>
      </c>
      <c r="E511" s="2213">
        <v>1</v>
      </c>
      <c r="F511" s="1808">
        <v>1</v>
      </c>
      <c r="G511" s="1844">
        <v>1</v>
      </c>
      <c r="H511" s="1870">
        <v>1</v>
      </c>
      <c r="I511" s="2073" t="s">
        <v>596</v>
      </c>
      <c r="J511" s="1794">
        <v>0.5</v>
      </c>
      <c r="K511" s="1935" t="s">
        <v>811</v>
      </c>
      <c r="L511" s="2226">
        <v>1</v>
      </c>
      <c r="M511" s="1994">
        <v>1</v>
      </c>
      <c r="N511" s="1935" t="s">
        <v>960</v>
      </c>
      <c r="O511" s="1935" t="s">
        <v>8880</v>
      </c>
      <c r="P511" s="1917">
        <v>1</v>
      </c>
      <c r="Q511" s="1917">
        <v>0</v>
      </c>
      <c r="R511" s="2178"/>
      <c r="S511" s="1794" t="s">
        <v>8553</v>
      </c>
      <c r="T511" s="1802" t="s">
        <v>811</v>
      </c>
      <c r="U511" s="2265" t="s">
        <v>7334</v>
      </c>
      <c r="V511" s="1935"/>
      <c r="W511" s="1935"/>
      <c r="X511" s="1935" t="s">
        <v>8880</v>
      </c>
    </row>
    <row r="512" spans="1:24" ht="32.1" customHeight="1">
      <c r="A512" s="2501"/>
      <c r="B512" s="1820" t="s">
        <v>608</v>
      </c>
      <c r="C512" s="1858">
        <v>1</v>
      </c>
      <c r="D512" s="1860">
        <v>1</v>
      </c>
      <c r="E512" s="2213">
        <v>1</v>
      </c>
      <c r="F512" s="1808">
        <v>1</v>
      </c>
      <c r="G512" s="1844">
        <v>1</v>
      </c>
      <c r="H512" s="1870">
        <v>1</v>
      </c>
      <c r="I512" s="2073" t="s">
        <v>596</v>
      </c>
      <c r="J512" s="1794">
        <v>1</v>
      </c>
      <c r="K512" s="1935" t="s">
        <v>811</v>
      </c>
      <c r="L512" s="2226">
        <v>1</v>
      </c>
      <c r="M512" s="1994">
        <v>1</v>
      </c>
      <c r="N512" s="1935" t="s">
        <v>960</v>
      </c>
      <c r="O512" s="1935" t="s">
        <v>8881</v>
      </c>
      <c r="P512" s="1917">
        <v>1</v>
      </c>
      <c r="Q512" s="1917">
        <v>0</v>
      </c>
      <c r="R512" s="2178"/>
      <c r="S512" s="1794"/>
      <c r="T512" s="1802" t="s">
        <v>811</v>
      </c>
      <c r="U512" s="2265" t="s">
        <v>811</v>
      </c>
      <c r="V512" s="1935"/>
      <c r="W512" s="1935"/>
      <c r="X512" s="1935" t="s">
        <v>8881</v>
      </c>
    </row>
    <row r="513" spans="1:78" s="1893" customFormat="1" ht="161.25" customHeight="1">
      <c r="A513" s="2504"/>
      <c r="B513" s="2057" t="s">
        <v>8074</v>
      </c>
      <c r="C513" s="2058">
        <f t="shared" ref="C513:H523" si="135">IF(J513&gt;$P513,1,IF(J513&lt;$Q513,0,(J513-$Q513)/($P513-$Q513)))</f>
        <v>0</v>
      </c>
      <c r="D513" s="2058">
        <f t="shared" si="135"/>
        <v>0.75000000000000289</v>
      </c>
      <c r="E513" s="2058">
        <f t="shared" si="135"/>
        <v>0.1607142857142822</v>
      </c>
      <c r="F513" s="2058">
        <f t="shared" si="135"/>
        <v>0.30681818181817844</v>
      </c>
      <c r="G513" s="2058">
        <f t="shared" si="135"/>
        <v>0.1607142857142822</v>
      </c>
      <c r="H513" s="2058">
        <f t="shared" si="135"/>
        <v>0.1607142857142822</v>
      </c>
      <c r="I513" s="2073" t="s">
        <v>5295</v>
      </c>
      <c r="J513" s="2208">
        <v>1</v>
      </c>
      <c r="K513" s="2208">
        <v>1.6666666666666701</v>
      </c>
      <c r="L513" s="2208">
        <v>1.1428571428571399</v>
      </c>
      <c r="M513" s="2208">
        <v>1.27272727272727</v>
      </c>
      <c r="N513" s="2208">
        <v>1.1428571428571399</v>
      </c>
      <c r="O513" s="2208">
        <v>1.1428571428571399</v>
      </c>
      <c r="P513" s="2387">
        <v>1.8888888888888899</v>
      </c>
      <c r="Q513" s="2387">
        <f>MIN(J513:O513)</f>
        <v>1</v>
      </c>
      <c r="R513" s="2180"/>
      <c r="S513" s="2388"/>
      <c r="T513" s="2388"/>
      <c r="U513" s="2389"/>
      <c r="V513" s="2388"/>
      <c r="W513" s="2388"/>
      <c r="X513" s="2388"/>
      <c r="Y513" s="1818"/>
      <c r="Z513" s="1818"/>
      <c r="AA513" s="1818"/>
      <c r="AB513" s="1818"/>
      <c r="AC513" s="1818"/>
      <c r="AD513" s="1818"/>
      <c r="AE513" s="1818"/>
      <c r="AF513" s="1818"/>
      <c r="AG513" s="1818"/>
      <c r="AH513" s="1818"/>
      <c r="AI513" s="1818"/>
      <c r="AJ513" s="1818"/>
      <c r="AK513" s="1818"/>
      <c r="AL513" s="1818"/>
      <c r="AM513" s="1818"/>
      <c r="AN513" s="1818"/>
      <c r="AO513" s="1818"/>
      <c r="AP513" s="1818"/>
      <c r="AQ513" s="1818"/>
      <c r="AR513" s="1818"/>
      <c r="AS513" s="1818"/>
      <c r="AT513" s="1818"/>
      <c r="AU513" s="1818"/>
      <c r="AV513" s="1818"/>
      <c r="AW513" s="1818"/>
      <c r="AX513" s="1818"/>
      <c r="AY513" s="1818"/>
      <c r="AZ513" s="1818"/>
      <c r="BA513" s="1818"/>
      <c r="BB513" s="1818"/>
      <c r="BC513" s="1818"/>
      <c r="BD513" s="1818"/>
      <c r="BE513" s="1818"/>
      <c r="BF513" s="1818"/>
      <c r="BG513" s="1818"/>
      <c r="BH513" s="1818"/>
      <c r="BI513" s="1818"/>
      <c r="BJ513" s="1818"/>
      <c r="BK513" s="1818"/>
      <c r="BL513" s="1818"/>
      <c r="BM513" s="1818"/>
      <c r="BN513" s="1818"/>
      <c r="BO513" s="1818"/>
      <c r="BP513" s="1818"/>
      <c r="BQ513" s="1818"/>
      <c r="BR513" s="1818"/>
      <c r="BS513" s="1818"/>
      <c r="BT513" s="1818"/>
      <c r="BU513" s="1818"/>
      <c r="BV513" s="1818"/>
      <c r="BW513" s="1818"/>
      <c r="BX513" s="1818"/>
      <c r="BY513" s="1818"/>
      <c r="BZ513" s="1818"/>
    </row>
    <row r="514" spans="1:78" s="1893" customFormat="1" ht="32.1" customHeight="1">
      <c r="A514" s="2504"/>
      <c r="B514" s="2057" t="s">
        <v>8073</v>
      </c>
      <c r="C514" s="2058">
        <f t="shared" si="135"/>
        <v>0.92857142857142305</v>
      </c>
      <c r="D514" s="2058">
        <f t="shared" si="135"/>
        <v>0.78571428571428215</v>
      </c>
      <c r="E514" s="2058">
        <f t="shared" si="135"/>
        <v>0</v>
      </c>
      <c r="F514" s="2058">
        <f t="shared" si="135"/>
        <v>0.7912087912087884</v>
      </c>
      <c r="G514" s="2058">
        <f t="shared" si="135"/>
        <v>0.71428571428571153</v>
      </c>
      <c r="H514" s="2058">
        <f t="shared" si="135"/>
        <v>0.78571428571428215</v>
      </c>
      <c r="I514" s="2073" t="s">
        <v>5295</v>
      </c>
      <c r="J514" s="2208">
        <v>1.44444444444444</v>
      </c>
      <c r="K514" s="2208">
        <v>1.2222222222222201</v>
      </c>
      <c r="L514" s="2208">
        <v>0</v>
      </c>
      <c r="M514" s="2208">
        <v>1.2307692307692299</v>
      </c>
      <c r="N514" s="2208">
        <v>1.1111111111111101</v>
      </c>
      <c r="O514" s="2208">
        <v>1.2222222222222201</v>
      </c>
      <c r="P514" s="2387">
        <v>1.55555555555556</v>
      </c>
      <c r="Q514" s="2387">
        <f t="shared" ref="Q514:Q523" si="136">MIN(J514:O514)</f>
        <v>0</v>
      </c>
      <c r="R514" s="2180"/>
      <c r="S514" s="2388"/>
      <c r="T514" s="2388"/>
      <c r="U514" s="2389"/>
      <c r="V514" s="2388"/>
      <c r="W514" s="2388"/>
      <c r="X514" s="2388"/>
      <c r="Y514" s="1818"/>
      <c r="Z514" s="1818"/>
      <c r="AA514" s="1818"/>
      <c r="AB514" s="1818"/>
      <c r="AC514" s="1818"/>
      <c r="AD514" s="1818"/>
      <c r="AE514" s="1818"/>
      <c r="AF514" s="1818"/>
      <c r="AG514" s="1818"/>
      <c r="AH514" s="1818"/>
      <c r="AI514" s="1818"/>
      <c r="AJ514" s="1818"/>
      <c r="AK514" s="1818"/>
      <c r="AL514" s="1818"/>
      <c r="AM514" s="1818"/>
      <c r="AN514" s="1818"/>
      <c r="AO514" s="1818"/>
      <c r="AP514" s="1818"/>
      <c r="AQ514" s="1818"/>
      <c r="AR514" s="1818"/>
      <c r="AS514" s="1818"/>
      <c r="AT514" s="1818"/>
      <c r="AU514" s="1818"/>
      <c r="AV514" s="1818"/>
      <c r="AW514" s="1818"/>
      <c r="AX514" s="1818"/>
      <c r="AY514" s="1818"/>
      <c r="AZ514" s="1818"/>
      <c r="BA514" s="1818"/>
      <c r="BB514" s="1818"/>
      <c r="BC514" s="1818"/>
      <c r="BD514" s="1818"/>
      <c r="BE514" s="1818"/>
      <c r="BF514" s="1818"/>
      <c r="BG514" s="1818"/>
      <c r="BH514" s="1818"/>
      <c r="BI514" s="1818"/>
      <c r="BJ514" s="1818"/>
      <c r="BK514" s="1818"/>
      <c r="BL514" s="1818"/>
      <c r="BM514" s="1818"/>
      <c r="BN514" s="1818"/>
      <c r="BO514" s="1818"/>
      <c r="BP514" s="1818"/>
      <c r="BQ514" s="1818"/>
      <c r="BR514" s="1818"/>
      <c r="BS514" s="1818"/>
      <c r="BT514" s="1818"/>
      <c r="BU514" s="1818"/>
      <c r="BV514" s="1818"/>
      <c r="BW514" s="1818"/>
      <c r="BX514" s="1818"/>
      <c r="BY514" s="1818"/>
      <c r="BZ514" s="1818"/>
    </row>
    <row r="515" spans="1:78" s="1893" customFormat="1" ht="32.1" customHeight="1">
      <c r="A515" s="2504"/>
      <c r="B515" s="2057" t="s">
        <v>5258</v>
      </c>
      <c r="C515" s="2058">
        <f t="shared" si="135"/>
        <v>0.249999999999999</v>
      </c>
      <c r="D515" s="2058">
        <f t="shared" si="135"/>
        <v>0</v>
      </c>
      <c r="E515" s="2058">
        <f t="shared" si="135"/>
        <v>0.21999999999999939</v>
      </c>
      <c r="F515" s="2058">
        <f t="shared" si="135"/>
        <v>0.4749999999999982</v>
      </c>
      <c r="G515" s="2058">
        <f t="shared" si="135"/>
        <v>0.30249999999999905</v>
      </c>
      <c r="H515" s="2058">
        <f t="shared" si="135"/>
        <v>0.38499999999999879</v>
      </c>
      <c r="I515" s="2073" t="s">
        <v>5295</v>
      </c>
      <c r="J515" s="2208">
        <v>0.63636363636363602</v>
      </c>
      <c r="K515" s="2208">
        <v>0.33333333333333298</v>
      </c>
      <c r="L515" s="2208">
        <v>0.6</v>
      </c>
      <c r="M515" s="2208">
        <v>0.90909090909090895</v>
      </c>
      <c r="N515" s="2208">
        <v>0.7</v>
      </c>
      <c r="O515" s="2208">
        <v>0.8</v>
      </c>
      <c r="P515" s="2387">
        <v>1.5454545454545501</v>
      </c>
      <c r="Q515" s="2387">
        <f t="shared" si="136"/>
        <v>0.33333333333333298</v>
      </c>
      <c r="R515" s="2180"/>
      <c r="S515" s="2388"/>
      <c r="T515" s="2388"/>
      <c r="U515" s="2389"/>
      <c r="V515" s="2388"/>
      <c r="W515" s="2388"/>
      <c r="X515" s="2388"/>
      <c r="Y515" s="1818"/>
      <c r="Z515" s="1818"/>
      <c r="AA515" s="1818"/>
      <c r="AB515" s="1818"/>
      <c r="AC515" s="1818"/>
      <c r="AD515" s="1818"/>
      <c r="AE515" s="1818"/>
      <c r="AF515" s="1818"/>
      <c r="AG515" s="1818"/>
      <c r="AH515" s="1818"/>
      <c r="AI515" s="1818"/>
      <c r="AJ515" s="1818"/>
      <c r="AK515" s="1818"/>
      <c r="AL515" s="1818"/>
      <c r="AM515" s="1818"/>
      <c r="AN515" s="1818"/>
      <c r="AO515" s="1818"/>
      <c r="AP515" s="1818"/>
      <c r="AQ515" s="1818"/>
      <c r="AR515" s="1818"/>
      <c r="AS515" s="1818"/>
      <c r="AT515" s="1818"/>
      <c r="AU515" s="1818"/>
      <c r="AV515" s="1818"/>
      <c r="AW515" s="1818"/>
      <c r="AX515" s="1818"/>
      <c r="AY515" s="1818"/>
      <c r="AZ515" s="1818"/>
      <c r="BA515" s="1818"/>
      <c r="BB515" s="1818"/>
      <c r="BC515" s="1818"/>
      <c r="BD515" s="1818"/>
      <c r="BE515" s="1818"/>
      <c r="BF515" s="1818"/>
      <c r="BG515" s="1818"/>
      <c r="BH515" s="1818"/>
      <c r="BI515" s="1818"/>
      <c r="BJ515" s="1818"/>
      <c r="BK515" s="1818"/>
      <c r="BL515" s="1818"/>
      <c r="BM515" s="1818"/>
      <c r="BN515" s="1818"/>
      <c r="BO515" s="1818"/>
      <c r="BP515" s="1818"/>
      <c r="BQ515" s="1818"/>
      <c r="BR515" s="1818"/>
      <c r="BS515" s="1818"/>
      <c r="BT515" s="1818"/>
      <c r="BU515" s="1818"/>
      <c r="BV515" s="1818"/>
      <c r="BW515" s="1818"/>
      <c r="BX515" s="1818"/>
      <c r="BY515" s="1818"/>
      <c r="BZ515" s="1818"/>
    </row>
    <row r="516" spans="1:78" s="1893" customFormat="1" ht="32.1" customHeight="1">
      <c r="A516" s="2504"/>
      <c r="B516" s="2057" t="s">
        <v>5259</v>
      </c>
      <c r="C516" s="2058">
        <f t="shared" si="135"/>
        <v>0</v>
      </c>
      <c r="D516" s="2058">
        <f t="shared" si="135"/>
        <v>0.10752688172042908</v>
      </c>
      <c r="E516" s="2058">
        <f t="shared" si="135"/>
        <v>5.3763440860214576E-2</v>
      </c>
      <c r="F516" s="2058">
        <f t="shared" si="135"/>
        <v>1</v>
      </c>
      <c r="G516" s="2058">
        <f t="shared" si="135"/>
        <v>0</v>
      </c>
      <c r="H516" s="2058">
        <f t="shared" si="135"/>
        <v>0.40860215053763416</v>
      </c>
      <c r="I516" s="2073" t="s">
        <v>5295</v>
      </c>
      <c r="J516" s="2208">
        <v>0.45454545454545497</v>
      </c>
      <c r="K516" s="2208">
        <v>0.54545454545454497</v>
      </c>
      <c r="L516" s="2208">
        <v>0.5</v>
      </c>
      <c r="M516" s="2208">
        <v>1.63636363636364</v>
      </c>
      <c r="N516" s="2208">
        <v>0.45454545454545497</v>
      </c>
      <c r="O516" s="2208">
        <v>0.8</v>
      </c>
      <c r="P516" s="2387">
        <v>1.3</v>
      </c>
      <c r="Q516" s="2387">
        <f t="shared" si="136"/>
        <v>0.45454545454545497</v>
      </c>
      <c r="R516" s="2180"/>
      <c r="S516" s="2388"/>
      <c r="T516" s="2388"/>
      <c r="U516" s="2389"/>
      <c r="V516" s="2388"/>
      <c r="W516" s="2388"/>
      <c r="X516" s="2388"/>
      <c r="Y516" s="1818"/>
      <c r="Z516" s="1818"/>
      <c r="AA516" s="1818"/>
      <c r="AB516" s="1818"/>
      <c r="AC516" s="1818"/>
      <c r="AD516" s="1818"/>
      <c r="AE516" s="1818"/>
      <c r="AF516" s="1818"/>
      <c r="AG516" s="1818"/>
      <c r="AH516" s="1818"/>
      <c r="AI516" s="1818"/>
      <c r="AJ516" s="1818"/>
      <c r="AK516" s="1818"/>
      <c r="AL516" s="1818"/>
      <c r="AM516" s="1818"/>
      <c r="AN516" s="1818"/>
      <c r="AO516" s="1818"/>
      <c r="AP516" s="1818"/>
      <c r="AQ516" s="1818"/>
      <c r="AR516" s="1818"/>
      <c r="AS516" s="1818"/>
      <c r="AT516" s="1818"/>
      <c r="AU516" s="1818"/>
      <c r="AV516" s="1818"/>
      <c r="AW516" s="1818"/>
      <c r="AX516" s="1818"/>
      <c r="AY516" s="1818"/>
      <c r="AZ516" s="1818"/>
      <c r="BA516" s="1818"/>
      <c r="BB516" s="1818"/>
      <c r="BC516" s="1818"/>
      <c r="BD516" s="1818"/>
      <c r="BE516" s="1818"/>
      <c r="BF516" s="1818"/>
      <c r="BG516" s="1818"/>
      <c r="BH516" s="1818"/>
      <c r="BI516" s="1818"/>
      <c r="BJ516" s="1818"/>
      <c r="BK516" s="1818"/>
      <c r="BL516" s="1818"/>
      <c r="BM516" s="1818"/>
      <c r="BN516" s="1818"/>
      <c r="BO516" s="1818"/>
      <c r="BP516" s="1818"/>
      <c r="BQ516" s="1818"/>
      <c r="BR516" s="1818"/>
      <c r="BS516" s="1818"/>
      <c r="BT516" s="1818"/>
      <c r="BU516" s="1818"/>
      <c r="BV516" s="1818"/>
      <c r="BW516" s="1818"/>
      <c r="BX516" s="1818"/>
      <c r="BY516" s="1818"/>
      <c r="BZ516" s="1818"/>
    </row>
    <row r="517" spans="1:78" s="1893" customFormat="1" ht="32.1" customHeight="1">
      <c r="A517" s="2504"/>
      <c r="B517" s="2057" t="s">
        <v>5260</v>
      </c>
      <c r="C517" s="2058">
        <f t="shared" si="135"/>
        <v>0.85294117647058887</v>
      </c>
      <c r="D517" s="2058">
        <f t="shared" si="135"/>
        <v>0.66911764705882315</v>
      </c>
      <c r="E517" s="2058">
        <f t="shared" si="135"/>
        <v>0</v>
      </c>
      <c r="F517" s="2058">
        <f t="shared" si="135"/>
        <v>0.91946778711484356</v>
      </c>
      <c r="G517" s="2058">
        <f t="shared" si="135"/>
        <v>0.90196078431372806</v>
      </c>
      <c r="H517" s="2058">
        <f t="shared" si="135"/>
        <v>0.65686274509803833</v>
      </c>
      <c r="I517" s="2073" t="s">
        <v>5295</v>
      </c>
      <c r="J517" s="2208">
        <v>1.5384615384615401</v>
      </c>
      <c r="K517" s="2208">
        <v>1.25</v>
      </c>
      <c r="L517" s="2208">
        <v>0.2</v>
      </c>
      <c r="M517" s="2208">
        <v>1.6428571428571399</v>
      </c>
      <c r="N517" s="2208">
        <v>1.6153846153846201</v>
      </c>
      <c r="O517" s="2208">
        <v>1.2307692307692299</v>
      </c>
      <c r="P517" s="2387">
        <v>1.7692307692307701</v>
      </c>
      <c r="Q517" s="2387">
        <f t="shared" si="136"/>
        <v>0.2</v>
      </c>
      <c r="R517" s="2180"/>
      <c r="S517" s="2388"/>
      <c r="T517" s="2388"/>
      <c r="U517" s="2389"/>
      <c r="V517" s="2388"/>
      <c r="W517" s="2388"/>
      <c r="X517" s="2388"/>
      <c r="Y517" s="1818"/>
      <c r="Z517" s="1818"/>
      <c r="AA517" s="1818"/>
      <c r="AB517" s="1818"/>
      <c r="AC517" s="1818"/>
      <c r="AD517" s="1818"/>
      <c r="AE517" s="1818"/>
      <c r="AF517" s="1818"/>
      <c r="AG517" s="1818"/>
      <c r="AH517" s="1818"/>
      <c r="AI517" s="1818"/>
      <c r="AJ517" s="1818"/>
      <c r="AK517" s="1818"/>
      <c r="AL517" s="1818"/>
      <c r="AM517" s="1818"/>
      <c r="AN517" s="1818"/>
      <c r="AO517" s="1818"/>
      <c r="AP517" s="1818"/>
      <c r="AQ517" s="1818"/>
      <c r="AR517" s="1818"/>
      <c r="AS517" s="1818"/>
      <c r="AT517" s="1818"/>
      <c r="AU517" s="1818"/>
      <c r="AV517" s="1818"/>
      <c r="AW517" s="1818"/>
      <c r="AX517" s="1818"/>
      <c r="AY517" s="1818"/>
      <c r="AZ517" s="1818"/>
      <c r="BA517" s="1818"/>
      <c r="BB517" s="1818"/>
      <c r="BC517" s="1818"/>
      <c r="BD517" s="1818"/>
      <c r="BE517" s="1818"/>
      <c r="BF517" s="1818"/>
      <c r="BG517" s="1818"/>
      <c r="BH517" s="1818"/>
      <c r="BI517" s="1818"/>
      <c r="BJ517" s="1818"/>
      <c r="BK517" s="1818"/>
      <c r="BL517" s="1818"/>
      <c r="BM517" s="1818"/>
      <c r="BN517" s="1818"/>
      <c r="BO517" s="1818"/>
      <c r="BP517" s="1818"/>
      <c r="BQ517" s="1818"/>
      <c r="BR517" s="1818"/>
      <c r="BS517" s="1818"/>
      <c r="BT517" s="1818"/>
      <c r="BU517" s="1818"/>
      <c r="BV517" s="1818"/>
      <c r="BW517" s="1818"/>
      <c r="BX517" s="1818"/>
      <c r="BY517" s="1818"/>
      <c r="BZ517" s="1818"/>
    </row>
    <row r="518" spans="1:78" s="1893" customFormat="1" ht="32.1" customHeight="1">
      <c r="A518" s="2504"/>
      <c r="B518" s="2057" t="s">
        <v>5261</v>
      </c>
      <c r="C518" s="2058">
        <f t="shared" si="135"/>
        <v>3.2967032967032468E-2</v>
      </c>
      <c r="D518" s="2058">
        <f t="shared" si="135"/>
        <v>0.34285714285714186</v>
      </c>
      <c r="E518" s="2058">
        <f t="shared" si="135"/>
        <v>0</v>
      </c>
      <c r="F518" s="2058">
        <f t="shared" si="135"/>
        <v>1</v>
      </c>
      <c r="G518" s="2058">
        <f t="shared" si="135"/>
        <v>0.50649350649350422</v>
      </c>
      <c r="H518" s="2058">
        <f t="shared" si="135"/>
        <v>0.66233766233765812</v>
      </c>
      <c r="I518" s="2073" t="s">
        <v>5295</v>
      </c>
      <c r="J518" s="2208">
        <v>0.53846153846153799</v>
      </c>
      <c r="K518" s="2208">
        <v>0.9</v>
      </c>
      <c r="L518" s="2208">
        <v>0.5</v>
      </c>
      <c r="M518" s="2208">
        <v>1.84615384615385</v>
      </c>
      <c r="N518" s="2208">
        <v>1.0909090909090899</v>
      </c>
      <c r="O518" s="2208">
        <v>1.27272727272727</v>
      </c>
      <c r="P518" s="2387">
        <v>1.6666666666666701</v>
      </c>
      <c r="Q518" s="2387">
        <f t="shared" si="136"/>
        <v>0.5</v>
      </c>
      <c r="R518" s="2180"/>
      <c r="S518" s="2388"/>
      <c r="T518" s="2388"/>
      <c r="U518" s="2389"/>
      <c r="V518" s="2388"/>
      <c r="W518" s="2388"/>
      <c r="X518" s="2388"/>
      <c r="Y518" s="1818"/>
      <c r="Z518" s="1818"/>
      <c r="AA518" s="1818"/>
      <c r="AB518" s="1818"/>
      <c r="AC518" s="1818"/>
      <c r="AD518" s="1818"/>
      <c r="AE518" s="1818"/>
      <c r="AF518" s="1818"/>
      <c r="AG518" s="1818"/>
      <c r="AH518" s="1818"/>
      <c r="AI518" s="1818"/>
      <c r="AJ518" s="1818"/>
      <c r="AK518" s="1818"/>
      <c r="AL518" s="1818"/>
      <c r="AM518" s="1818"/>
      <c r="AN518" s="1818"/>
      <c r="AO518" s="1818"/>
      <c r="AP518" s="1818"/>
      <c r="AQ518" s="1818"/>
      <c r="AR518" s="1818"/>
      <c r="AS518" s="1818"/>
      <c r="AT518" s="1818"/>
      <c r="AU518" s="1818"/>
      <c r="AV518" s="1818"/>
      <c r="AW518" s="1818"/>
      <c r="AX518" s="1818"/>
      <c r="AY518" s="1818"/>
      <c r="AZ518" s="1818"/>
      <c r="BA518" s="1818"/>
      <c r="BB518" s="1818"/>
      <c r="BC518" s="1818"/>
      <c r="BD518" s="1818"/>
      <c r="BE518" s="1818"/>
      <c r="BF518" s="1818"/>
      <c r="BG518" s="1818"/>
      <c r="BH518" s="1818"/>
      <c r="BI518" s="1818"/>
      <c r="BJ518" s="1818"/>
      <c r="BK518" s="1818"/>
      <c r="BL518" s="1818"/>
      <c r="BM518" s="1818"/>
      <c r="BN518" s="1818"/>
      <c r="BO518" s="1818"/>
      <c r="BP518" s="1818"/>
      <c r="BQ518" s="1818"/>
      <c r="BR518" s="1818"/>
      <c r="BS518" s="1818"/>
      <c r="BT518" s="1818"/>
      <c r="BU518" s="1818"/>
      <c r="BV518" s="1818"/>
      <c r="BW518" s="1818"/>
      <c r="BX518" s="1818"/>
      <c r="BY518" s="1818"/>
      <c r="BZ518" s="1818"/>
    </row>
    <row r="519" spans="1:78" s="1893" customFormat="1" ht="32.1" customHeight="1">
      <c r="A519" s="2504"/>
      <c r="B519" s="2057" t="s">
        <v>5262</v>
      </c>
      <c r="C519" s="2058">
        <f t="shared" si="135"/>
        <v>0.39215686274509831</v>
      </c>
      <c r="D519" s="2058">
        <f t="shared" si="135"/>
        <v>0.20588235294117668</v>
      </c>
      <c r="E519" s="2058">
        <f t="shared" si="135"/>
        <v>0</v>
      </c>
      <c r="F519" s="2058">
        <f t="shared" si="135"/>
        <v>1</v>
      </c>
      <c r="G519" s="2058">
        <f t="shared" si="135"/>
        <v>0.15686274509803977</v>
      </c>
      <c r="H519" s="2058">
        <f t="shared" si="135"/>
        <v>0.38235294117647073</v>
      </c>
      <c r="I519" s="2073" t="s">
        <v>5295</v>
      </c>
      <c r="J519" s="2208">
        <v>0.88888888888888895</v>
      </c>
      <c r="K519" s="2208">
        <v>0.625</v>
      </c>
      <c r="L519" s="2208">
        <v>0.33333333333333298</v>
      </c>
      <c r="M519" s="2208">
        <v>1.7777777777777799</v>
      </c>
      <c r="N519" s="2208">
        <v>0.55555555555555602</v>
      </c>
      <c r="O519" s="2208">
        <v>0.875</v>
      </c>
      <c r="P519" s="2387">
        <v>1.75</v>
      </c>
      <c r="Q519" s="2387">
        <f t="shared" si="136"/>
        <v>0.33333333333333298</v>
      </c>
      <c r="R519" s="2180"/>
      <c r="S519" s="2388"/>
      <c r="T519" s="2388"/>
      <c r="U519" s="2389"/>
      <c r="V519" s="2388"/>
      <c r="W519" s="2388"/>
      <c r="X519" s="2388"/>
      <c r="Y519" s="1818"/>
      <c r="Z519" s="1818"/>
      <c r="AA519" s="1818"/>
      <c r="AB519" s="1818"/>
      <c r="AC519" s="1818"/>
      <c r="AD519" s="1818"/>
      <c r="AE519" s="1818"/>
      <c r="AF519" s="1818"/>
      <c r="AG519" s="1818"/>
      <c r="AH519" s="1818"/>
      <c r="AI519" s="1818"/>
      <c r="AJ519" s="1818"/>
      <c r="AK519" s="1818"/>
      <c r="AL519" s="1818"/>
      <c r="AM519" s="1818"/>
      <c r="AN519" s="1818"/>
      <c r="AO519" s="1818"/>
      <c r="AP519" s="1818"/>
      <c r="AQ519" s="1818"/>
      <c r="AR519" s="1818"/>
      <c r="AS519" s="1818"/>
      <c r="AT519" s="1818"/>
      <c r="AU519" s="1818"/>
      <c r="AV519" s="1818"/>
      <c r="AW519" s="1818"/>
      <c r="AX519" s="1818"/>
      <c r="AY519" s="1818"/>
      <c r="AZ519" s="1818"/>
      <c r="BA519" s="1818"/>
      <c r="BB519" s="1818"/>
      <c r="BC519" s="1818"/>
      <c r="BD519" s="1818"/>
      <c r="BE519" s="1818"/>
      <c r="BF519" s="1818"/>
      <c r="BG519" s="1818"/>
      <c r="BH519" s="1818"/>
      <c r="BI519" s="1818"/>
      <c r="BJ519" s="1818"/>
      <c r="BK519" s="1818"/>
      <c r="BL519" s="1818"/>
      <c r="BM519" s="1818"/>
      <c r="BN519" s="1818"/>
      <c r="BO519" s="1818"/>
      <c r="BP519" s="1818"/>
      <c r="BQ519" s="1818"/>
      <c r="BR519" s="1818"/>
      <c r="BS519" s="1818"/>
      <c r="BT519" s="1818"/>
      <c r="BU519" s="1818"/>
      <c r="BV519" s="1818"/>
      <c r="BW519" s="1818"/>
      <c r="BX519" s="1818"/>
      <c r="BY519" s="1818"/>
      <c r="BZ519" s="1818"/>
    </row>
    <row r="520" spans="1:78" s="1893" customFormat="1" ht="32.1" customHeight="1">
      <c r="A520" s="2504"/>
      <c r="B520" s="2057" t="s">
        <v>5263</v>
      </c>
      <c r="C520" s="2058">
        <f t="shared" si="135"/>
        <v>8.3667719627760675E-3</v>
      </c>
      <c r="D520" s="2058">
        <f t="shared" si="135"/>
        <v>0.40469279148524701</v>
      </c>
      <c r="E520" s="2058">
        <f t="shared" si="135"/>
        <v>0</v>
      </c>
      <c r="F520" s="2058">
        <f t="shared" si="135"/>
        <v>0.88807308119183259</v>
      </c>
      <c r="G520" s="2058">
        <f t="shared" si="135"/>
        <v>0.23222060957909973</v>
      </c>
      <c r="H520" s="2058">
        <f t="shared" si="135"/>
        <v>0.30343492985002352</v>
      </c>
      <c r="I520" s="2073" t="s">
        <v>5295</v>
      </c>
      <c r="J520" s="2208">
        <v>0.61764705882352899</v>
      </c>
      <c r="K520" s="2208">
        <v>1.0416666666666701</v>
      </c>
      <c r="L520" s="2208">
        <v>0.60869565217391297</v>
      </c>
      <c r="M520" s="2208">
        <v>1.5588235294117601</v>
      </c>
      <c r="N520" s="2208">
        <v>0.85714285714285698</v>
      </c>
      <c r="O520" s="2208">
        <v>0.93333333333333302</v>
      </c>
      <c r="P520" s="2387">
        <v>1.6785714285714299</v>
      </c>
      <c r="Q520" s="2387">
        <f t="shared" si="136"/>
        <v>0.60869565217391297</v>
      </c>
      <c r="R520" s="2180"/>
      <c r="S520" s="2388"/>
      <c r="T520" s="2388"/>
      <c r="U520" s="2389"/>
      <c r="V520" s="2388"/>
      <c r="W520" s="2388"/>
      <c r="X520" s="2388"/>
      <c r="Y520" s="1818"/>
      <c r="Z520" s="1818"/>
      <c r="AA520" s="1818"/>
      <c r="AB520" s="1818"/>
      <c r="AC520" s="1818"/>
      <c r="AD520" s="1818"/>
      <c r="AE520" s="1818"/>
      <c r="AF520" s="1818"/>
      <c r="AG520" s="1818"/>
      <c r="AH520" s="1818"/>
      <c r="AI520" s="1818"/>
      <c r="AJ520" s="1818"/>
      <c r="AK520" s="1818"/>
      <c r="AL520" s="1818"/>
      <c r="AM520" s="1818"/>
      <c r="AN520" s="1818"/>
      <c r="AO520" s="1818"/>
      <c r="AP520" s="1818"/>
      <c r="AQ520" s="1818"/>
      <c r="AR520" s="1818"/>
      <c r="AS520" s="1818"/>
      <c r="AT520" s="1818"/>
      <c r="AU520" s="1818"/>
      <c r="AV520" s="1818"/>
      <c r="AW520" s="1818"/>
      <c r="AX520" s="1818"/>
      <c r="AY520" s="1818"/>
      <c r="AZ520" s="1818"/>
      <c r="BA520" s="1818"/>
      <c r="BB520" s="1818"/>
      <c r="BC520" s="1818"/>
      <c r="BD520" s="1818"/>
      <c r="BE520" s="1818"/>
      <c r="BF520" s="1818"/>
      <c r="BG520" s="1818"/>
      <c r="BH520" s="1818"/>
      <c r="BI520" s="1818"/>
      <c r="BJ520" s="1818"/>
      <c r="BK520" s="1818"/>
      <c r="BL520" s="1818"/>
      <c r="BM520" s="1818"/>
      <c r="BN520" s="1818"/>
      <c r="BO520" s="1818"/>
      <c r="BP520" s="1818"/>
      <c r="BQ520" s="1818"/>
      <c r="BR520" s="1818"/>
      <c r="BS520" s="1818"/>
      <c r="BT520" s="1818"/>
      <c r="BU520" s="1818"/>
      <c r="BV520" s="1818"/>
      <c r="BW520" s="1818"/>
      <c r="BX520" s="1818"/>
      <c r="BY520" s="1818"/>
      <c r="BZ520" s="1818"/>
    </row>
    <row r="521" spans="1:78" s="1893" customFormat="1" ht="32.1" customHeight="1">
      <c r="A521" s="2504"/>
      <c r="B521" s="2057" t="s">
        <v>5264</v>
      </c>
      <c r="C521" s="2058">
        <f t="shared" si="135"/>
        <v>0.57142857142856973</v>
      </c>
      <c r="D521" s="2058">
        <f t="shared" si="135"/>
        <v>0.58928571428571397</v>
      </c>
      <c r="E521" s="2058">
        <f t="shared" si="135"/>
        <v>0</v>
      </c>
      <c r="F521" s="2058">
        <f t="shared" si="135"/>
        <v>1</v>
      </c>
      <c r="G521" s="2058">
        <f t="shared" si="135"/>
        <v>0.42857142857142838</v>
      </c>
      <c r="H521" s="2058">
        <f t="shared" si="135"/>
        <v>0.78571428571428814</v>
      </c>
      <c r="I521" s="2073" t="s">
        <v>5295</v>
      </c>
      <c r="J521" s="2208">
        <v>1.2222222222222201</v>
      </c>
      <c r="K521" s="2208">
        <v>1.25</v>
      </c>
      <c r="L521" s="2208">
        <v>0.33333333333333298</v>
      </c>
      <c r="M521" s="2208">
        <v>1.8888888888888899</v>
      </c>
      <c r="N521" s="2208">
        <v>1</v>
      </c>
      <c r="O521" s="2208">
        <v>1.55555555555556</v>
      </c>
      <c r="P521" s="2387">
        <v>1.8888888888888899</v>
      </c>
      <c r="Q521" s="2387">
        <f t="shared" si="136"/>
        <v>0.33333333333333298</v>
      </c>
      <c r="R521" s="2180"/>
      <c r="S521" s="2388"/>
      <c r="T521" s="2388"/>
      <c r="U521" s="2389"/>
      <c r="V521" s="2388"/>
      <c r="W521" s="2388"/>
      <c r="X521" s="2388"/>
      <c r="Y521" s="1818"/>
      <c r="Z521" s="1818"/>
      <c r="AA521" s="1818"/>
      <c r="AB521" s="1818"/>
      <c r="AC521" s="1818"/>
      <c r="AD521" s="1818"/>
      <c r="AE521" s="1818"/>
      <c r="AF521" s="1818"/>
      <c r="AG521" s="1818"/>
      <c r="AH521" s="1818"/>
      <c r="AI521" s="1818"/>
      <c r="AJ521" s="1818"/>
      <c r="AK521" s="1818"/>
      <c r="AL521" s="1818"/>
      <c r="AM521" s="1818"/>
      <c r="AN521" s="1818"/>
      <c r="AO521" s="1818"/>
      <c r="AP521" s="1818"/>
      <c r="AQ521" s="1818"/>
      <c r="AR521" s="1818"/>
      <c r="AS521" s="1818"/>
      <c r="AT521" s="1818"/>
      <c r="AU521" s="1818"/>
      <c r="AV521" s="1818"/>
      <c r="AW521" s="1818"/>
      <c r="AX521" s="1818"/>
      <c r="AY521" s="1818"/>
      <c r="AZ521" s="1818"/>
      <c r="BA521" s="1818"/>
      <c r="BB521" s="1818"/>
      <c r="BC521" s="1818"/>
      <c r="BD521" s="1818"/>
      <c r="BE521" s="1818"/>
      <c r="BF521" s="1818"/>
      <c r="BG521" s="1818"/>
      <c r="BH521" s="1818"/>
      <c r="BI521" s="1818"/>
      <c r="BJ521" s="1818"/>
      <c r="BK521" s="1818"/>
      <c r="BL521" s="1818"/>
      <c r="BM521" s="1818"/>
      <c r="BN521" s="1818"/>
      <c r="BO521" s="1818"/>
      <c r="BP521" s="1818"/>
      <c r="BQ521" s="1818"/>
      <c r="BR521" s="1818"/>
      <c r="BS521" s="1818"/>
      <c r="BT521" s="1818"/>
      <c r="BU521" s="1818"/>
      <c r="BV521" s="1818"/>
      <c r="BW521" s="1818"/>
      <c r="BX521" s="1818"/>
      <c r="BY521" s="1818"/>
      <c r="BZ521" s="1818"/>
    </row>
    <row r="522" spans="1:78" s="1893" customFormat="1" ht="32.1" customHeight="1">
      <c r="A522" s="2504"/>
      <c r="B522" s="2057" t="s">
        <v>5265</v>
      </c>
      <c r="C522" s="2058">
        <f t="shared" si="135"/>
        <v>0.28055555555555411</v>
      </c>
      <c r="D522" s="2058">
        <f t="shared" si="135"/>
        <v>0</v>
      </c>
      <c r="E522" s="2058">
        <f t="shared" si="135"/>
        <v>9.9415204678361582E-2</v>
      </c>
      <c r="F522" s="2058">
        <f t="shared" si="135"/>
        <v>0.72222222222222077</v>
      </c>
      <c r="G522" s="2058">
        <f t="shared" si="135"/>
        <v>0.63055555555555298</v>
      </c>
      <c r="H522" s="2058">
        <f t="shared" si="135"/>
        <v>0.77777777777777912</v>
      </c>
      <c r="I522" s="2073" t="s">
        <v>5295</v>
      </c>
      <c r="J522" s="2208">
        <v>1.05</v>
      </c>
      <c r="K522" s="2208">
        <v>0.80952380952380998</v>
      </c>
      <c r="L522" s="2208">
        <v>0.89473684210526305</v>
      </c>
      <c r="M522" s="2208">
        <v>1.4285714285714299</v>
      </c>
      <c r="N522" s="2208">
        <v>1.35</v>
      </c>
      <c r="O522" s="2208">
        <v>1.47619047619048</v>
      </c>
      <c r="P522" s="2387">
        <v>1.6666666666666701</v>
      </c>
      <c r="Q522" s="2387">
        <f t="shared" si="136"/>
        <v>0.80952380952380998</v>
      </c>
      <c r="R522" s="2180"/>
      <c r="S522" s="2388"/>
      <c r="T522" s="2388"/>
      <c r="U522" s="2389"/>
      <c r="V522" s="2388"/>
      <c r="W522" s="2388"/>
      <c r="X522" s="2388"/>
      <c r="Y522" s="1818"/>
      <c r="Z522" s="1818"/>
      <c r="AA522" s="1818"/>
      <c r="AB522" s="1818"/>
      <c r="AC522" s="1818"/>
      <c r="AD522" s="1818"/>
      <c r="AE522" s="1818"/>
      <c r="AF522" s="1818"/>
      <c r="AG522" s="1818"/>
      <c r="AH522" s="1818"/>
      <c r="AI522" s="1818"/>
      <c r="AJ522" s="1818"/>
      <c r="AK522" s="1818"/>
      <c r="AL522" s="1818"/>
      <c r="AM522" s="1818"/>
      <c r="AN522" s="1818"/>
      <c r="AO522" s="1818"/>
      <c r="AP522" s="1818"/>
      <c r="AQ522" s="1818"/>
      <c r="AR522" s="1818"/>
      <c r="AS522" s="1818"/>
      <c r="AT522" s="1818"/>
      <c r="AU522" s="1818"/>
      <c r="AV522" s="1818"/>
      <c r="AW522" s="1818"/>
      <c r="AX522" s="1818"/>
      <c r="AY522" s="1818"/>
      <c r="AZ522" s="1818"/>
      <c r="BA522" s="1818"/>
      <c r="BB522" s="1818"/>
      <c r="BC522" s="1818"/>
      <c r="BD522" s="1818"/>
      <c r="BE522" s="1818"/>
      <c r="BF522" s="1818"/>
      <c r="BG522" s="1818"/>
      <c r="BH522" s="1818"/>
      <c r="BI522" s="1818"/>
      <c r="BJ522" s="1818"/>
      <c r="BK522" s="1818"/>
      <c r="BL522" s="1818"/>
      <c r="BM522" s="1818"/>
      <c r="BN522" s="1818"/>
      <c r="BO522" s="1818"/>
      <c r="BP522" s="1818"/>
      <c r="BQ522" s="1818"/>
      <c r="BR522" s="1818"/>
      <c r="BS522" s="1818"/>
      <c r="BT522" s="1818"/>
      <c r="BU522" s="1818"/>
      <c r="BV522" s="1818"/>
      <c r="BW522" s="1818"/>
      <c r="BX522" s="1818"/>
      <c r="BY522" s="1818"/>
      <c r="BZ522" s="1818"/>
    </row>
    <row r="523" spans="1:78" s="1893" customFormat="1" ht="32.1" customHeight="1">
      <c r="A523" s="2504"/>
      <c r="B523" s="2057" t="s">
        <v>5266</v>
      </c>
      <c r="C523" s="2058">
        <f t="shared" si="135"/>
        <v>0.69999999999999918</v>
      </c>
      <c r="D523" s="2058">
        <f t="shared" si="135"/>
        <v>0.50000000000000322</v>
      </c>
      <c r="E523" s="2058">
        <f t="shared" si="135"/>
        <v>0</v>
      </c>
      <c r="F523" s="2058">
        <f t="shared" si="135"/>
        <v>0.91249999999999998</v>
      </c>
      <c r="G523" s="2058">
        <f t="shared" si="135"/>
        <v>0.39999999999999813</v>
      </c>
      <c r="H523" s="2058">
        <f t="shared" si="135"/>
        <v>0.30000000000000021</v>
      </c>
      <c r="I523" s="2073" t="s">
        <v>5295</v>
      </c>
      <c r="J523" s="2208">
        <v>1.5714285714285701</v>
      </c>
      <c r="K523" s="2208">
        <v>1.28571428571429</v>
      </c>
      <c r="L523" s="2208">
        <v>0.57142857142857095</v>
      </c>
      <c r="M523" s="2208">
        <v>1.875</v>
      </c>
      <c r="N523" s="2208">
        <v>1.1428571428571399</v>
      </c>
      <c r="O523" s="2208">
        <v>1</v>
      </c>
      <c r="P523" s="2387">
        <v>2</v>
      </c>
      <c r="Q523" s="2387">
        <f t="shared" si="136"/>
        <v>0.57142857142857095</v>
      </c>
      <c r="R523" s="2180"/>
      <c r="S523" s="2388"/>
      <c r="T523" s="2388"/>
      <c r="U523" s="2389"/>
      <c r="V523" s="2388"/>
      <c r="W523" s="2388"/>
      <c r="X523" s="2388"/>
      <c r="Y523" s="1818"/>
      <c r="Z523" s="1818"/>
      <c r="AA523" s="1818"/>
      <c r="AB523" s="1818"/>
      <c r="AC523" s="1818"/>
      <c r="AD523" s="1818"/>
      <c r="AE523" s="1818"/>
      <c r="AF523" s="1818"/>
      <c r="AG523" s="1818"/>
      <c r="AH523" s="1818"/>
      <c r="AI523" s="1818"/>
      <c r="AJ523" s="1818"/>
      <c r="AK523" s="1818"/>
      <c r="AL523" s="1818"/>
      <c r="AM523" s="1818"/>
      <c r="AN523" s="1818"/>
      <c r="AO523" s="1818"/>
      <c r="AP523" s="1818"/>
      <c r="AQ523" s="1818"/>
      <c r="AR523" s="1818"/>
      <c r="AS523" s="1818"/>
      <c r="AT523" s="1818"/>
      <c r="AU523" s="1818"/>
      <c r="AV523" s="1818"/>
      <c r="AW523" s="1818"/>
      <c r="AX523" s="1818"/>
      <c r="AY523" s="1818"/>
      <c r="AZ523" s="1818"/>
      <c r="BA523" s="1818"/>
      <c r="BB523" s="1818"/>
      <c r="BC523" s="1818"/>
      <c r="BD523" s="1818"/>
      <c r="BE523" s="1818"/>
      <c r="BF523" s="1818"/>
      <c r="BG523" s="1818"/>
      <c r="BH523" s="1818"/>
      <c r="BI523" s="1818"/>
      <c r="BJ523" s="1818"/>
      <c r="BK523" s="1818"/>
      <c r="BL523" s="1818"/>
      <c r="BM523" s="1818"/>
      <c r="BN523" s="1818"/>
      <c r="BO523" s="1818"/>
      <c r="BP523" s="1818"/>
      <c r="BQ523" s="1818"/>
      <c r="BR523" s="1818"/>
      <c r="BS523" s="1818"/>
      <c r="BT523" s="1818"/>
      <c r="BU523" s="1818"/>
      <c r="BV523" s="1818"/>
      <c r="BW523" s="1818"/>
      <c r="BX523" s="1818"/>
      <c r="BY523" s="1818"/>
      <c r="BZ523" s="1818"/>
    </row>
    <row r="524" spans="1:78" ht="116.1" customHeight="1">
      <c r="A524" s="1899"/>
      <c r="B524" s="1843" t="s">
        <v>6744</v>
      </c>
      <c r="C524" s="1808">
        <v>1</v>
      </c>
      <c r="D524" s="1846">
        <v>0.5</v>
      </c>
      <c r="E524" s="2212">
        <v>0.5</v>
      </c>
      <c r="F524" s="1870">
        <v>1</v>
      </c>
      <c r="G524" s="1848">
        <v>0.5</v>
      </c>
      <c r="H524" s="1870">
        <v>1</v>
      </c>
      <c r="I524" s="2073" t="s">
        <v>596</v>
      </c>
      <c r="J524" s="1794">
        <v>1</v>
      </c>
      <c r="K524" s="1794" t="s">
        <v>2462</v>
      </c>
      <c r="L524" s="2225">
        <v>0.5</v>
      </c>
      <c r="M524" s="1999">
        <v>1</v>
      </c>
      <c r="N524" s="1917" t="s">
        <v>2411</v>
      </c>
      <c r="O524" s="1917" t="s">
        <v>8882</v>
      </c>
      <c r="P524" s="1917">
        <v>1</v>
      </c>
      <c r="Q524" s="1917">
        <v>0</v>
      </c>
      <c r="R524" s="2178"/>
      <c r="S524" s="1794"/>
      <c r="T524" s="1917" t="s">
        <v>9153</v>
      </c>
      <c r="U524" s="2265" t="s">
        <v>7335</v>
      </c>
      <c r="V524" s="1935"/>
      <c r="W524" s="1917"/>
      <c r="X524" s="1917" t="s">
        <v>8882</v>
      </c>
    </row>
    <row r="525" spans="1:78" ht="32.1" customHeight="1">
      <c r="A525" s="2515" t="s">
        <v>9329</v>
      </c>
      <c r="B525" s="2071" t="s">
        <v>5336</v>
      </c>
      <c r="C525" s="2160">
        <f>AVERAGE(C526:C532,C535:C537)</f>
        <v>1</v>
      </c>
      <c r="D525" s="2160">
        <f t="shared" ref="D525:H525" si="137">AVERAGE(D526:D532,D535:D537)</f>
        <v>0.75</v>
      </c>
      <c r="E525" s="2160">
        <f t="shared" si="137"/>
        <v>0.45</v>
      </c>
      <c r="F525" s="2160">
        <f t="shared" si="137"/>
        <v>0.89733333333333332</v>
      </c>
      <c r="G525" s="2160">
        <f t="shared" si="137"/>
        <v>0.7493333333333333</v>
      </c>
      <c r="H525" s="2160">
        <f t="shared" si="137"/>
        <v>0.7</v>
      </c>
      <c r="I525" s="2073"/>
      <c r="J525" s="2162"/>
      <c r="K525" s="2162"/>
      <c r="L525" s="2137"/>
      <c r="M525" s="2161"/>
      <c r="N525" s="2162"/>
      <c r="O525" s="2162"/>
      <c r="P525" s="2162"/>
      <c r="Q525" s="2162"/>
      <c r="R525" s="2163"/>
      <c r="S525" s="2162"/>
      <c r="T525" s="2162"/>
      <c r="U525" s="2268"/>
      <c r="V525" s="2162"/>
      <c r="W525" s="2162"/>
      <c r="X525" s="2162"/>
    </row>
    <row r="526" spans="1:78" s="1891" customFormat="1" ht="32.1" customHeight="1">
      <c r="A526" s="2506"/>
      <c r="B526" s="1851" t="s">
        <v>610</v>
      </c>
      <c r="C526" s="1827">
        <f>IF(J526&lt;$P526,1,IF(J526&gt;$Q526,0,(J526-$Q526)/($P526-$Q526)))</f>
        <v>1</v>
      </c>
      <c r="D526" s="1827">
        <f>IF(K526&lt;$P526,1,IF(K526&gt;$Q526,0,(K526-$Q526)/($P526-$Q526)))</f>
        <v>1</v>
      </c>
      <c r="E526" s="1827">
        <f>IF(36&lt;$P526,1,IF(36&gt;$Q526,0,(36-$Q526)/($P526-$Q526)))</f>
        <v>1</v>
      </c>
      <c r="F526" s="1827">
        <f>IF(M526&lt;$P526,1,IF(M526&gt;$Q526,0,(M526-$Q526)/($P526-$Q526)))</f>
        <v>0.97333333333333338</v>
      </c>
      <c r="G526" s="1827">
        <f>IF(N526&lt;$P526,1,IF(N526&gt;$Q526,0,(N526-$Q526)/($P526-$Q526)))</f>
        <v>0.49333333333333335</v>
      </c>
      <c r="H526" s="1827">
        <f>IF(O526&lt;$P526,1,IF(O526&gt;$Q526,0,(O526-$Q526)/($P526-$Q526)))</f>
        <v>1</v>
      </c>
      <c r="I526" s="2171" t="s">
        <v>611</v>
      </c>
      <c r="J526" s="1794">
        <v>32</v>
      </c>
      <c r="K526" s="1952">
        <v>32</v>
      </c>
      <c r="L526" s="2229">
        <v>36</v>
      </c>
      <c r="M526" s="1806">
        <v>42</v>
      </c>
      <c r="N526" s="1794">
        <v>78</v>
      </c>
      <c r="O526" s="1794">
        <v>33</v>
      </c>
      <c r="P526" s="1794">
        <v>40</v>
      </c>
      <c r="Q526" s="1794">
        <v>115</v>
      </c>
      <c r="R526" s="2181"/>
      <c r="S526" s="1794"/>
      <c r="T526" s="1802" t="s">
        <v>9298</v>
      </c>
      <c r="U526" s="2269" t="s">
        <v>7336</v>
      </c>
      <c r="V526" s="1952" t="s">
        <v>7988</v>
      </c>
      <c r="W526" s="1952"/>
      <c r="X526" s="1952">
        <v>33</v>
      </c>
      <c r="Y526" s="1818"/>
      <c r="Z526" s="1818"/>
      <c r="AA526" s="1818"/>
      <c r="AB526" s="1818"/>
      <c r="AC526" s="1818"/>
      <c r="AD526" s="1818"/>
      <c r="AE526" s="1818"/>
      <c r="AF526" s="1818"/>
      <c r="AG526" s="1818"/>
      <c r="AH526" s="1818"/>
      <c r="AI526" s="1818"/>
      <c r="AJ526" s="1818"/>
      <c r="AK526" s="1818"/>
      <c r="AL526" s="1818"/>
      <c r="AM526" s="1818"/>
      <c r="AN526" s="1818"/>
      <c r="AO526" s="1818"/>
      <c r="AP526" s="1818"/>
      <c r="AQ526" s="1818"/>
      <c r="AR526" s="1818"/>
      <c r="AS526" s="1818"/>
      <c r="AT526" s="1818"/>
      <c r="AU526" s="1818"/>
      <c r="AV526" s="1818"/>
      <c r="AW526" s="1818"/>
      <c r="AX526" s="1818"/>
      <c r="AY526" s="1818"/>
      <c r="AZ526" s="1818"/>
      <c r="BA526" s="1818"/>
      <c r="BB526" s="1818"/>
      <c r="BC526" s="1818"/>
      <c r="BD526" s="1818"/>
      <c r="BE526" s="1818"/>
      <c r="BF526" s="1818"/>
      <c r="BG526" s="1818"/>
      <c r="BH526" s="1818"/>
      <c r="BI526" s="1818"/>
      <c r="BJ526" s="1818"/>
      <c r="BK526" s="1818"/>
      <c r="BL526" s="1818"/>
      <c r="BM526" s="1818"/>
      <c r="BN526" s="1818"/>
      <c r="BO526" s="1818"/>
      <c r="BP526" s="1818"/>
      <c r="BQ526" s="1818"/>
      <c r="BR526" s="1818"/>
      <c r="BS526" s="1818"/>
      <c r="BT526" s="1818"/>
      <c r="BU526" s="1818"/>
      <c r="BV526" s="1818"/>
      <c r="BW526" s="1818"/>
      <c r="BX526" s="1818"/>
      <c r="BY526" s="1818"/>
      <c r="BZ526" s="1818"/>
    </row>
    <row r="527" spans="1:78" ht="93" customHeight="1">
      <c r="A527" s="1899"/>
      <c r="B527" s="1843" t="s">
        <v>612</v>
      </c>
      <c r="C527" s="1846">
        <v>1</v>
      </c>
      <c r="D527" s="1844">
        <v>1</v>
      </c>
      <c r="E527" s="2212">
        <v>0.5</v>
      </c>
      <c r="F527" s="1808">
        <v>1</v>
      </c>
      <c r="G527" s="1829">
        <v>0</v>
      </c>
      <c r="H527" s="1845">
        <v>1</v>
      </c>
      <c r="I527" s="2073" t="s">
        <v>38</v>
      </c>
      <c r="J527" s="1794">
        <v>1</v>
      </c>
      <c r="K527" s="1935" t="s">
        <v>960</v>
      </c>
      <c r="L527" s="2225">
        <v>0.5</v>
      </c>
      <c r="M527" s="1994">
        <v>1</v>
      </c>
      <c r="N527" s="1794" t="s">
        <v>1060</v>
      </c>
      <c r="O527" s="1794" t="s">
        <v>8883</v>
      </c>
      <c r="P527" s="1794">
        <v>1</v>
      </c>
      <c r="Q527" s="1794">
        <v>0</v>
      </c>
      <c r="R527" s="2178"/>
      <c r="S527" s="1794"/>
      <c r="T527" s="1802" t="s">
        <v>9299</v>
      </c>
      <c r="U527" s="2265" t="s">
        <v>7337</v>
      </c>
      <c r="V527" s="1935"/>
      <c r="W527" s="1917"/>
      <c r="X527" s="1917" t="s">
        <v>8883</v>
      </c>
    </row>
    <row r="528" spans="1:78" ht="51.95" customHeight="1">
      <c r="A528" s="1899"/>
      <c r="B528" s="1843" t="s">
        <v>613</v>
      </c>
      <c r="C528" s="1846">
        <v>1</v>
      </c>
      <c r="D528" s="1844">
        <v>1</v>
      </c>
      <c r="E528" s="2212">
        <v>0</v>
      </c>
      <c r="F528" s="1808">
        <v>1</v>
      </c>
      <c r="G528" s="1846">
        <v>0</v>
      </c>
      <c r="H528" s="1845">
        <v>0</v>
      </c>
      <c r="I528" s="2073" t="s">
        <v>38</v>
      </c>
      <c r="J528" s="1794">
        <v>1</v>
      </c>
      <c r="K528" s="1935" t="s">
        <v>960</v>
      </c>
      <c r="L528" s="2225">
        <v>0</v>
      </c>
      <c r="M528" s="1994">
        <v>1</v>
      </c>
      <c r="N528" s="1917" t="s">
        <v>1060</v>
      </c>
      <c r="O528" s="1917" t="s">
        <v>5777</v>
      </c>
      <c r="P528" s="1917">
        <v>1</v>
      </c>
      <c r="Q528" s="1917">
        <v>0</v>
      </c>
      <c r="R528" s="2178"/>
      <c r="S528" s="1794"/>
      <c r="T528" s="1802" t="s">
        <v>9300</v>
      </c>
      <c r="U528" s="2265" t="s">
        <v>748</v>
      </c>
      <c r="V528" s="1935"/>
      <c r="W528" s="1917"/>
      <c r="X528" s="1917" t="s">
        <v>5777</v>
      </c>
    </row>
    <row r="529" spans="1:78" ht="32.1" customHeight="1">
      <c r="A529" s="1899"/>
      <c r="B529" s="1843" t="s">
        <v>614</v>
      </c>
      <c r="C529" s="1846">
        <v>1</v>
      </c>
      <c r="D529" s="1844">
        <v>1</v>
      </c>
      <c r="E529" s="2212">
        <v>1</v>
      </c>
      <c r="F529" s="1808">
        <v>0</v>
      </c>
      <c r="G529" s="1829">
        <v>1</v>
      </c>
      <c r="H529" s="1845">
        <v>1</v>
      </c>
      <c r="I529" s="2073" t="s">
        <v>38</v>
      </c>
      <c r="J529" s="1794">
        <v>1</v>
      </c>
      <c r="K529" s="1935" t="s">
        <v>960</v>
      </c>
      <c r="L529" s="2225">
        <v>1</v>
      </c>
      <c r="M529" s="1994">
        <v>0</v>
      </c>
      <c r="N529" s="1917" t="s">
        <v>960</v>
      </c>
      <c r="O529" s="1917" t="s">
        <v>8884</v>
      </c>
      <c r="P529" s="1917">
        <v>1</v>
      </c>
      <c r="Q529" s="1917">
        <v>0</v>
      </c>
      <c r="R529" s="2178"/>
      <c r="S529" s="1794"/>
      <c r="T529" s="1802" t="s">
        <v>9301</v>
      </c>
      <c r="U529" s="2265" t="s">
        <v>811</v>
      </c>
      <c r="V529" s="1935"/>
      <c r="W529" s="1917"/>
      <c r="X529" s="1917" t="s">
        <v>8884</v>
      </c>
    </row>
    <row r="530" spans="1:78" ht="131.1" customHeight="1">
      <c r="A530" s="1899"/>
      <c r="B530" s="1843" t="s">
        <v>615</v>
      </c>
      <c r="C530" s="1846">
        <v>1</v>
      </c>
      <c r="D530" s="1844">
        <v>1</v>
      </c>
      <c r="E530" s="2212">
        <v>1</v>
      </c>
      <c r="F530" s="1808">
        <v>1</v>
      </c>
      <c r="G530" s="1829">
        <v>1</v>
      </c>
      <c r="H530" s="1845">
        <v>1</v>
      </c>
      <c r="I530" s="2073" t="s">
        <v>596</v>
      </c>
      <c r="J530" s="1794">
        <v>1</v>
      </c>
      <c r="K530" s="1935" t="s">
        <v>960</v>
      </c>
      <c r="L530" s="2225">
        <v>1</v>
      </c>
      <c r="M530" s="1994">
        <v>0.5</v>
      </c>
      <c r="N530" s="1917" t="s">
        <v>960</v>
      </c>
      <c r="O530" s="1917" t="s">
        <v>8885</v>
      </c>
      <c r="P530" s="1917">
        <v>1</v>
      </c>
      <c r="Q530" s="1917">
        <v>0</v>
      </c>
      <c r="R530" s="2178"/>
      <c r="S530" s="1794"/>
      <c r="T530" s="1802" t="s">
        <v>7704</v>
      </c>
      <c r="U530" s="2265" t="s">
        <v>811</v>
      </c>
      <c r="V530" s="1935"/>
      <c r="W530" s="1917"/>
      <c r="X530" s="1917" t="s">
        <v>8885</v>
      </c>
    </row>
    <row r="531" spans="1:78" ht="45" customHeight="1">
      <c r="A531" s="1899"/>
      <c r="B531" s="1843" t="s">
        <v>616</v>
      </c>
      <c r="C531" s="1846">
        <v>1</v>
      </c>
      <c r="D531" s="1844">
        <v>1</v>
      </c>
      <c r="E531" s="2212">
        <v>0</v>
      </c>
      <c r="F531" s="1808">
        <v>1</v>
      </c>
      <c r="G531" s="1848">
        <v>1</v>
      </c>
      <c r="H531" s="1845">
        <v>1</v>
      </c>
      <c r="I531" s="2073" t="s">
        <v>596</v>
      </c>
      <c r="J531" s="1794">
        <v>1</v>
      </c>
      <c r="K531" s="1935" t="s">
        <v>960</v>
      </c>
      <c r="L531" s="2225">
        <v>0</v>
      </c>
      <c r="M531" s="1994">
        <v>1</v>
      </c>
      <c r="N531" s="1917" t="s">
        <v>960</v>
      </c>
      <c r="O531" s="1917" t="s">
        <v>8886</v>
      </c>
      <c r="P531" s="1917">
        <v>1</v>
      </c>
      <c r="Q531" s="1917">
        <v>0</v>
      </c>
      <c r="R531" s="2178"/>
      <c r="S531" s="1794"/>
      <c r="T531" s="1802" t="s">
        <v>9302</v>
      </c>
      <c r="U531" s="2265" t="s">
        <v>7338</v>
      </c>
      <c r="V531" s="1935"/>
      <c r="W531" s="1917"/>
      <c r="X531" s="1917" t="s">
        <v>8886</v>
      </c>
      <c r="AU531" s="1890"/>
      <c r="AV531" s="1890"/>
      <c r="AW531" s="1890"/>
      <c r="AX531" s="1890"/>
      <c r="AY531" s="1890"/>
      <c r="AZ531" s="1890"/>
      <c r="BA531" s="1890"/>
      <c r="BB531" s="1890"/>
      <c r="BC531" s="1890"/>
      <c r="BD531" s="1890"/>
      <c r="BE531" s="1890"/>
      <c r="BF531" s="1890"/>
      <c r="BG531" s="1890"/>
      <c r="BH531" s="1890"/>
      <c r="BI531" s="1890"/>
      <c r="BJ531" s="1890"/>
      <c r="BK531" s="1890"/>
      <c r="BL531" s="1890"/>
      <c r="BM531" s="1890"/>
      <c r="BN531" s="1890"/>
      <c r="BO531" s="1890"/>
      <c r="BP531" s="1890"/>
      <c r="BQ531" s="1890"/>
      <c r="BR531" s="1890"/>
      <c r="BS531" s="1890"/>
      <c r="BT531" s="1890"/>
      <c r="BU531" s="1890"/>
      <c r="BV531" s="1890"/>
      <c r="BW531" s="1890"/>
      <c r="BX531" s="1890"/>
      <c r="BY531" s="1890"/>
      <c r="BZ531" s="1890"/>
    </row>
    <row r="532" spans="1:78" ht="54" customHeight="1">
      <c r="A532" s="2500"/>
      <c r="B532" s="2059" t="s">
        <v>617</v>
      </c>
      <c r="C532" s="2125">
        <f>AVERAGE(C533:C534)</f>
        <v>1</v>
      </c>
      <c r="D532" s="2125">
        <f t="shared" ref="D532:H532" si="138">AVERAGE(D533:D534)</f>
        <v>1</v>
      </c>
      <c r="E532" s="2125">
        <f t="shared" si="138"/>
        <v>0</v>
      </c>
      <c r="F532" s="2125">
        <f t="shared" si="138"/>
        <v>1</v>
      </c>
      <c r="G532" s="2125">
        <f t="shared" si="138"/>
        <v>1</v>
      </c>
      <c r="H532" s="2125">
        <f t="shared" si="138"/>
        <v>1</v>
      </c>
      <c r="I532" s="2073"/>
      <c r="J532" s="1911"/>
      <c r="K532" s="1912" t="s">
        <v>960</v>
      </c>
      <c r="L532" s="2230">
        <v>0</v>
      </c>
      <c r="M532" s="2159">
        <f t="shared" ref="M532" si="139">AVERAGE(M533:M534)</f>
        <v>1</v>
      </c>
      <c r="N532" s="1912" t="s">
        <v>960</v>
      </c>
      <c r="O532" s="1912" t="s">
        <v>8887</v>
      </c>
      <c r="P532" s="1982">
        <v>1</v>
      </c>
      <c r="Q532" s="1982">
        <v>0</v>
      </c>
      <c r="R532" s="2182"/>
      <c r="S532" s="1911"/>
      <c r="T532" s="1910" t="s">
        <v>7705</v>
      </c>
      <c r="U532" s="2270" t="s">
        <v>748</v>
      </c>
      <c r="V532" s="1912"/>
      <c r="W532" s="1912"/>
      <c r="X532" s="1912" t="s">
        <v>8887</v>
      </c>
      <c r="AU532" s="1890"/>
      <c r="AV532" s="1890"/>
      <c r="AW532" s="1890"/>
      <c r="AX532" s="1890"/>
      <c r="AY532" s="1890"/>
      <c r="AZ532" s="1890"/>
      <c r="BA532" s="1890"/>
      <c r="BB532" s="1890"/>
      <c r="BC532" s="1890"/>
      <c r="BD532" s="1890"/>
      <c r="BE532" s="1890"/>
      <c r="BF532" s="1890"/>
      <c r="BG532" s="1890"/>
      <c r="BH532" s="1890"/>
      <c r="BI532" s="1890"/>
      <c r="BJ532" s="1890"/>
      <c r="BK532" s="1890"/>
      <c r="BL532" s="1890"/>
      <c r="BM532" s="1890"/>
      <c r="BN532" s="1890"/>
      <c r="BO532" s="1890"/>
      <c r="BP532" s="1890"/>
      <c r="BQ532" s="1890"/>
      <c r="BR532" s="1890"/>
      <c r="BS532" s="1890"/>
      <c r="BT532" s="1890"/>
      <c r="BU532" s="1890"/>
      <c r="BV532" s="1890"/>
      <c r="BW532" s="1890"/>
      <c r="BX532" s="1890"/>
      <c r="BY532" s="1890"/>
      <c r="BZ532" s="1890"/>
    </row>
    <row r="533" spans="1:78" ht="32.1" customHeight="1">
      <c r="A533" s="1899"/>
      <c r="B533" s="1797" t="s">
        <v>618</v>
      </c>
      <c r="C533" s="1846">
        <v>1</v>
      </c>
      <c r="D533" s="1844">
        <v>1</v>
      </c>
      <c r="E533" s="2212">
        <v>0</v>
      </c>
      <c r="F533" s="1808">
        <v>1</v>
      </c>
      <c r="G533" s="1848">
        <v>1</v>
      </c>
      <c r="H533" s="1845">
        <v>1</v>
      </c>
      <c r="I533" s="2073" t="s">
        <v>38</v>
      </c>
      <c r="J533" s="1794">
        <v>1</v>
      </c>
      <c r="K533" s="1935" t="s">
        <v>960</v>
      </c>
      <c r="L533" s="2225">
        <v>0</v>
      </c>
      <c r="M533" s="1994">
        <v>1</v>
      </c>
      <c r="N533" s="1917" t="s">
        <v>960</v>
      </c>
      <c r="O533" s="1917" t="s">
        <v>8888</v>
      </c>
      <c r="P533" s="1975">
        <v>1</v>
      </c>
      <c r="Q533" s="1975">
        <v>0</v>
      </c>
      <c r="R533" s="2179"/>
      <c r="S533" s="1794"/>
      <c r="T533" s="1802" t="s">
        <v>7706</v>
      </c>
      <c r="U533" s="2265" t="s">
        <v>7339</v>
      </c>
      <c r="V533" s="1935"/>
      <c r="W533" s="1917"/>
      <c r="X533" s="1917" t="s">
        <v>8888</v>
      </c>
      <c r="AU533" s="1890"/>
      <c r="AV533" s="1890"/>
      <c r="AW533" s="1890"/>
      <c r="AX533" s="1890"/>
      <c r="AY533" s="1890"/>
      <c r="AZ533" s="1890"/>
      <c r="BA533" s="1890"/>
      <c r="BB533" s="1890"/>
      <c r="BC533" s="1890"/>
      <c r="BD533" s="1890"/>
      <c r="BE533" s="1890"/>
      <c r="BF533" s="1890"/>
      <c r="BG533" s="1890"/>
      <c r="BH533" s="1890"/>
      <c r="BI533" s="1890"/>
      <c r="BJ533" s="1890"/>
      <c r="BK533" s="1890"/>
      <c r="BL533" s="1890"/>
      <c r="BM533" s="1890"/>
      <c r="BN533" s="1890"/>
      <c r="BO533" s="1890"/>
      <c r="BP533" s="1890"/>
      <c r="BQ533" s="1890"/>
      <c r="BR533" s="1890"/>
      <c r="BS533" s="1890"/>
      <c r="BT533" s="1890"/>
      <c r="BU533" s="1890"/>
      <c r="BV533" s="1890"/>
      <c r="BW533" s="1890"/>
      <c r="BX533" s="1890"/>
      <c r="BY533" s="1890"/>
      <c r="BZ533" s="1890"/>
    </row>
    <row r="534" spans="1:78" ht="32.1" customHeight="1">
      <c r="A534" s="1899"/>
      <c r="B534" s="1797" t="s">
        <v>619</v>
      </c>
      <c r="C534" s="1846">
        <v>1</v>
      </c>
      <c r="D534" s="1844">
        <v>1</v>
      </c>
      <c r="E534" s="2212">
        <v>0</v>
      </c>
      <c r="F534" s="1808">
        <v>1</v>
      </c>
      <c r="G534" s="1848">
        <v>1</v>
      </c>
      <c r="H534" s="1845">
        <v>1</v>
      </c>
      <c r="I534" s="2073" t="s">
        <v>38</v>
      </c>
      <c r="J534" s="1794">
        <v>1</v>
      </c>
      <c r="K534" s="1935" t="s">
        <v>960</v>
      </c>
      <c r="L534" s="2225">
        <v>0</v>
      </c>
      <c r="M534" s="1994">
        <v>1</v>
      </c>
      <c r="N534" s="1917" t="s">
        <v>960</v>
      </c>
      <c r="O534" s="1917" t="s">
        <v>8889</v>
      </c>
      <c r="P534" s="1975">
        <v>1</v>
      </c>
      <c r="Q534" s="1975">
        <v>0</v>
      </c>
      <c r="R534" s="2179"/>
      <c r="S534" s="1794"/>
      <c r="T534" s="1802" t="s">
        <v>7707</v>
      </c>
      <c r="U534" s="2265" t="s">
        <v>7340</v>
      </c>
      <c r="V534" s="1935"/>
      <c r="W534" s="1917"/>
      <c r="X534" s="1917" t="s">
        <v>8889</v>
      </c>
      <c r="AU534" s="1890"/>
      <c r="AV534" s="1890"/>
      <c r="AW534" s="1890"/>
      <c r="AX534" s="1890"/>
      <c r="AY534" s="1890"/>
      <c r="AZ534" s="1890"/>
      <c r="BA534" s="1890"/>
      <c r="BB534" s="1890"/>
      <c r="BC534" s="1890"/>
      <c r="BD534" s="1890"/>
      <c r="BE534" s="1890"/>
      <c r="BF534" s="1890"/>
      <c r="BG534" s="1890"/>
      <c r="BH534" s="1890"/>
      <c r="BI534" s="1890"/>
      <c r="BJ534" s="1890"/>
      <c r="BK534" s="1890"/>
      <c r="BL534" s="1890"/>
      <c r="BM534" s="1890"/>
      <c r="BN534" s="1890"/>
      <c r="BO534" s="1890"/>
      <c r="BP534" s="1890"/>
      <c r="BQ534" s="1890"/>
      <c r="BR534" s="1890"/>
      <c r="BS534" s="1890"/>
      <c r="BT534" s="1890"/>
      <c r="BU534" s="1890"/>
      <c r="BV534" s="1890"/>
      <c r="BW534" s="1890"/>
      <c r="BX534" s="1890"/>
      <c r="BY534" s="1890"/>
      <c r="BZ534" s="1890"/>
    </row>
    <row r="535" spans="1:78" ht="51.75" customHeight="1">
      <c r="A535" s="1899"/>
      <c r="B535" s="1843" t="s">
        <v>620</v>
      </c>
      <c r="C535" s="1846">
        <v>1</v>
      </c>
      <c r="D535" s="1844">
        <v>0</v>
      </c>
      <c r="E535" s="2212">
        <v>0</v>
      </c>
      <c r="F535" s="1808">
        <v>1</v>
      </c>
      <c r="G535" s="1848">
        <v>1</v>
      </c>
      <c r="H535" s="1845">
        <v>1</v>
      </c>
      <c r="I535" s="2073" t="s">
        <v>38</v>
      </c>
      <c r="J535" s="1794">
        <v>1</v>
      </c>
      <c r="K535" s="1935" t="s">
        <v>2411</v>
      </c>
      <c r="L535" s="2225">
        <v>0</v>
      </c>
      <c r="M535" s="1994">
        <v>1</v>
      </c>
      <c r="N535" s="1917" t="s">
        <v>960</v>
      </c>
      <c r="O535" s="1917" t="s">
        <v>8890</v>
      </c>
      <c r="P535" s="1917">
        <v>1</v>
      </c>
      <c r="Q535" s="1917">
        <v>0</v>
      </c>
      <c r="R535" s="2178"/>
      <c r="S535" s="1794"/>
      <c r="T535" s="1802" t="s">
        <v>7708</v>
      </c>
      <c r="U535" s="2265" t="s">
        <v>748</v>
      </c>
      <c r="V535" s="1935"/>
      <c r="W535" s="1917"/>
      <c r="X535" s="1917" t="s">
        <v>8890</v>
      </c>
      <c r="AU535" s="1890"/>
      <c r="AV535" s="1890"/>
      <c r="AW535" s="1890"/>
      <c r="AX535" s="1890"/>
      <c r="AY535" s="1890"/>
      <c r="AZ535" s="1890"/>
      <c r="BA535" s="1890"/>
      <c r="BB535" s="1890"/>
      <c r="BC535" s="1890"/>
      <c r="BD535" s="1890"/>
      <c r="BE535" s="1890"/>
      <c r="BF535" s="1890"/>
      <c r="BG535" s="1890"/>
      <c r="BH535" s="1890"/>
      <c r="BI535" s="1890"/>
      <c r="BJ535" s="1890"/>
      <c r="BK535" s="1890"/>
      <c r="BL535" s="1890"/>
      <c r="BM535" s="1890"/>
      <c r="BN535" s="1890"/>
      <c r="BO535" s="1890"/>
      <c r="BP535" s="1890"/>
      <c r="BQ535" s="1890"/>
      <c r="BR535" s="1890"/>
      <c r="BS535" s="1890"/>
      <c r="BT535" s="1890"/>
      <c r="BU535" s="1890"/>
      <c r="BV535" s="1890"/>
      <c r="BW535" s="1890"/>
      <c r="BX535" s="1890"/>
      <c r="BY535" s="1890"/>
      <c r="BZ535" s="1890"/>
    </row>
    <row r="536" spans="1:78" ht="123" customHeight="1">
      <c r="A536" s="1899"/>
      <c r="B536" s="1843" t="s">
        <v>621</v>
      </c>
      <c r="C536" s="1846">
        <v>1</v>
      </c>
      <c r="D536" s="1829">
        <v>0.5</v>
      </c>
      <c r="E536" s="2212">
        <v>1</v>
      </c>
      <c r="F536" s="1808">
        <v>1</v>
      </c>
      <c r="G536" s="1848">
        <v>1</v>
      </c>
      <c r="H536" s="1845">
        <v>0</v>
      </c>
      <c r="I536" s="2073" t="s">
        <v>38</v>
      </c>
      <c r="J536" s="1794">
        <v>1</v>
      </c>
      <c r="K536" s="1794" t="s">
        <v>1060</v>
      </c>
      <c r="L536" s="2225">
        <v>1</v>
      </c>
      <c r="M536" s="1994">
        <v>1</v>
      </c>
      <c r="N536" s="1917" t="s">
        <v>960</v>
      </c>
      <c r="O536" s="1917" t="s">
        <v>8891</v>
      </c>
      <c r="P536" s="1917">
        <v>1</v>
      </c>
      <c r="Q536" s="1917">
        <v>0</v>
      </c>
      <c r="R536" s="2178"/>
      <c r="S536" s="1794"/>
      <c r="T536" s="1802" t="s">
        <v>9154</v>
      </c>
      <c r="U536" s="2265" t="s">
        <v>7341</v>
      </c>
      <c r="V536" s="1935"/>
      <c r="W536" s="1917"/>
      <c r="X536" s="1917" t="s">
        <v>8891</v>
      </c>
      <c r="AU536" s="1890"/>
      <c r="AV536" s="1890"/>
      <c r="AW536" s="1890"/>
      <c r="AX536" s="1890"/>
      <c r="AY536" s="1890"/>
      <c r="AZ536" s="1890"/>
      <c r="BA536" s="1890"/>
      <c r="BB536" s="1890"/>
      <c r="BC536" s="1890"/>
      <c r="BD536" s="1890"/>
      <c r="BE536" s="1890"/>
      <c r="BF536" s="1890"/>
      <c r="BG536" s="1890"/>
      <c r="BH536" s="1890"/>
      <c r="BI536" s="1890"/>
      <c r="BJ536" s="1890"/>
      <c r="BK536" s="1890"/>
      <c r="BL536" s="1890"/>
      <c r="BM536" s="1890"/>
      <c r="BN536" s="1890"/>
      <c r="BO536" s="1890"/>
      <c r="BP536" s="1890"/>
      <c r="BQ536" s="1890"/>
      <c r="BR536" s="1890"/>
      <c r="BS536" s="1890"/>
      <c r="BT536" s="1890"/>
      <c r="BU536" s="1890"/>
      <c r="BV536" s="1890"/>
      <c r="BW536" s="1890"/>
      <c r="BX536" s="1890"/>
      <c r="BY536" s="1890"/>
      <c r="BZ536" s="1890"/>
    </row>
    <row r="537" spans="1:78" ht="60.95" customHeight="1">
      <c r="A537" s="1874"/>
      <c r="B537" s="1843" t="s">
        <v>622</v>
      </c>
      <c r="C537" s="1846">
        <v>1</v>
      </c>
      <c r="D537" s="1844">
        <v>0</v>
      </c>
      <c r="E537" s="2212">
        <v>0</v>
      </c>
      <c r="F537" s="1808">
        <v>1</v>
      </c>
      <c r="G537" s="1848">
        <v>1</v>
      </c>
      <c r="H537" s="1845">
        <v>0</v>
      </c>
      <c r="I537" s="2073" t="s">
        <v>38</v>
      </c>
      <c r="J537" s="1794">
        <v>1</v>
      </c>
      <c r="K537" s="1935" t="s">
        <v>1060</v>
      </c>
      <c r="L537" s="2225">
        <v>0</v>
      </c>
      <c r="M537" s="1994">
        <v>1</v>
      </c>
      <c r="N537" s="1917" t="s">
        <v>960</v>
      </c>
      <c r="O537" s="1917" t="s">
        <v>8892</v>
      </c>
      <c r="P537" s="1917">
        <v>1</v>
      </c>
      <c r="Q537" s="1917">
        <v>0</v>
      </c>
      <c r="R537" s="2178"/>
      <c r="S537" s="1794"/>
      <c r="T537" s="1802"/>
      <c r="U537" s="2265" t="s">
        <v>748</v>
      </c>
      <c r="V537" s="1935"/>
      <c r="W537" s="1917"/>
      <c r="X537" s="1917" t="s">
        <v>8892</v>
      </c>
      <c r="AU537" s="1890"/>
      <c r="AV537" s="1890"/>
      <c r="AW537" s="1890"/>
      <c r="AX537" s="1890"/>
      <c r="AY537" s="1890"/>
      <c r="AZ537" s="1890"/>
      <c r="BA537" s="1890"/>
      <c r="BB537" s="1890"/>
      <c r="BC537" s="1890"/>
      <c r="BD537" s="1890"/>
      <c r="BE537" s="1890"/>
      <c r="BF537" s="1890"/>
      <c r="BG537" s="1890"/>
      <c r="BH537" s="1890"/>
      <c r="BI537" s="1890"/>
      <c r="BJ537" s="1890"/>
      <c r="BK537" s="1890"/>
      <c r="BL537" s="1890"/>
      <c r="BM537" s="1890"/>
      <c r="BN537" s="1890"/>
      <c r="BO537" s="1890"/>
      <c r="BP537" s="1890"/>
      <c r="BQ537" s="1890"/>
      <c r="BR537" s="1890"/>
      <c r="BS537" s="1890"/>
      <c r="BT537" s="1890"/>
      <c r="BU537" s="1890"/>
      <c r="BV537" s="1890"/>
      <c r="BW537" s="1890"/>
      <c r="BX537" s="1890"/>
      <c r="BY537" s="1890"/>
      <c r="BZ537" s="1890"/>
    </row>
    <row r="538" spans="1:78" ht="32.1" customHeight="1">
      <c r="A538" s="2516" t="s">
        <v>9330</v>
      </c>
      <c r="B538" s="2063" t="s">
        <v>623</v>
      </c>
      <c r="C538" s="2132">
        <f>AVERAGE(C539,C542,C543)</f>
        <v>0.5</v>
      </c>
      <c r="D538" s="2132">
        <f t="shared" ref="D538:H538" si="140">AVERAGE(D539,D542,D543)</f>
        <v>0.5</v>
      </c>
      <c r="E538" s="2132">
        <f t="shared" si="140"/>
        <v>0.16666666666666666</v>
      </c>
      <c r="F538" s="2132">
        <f t="shared" si="140"/>
        <v>1</v>
      </c>
      <c r="G538" s="2132">
        <f t="shared" si="140"/>
        <v>0.83333333333333337</v>
      </c>
      <c r="H538" s="2132">
        <f t="shared" si="140"/>
        <v>0.16666666666666666</v>
      </c>
      <c r="I538" s="2073"/>
      <c r="J538" s="2231"/>
      <c r="K538" s="2231"/>
      <c r="L538" s="2231"/>
      <c r="M538" s="2133"/>
      <c r="N538" s="2231"/>
      <c r="O538" s="2231"/>
      <c r="P538" s="2232"/>
      <c r="Q538" s="2232"/>
      <c r="R538" s="2183"/>
      <c r="S538" s="2231"/>
      <c r="T538" s="2231"/>
      <c r="U538" s="2271"/>
      <c r="V538" s="2231"/>
      <c r="W538" s="2231"/>
      <c r="X538" s="2231"/>
      <c r="AU538" s="1890"/>
      <c r="AV538" s="1890"/>
      <c r="AW538" s="1890"/>
      <c r="AX538" s="1890"/>
      <c r="AY538" s="1890"/>
      <c r="AZ538" s="1890"/>
      <c r="BA538" s="1890"/>
      <c r="BB538" s="1890"/>
      <c r="BC538" s="1890"/>
      <c r="BD538" s="1890"/>
      <c r="BE538" s="1890"/>
      <c r="BF538" s="1890"/>
      <c r="BG538" s="1890"/>
      <c r="BH538" s="1890"/>
      <c r="BI538" s="1890"/>
      <c r="BJ538" s="1890"/>
      <c r="BK538" s="1890"/>
      <c r="BL538" s="1890"/>
      <c r="BM538" s="1890"/>
      <c r="BN538" s="1890"/>
      <c r="BO538" s="1890"/>
      <c r="BP538" s="1890"/>
      <c r="BQ538" s="1890"/>
      <c r="BR538" s="1890"/>
      <c r="BS538" s="1890"/>
      <c r="BT538" s="1890"/>
      <c r="BU538" s="1890"/>
      <c r="BV538" s="1890"/>
      <c r="BW538" s="1890"/>
      <c r="BX538" s="1890"/>
      <c r="BY538" s="1890"/>
      <c r="BZ538" s="1890"/>
    </row>
    <row r="539" spans="1:78" ht="80.099999999999994" customHeight="1">
      <c r="A539" s="2500"/>
      <c r="B539" s="2059" t="s">
        <v>624</v>
      </c>
      <c r="C539" s="2125">
        <f>AVERAGE(C540:C541)</f>
        <v>0.5</v>
      </c>
      <c r="D539" s="2125">
        <f>AVERAGE(D540:D541)</f>
        <v>0.5</v>
      </c>
      <c r="E539" s="2125">
        <f t="shared" ref="E539:H539" si="141">AVERAGE(E540:E541)</f>
        <v>0.5</v>
      </c>
      <c r="F539" s="2125">
        <f t="shared" si="141"/>
        <v>1</v>
      </c>
      <c r="G539" s="2125">
        <f t="shared" si="141"/>
        <v>0.5</v>
      </c>
      <c r="H539" s="2125">
        <f t="shared" si="141"/>
        <v>0.5</v>
      </c>
      <c r="I539" s="2541" t="s">
        <v>625</v>
      </c>
      <c r="J539" s="1911"/>
      <c r="K539" s="1912"/>
      <c r="L539" s="2230"/>
      <c r="M539" s="2000"/>
      <c r="N539" s="1911"/>
      <c r="O539" s="1912"/>
      <c r="P539" s="1976">
        <v>1</v>
      </c>
      <c r="Q539" s="1976">
        <v>0</v>
      </c>
      <c r="R539" s="2179"/>
      <c r="S539" s="1911"/>
      <c r="T539" s="1912"/>
      <c r="U539" s="2230"/>
      <c r="V539" s="1912"/>
      <c r="W539" s="1912"/>
      <c r="X539" s="1912" t="s">
        <v>8893</v>
      </c>
      <c r="AU539" s="1890"/>
      <c r="AV539" s="1890"/>
      <c r="AW539" s="1890"/>
      <c r="AX539" s="1890"/>
      <c r="AY539" s="1890"/>
      <c r="AZ539" s="1890"/>
      <c r="BA539" s="1890"/>
      <c r="BB539" s="1890"/>
      <c r="BC539" s="1890"/>
      <c r="BD539" s="1890"/>
      <c r="BE539" s="1890"/>
      <c r="BF539" s="1890"/>
      <c r="BG539" s="1890"/>
      <c r="BH539" s="1890"/>
      <c r="BI539" s="1890"/>
      <c r="BJ539" s="1890"/>
      <c r="BK539" s="1890"/>
      <c r="BL539" s="1890"/>
      <c r="BM539" s="1890"/>
      <c r="BN539" s="1890"/>
      <c r="BO539" s="1890"/>
      <c r="BP539" s="1890"/>
      <c r="BQ539" s="1890"/>
      <c r="BR539" s="1890"/>
      <c r="BS539" s="1890"/>
      <c r="BT539" s="1890"/>
      <c r="BU539" s="1890"/>
      <c r="BV539" s="1890"/>
      <c r="BW539" s="1890"/>
      <c r="BX539" s="1890"/>
      <c r="BY539" s="1890"/>
      <c r="BZ539" s="1890"/>
    </row>
    <row r="540" spans="1:78" ht="34.5" customHeight="1">
      <c r="A540" s="1899"/>
      <c r="B540" s="1797" t="s">
        <v>626</v>
      </c>
      <c r="C540" s="1846">
        <v>0</v>
      </c>
      <c r="D540" s="1829">
        <v>0</v>
      </c>
      <c r="E540" s="2212">
        <v>0</v>
      </c>
      <c r="F540" s="1808">
        <v>1</v>
      </c>
      <c r="G540" s="1829">
        <v>0</v>
      </c>
      <c r="H540" s="1808">
        <v>0</v>
      </c>
      <c r="I540" s="2064"/>
      <c r="J540" s="1794">
        <v>0</v>
      </c>
      <c r="K540" s="1935" t="s">
        <v>811</v>
      </c>
      <c r="L540" s="2225">
        <v>0</v>
      </c>
      <c r="M540" s="1806">
        <v>1</v>
      </c>
      <c r="N540" s="1917" t="s">
        <v>960</v>
      </c>
      <c r="O540" s="1917" t="s">
        <v>8894</v>
      </c>
      <c r="P540" s="1917">
        <v>1</v>
      </c>
      <c r="Q540" s="1917">
        <v>0</v>
      </c>
      <c r="R540" s="2178"/>
      <c r="S540" s="2005"/>
      <c r="T540" s="1917" t="s">
        <v>7709</v>
      </c>
      <c r="U540" s="2225" t="s">
        <v>811</v>
      </c>
      <c r="V540" s="1935"/>
      <c r="W540" s="2272" t="s">
        <v>9166</v>
      </c>
      <c r="X540" s="1917" t="s">
        <v>8894</v>
      </c>
      <c r="AU540" s="1890"/>
      <c r="AV540" s="1890"/>
      <c r="AW540" s="1890"/>
      <c r="AX540" s="1890"/>
      <c r="AY540" s="1890"/>
      <c r="AZ540" s="1890"/>
      <c r="BA540" s="1890"/>
      <c r="BB540" s="1890"/>
      <c r="BC540" s="1890"/>
      <c r="BD540" s="1890"/>
      <c r="BE540" s="1890"/>
      <c r="BF540" s="1890"/>
      <c r="BG540" s="1890"/>
      <c r="BH540" s="1890"/>
      <c r="BI540" s="1890"/>
      <c r="BJ540" s="1890"/>
      <c r="BK540" s="1890"/>
      <c r="BL540" s="1890"/>
      <c r="BM540" s="1890"/>
      <c r="BN540" s="1890"/>
      <c r="BO540" s="1890"/>
      <c r="BP540" s="1890"/>
      <c r="BQ540" s="1890"/>
      <c r="BR540" s="1890"/>
      <c r="BS540" s="1890"/>
      <c r="BT540" s="1890"/>
      <c r="BU540" s="1890"/>
      <c r="BV540" s="1890"/>
      <c r="BW540" s="1890"/>
      <c r="BX540" s="1890"/>
      <c r="BY540" s="1890"/>
      <c r="BZ540" s="1890"/>
    </row>
    <row r="541" spans="1:78" ht="36.75" customHeight="1">
      <c r="A541" s="1899"/>
      <c r="B541" s="1797" t="s">
        <v>627</v>
      </c>
      <c r="C541" s="1829">
        <v>1</v>
      </c>
      <c r="D541" s="1829">
        <v>1</v>
      </c>
      <c r="E541" s="2212">
        <v>1</v>
      </c>
      <c r="F541" s="1808">
        <v>1</v>
      </c>
      <c r="G541" s="1829">
        <v>1</v>
      </c>
      <c r="H541" s="1808">
        <v>1</v>
      </c>
      <c r="I541" s="2064"/>
      <c r="J541" s="1794">
        <v>1</v>
      </c>
      <c r="K541" s="1935" t="s">
        <v>748</v>
      </c>
      <c r="L541" s="2225">
        <v>1</v>
      </c>
      <c r="M541" s="1806">
        <v>1</v>
      </c>
      <c r="N541" s="1917" t="s">
        <v>1060</v>
      </c>
      <c r="O541" s="1917" t="s">
        <v>8895</v>
      </c>
      <c r="P541" s="1917">
        <v>1</v>
      </c>
      <c r="Q541" s="1917">
        <v>0</v>
      </c>
      <c r="R541" s="2178"/>
      <c r="S541" s="1794"/>
      <c r="T541" s="1917" t="s">
        <v>748</v>
      </c>
      <c r="U541" s="2225" t="s">
        <v>748</v>
      </c>
      <c r="V541" s="1935"/>
      <c r="W541" s="2272" t="s">
        <v>9167</v>
      </c>
      <c r="X541" s="1917" t="s">
        <v>8895</v>
      </c>
      <c r="AU541" s="1890"/>
      <c r="AV541" s="1890"/>
      <c r="AW541" s="1890"/>
      <c r="AX541" s="1890"/>
      <c r="AY541" s="1890"/>
      <c r="AZ541" s="1890"/>
      <c r="BA541" s="1890"/>
      <c r="BB541" s="1890"/>
      <c r="BC541" s="1890"/>
      <c r="BD541" s="1890"/>
      <c r="BE541" s="1890"/>
      <c r="BF541" s="1890"/>
      <c r="BG541" s="1890"/>
      <c r="BH541" s="1890"/>
      <c r="BI541" s="1890"/>
      <c r="BJ541" s="1890"/>
      <c r="BK541" s="1890"/>
      <c r="BL541" s="1890"/>
      <c r="BM541" s="1890"/>
      <c r="BN541" s="1890"/>
      <c r="BO541" s="1890"/>
      <c r="BP541" s="1890"/>
      <c r="BQ541" s="1890"/>
      <c r="BR541" s="1890"/>
      <c r="BS541" s="1890"/>
      <c r="BT541" s="1890"/>
      <c r="BU541" s="1890"/>
      <c r="BV541" s="1890"/>
      <c r="BW541" s="1890"/>
      <c r="BX541" s="1890"/>
      <c r="BY541" s="1890"/>
      <c r="BZ541" s="1890"/>
    </row>
    <row r="542" spans="1:78" ht="58.5" customHeight="1">
      <c r="A542" s="1899"/>
      <c r="B542" s="1843" t="s">
        <v>628</v>
      </c>
      <c r="C542" s="1829">
        <v>0.5</v>
      </c>
      <c r="D542" s="1829">
        <v>0.5</v>
      </c>
      <c r="E542" s="2212">
        <v>0</v>
      </c>
      <c r="F542" s="1808">
        <v>1</v>
      </c>
      <c r="G542" s="1829">
        <v>1</v>
      </c>
      <c r="H542" s="1808">
        <v>0</v>
      </c>
      <c r="I542" s="2541" t="s">
        <v>9171</v>
      </c>
      <c r="J542" s="1794" t="s">
        <v>9173</v>
      </c>
      <c r="K542" s="1935" t="s">
        <v>960</v>
      </c>
      <c r="L542" s="2225">
        <v>0</v>
      </c>
      <c r="M542" s="1806">
        <v>1</v>
      </c>
      <c r="N542" s="1917" t="s">
        <v>1060</v>
      </c>
      <c r="O542" s="1917" t="s">
        <v>8896</v>
      </c>
      <c r="P542" s="1917">
        <v>1</v>
      </c>
      <c r="Q542" s="1917">
        <v>0</v>
      </c>
      <c r="R542" s="2178"/>
      <c r="S542" s="1794"/>
      <c r="T542" s="1935" t="s">
        <v>7710</v>
      </c>
      <c r="U542" s="2225" t="s">
        <v>811</v>
      </c>
      <c r="V542" s="1935"/>
      <c r="W542" s="1917"/>
      <c r="X542" s="1917" t="s">
        <v>8896</v>
      </c>
      <c r="AU542" s="1890"/>
      <c r="AV542" s="1890"/>
      <c r="AW542" s="1890"/>
      <c r="AX542" s="1890"/>
      <c r="AY542" s="1890"/>
      <c r="AZ542" s="1890"/>
      <c r="BA542" s="1890"/>
      <c r="BB542" s="1890"/>
      <c r="BC542" s="1890"/>
      <c r="BD542" s="1890"/>
      <c r="BE542" s="1890"/>
      <c r="BF542" s="1890"/>
      <c r="BG542" s="1890"/>
      <c r="BH542" s="1890"/>
      <c r="BI542" s="1890"/>
      <c r="BJ542" s="1890"/>
      <c r="BK542" s="1890"/>
      <c r="BL542" s="1890"/>
      <c r="BM542" s="1890"/>
      <c r="BN542" s="1890"/>
      <c r="BO542" s="1890"/>
      <c r="BP542" s="1890"/>
      <c r="BQ542" s="1890"/>
      <c r="BR542" s="1890"/>
      <c r="BS542" s="1890"/>
      <c r="BT542" s="1890"/>
      <c r="BU542" s="1890"/>
      <c r="BV542" s="1890"/>
      <c r="BW542" s="1890"/>
      <c r="BX542" s="1890"/>
      <c r="BY542" s="1890"/>
      <c r="BZ542" s="1890"/>
    </row>
    <row r="543" spans="1:78" ht="47.25" customHeight="1">
      <c r="A543" s="1899"/>
      <c r="B543" s="1843" t="s">
        <v>629</v>
      </c>
      <c r="C543" s="1829">
        <v>0.5</v>
      </c>
      <c r="D543" s="1829">
        <v>0.5</v>
      </c>
      <c r="E543" s="2214">
        <v>0</v>
      </c>
      <c r="F543" s="1808">
        <v>1</v>
      </c>
      <c r="G543" s="1829">
        <v>1</v>
      </c>
      <c r="H543" s="1808">
        <v>0</v>
      </c>
      <c r="I543" s="2541" t="s">
        <v>9171</v>
      </c>
      <c r="J543" s="1794" t="s">
        <v>9173</v>
      </c>
      <c r="K543" s="1935" t="s">
        <v>960</v>
      </c>
      <c r="L543" s="2225">
        <v>0.5</v>
      </c>
      <c r="M543" s="1806">
        <v>1</v>
      </c>
      <c r="N543" s="1917" t="s">
        <v>1060</v>
      </c>
      <c r="O543" s="1917" t="s">
        <v>8897</v>
      </c>
      <c r="P543" s="1917">
        <v>1</v>
      </c>
      <c r="Q543" s="1917">
        <v>0</v>
      </c>
      <c r="R543" s="2178"/>
      <c r="S543" s="1794"/>
      <c r="T543" s="1917" t="s">
        <v>6488</v>
      </c>
      <c r="U543" s="2225" t="s">
        <v>7342</v>
      </c>
      <c r="V543" s="1935"/>
      <c r="W543" s="1917"/>
      <c r="X543" s="1917" t="s">
        <v>8897</v>
      </c>
      <c r="AU543" s="1890"/>
      <c r="AV543" s="1890"/>
      <c r="AW543" s="1890"/>
      <c r="AX543" s="1890"/>
      <c r="AY543" s="1890"/>
      <c r="AZ543" s="1890"/>
      <c r="BA543" s="1890"/>
      <c r="BB543" s="1890"/>
      <c r="BC543" s="1890"/>
      <c r="BD543" s="1890"/>
      <c r="BE543" s="1890"/>
      <c r="BF543" s="1890"/>
      <c r="BG543" s="1890"/>
      <c r="BH543" s="1890"/>
      <c r="BI543" s="1890"/>
      <c r="BJ543" s="1890"/>
      <c r="BK543" s="1890"/>
      <c r="BL543" s="1890"/>
      <c r="BM543" s="1890"/>
      <c r="BN543" s="1890"/>
      <c r="BO543" s="1890"/>
      <c r="BP543" s="1890"/>
      <c r="BQ543" s="1890"/>
      <c r="BR543" s="1890"/>
      <c r="BS543" s="1890"/>
      <c r="BT543" s="1890"/>
      <c r="BU543" s="1890"/>
      <c r="BV543" s="1890"/>
      <c r="BW543" s="1890"/>
      <c r="BX543" s="1890"/>
      <c r="BY543" s="1890"/>
      <c r="BZ543" s="1890"/>
    </row>
    <row r="544" spans="1:78" ht="32.1" customHeight="1">
      <c r="A544" s="2516" t="s">
        <v>7074</v>
      </c>
      <c r="B544" s="2063" t="s">
        <v>630</v>
      </c>
      <c r="C544" s="2132">
        <f>AVERAGE(C545:C550)</f>
        <v>0.69999999999999984</v>
      </c>
      <c r="D544" s="2132">
        <f t="shared" ref="D544:H544" si="142">AVERAGE(D545:D550)</f>
        <v>0.9</v>
      </c>
      <c r="E544" s="2132">
        <f t="shared" si="142"/>
        <v>0.6</v>
      </c>
      <c r="F544" s="2132">
        <f t="shared" si="142"/>
        <v>0.76666666666666672</v>
      </c>
      <c r="G544" s="2132">
        <f t="shared" si="142"/>
        <v>0.73333333333333339</v>
      </c>
      <c r="H544" s="2132">
        <f t="shared" si="142"/>
        <v>0.66666666666666663</v>
      </c>
      <c r="I544" s="2073"/>
      <c r="J544" s="2231"/>
      <c r="K544" s="2231"/>
      <c r="L544" s="2231"/>
      <c r="M544" s="2133">
        <f t="shared" ref="M544" si="143">AVERAGE(M545:M550)</f>
        <v>1.2833333333333334</v>
      </c>
      <c r="N544" s="2231"/>
      <c r="O544" s="2231"/>
      <c r="P544" s="2232"/>
      <c r="Q544" s="2232"/>
      <c r="R544" s="2183"/>
      <c r="S544" s="2231"/>
      <c r="T544" s="2231"/>
      <c r="U544" s="2271"/>
      <c r="V544" s="2231"/>
      <c r="W544" s="2231"/>
      <c r="X544" s="2231"/>
      <c r="AU544" s="1890"/>
      <c r="AV544" s="1890"/>
      <c r="AW544" s="1890"/>
      <c r="AX544" s="1890"/>
      <c r="AY544" s="1890"/>
      <c r="AZ544" s="1890"/>
      <c r="BA544" s="1890"/>
      <c r="BB544" s="1890"/>
      <c r="BC544" s="1890"/>
      <c r="BD544" s="1890"/>
      <c r="BE544" s="1890"/>
      <c r="BF544" s="1890"/>
      <c r="BG544" s="1890"/>
      <c r="BH544" s="1890"/>
      <c r="BI544" s="1890"/>
      <c r="BJ544" s="1890"/>
      <c r="BK544" s="1890"/>
      <c r="BL544" s="1890"/>
      <c r="BM544" s="1890"/>
      <c r="BN544" s="1890"/>
      <c r="BO544" s="1890"/>
      <c r="BP544" s="1890"/>
      <c r="BQ544" s="1890"/>
      <c r="BR544" s="1890"/>
      <c r="BS544" s="1890"/>
      <c r="BT544" s="1890"/>
      <c r="BU544" s="1890"/>
      <c r="BV544" s="1890"/>
      <c r="BW544" s="1890"/>
      <c r="BX544" s="1890"/>
      <c r="BY544" s="1890"/>
      <c r="BZ544" s="1890"/>
    </row>
    <row r="545" spans="1:78" s="1893" customFormat="1" ht="72" customHeight="1">
      <c r="A545" s="2504"/>
      <c r="B545" s="2057" t="s">
        <v>7132</v>
      </c>
      <c r="C545" s="2390">
        <f t="shared" ref="C545:H545" si="144">IF(J545&gt;$P545,1,IF(J545&lt;$Q545,0,(J545-$Q545)/($P545-$Q545)))</f>
        <v>0.19999999999999982</v>
      </c>
      <c r="D545" s="2390">
        <f t="shared" si="144"/>
        <v>0.40000000000000008</v>
      </c>
      <c r="E545" s="2390" t="s">
        <v>1073</v>
      </c>
      <c r="F545" s="2390">
        <f t="shared" si="144"/>
        <v>0.60000000000000031</v>
      </c>
      <c r="G545" s="2390">
        <f t="shared" si="144"/>
        <v>0.90000000000000036</v>
      </c>
      <c r="H545" s="2390">
        <f t="shared" si="144"/>
        <v>1</v>
      </c>
      <c r="I545" s="2073" t="s">
        <v>525</v>
      </c>
      <c r="J545" s="2207">
        <v>3.3</v>
      </c>
      <c r="K545" s="2207">
        <v>3.5</v>
      </c>
      <c r="L545" s="2208" t="s">
        <v>8064</v>
      </c>
      <c r="M545" s="2391">
        <v>3.7</v>
      </c>
      <c r="N545" s="2222">
        <v>4</v>
      </c>
      <c r="O545" s="2207">
        <v>4.8</v>
      </c>
      <c r="P545" s="2317">
        <v>4.0999999999999996</v>
      </c>
      <c r="Q545" s="2222">
        <v>3.1</v>
      </c>
      <c r="R545" s="2178"/>
      <c r="S545" s="2207"/>
      <c r="T545" s="2207"/>
      <c r="U545" s="2392"/>
      <c r="V545" s="2222"/>
      <c r="W545" s="2222"/>
      <c r="X545" s="2207">
        <v>4.8</v>
      </c>
      <c r="Y545" s="1818"/>
      <c r="Z545" s="1818"/>
      <c r="AA545" s="1818"/>
      <c r="AB545" s="1818"/>
      <c r="AC545" s="1818"/>
      <c r="AD545" s="1818"/>
      <c r="AE545" s="1818"/>
      <c r="AF545" s="1818"/>
      <c r="AG545" s="1818"/>
      <c r="AH545" s="1818"/>
      <c r="AI545" s="1818"/>
      <c r="AJ545" s="1818"/>
      <c r="AK545" s="1818"/>
      <c r="AL545" s="1818"/>
      <c r="AM545" s="1818"/>
      <c r="AN545" s="1818"/>
      <c r="AO545" s="1818"/>
      <c r="AP545" s="1818"/>
      <c r="AQ545" s="1818"/>
      <c r="AR545" s="1818"/>
      <c r="AS545" s="1818"/>
      <c r="AT545" s="1818"/>
    </row>
    <row r="546" spans="1:78" s="1891" customFormat="1" ht="93.75" customHeight="1">
      <c r="A546" s="1899"/>
      <c r="B546" s="1843" t="s">
        <v>634</v>
      </c>
      <c r="C546" s="1846">
        <v>1</v>
      </c>
      <c r="D546" s="1848">
        <v>1</v>
      </c>
      <c r="E546" s="2212">
        <v>0</v>
      </c>
      <c r="F546" s="1808">
        <v>0</v>
      </c>
      <c r="G546" s="1829">
        <v>0</v>
      </c>
      <c r="H546" s="1808">
        <v>0</v>
      </c>
      <c r="I546" s="2073" t="s">
        <v>38</v>
      </c>
      <c r="J546" s="1794">
        <v>1</v>
      </c>
      <c r="K546" s="1917" t="s">
        <v>960</v>
      </c>
      <c r="L546" s="1997">
        <v>0</v>
      </c>
      <c r="M546" s="1806">
        <v>0</v>
      </c>
      <c r="N546" s="1935" t="s">
        <v>811</v>
      </c>
      <c r="O546" s="1794" t="s">
        <v>8898</v>
      </c>
      <c r="P546" s="1935">
        <v>1</v>
      </c>
      <c r="Q546" s="1935">
        <v>0</v>
      </c>
      <c r="R546" s="2178"/>
      <c r="S546" s="1794" t="s">
        <v>5420</v>
      </c>
      <c r="T546" s="1935"/>
      <c r="U546" s="2225" t="s">
        <v>7343</v>
      </c>
      <c r="V546" s="1935"/>
      <c r="W546" s="1935"/>
      <c r="X546" s="1935" t="s">
        <v>8898</v>
      </c>
      <c r="Y546" s="1818"/>
      <c r="Z546" s="1818"/>
      <c r="AA546" s="1818"/>
      <c r="AB546" s="1818"/>
      <c r="AC546" s="1818"/>
      <c r="AD546" s="1818"/>
      <c r="AE546" s="1818"/>
      <c r="AF546" s="1818"/>
      <c r="AG546" s="1818"/>
      <c r="AH546" s="1818"/>
      <c r="AI546" s="1818"/>
      <c r="AJ546" s="1818"/>
      <c r="AK546" s="1818"/>
      <c r="AL546" s="1818"/>
      <c r="AM546" s="1818"/>
      <c r="AN546" s="1818"/>
      <c r="AO546" s="1818"/>
      <c r="AP546" s="1818"/>
      <c r="AQ546" s="1818"/>
      <c r="AR546" s="1818"/>
      <c r="AS546" s="1818"/>
      <c r="AT546" s="1818"/>
    </row>
    <row r="547" spans="1:78" ht="66" customHeight="1">
      <c r="A547" s="1899"/>
      <c r="B547" s="1820" t="s">
        <v>635</v>
      </c>
      <c r="C547" s="1846">
        <v>1</v>
      </c>
      <c r="D547" s="1848">
        <v>1</v>
      </c>
      <c r="E547" s="2214">
        <v>1</v>
      </c>
      <c r="F547" s="1808">
        <v>1</v>
      </c>
      <c r="G547" s="1829">
        <v>1</v>
      </c>
      <c r="H547" s="1808">
        <v>1</v>
      </c>
      <c r="I547" s="2073" t="s">
        <v>38</v>
      </c>
      <c r="J547" s="1794">
        <v>1</v>
      </c>
      <c r="K547" s="1917" t="s">
        <v>960</v>
      </c>
      <c r="L547" s="2225">
        <v>1</v>
      </c>
      <c r="M547" s="1806">
        <v>1</v>
      </c>
      <c r="N547" s="1917" t="s">
        <v>811</v>
      </c>
      <c r="O547" s="1794" t="s">
        <v>8899</v>
      </c>
      <c r="P547" s="1935">
        <v>1</v>
      </c>
      <c r="Q547" s="1935">
        <v>0</v>
      </c>
      <c r="R547" s="2178"/>
      <c r="S547" s="1794" t="s">
        <v>5420</v>
      </c>
      <c r="T547" s="1917" t="s">
        <v>960</v>
      </c>
      <c r="U547" s="2225" t="s">
        <v>5987</v>
      </c>
      <c r="V547" s="1935"/>
      <c r="W547" s="1917"/>
      <c r="X547" s="1917" t="s">
        <v>8899</v>
      </c>
      <c r="AU547" s="1890"/>
      <c r="AV547" s="1890"/>
      <c r="AW547" s="1890"/>
      <c r="AX547" s="1890"/>
      <c r="AY547" s="1890"/>
      <c r="AZ547" s="1890"/>
      <c r="BA547" s="1890"/>
      <c r="BB547" s="1890"/>
      <c r="BC547" s="1890"/>
      <c r="BD547" s="1890"/>
      <c r="BE547" s="1890"/>
      <c r="BF547" s="1890"/>
      <c r="BG547" s="1890"/>
      <c r="BH547" s="1890"/>
      <c r="BI547" s="1890"/>
      <c r="BJ547" s="1890"/>
      <c r="BK547" s="1890"/>
      <c r="BL547" s="1890"/>
      <c r="BM547" s="1890"/>
      <c r="BN547" s="1890"/>
      <c r="BO547" s="1890"/>
      <c r="BP547" s="1890"/>
      <c r="BQ547" s="1890"/>
      <c r="BR547" s="1890"/>
      <c r="BS547" s="1890"/>
      <c r="BT547" s="1890"/>
      <c r="BU547" s="1890"/>
      <c r="BV547" s="1890"/>
      <c r="BW547" s="1890"/>
      <c r="BX547" s="1890"/>
      <c r="BY547" s="1890"/>
      <c r="BZ547" s="1890"/>
    </row>
    <row r="548" spans="1:78" ht="74.099999999999994" customHeight="1">
      <c r="A548" s="1899"/>
      <c r="B548" s="1820" t="s">
        <v>636</v>
      </c>
      <c r="C548" s="1846">
        <v>1</v>
      </c>
      <c r="D548" s="1848">
        <v>1</v>
      </c>
      <c r="E548" s="2214">
        <v>1</v>
      </c>
      <c r="F548" s="1808">
        <v>1</v>
      </c>
      <c r="G548" s="1829">
        <v>1</v>
      </c>
      <c r="H548" s="1808">
        <v>1</v>
      </c>
      <c r="I548" s="2073" t="s">
        <v>38</v>
      </c>
      <c r="J548" s="1794">
        <v>1</v>
      </c>
      <c r="K548" s="1917" t="s">
        <v>960</v>
      </c>
      <c r="L548" s="2225">
        <v>1</v>
      </c>
      <c r="M548" s="1806">
        <v>1</v>
      </c>
      <c r="N548" s="1917" t="s">
        <v>960</v>
      </c>
      <c r="O548" s="1794" t="s">
        <v>8900</v>
      </c>
      <c r="P548" s="1935">
        <v>1</v>
      </c>
      <c r="Q548" s="1935">
        <v>0</v>
      </c>
      <c r="R548" s="2178"/>
      <c r="S548" s="1794" t="s">
        <v>5420</v>
      </c>
      <c r="T548" s="1917" t="s">
        <v>960</v>
      </c>
      <c r="U548" s="2273" t="s">
        <v>1134</v>
      </c>
      <c r="V548" s="1935"/>
      <c r="W548" s="1917"/>
      <c r="X548" s="1917" t="s">
        <v>8900</v>
      </c>
      <c r="AU548" s="1890"/>
      <c r="AV548" s="1890"/>
      <c r="AW548" s="1890"/>
      <c r="AX548" s="1890"/>
      <c r="AY548" s="1890"/>
      <c r="AZ548" s="1890"/>
      <c r="BA548" s="1890"/>
      <c r="BB548" s="1890"/>
      <c r="BC548" s="1890"/>
      <c r="BD548" s="1890"/>
      <c r="BE548" s="1890"/>
      <c r="BF548" s="1890"/>
      <c r="BG548" s="1890"/>
      <c r="BH548" s="1890"/>
      <c r="BI548" s="1890"/>
      <c r="BJ548" s="1890"/>
      <c r="BK548" s="1890"/>
      <c r="BL548" s="1890"/>
      <c r="BM548" s="1890"/>
      <c r="BN548" s="1890"/>
      <c r="BO548" s="1890"/>
      <c r="BP548" s="1890"/>
      <c r="BQ548" s="1890"/>
      <c r="BR548" s="1890"/>
      <c r="BS548" s="1890"/>
      <c r="BT548" s="1890"/>
      <c r="BU548" s="1890"/>
      <c r="BV548" s="1890"/>
      <c r="BW548" s="1890"/>
      <c r="BX548" s="1890"/>
      <c r="BY548" s="1890"/>
      <c r="BZ548" s="1890"/>
    </row>
    <row r="549" spans="1:78" ht="86.1" customHeight="1">
      <c r="A549" s="1899"/>
      <c r="B549" s="1820" t="s">
        <v>637</v>
      </c>
      <c r="C549" s="1846">
        <v>1</v>
      </c>
      <c r="D549" s="1848">
        <v>1</v>
      </c>
      <c r="E549" s="2214">
        <v>0</v>
      </c>
      <c r="F549" s="1808">
        <v>1</v>
      </c>
      <c r="G549" s="1829">
        <v>1</v>
      </c>
      <c r="H549" s="1808">
        <v>1</v>
      </c>
      <c r="I549" s="2073" t="s">
        <v>38</v>
      </c>
      <c r="J549" s="1794">
        <v>1</v>
      </c>
      <c r="K549" s="1917" t="s">
        <v>960</v>
      </c>
      <c r="L549" s="2225">
        <v>0</v>
      </c>
      <c r="M549" s="1806">
        <v>1</v>
      </c>
      <c r="N549" s="1917" t="s">
        <v>960</v>
      </c>
      <c r="O549" s="1794" t="s">
        <v>8901</v>
      </c>
      <c r="P549" s="1935">
        <v>1</v>
      </c>
      <c r="Q549" s="1935">
        <v>0</v>
      </c>
      <c r="R549" s="2178"/>
      <c r="S549" s="1794" t="s">
        <v>5420</v>
      </c>
      <c r="T549" s="1917" t="s">
        <v>960</v>
      </c>
      <c r="U549" s="2225" t="s">
        <v>748</v>
      </c>
      <c r="V549" s="1935"/>
      <c r="W549" s="1917"/>
      <c r="X549" s="1917" t="s">
        <v>8901</v>
      </c>
      <c r="AU549" s="1890"/>
      <c r="AV549" s="1890"/>
      <c r="AW549" s="1890"/>
      <c r="AX549" s="1890"/>
      <c r="AY549" s="1890"/>
      <c r="AZ549" s="1890"/>
      <c r="BA549" s="1890"/>
      <c r="BB549" s="1890"/>
      <c r="BC549" s="1890"/>
      <c r="BD549" s="1890"/>
      <c r="BE549" s="1890"/>
      <c r="BF549" s="1890"/>
      <c r="BG549" s="1890"/>
      <c r="BH549" s="1890"/>
      <c r="BI549" s="1890"/>
      <c r="BJ549" s="1890"/>
      <c r="BK549" s="1890"/>
      <c r="BL549" s="1890"/>
      <c r="BM549" s="1890"/>
      <c r="BN549" s="1890"/>
      <c r="BO549" s="1890"/>
      <c r="BP549" s="1890"/>
      <c r="BQ549" s="1890"/>
      <c r="BR549" s="1890"/>
      <c r="BS549" s="1890"/>
      <c r="BT549" s="1890"/>
      <c r="BU549" s="1890"/>
      <c r="BV549" s="1890"/>
      <c r="BW549" s="1890"/>
      <c r="BX549" s="1890"/>
      <c r="BY549" s="1890"/>
      <c r="BZ549" s="1890"/>
    </row>
    <row r="550" spans="1:78" ht="32.1" customHeight="1">
      <c r="A550" s="2501"/>
      <c r="B550" s="1820" t="s">
        <v>638</v>
      </c>
      <c r="C550" s="1846">
        <v>0</v>
      </c>
      <c r="D550" s="1848">
        <v>1</v>
      </c>
      <c r="E550" s="2214">
        <v>1</v>
      </c>
      <c r="F550" s="1808">
        <v>1</v>
      </c>
      <c r="G550" s="1848">
        <v>0.5</v>
      </c>
      <c r="H550" s="1870">
        <v>0</v>
      </c>
      <c r="I550" s="2073" t="s">
        <v>38</v>
      </c>
      <c r="J550" s="1794">
        <v>0.5</v>
      </c>
      <c r="K550" s="1935" t="s">
        <v>960</v>
      </c>
      <c r="L550" s="2225">
        <v>1</v>
      </c>
      <c r="M550" s="1806">
        <v>1</v>
      </c>
      <c r="N550" s="1917">
        <v>0.5</v>
      </c>
      <c r="O550" s="1917" t="s">
        <v>5786</v>
      </c>
      <c r="P550" s="1935">
        <v>1</v>
      </c>
      <c r="Q550" s="1935">
        <v>0</v>
      </c>
      <c r="R550" s="2178"/>
      <c r="S550" s="1794"/>
      <c r="T550" s="1935" t="s">
        <v>7711</v>
      </c>
      <c r="U550" s="2225" t="s">
        <v>7344</v>
      </c>
      <c r="V550" s="1935"/>
      <c r="W550" s="1917"/>
      <c r="X550" s="1917" t="s">
        <v>5786</v>
      </c>
      <c r="AU550" s="1890"/>
      <c r="AV550" s="1890"/>
      <c r="AW550" s="1890"/>
      <c r="AX550" s="1890"/>
      <c r="AY550" s="1890"/>
      <c r="AZ550" s="1890"/>
      <c r="BA550" s="1890"/>
      <c r="BB550" s="1890"/>
      <c r="BC550" s="1890"/>
      <c r="BD550" s="1890"/>
      <c r="BE550" s="1890"/>
      <c r="BF550" s="1890"/>
      <c r="BG550" s="1890"/>
      <c r="BH550" s="1890"/>
      <c r="BI550" s="1890"/>
      <c r="BJ550" s="1890"/>
      <c r="BK550" s="1890"/>
      <c r="BL550" s="1890"/>
      <c r="BM550" s="1890"/>
      <c r="BN550" s="1890"/>
      <c r="BO550" s="1890"/>
      <c r="BP550" s="1890"/>
      <c r="BQ550" s="1890"/>
      <c r="BR550" s="1890"/>
      <c r="BS550" s="1890"/>
      <c r="BT550" s="1890"/>
      <c r="BU550" s="1890"/>
      <c r="BV550" s="1890"/>
      <c r="BW550" s="1890"/>
      <c r="BX550" s="1890"/>
      <c r="BY550" s="1890"/>
      <c r="BZ550" s="1890"/>
    </row>
    <row r="551" spans="1:78" ht="32.1" customHeight="1">
      <c r="A551" s="2515" t="s">
        <v>9331</v>
      </c>
      <c r="B551" s="2071" t="s">
        <v>7075</v>
      </c>
      <c r="C551" s="2160">
        <f>AVERAGE(C552:C562)</f>
        <v>0.72236097236097241</v>
      </c>
      <c r="D551" s="2160">
        <f t="shared" ref="D551:H551" si="145">AVERAGE(D552:D562)</f>
        <v>0.59032634032634024</v>
      </c>
      <c r="E551" s="2160">
        <f t="shared" si="145"/>
        <v>0</v>
      </c>
      <c r="F551" s="2160">
        <f>AVERAGE(F552:F562)</f>
        <v>0.84557109557109555</v>
      </c>
      <c r="G551" s="2160">
        <f t="shared" si="145"/>
        <v>0.60606060606060597</v>
      </c>
      <c r="H551" s="2160">
        <f t="shared" si="145"/>
        <v>0.21212121212121213</v>
      </c>
      <c r="I551" s="2073"/>
      <c r="J551" s="2227"/>
      <c r="K551" s="2227"/>
      <c r="L551" s="2227"/>
      <c r="M551" s="2161"/>
      <c r="N551" s="2227"/>
      <c r="O551" s="2227"/>
      <c r="P551" s="2228"/>
      <c r="Q551" s="2228"/>
      <c r="R551" s="2183"/>
      <c r="S551" s="2227"/>
      <c r="T551" s="2227"/>
      <c r="U551" s="2394"/>
      <c r="V551" s="2227"/>
      <c r="W551" s="2227"/>
      <c r="X551" s="2227"/>
      <c r="AU551" s="1890"/>
      <c r="AV551" s="1890"/>
      <c r="AW551" s="1890"/>
      <c r="AX551" s="1890"/>
      <c r="AY551" s="1890"/>
      <c r="AZ551" s="1890"/>
      <c r="BA551" s="1890"/>
      <c r="BB551" s="1890"/>
      <c r="BC551" s="1890"/>
      <c r="BD551" s="1890"/>
      <c r="BE551" s="1890"/>
      <c r="BF551" s="1890"/>
      <c r="BG551" s="1890"/>
      <c r="BH551" s="1890"/>
      <c r="BI551" s="1890"/>
      <c r="BJ551" s="1890"/>
      <c r="BK551" s="1890"/>
      <c r="BL551" s="1890"/>
      <c r="BM551" s="1890"/>
      <c r="BN551" s="1890"/>
      <c r="BO551" s="1890"/>
      <c r="BP551" s="1890"/>
      <c r="BQ551" s="1890"/>
      <c r="BR551" s="1890"/>
      <c r="BS551" s="1890"/>
      <c r="BT551" s="1890"/>
      <c r="BU551" s="1890"/>
      <c r="BV551" s="1890"/>
      <c r="BW551" s="1890"/>
      <c r="BX551" s="1890"/>
      <c r="BY551" s="1890"/>
      <c r="BZ551" s="1890"/>
    </row>
    <row r="552" spans="1:78" s="1893" customFormat="1" ht="60">
      <c r="A552" s="2504" t="s">
        <v>7148</v>
      </c>
      <c r="B552" s="2057" t="s">
        <v>7149</v>
      </c>
      <c r="C552" s="2390">
        <f t="shared" ref="C552:H553" si="146">IF(J552&gt;$P552,1,IF(J552&lt;$Q552,0,(J552-$Q552)/($P552-$Q552)))</f>
        <v>7.6923076923076664E-2</v>
      </c>
      <c r="D552" s="2390">
        <f t="shared" si="146"/>
        <v>7.6923076923076664E-2</v>
      </c>
      <c r="E552" s="2390" t="s">
        <v>1073</v>
      </c>
      <c r="F552" s="2390">
        <f t="shared" si="146"/>
        <v>0.38461538461538469</v>
      </c>
      <c r="G552" s="2390">
        <f t="shared" si="146"/>
        <v>1</v>
      </c>
      <c r="H552" s="2390">
        <f t="shared" si="146"/>
        <v>1</v>
      </c>
      <c r="I552" s="2073" t="s">
        <v>525</v>
      </c>
      <c r="J552" s="2207">
        <v>2.8</v>
      </c>
      <c r="K552" s="2207">
        <v>2.8</v>
      </c>
      <c r="L552" s="2208" t="s">
        <v>8064</v>
      </c>
      <c r="M552" s="2222">
        <v>3.2</v>
      </c>
      <c r="N552" s="2222">
        <v>4.2</v>
      </c>
      <c r="O552" s="2207">
        <v>4.3</v>
      </c>
      <c r="P552" s="2393">
        <v>4</v>
      </c>
      <c r="Q552" s="2222">
        <v>2.7</v>
      </c>
      <c r="R552" s="2178"/>
      <c r="S552" s="2207"/>
      <c r="T552" s="2207"/>
      <c r="U552" s="2392"/>
      <c r="V552" s="2222"/>
      <c r="W552" s="2222"/>
      <c r="X552" s="2207"/>
      <c r="Y552" s="1818"/>
      <c r="Z552" s="1818"/>
      <c r="AA552" s="1818"/>
      <c r="AB552" s="1818"/>
      <c r="AC552" s="1818"/>
      <c r="AD552" s="1818"/>
      <c r="AE552" s="1818"/>
      <c r="AF552" s="1818"/>
      <c r="AG552" s="1818"/>
      <c r="AH552" s="1818"/>
      <c r="AI552" s="1818"/>
      <c r="AJ552" s="1818"/>
      <c r="AK552" s="1818"/>
      <c r="AL552" s="1818"/>
      <c r="AM552" s="1818"/>
      <c r="AN552" s="1818"/>
      <c r="AO552" s="1818"/>
      <c r="AP552" s="1818"/>
      <c r="AQ552" s="1818"/>
      <c r="AR552" s="1818"/>
      <c r="AS552" s="1818"/>
      <c r="AT552" s="1818"/>
    </row>
    <row r="553" spans="1:78" s="1893" customFormat="1" ht="75">
      <c r="A553" s="2504" t="s">
        <v>7148</v>
      </c>
      <c r="B553" s="2057" t="s">
        <v>7150</v>
      </c>
      <c r="C553" s="2390">
        <f>IF(J553&gt;$P553,1,IF(J553&lt;$Q553,0,(J553-$Q553)/($P553-$Q553)))</f>
        <v>0.28571428571428592</v>
      </c>
      <c r="D553" s="2390">
        <f t="shared" si="146"/>
        <v>0</v>
      </c>
      <c r="E553" s="2390" t="s">
        <v>1073</v>
      </c>
      <c r="F553" s="2390">
        <f t="shared" si="146"/>
        <v>1</v>
      </c>
      <c r="G553" s="2390">
        <f t="shared" si="146"/>
        <v>1</v>
      </c>
      <c r="H553" s="2390">
        <f t="shared" si="146"/>
        <v>1</v>
      </c>
      <c r="I553" s="2073" t="s">
        <v>525</v>
      </c>
      <c r="J553" s="2207">
        <v>3.2</v>
      </c>
      <c r="K553" s="2207">
        <v>3</v>
      </c>
      <c r="L553" s="2208" t="s">
        <v>8064</v>
      </c>
      <c r="M553" s="2222">
        <v>3.7</v>
      </c>
      <c r="N553" s="2222">
        <v>4.3</v>
      </c>
      <c r="O553" s="2207">
        <v>4.2</v>
      </c>
      <c r="P553" s="2393">
        <v>3.7</v>
      </c>
      <c r="Q553" s="2222">
        <v>3</v>
      </c>
      <c r="R553" s="2178"/>
      <c r="S553" s="2207"/>
      <c r="T553" s="2207"/>
      <c r="U553" s="2392"/>
      <c r="V553" s="2222"/>
      <c r="W553" s="2222"/>
      <c r="X553" s="2207"/>
      <c r="Y553" s="1818"/>
      <c r="Z553" s="1818"/>
      <c r="AA553" s="1818"/>
      <c r="AB553" s="1818"/>
      <c r="AC553" s="1818"/>
      <c r="AD553" s="1818"/>
      <c r="AE553" s="1818"/>
      <c r="AF553" s="1818"/>
      <c r="AG553" s="1818"/>
      <c r="AH553" s="1818"/>
      <c r="AI553" s="1818"/>
      <c r="AJ553" s="1818"/>
      <c r="AK553" s="1818"/>
      <c r="AL553" s="1818"/>
      <c r="AM553" s="1818"/>
      <c r="AN553" s="1818"/>
      <c r="AO553" s="1818"/>
      <c r="AP553" s="1818"/>
      <c r="AQ553" s="1818"/>
      <c r="AR553" s="1818"/>
      <c r="AS553" s="1818"/>
      <c r="AT553" s="1818"/>
    </row>
    <row r="554" spans="1:78" s="1893" customFormat="1" ht="75">
      <c r="A554" s="2504" t="s">
        <v>7148</v>
      </c>
      <c r="B554" s="2057" t="s">
        <v>7151</v>
      </c>
      <c r="C554" s="2390">
        <f>(J554-$Q554)/($P554-$Q554)</f>
        <v>0.58333333333333337</v>
      </c>
      <c r="D554" s="2390">
        <f>(K554-$Q554)/($P554-$Q554)</f>
        <v>0.41666666666666663</v>
      </c>
      <c r="E554" s="2390" t="s">
        <v>1073</v>
      </c>
      <c r="F554" s="2390">
        <f>(M554-$Q554)/($P554-$Q554)</f>
        <v>0.41666666666666663</v>
      </c>
      <c r="G554" s="2390">
        <f>(N554-$Q554)/($P554-$Q554)</f>
        <v>0.66666666666666641</v>
      </c>
      <c r="H554" s="2390">
        <f>(O554-$Q554)/($P554-$Q554)</f>
        <v>0.33333333333333359</v>
      </c>
      <c r="I554" s="2073" t="s">
        <v>525</v>
      </c>
      <c r="J554" s="2207">
        <v>5</v>
      </c>
      <c r="K554" s="2207">
        <v>4.8</v>
      </c>
      <c r="L554" s="2208" t="s">
        <v>8064</v>
      </c>
      <c r="M554" s="2222">
        <v>4.8</v>
      </c>
      <c r="N554" s="2222">
        <v>5.0999999999999996</v>
      </c>
      <c r="O554" s="2207">
        <v>4.7</v>
      </c>
      <c r="P554" s="2393">
        <v>5.5</v>
      </c>
      <c r="Q554" s="2222">
        <v>4.3</v>
      </c>
      <c r="R554" s="2178"/>
      <c r="S554" s="2207"/>
      <c r="T554" s="2207"/>
      <c r="U554" s="2392"/>
      <c r="V554" s="2222"/>
      <c r="W554" s="2222"/>
      <c r="X554" s="2207"/>
      <c r="Y554" s="1818"/>
      <c r="Z554" s="1818"/>
      <c r="AA554" s="1818"/>
      <c r="AB554" s="1818"/>
      <c r="AC554" s="1818"/>
      <c r="AD554" s="1818"/>
      <c r="AE554" s="1818"/>
      <c r="AF554" s="1818"/>
      <c r="AG554" s="1818"/>
      <c r="AH554" s="1818"/>
      <c r="AI554" s="1818"/>
      <c r="AJ554" s="1818"/>
      <c r="AK554" s="1818"/>
      <c r="AL554" s="1818"/>
      <c r="AM554" s="1818"/>
      <c r="AN554" s="1818"/>
      <c r="AO554" s="1818"/>
      <c r="AP554" s="1818"/>
      <c r="AQ554" s="1818"/>
      <c r="AR554" s="1818"/>
      <c r="AS554" s="1818"/>
      <c r="AT554" s="1818"/>
    </row>
    <row r="555" spans="1:78" ht="179.1" customHeight="1">
      <c r="A555" s="1899"/>
      <c r="B555" s="1820" t="s">
        <v>640</v>
      </c>
      <c r="C555" s="1846">
        <v>1</v>
      </c>
      <c r="D555" s="1848">
        <v>1</v>
      </c>
      <c r="E555" s="2213">
        <v>0</v>
      </c>
      <c r="F555" s="1808">
        <v>1</v>
      </c>
      <c r="G555" s="1829">
        <v>1</v>
      </c>
      <c r="H555" s="1808">
        <v>0</v>
      </c>
      <c r="I555" s="2073" t="s">
        <v>38</v>
      </c>
      <c r="J555" s="1794">
        <v>1</v>
      </c>
      <c r="K555" s="1917" t="s">
        <v>960</v>
      </c>
      <c r="L555" s="2226">
        <v>0</v>
      </c>
      <c r="M555" s="1806">
        <v>1</v>
      </c>
      <c r="N555" s="1935" t="s">
        <v>960</v>
      </c>
      <c r="O555" s="1935" t="s">
        <v>8902</v>
      </c>
      <c r="P555" s="1935">
        <v>1</v>
      </c>
      <c r="Q555" s="1935">
        <v>0</v>
      </c>
      <c r="R555" s="2178"/>
      <c r="S555" s="1794"/>
      <c r="T555" s="1917" t="s">
        <v>811</v>
      </c>
      <c r="U555" s="2266" t="s">
        <v>7345</v>
      </c>
      <c r="V555" s="1935"/>
      <c r="W555" s="1935"/>
      <c r="X555" s="1935" t="s">
        <v>8902</v>
      </c>
      <c r="AU555" s="1890"/>
      <c r="AV555" s="1890"/>
      <c r="AW555" s="1890"/>
      <c r="AX555" s="1890"/>
      <c r="AY555" s="1890"/>
      <c r="AZ555" s="1890"/>
      <c r="BA555" s="1890"/>
      <c r="BB555" s="1890"/>
      <c r="BC555" s="1890"/>
      <c r="BD555" s="1890"/>
      <c r="BE555" s="1890"/>
      <c r="BF555" s="1890"/>
      <c r="BG555" s="1890"/>
      <c r="BH555" s="1890"/>
      <c r="BI555" s="1890"/>
      <c r="BJ555" s="1890"/>
      <c r="BK555" s="1890"/>
      <c r="BL555" s="1890"/>
      <c r="BM555" s="1890"/>
      <c r="BN555" s="1890"/>
      <c r="BO555" s="1890"/>
      <c r="BP555" s="1890"/>
      <c r="BQ555" s="1890"/>
      <c r="BR555" s="1890"/>
      <c r="BS555" s="1890"/>
      <c r="BT555" s="1890"/>
      <c r="BU555" s="1890"/>
      <c r="BV555" s="1890"/>
      <c r="BW555" s="1890"/>
      <c r="BX555" s="1890"/>
      <c r="BY555" s="1890"/>
      <c r="BZ555" s="1890"/>
    </row>
    <row r="556" spans="1:78" ht="105.95" customHeight="1">
      <c r="A556" s="1899"/>
      <c r="B556" s="1820" t="s">
        <v>641</v>
      </c>
      <c r="C556" s="1847">
        <v>1</v>
      </c>
      <c r="D556" s="1848">
        <v>1</v>
      </c>
      <c r="E556" s="2213">
        <v>0</v>
      </c>
      <c r="F556" s="1808">
        <v>1</v>
      </c>
      <c r="G556" s="1829">
        <v>1</v>
      </c>
      <c r="H556" s="1808">
        <v>0</v>
      </c>
      <c r="I556" s="2073" t="s">
        <v>38</v>
      </c>
      <c r="J556" s="1917">
        <v>1</v>
      </c>
      <c r="K556" s="1917" t="s">
        <v>960</v>
      </c>
      <c r="L556" s="2226">
        <v>1</v>
      </c>
      <c r="M556" s="1806">
        <v>1</v>
      </c>
      <c r="N556" s="1935" t="s">
        <v>4392</v>
      </c>
      <c r="O556" s="1935" t="s">
        <v>8903</v>
      </c>
      <c r="P556" s="1935">
        <v>1</v>
      </c>
      <c r="Q556" s="1935">
        <v>0</v>
      </c>
      <c r="R556" s="2178"/>
      <c r="S556" s="1794"/>
      <c r="T556" s="1917" t="s">
        <v>811</v>
      </c>
      <c r="U556" s="2266" t="s">
        <v>7346</v>
      </c>
      <c r="V556" s="1935"/>
      <c r="W556" s="1935" t="s">
        <v>8437</v>
      </c>
      <c r="X556" s="1935" t="s">
        <v>8903</v>
      </c>
      <c r="AU556" s="1890"/>
      <c r="AV556" s="1890"/>
      <c r="AW556" s="1890"/>
      <c r="AX556" s="1890"/>
      <c r="AY556" s="1890"/>
      <c r="AZ556" s="1890"/>
      <c r="BA556" s="1890"/>
      <c r="BB556" s="1890"/>
      <c r="BC556" s="1890"/>
      <c r="BD556" s="1890"/>
      <c r="BE556" s="1890"/>
      <c r="BF556" s="1890"/>
      <c r="BG556" s="1890"/>
      <c r="BH556" s="1890"/>
      <c r="BI556" s="1890"/>
      <c r="BJ556" s="1890"/>
      <c r="BK556" s="1890"/>
      <c r="BL556" s="1890"/>
      <c r="BM556" s="1890"/>
      <c r="BN556" s="1890"/>
      <c r="BO556" s="1890"/>
      <c r="BP556" s="1890"/>
      <c r="BQ556" s="1890"/>
      <c r="BR556" s="1890"/>
      <c r="BS556" s="1890"/>
      <c r="BT556" s="1890"/>
      <c r="BU556" s="1890"/>
      <c r="BV556" s="1890"/>
      <c r="BW556" s="1890"/>
      <c r="BX556" s="1890"/>
      <c r="BY556" s="1890"/>
      <c r="BZ556" s="1890"/>
    </row>
    <row r="557" spans="1:78" ht="39.950000000000003" customHeight="1">
      <c r="A557" s="1899"/>
      <c r="B557" s="1820" t="s">
        <v>642</v>
      </c>
      <c r="C557" s="1847">
        <v>1</v>
      </c>
      <c r="D557" s="1848">
        <v>0</v>
      </c>
      <c r="E557" s="2213">
        <v>0</v>
      </c>
      <c r="F557" s="1808">
        <v>0.5</v>
      </c>
      <c r="G557" s="1829">
        <v>0</v>
      </c>
      <c r="H557" s="1808">
        <v>0</v>
      </c>
      <c r="I557" s="2073" t="s">
        <v>459</v>
      </c>
      <c r="J557" s="1917">
        <v>1</v>
      </c>
      <c r="K557" s="1917" t="s">
        <v>1060</v>
      </c>
      <c r="L557" s="2226">
        <v>0</v>
      </c>
      <c r="M557" s="1806">
        <v>0.5</v>
      </c>
      <c r="N557" s="1935" t="s">
        <v>1060</v>
      </c>
      <c r="O557" s="1935" t="s">
        <v>8904</v>
      </c>
      <c r="P557" s="1935">
        <v>1</v>
      </c>
      <c r="Q557" s="1935">
        <v>0</v>
      </c>
      <c r="R557" s="2178"/>
      <c r="S557" s="1794"/>
      <c r="T557" s="1917" t="s">
        <v>2425</v>
      </c>
      <c r="U557" s="2266" t="s">
        <v>7347</v>
      </c>
      <c r="V557" s="1935"/>
      <c r="W557" s="1935"/>
      <c r="X557" s="1935" t="s">
        <v>8904</v>
      </c>
      <c r="AU557" s="1890"/>
      <c r="AV557" s="1890"/>
      <c r="AW557" s="1890"/>
      <c r="AX557" s="1890"/>
      <c r="AY557" s="1890"/>
      <c r="AZ557" s="1890"/>
      <c r="BA557" s="1890"/>
      <c r="BB557" s="1890"/>
      <c r="BC557" s="1890"/>
      <c r="BD557" s="1890"/>
      <c r="BE557" s="1890"/>
      <c r="BF557" s="1890"/>
      <c r="BG557" s="1890"/>
      <c r="BH557" s="1890"/>
      <c r="BI557" s="1890"/>
      <c r="BJ557" s="1890"/>
      <c r="BK557" s="1890"/>
      <c r="BL557" s="1890"/>
      <c r="BM557" s="1890"/>
      <c r="BN557" s="1890"/>
      <c r="BO557" s="1890"/>
      <c r="BP557" s="1890"/>
      <c r="BQ557" s="1890"/>
      <c r="BR557" s="1890"/>
      <c r="BS557" s="1890"/>
      <c r="BT557" s="1890"/>
      <c r="BU557" s="1890"/>
      <c r="BV557" s="1890"/>
      <c r="BW557" s="1890"/>
      <c r="BX557" s="1890"/>
      <c r="BY557" s="1890"/>
      <c r="BZ557" s="1890"/>
    </row>
    <row r="558" spans="1:78" ht="32.1" customHeight="1">
      <c r="A558" s="1899"/>
      <c r="B558" s="1820" t="s">
        <v>643</v>
      </c>
      <c r="C558" s="1846">
        <v>1</v>
      </c>
      <c r="D558" s="1848">
        <v>1</v>
      </c>
      <c r="E558" s="2213">
        <v>0</v>
      </c>
      <c r="F558" s="1808">
        <v>1</v>
      </c>
      <c r="G558" s="1829">
        <v>1</v>
      </c>
      <c r="H558" s="1808">
        <v>0</v>
      </c>
      <c r="I558" s="2073" t="s">
        <v>459</v>
      </c>
      <c r="J558" s="1794">
        <v>1</v>
      </c>
      <c r="K558" s="1917" t="s">
        <v>960</v>
      </c>
      <c r="L558" s="2226">
        <v>0</v>
      </c>
      <c r="M558" s="1806">
        <v>1</v>
      </c>
      <c r="N558" s="1935" t="s">
        <v>960</v>
      </c>
      <c r="O558" s="1935" t="s">
        <v>8905</v>
      </c>
      <c r="P558" s="1935">
        <v>1</v>
      </c>
      <c r="Q558" s="1935">
        <v>0</v>
      </c>
      <c r="R558" s="2178"/>
      <c r="S558" s="1794"/>
      <c r="T558" s="1917" t="s">
        <v>811</v>
      </c>
      <c r="U558" s="2266" t="s">
        <v>7348</v>
      </c>
      <c r="V558" s="1935"/>
      <c r="W558" s="1935"/>
      <c r="X558" s="1935" t="s">
        <v>8905</v>
      </c>
      <c r="AU558" s="1890"/>
      <c r="AV558" s="1890"/>
      <c r="AW558" s="1890"/>
      <c r="AX558" s="1890"/>
      <c r="AY558" s="1890"/>
      <c r="AZ558" s="1890"/>
      <c r="BA558" s="1890"/>
      <c r="BB558" s="1890"/>
      <c r="BC558" s="1890"/>
      <c r="BD558" s="1890"/>
      <c r="BE558" s="1890"/>
      <c r="BF558" s="1890"/>
      <c r="BG558" s="1890"/>
      <c r="BH558" s="1890"/>
      <c r="BI558" s="1890"/>
      <c r="BJ558" s="1890"/>
      <c r="BK558" s="1890"/>
      <c r="BL558" s="1890"/>
      <c r="BM558" s="1890"/>
      <c r="BN558" s="1890"/>
      <c r="BO558" s="1890"/>
      <c r="BP558" s="1890"/>
      <c r="BQ558" s="1890"/>
      <c r="BR558" s="1890"/>
      <c r="BS558" s="1890"/>
      <c r="BT558" s="1890"/>
      <c r="BU558" s="1890"/>
      <c r="BV558" s="1890"/>
      <c r="BW558" s="1890"/>
      <c r="BX558" s="1890"/>
      <c r="BY558" s="1890"/>
      <c r="BZ558" s="1890"/>
    </row>
    <row r="559" spans="1:78" ht="165.75" customHeight="1">
      <c r="A559" s="1899"/>
      <c r="B559" s="1820" t="s">
        <v>644</v>
      </c>
      <c r="C559" s="1846">
        <v>0</v>
      </c>
      <c r="D559" s="1848">
        <v>1</v>
      </c>
      <c r="E559" s="2213">
        <v>0</v>
      </c>
      <c r="F559" s="1808">
        <v>1</v>
      </c>
      <c r="G559" s="1829">
        <v>0</v>
      </c>
      <c r="H559" s="1808">
        <v>0</v>
      </c>
      <c r="I559" s="2073" t="s">
        <v>38</v>
      </c>
      <c r="J559" s="1794">
        <v>0</v>
      </c>
      <c r="K559" s="1917" t="s">
        <v>960</v>
      </c>
      <c r="L559" s="2226">
        <v>0</v>
      </c>
      <c r="M559" s="1806">
        <v>1</v>
      </c>
      <c r="N559" s="1935" t="s">
        <v>763</v>
      </c>
      <c r="O559" s="1935" t="s">
        <v>8906</v>
      </c>
      <c r="P559" s="1935">
        <v>1</v>
      </c>
      <c r="Q559" s="1935">
        <v>0</v>
      </c>
      <c r="R559" s="2178"/>
      <c r="S559" s="1794"/>
      <c r="T559" s="1917" t="s">
        <v>811</v>
      </c>
      <c r="U559" s="2266" t="s">
        <v>7349</v>
      </c>
      <c r="V559" s="1935"/>
      <c r="W559" s="1935" t="s">
        <v>8438</v>
      </c>
      <c r="X559" s="1935" t="s">
        <v>8906</v>
      </c>
      <c r="AU559" s="1890"/>
      <c r="AV559" s="1890"/>
      <c r="AW559" s="1890"/>
      <c r="AX559" s="1890"/>
      <c r="AY559" s="1890"/>
      <c r="AZ559" s="1890"/>
      <c r="BA559" s="1890"/>
      <c r="BB559" s="1890"/>
      <c r="BC559" s="1890"/>
      <c r="BD559" s="1890"/>
      <c r="BE559" s="1890"/>
      <c r="BF559" s="1890"/>
      <c r="BG559" s="1890"/>
      <c r="BH559" s="1890"/>
      <c r="BI559" s="1890"/>
      <c r="BJ559" s="1890"/>
      <c r="BK559" s="1890"/>
      <c r="BL559" s="1890"/>
      <c r="BM559" s="1890"/>
      <c r="BN559" s="1890"/>
      <c r="BO559" s="1890"/>
      <c r="BP559" s="1890"/>
      <c r="BQ559" s="1890"/>
      <c r="BR559" s="1890"/>
      <c r="BS559" s="1890"/>
      <c r="BT559" s="1890"/>
      <c r="BU559" s="1890"/>
      <c r="BV559" s="1890"/>
      <c r="BW559" s="1890"/>
      <c r="BX559" s="1890"/>
      <c r="BY559" s="1890"/>
      <c r="BZ559" s="1890"/>
    </row>
    <row r="560" spans="1:78" ht="131.1" customHeight="1">
      <c r="A560" s="1899"/>
      <c r="B560" s="1820" t="s">
        <v>645</v>
      </c>
      <c r="C560" s="1846">
        <v>1</v>
      </c>
      <c r="D560" s="1848">
        <v>0</v>
      </c>
      <c r="E560" s="2212">
        <v>0</v>
      </c>
      <c r="F560" s="1808">
        <v>1</v>
      </c>
      <c r="G560" s="1829">
        <v>0</v>
      </c>
      <c r="H560" s="1808">
        <v>0</v>
      </c>
      <c r="I560" s="2073" t="s">
        <v>38</v>
      </c>
      <c r="J560" s="1794">
        <v>1</v>
      </c>
      <c r="K560" s="1917" t="s">
        <v>1060</v>
      </c>
      <c r="L560" s="2225">
        <v>0</v>
      </c>
      <c r="M560" s="1806">
        <v>1</v>
      </c>
      <c r="N560" s="1917" t="s">
        <v>960</v>
      </c>
      <c r="O560" s="1917" t="s">
        <v>8907</v>
      </c>
      <c r="P560" s="1917">
        <v>1</v>
      </c>
      <c r="Q560" s="1917">
        <v>0</v>
      </c>
      <c r="R560" s="2178"/>
      <c r="S560" s="1794"/>
      <c r="T560" s="1917" t="s">
        <v>7712</v>
      </c>
      <c r="U560" s="2266" t="s">
        <v>748</v>
      </c>
      <c r="V560" s="1935"/>
      <c r="W560" s="1935"/>
      <c r="X560" s="1917" t="s">
        <v>8907</v>
      </c>
      <c r="AU560" s="1890"/>
      <c r="AV560" s="1890"/>
      <c r="AW560" s="1890"/>
      <c r="AX560" s="1890"/>
      <c r="AY560" s="1890"/>
      <c r="AZ560" s="1890"/>
      <c r="BA560" s="1890"/>
      <c r="BB560" s="1890"/>
      <c r="BC560" s="1890"/>
      <c r="BD560" s="1890"/>
      <c r="BE560" s="1890"/>
      <c r="BF560" s="1890"/>
      <c r="BG560" s="1890"/>
      <c r="BH560" s="1890"/>
      <c r="BI560" s="1890"/>
      <c r="BJ560" s="1890"/>
      <c r="BK560" s="1890"/>
      <c r="BL560" s="1890"/>
      <c r="BM560" s="1890"/>
      <c r="BN560" s="1890"/>
      <c r="BO560" s="1890"/>
      <c r="BP560" s="1890"/>
      <c r="BQ560" s="1890"/>
      <c r="BR560" s="1890"/>
      <c r="BS560" s="1890"/>
      <c r="BT560" s="1890"/>
      <c r="BU560" s="1890"/>
      <c r="BV560" s="1890"/>
      <c r="BW560" s="1890"/>
      <c r="BX560" s="1890"/>
      <c r="BY560" s="1890"/>
      <c r="BZ560" s="1890"/>
    </row>
    <row r="561" spans="1:78" ht="32.1" customHeight="1">
      <c r="A561" s="1899"/>
      <c r="B561" s="1820" t="s">
        <v>646</v>
      </c>
      <c r="C561" s="1846">
        <v>1</v>
      </c>
      <c r="D561" s="1848">
        <v>1</v>
      </c>
      <c r="E561" s="2212">
        <v>0</v>
      </c>
      <c r="F561" s="1808">
        <v>1</v>
      </c>
      <c r="G561" s="1829">
        <v>1</v>
      </c>
      <c r="H561" s="1808">
        <v>0</v>
      </c>
      <c r="I561" s="2073" t="s">
        <v>38</v>
      </c>
      <c r="J561" s="1794">
        <v>1</v>
      </c>
      <c r="K561" s="1917" t="s">
        <v>960</v>
      </c>
      <c r="L561" s="2225">
        <v>0</v>
      </c>
      <c r="M561" s="1806">
        <v>1</v>
      </c>
      <c r="N561" s="1917" t="s">
        <v>4392</v>
      </c>
      <c r="O561" s="1917" t="s">
        <v>8908</v>
      </c>
      <c r="P561" s="1917">
        <v>1</v>
      </c>
      <c r="Q561" s="1917">
        <v>0</v>
      </c>
      <c r="R561" s="2178"/>
      <c r="S561" s="1794"/>
      <c r="T561" s="1917" t="s">
        <v>960</v>
      </c>
      <c r="U561" s="2265" t="s">
        <v>748</v>
      </c>
      <c r="V561" s="1935"/>
      <c r="W561" s="1917" t="s">
        <v>8439</v>
      </c>
      <c r="X561" s="1917" t="s">
        <v>8908</v>
      </c>
      <c r="AU561" s="1890"/>
      <c r="AV561" s="1890"/>
      <c r="AW561" s="1890"/>
      <c r="AX561" s="1890"/>
      <c r="AY561" s="1890"/>
      <c r="AZ561" s="1890"/>
      <c r="BA561" s="1890"/>
      <c r="BB561" s="1890"/>
      <c r="BC561" s="1890"/>
      <c r="BD561" s="1890"/>
      <c r="BE561" s="1890"/>
      <c r="BF561" s="1890"/>
      <c r="BG561" s="1890"/>
      <c r="BH561" s="1890"/>
      <c r="BI561" s="1890"/>
      <c r="BJ561" s="1890"/>
      <c r="BK561" s="1890"/>
      <c r="BL561" s="1890"/>
      <c r="BM561" s="1890"/>
      <c r="BN561" s="1890"/>
      <c r="BO561" s="1890"/>
      <c r="BP561" s="1890"/>
      <c r="BQ561" s="1890"/>
      <c r="BR561" s="1890"/>
      <c r="BS561" s="1890"/>
      <c r="BT561" s="1890"/>
      <c r="BU561" s="1890"/>
      <c r="BV561" s="1890"/>
      <c r="BW561" s="1890"/>
      <c r="BX561" s="1890"/>
      <c r="BY561" s="1890"/>
      <c r="BZ561" s="1890"/>
    </row>
    <row r="562" spans="1:78" ht="186" customHeight="1">
      <c r="A562" s="1899"/>
      <c r="B562" s="1820" t="s">
        <v>647</v>
      </c>
      <c r="C562" s="1846">
        <v>1</v>
      </c>
      <c r="D562" s="1848">
        <v>1</v>
      </c>
      <c r="E562" s="2212">
        <v>0</v>
      </c>
      <c r="F562" s="1808">
        <v>1</v>
      </c>
      <c r="G562" s="1829">
        <v>0</v>
      </c>
      <c r="H562" s="1808">
        <v>0</v>
      </c>
      <c r="I562" s="2073" t="s">
        <v>38</v>
      </c>
      <c r="J562" s="1794">
        <v>1</v>
      </c>
      <c r="K562" s="1917" t="s">
        <v>960</v>
      </c>
      <c r="L562" s="2225">
        <v>0</v>
      </c>
      <c r="M562" s="1806">
        <v>1</v>
      </c>
      <c r="N562" s="1917" t="s">
        <v>1060</v>
      </c>
      <c r="O562" s="1917" t="s">
        <v>8909</v>
      </c>
      <c r="P562" s="1917">
        <v>1</v>
      </c>
      <c r="Q562" s="1917">
        <v>0</v>
      </c>
      <c r="R562" s="2178"/>
      <c r="S562" s="1794"/>
      <c r="T562" s="1917" t="s">
        <v>960</v>
      </c>
      <c r="U562" s="2265" t="s">
        <v>748</v>
      </c>
      <c r="V562" s="1935"/>
      <c r="W562" s="1917"/>
      <c r="X562" s="1917" t="s">
        <v>8909</v>
      </c>
    </row>
    <row r="563" spans="1:78" ht="32.1" customHeight="1">
      <c r="A563" s="2514">
        <v>2.2000000000000002</v>
      </c>
      <c r="B563" s="2068" t="s">
        <v>5347</v>
      </c>
      <c r="C563" s="2069">
        <f t="shared" ref="C563:H563" si="147">AVERAGE(C564,C573,C583,C589)</f>
        <v>0.97100000000000009</v>
      </c>
      <c r="D563" s="2069">
        <f t="shared" si="147"/>
        <v>0.94414285714285717</v>
      </c>
      <c r="E563" s="2069">
        <f t="shared" si="147"/>
        <v>0.35785714285714287</v>
      </c>
      <c r="F563" s="2069">
        <f t="shared" si="147"/>
        <v>0.95850000000000002</v>
      </c>
      <c r="G563" s="2069">
        <f t="shared" si="147"/>
        <v>0.76845238095238089</v>
      </c>
      <c r="H563" s="2069">
        <f t="shared" si="147"/>
        <v>0.69756666666666667</v>
      </c>
      <c r="I563" s="2064"/>
      <c r="J563" s="2065"/>
      <c r="K563" s="2065"/>
      <c r="L563" s="2065"/>
      <c r="M563" s="2065"/>
      <c r="N563" s="2065"/>
      <c r="O563" s="2065"/>
      <c r="P563" s="2066"/>
      <c r="Q563" s="2066"/>
      <c r="R563" s="2067"/>
      <c r="S563" s="2065"/>
      <c r="T563" s="2065"/>
      <c r="U563" s="2065"/>
      <c r="V563" s="2065"/>
      <c r="W563" s="2065"/>
      <c r="X563" s="2065"/>
    </row>
    <row r="564" spans="1:78" ht="32.1" customHeight="1">
      <c r="A564" s="2515" t="s">
        <v>7076</v>
      </c>
      <c r="B564" s="2071" t="s">
        <v>650</v>
      </c>
      <c r="C564" s="2129">
        <f>AVERAGE(C565,C568,C569,C570,C571,C572)</f>
        <v>1</v>
      </c>
      <c r="D564" s="2129">
        <f t="shared" ref="D564:H564" si="148">AVERAGE(D565,D568,D569,D570,D571,D572)</f>
        <v>1</v>
      </c>
      <c r="E564" s="2129">
        <f t="shared" si="148"/>
        <v>0</v>
      </c>
      <c r="F564" s="2129">
        <f t="shared" si="148"/>
        <v>1</v>
      </c>
      <c r="G564" s="2129">
        <f t="shared" si="148"/>
        <v>0.66666666666666663</v>
      </c>
      <c r="H564" s="2129">
        <f t="shared" si="148"/>
        <v>0.41666666666666669</v>
      </c>
      <c r="I564" s="2073"/>
      <c r="J564" s="2074"/>
      <c r="K564" s="2074"/>
      <c r="L564" s="2074"/>
      <c r="M564" s="2074"/>
      <c r="N564" s="2074"/>
      <c r="O564" s="2074"/>
      <c r="P564" s="2074"/>
      <c r="Q564" s="2074"/>
      <c r="R564" s="2075"/>
      <c r="S564" s="2074"/>
      <c r="T564" s="2074"/>
      <c r="U564" s="2074"/>
      <c r="V564" s="2074"/>
      <c r="W564" s="2074"/>
      <c r="X564" s="2074"/>
    </row>
    <row r="565" spans="1:78" ht="32.1" customHeight="1">
      <c r="A565" s="2500"/>
      <c r="B565" s="2059" t="s">
        <v>6936</v>
      </c>
      <c r="C565" s="2158">
        <f>AVERAGE(C566:C567)</f>
        <v>1</v>
      </c>
      <c r="D565" s="2158">
        <f t="shared" ref="D565:H565" si="149">AVERAGE(D566:D567)</f>
        <v>1</v>
      </c>
      <c r="E565" s="2158">
        <f t="shared" si="149"/>
        <v>0</v>
      </c>
      <c r="F565" s="2158">
        <f t="shared" si="149"/>
        <v>1</v>
      </c>
      <c r="G565" s="2158">
        <f t="shared" si="149"/>
        <v>0</v>
      </c>
      <c r="H565" s="2158">
        <f t="shared" si="149"/>
        <v>0</v>
      </c>
      <c r="I565" s="2073" t="s">
        <v>38</v>
      </c>
      <c r="J565" s="1911"/>
      <c r="K565" s="1911"/>
      <c r="L565" s="1912"/>
      <c r="M565" s="1911"/>
      <c r="N565" s="1911"/>
      <c r="O565" s="1911"/>
      <c r="P565" s="1969"/>
      <c r="Q565" s="1969"/>
      <c r="R565" s="2184"/>
      <c r="S565" s="1911"/>
      <c r="T565" s="1911"/>
      <c r="U565" s="1911"/>
      <c r="V565" s="1911"/>
      <c r="W565" s="1911"/>
      <c r="X565" s="1911"/>
    </row>
    <row r="566" spans="1:78" ht="32.1" customHeight="1">
      <c r="A566" s="2501"/>
      <c r="B566" s="1804" t="s">
        <v>652</v>
      </c>
      <c r="C566" s="1837">
        <v>1</v>
      </c>
      <c r="D566" s="1828">
        <v>1</v>
      </c>
      <c r="E566" s="1829">
        <v>0</v>
      </c>
      <c r="F566" s="1875">
        <v>1</v>
      </c>
      <c r="G566" s="1875">
        <v>0</v>
      </c>
      <c r="H566" s="1839">
        <v>0</v>
      </c>
      <c r="I566" s="2073"/>
      <c r="J566" s="2218" t="s">
        <v>730</v>
      </c>
      <c r="K566" s="1915" t="s">
        <v>811</v>
      </c>
      <c r="L566" s="1794">
        <v>0</v>
      </c>
      <c r="M566" s="1915">
        <v>1</v>
      </c>
      <c r="N566" s="1915" t="s">
        <v>748</v>
      </c>
      <c r="O566" s="1794" t="s">
        <v>748</v>
      </c>
      <c r="P566" s="2221"/>
      <c r="Q566" s="2221"/>
      <c r="R566" s="2184"/>
      <c r="S566" s="2248" t="s">
        <v>8190</v>
      </c>
      <c r="T566" s="1915" t="s">
        <v>7713</v>
      </c>
      <c r="U566" s="2001" t="s">
        <v>748</v>
      </c>
      <c r="V566" s="1915"/>
      <c r="W566" s="1915" t="s">
        <v>8440</v>
      </c>
      <c r="X566" s="1794" t="s">
        <v>748</v>
      </c>
    </row>
    <row r="567" spans="1:78" ht="111.95" customHeight="1">
      <c r="A567" s="1899"/>
      <c r="B567" s="1804" t="s">
        <v>6954</v>
      </c>
      <c r="C567" s="1837">
        <v>1</v>
      </c>
      <c r="D567" s="1829">
        <v>1</v>
      </c>
      <c r="E567" s="1829">
        <v>0</v>
      </c>
      <c r="F567" s="1846">
        <v>1</v>
      </c>
      <c r="G567" s="1829">
        <v>0</v>
      </c>
      <c r="H567" s="1850">
        <v>0</v>
      </c>
      <c r="I567" s="2073" t="s">
        <v>38</v>
      </c>
      <c r="J567" s="2218" t="s">
        <v>8189</v>
      </c>
      <c r="K567" s="1925" t="s">
        <v>748</v>
      </c>
      <c r="L567" s="1915" t="s">
        <v>1073</v>
      </c>
      <c r="M567" s="1915">
        <v>1</v>
      </c>
      <c r="N567" s="1915" t="s">
        <v>748</v>
      </c>
      <c r="O567" s="1794"/>
      <c r="P567" s="2221"/>
      <c r="Q567" s="2221"/>
      <c r="R567" s="2184"/>
      <c r="S567" s="2248" t="s">
        <v>8191</v>
      </c>
      <c r="T567" s="1925" t="s">
        <v>7714</v>
      </c>
      <c r="U567" s="2002"/>
      <c r="V567" s="1915"/>
      <c r="W567" s="1915" t="s">
        <v>8441</v>
      </c>
      <c r="X567" s="1915"/>
    </row>
    <row r="568" spans="1:78" ht="41.1" customHeight="1">
      <c r="A568" s="1899"/>
      <c r="B568" s="1843" t="s">
        <v>5270</v>
      </c>
      <c r="C568" s="1837">
        <v>1</v>
      </c>
      <c r="D568" s="1829">
        <v>1</v>
      </c>
      <c r="E568" s="1829">
        <v>0</v>
      </c>
      <c r="F568" s="1829">
        <v>1</v>
      </c>
      <c r="G568" s="1829">
        <v>1</v>
      </c>
      <c r="H568" s="1850">
        <v>0.5</v>
      </c>
      <c r="I568" s="2073" t="s">
        <v>481</v>
      </c>
      <c r="J568" s="2218" t="s">
        <v>730</v>
      </c>
      <c r="K568" s="1925" t="s">
        <v>811</v>
      </c>
      <c r="L568" s="1794">
        <v>0</v>
      </c>
      <c r="M568" s="1915">
        <v>1</v>
      </c>
      <c r="N568" s="1915" t="s">
        <v>811</v>
      </c>
      <c r="O568" s="1794" t="s">
        <v>8910</v>
      </c>
      <c r="P568" s="2221"/>
      <c r="Q568" s="2221"/>
      <c r="R568" s="2184"/>
      <c r="S568" s="2248" t="s">
        <v>8192</v>
      </c>
      <c r="T568" s="1925" t="s">
        <v>7715</v>
      </c>
      <c r="U568" s="2225" t="s">
        <v>748</v>
      </c>
      <c r="V568" s="2003">
        <v>42822</v>
      </c>
      <c r="W568" s="1915" t="s">
        <v>8442</v>
      </c>
      <c r="X568" s="1794" t="s">
        <v>8910</v>
      </c>
    </row>
    <row r="569" spans="1:78" ht="115.5" customHeight="1">
      <c r="A569" s="1899"/>
      <c r="B569" s="1820" t="s">
        <v>654</v>
      </c>
      <c r="C569" s="1837">
        <v>1</v>
      </c>
      <c r="D569" s="1829">
        <v>1</v>
      </c>
      <c r="E569" s="1829">
        <v>0</v>
      </c>
      <c r="F569" s="1829">
        <v>1</v>
      </c>
      <c r="G569" s="1829">
        <v>1</v>
      </c>
      <c r="H569" s="1850">
        <v>0</v>
      </c>
      <c r="I569" s="2073" t="s">
        <v>38</v>
      </c>
      <c r="J569" s="2218" t="s">
        <v>730</v>
      </c>
      <c r="K569" s="1915" t="s">
        <v>811</v>
      </c>
      <c r="L569" s="1794">
        <v>0</v>
      </c>
      <c r="M569" s="1916">
        <v>1</v>
      </c>
      <c r="N569" s="1915" t="s">
        <v>948</v>
      </c>
      <c r="O569" s="1794" t="s">
        <v>8911</v>
      </c>
      <c r="P569" s="2221"/>
      <c r="Q569" s="2221"/>
      <c r="R569" s="2184"/>
      <c r="S569" s="2248" t="s">
        <v>8193</v>
      </c>
      <c r="T569" s="1915" t="s">
        <v>7716</v>
      </c>
      <c r="U569" s="2225" t="s">
        <v>748</v>
      </c>
      <c r="V569" s="1915" t="s">
        <v>7989</v>
      </c>
      <c r="W569" s="1915" t="s">
        <v>8443</v>
      </c>
      <c r="X569" s="1794" t="s">
        <v>8911</v>
      </c>
    </row>
    <row r="570" spans="1:78" ht="32.1" customHeight="1">
      <c r="A570" s="1899"/>
      <c r="B570" s="1820" t="s">
        <v>655</v>
      </c>
      <c r="C570" s="1837">
        <v>1</v>
      </c>
      <c r="D570" s="1829">
        <v>1</v>
      </c>
      <c r="E570" s="1829">
        <v>0</v>
      </c>
      <c r="F570" s="1829">
        <v>1</v>
      </c>
      <c r="G570" s="1829">
        <v>0</v>
      </c>
      <c r="H570" s="1850">
        <v>0</v>
      </c>
      <c r="I570" s="2073" t="s">
        <v>38</v>
      </c>
      <c r="J570" s="2218" t="s">
        <v>730</v>
      </c>
      <c r="K570" s="1925" t="s">
        <v>811</v>
      </c>
      <c r="L570" s="1794">
        <v>0</v>
      </c>
      <c r="M570" s="1916">
        <v>1</v>
      </c>
      <c r="N570" s="1915" t="s">
        <v>943</v>
      </c>
      <c r="O570" s="1794" t="s">
        <v>1060</v>
      </c>
      <c r="P570" s="2221"/>
      <c r="Q570" s="2221"/>
      <c r="R570" s="2184"/>
      <c r="S570" s="2248" t="s">
        <v>8194</v>
      </c>
      <c r="T570" s="1914" t="s">
        <v>7717</v>
      </c>
      <c r="U570" s="2225" t="s">
        <v>748</v>
      </c>
      <c r="V570" s="1915" t="s">
        <v>7990</v>
      </c>
      <c r="W570" s="1915" t="s">
        <v>5520</v>
      </c>
      <c r="X570" s="1794" t="s">
        <v>1060</v>
      </c>
    </row>
    <row r="571" spans="1:78" ht="141" customHeight="1">
      <c r="A571" s="1899"/>
      <c r="B571" s="1820" t="s">
        <v>656</v>
      </c>
      <c r="C571" s="1837">
        <v>1</v>
      </c>
      <c r="D571" s="1829">
        <v>1</v>
      </c>
      <c r="E571" s="1829">
        <v>0</v>
      </c>
      <c r="F571" s="1829">
        <v>1</v>
      </c>
      <c r="G571" s="1829">
        <v>1</v>
      </c>
      <c r="H571" s="1850">
        <v>1</v>
      </c>
      <c r="I571" s="2073" t="s">
        <v>38</v>
      </c>
      <c r="J571" s="2218" t="s">
        <v>730</v>
      </c>
      <c r="K571" s="1925" t="s">
        <v>811</v>
      </c>
      <c r="L571" s="1794">
        <v>0</v>
      </c>
      <c r="M571" s="1929">
        <v>1</v>
      </c>
      <c r="N571" s="1915" t="s">
        <v>948</v>
      </c>
      <c r="O571" s="1794" t="s">
        <v>960</v>
      </c>
      <c r="P571" s="2221"/>
      <c r="Q571" s="2221"/>
      <c r="R571" s="2184"/>
      <c r="S571" s="2248" t="s">
        <v>8195</v>
      </c>
      <c r="T571" s="1925" t="s">
        <v>7718</v>
      </c>
      <c r="U571" s="2225" t="s">
        <v>748</v>
      </c>
      <c r="V571" s="1925" t="s">
        <v>7991</v>
      </c>
      <c r="W571" s="1915" t="s">
        <v>8444</v>
      </c>
      <c r="X571" s="1794" t="s">
        <v>960</v>
      </c>
    </row>
    <row r="572" spans="1:78" ht="32.1" customHeight="1">
      <c r="A572" s="2501"/>
      <c r="B572" s="1820" t="s">
        <v>657</v>
      </c>
      <c r="C572" s="1837">
        <v>1</v>
      </c>
      <c r="D572" s="1828">
        <v>1</v>
      </c>
      <c r="E572" s="1829">
        <v>0</v>
      </c>
      <c r="F572" s="1830">
        <v>1</v>
      </c>
      <c r="G572" s="1828">
        <v>1</v>
      </c>
      <c r="H572" s="1856">
        <v>1</v>
      </c>
      <c r="I572" s="2073" t="s">
        <v>38</v>
      </c>
      <c r="J572" s="2218" t="s">
        <v>730</v>
      </c>
      <c r="K572" s="1925" t="s">
        <v>811</v>
      </c>
      <c r="L572" s="1794">
        <v>0</v>
      </c>
      <c r="M572" s="1916">
        <v>1</v>
      </c>
      <c r="N572" s="1915" t="s">
        <v>1134</v>
      </c>
      <c r="O572" s="1794" t="s">
        <v>8912</v>
      </c>
      <c r="P572" s="1915"/>
      <c r="Q572" s="1915"/>
      <c r="R572" s="2138"/>
      <c r="S572" s="2248" t="s">
        <v>8196</v>
      </c>
      <c r="T572" s="1925" t="s">
        <v>7719</v>
      </c>
      <c r="U572" s="2225" t="s">
        <v>748</v>
      </c>
      <c r="V572" s="1915"/>
      <c r="W572" s="1915" t="s">
        <v>5522</v>
      </c>
      <c r="X572" s="1794" t="s">
        <v>8912</v>
      </c>
    </row>
    <row r="573" spans="1:78" ht="32.1" customHeight="1">
      <c r="A573" s="2517" t="s">
        <v>7077</v>
      </c>
      <c r="B573" s="2071" t="s">
        <v>658</v>
      </c>
      <c r="C573" s="2129">
        <f>AVERAGE(C574,C575,C576,C577,C578,C581,C582)</f>
        <v>1</v>
      </c>
      <c r="D573" s="2129">
        <f t="shared" ref="D573:H573" si="150">AVERAGE(D574,D575,D576,D577,D578,D581,D582)</f>
        <v>0.9285714285714286</v>
      </c>
      <c r="E573" s="2129">
        <f t="shared" si="150"/>
        <v>0.5714285714285714</v>
      </c>
      <c r="F573" s="2129">
        <f t="shared" si="150"/>
        <v>1</v>
      </c>
      <c r="G573" s="2129">
        <f t="shared" si="150"/>
        <v>0.8571428571428571</v>
      </c>
      <c r="H573" s="2129">
        <f t="shared" si="150"/>
        <v>1</v>
      </c>
      <c r="I573" s="2073"/>
      <c r="J573" s="2130"/>
      <c r="K573" s="2130"/>
      <c r="L573" s="2130"/>
      <c r="M573" s="2130"/>
      <c r="N573" s="2130"/>
      <c r="O573" s="2130"/>
      <c r="P573" s="2130"/>
      <c r="Q573" s="2130"/>
      <c r="R573" s="2071"/>
      <c r="S573" s="2071"/>
      <c r="T573" s="2071"/>
      <c r="U573" s="2071"/>
      <c r="V573" s="2071"/>
      <c r="W573" s="2071"/>
      <c r="X573" s="2071"/>
    </row>
    <row r="574" spans="1:78" s="1818" customFormat="1" ht="32.1" customHeight="1">
      <c r="A574" s="2518"/>
      <c r="B574" s="1843" t="s">
        <v>659</v>
      </c>
      <c r="C574" s="1837">
        <v>1</v>
      </c>
      <c r="D574" s="1829">
        <v>1</v>
      </c>
      <c r="E574" s="1829">
        <v>0</v>
      </c>
      <c r="F574" s="1829">
        <v>1</v>
      </c>
      <c r="G574" s="1829">
        <v>1</v>
      </c>
      <c r="H574" s="1876">
        <v>1</v>
      </c>
      <c r="I574" s="2073" t="s">
        <v>38</v>
      </c>
      <c r="J574" s="2218" t="s">
        <v>730</v>
      </c>
      <c r="K574" s="1794" t="s">
        <v>811</v>
      </c>
      <c r="L574" s="1794">
        <v>0</v>
      </c>
      <c r="M574" s="1794">
        <v>1</v>
      </c>
      <c r="N574" s="1794" t="s">
        <v>811</v>
      </c>
      <c r="O574" s="1794" t="s">
        <v>8913</v>
      </c>
      <c r="P574" s="1915"/>
      <c r="Q574" s="1915"/>
      <c r="R574" s="2138"/>
      <c r="S574" s="2248" t="s">
        <v>8197</v>
      </c>
      <c r="T574" s="1794" t="s">
        <v>7720</v>
      </c>
      <c r="U574" s="2225" t="s">
        <v>7350</v>
      </c>
      <c r="V574" s="1794" t="s">
        <v>7992</v>
      </c>
      <c r="W574" s="1915" t="s">
        <v>8445</v>
      </c>
      <c r="X574" s="1794" t="s">
        <v>8913</v>
      </c>
    </row>
    <row r="575" spans="1:78" ht="96.95" customHeight="1">
      <c r="A575" s="1899"/>
      <c r="B575" s="1820" t="s">
        <v>660</v>
      </c>
      <c r="C575" s="1837">
        <v>1</v>
      </c>
      <c r="D575" s="1828">
        <v>1</v>
      </c>
      <c r="E575" s="1829">
        <v>1</v>
      </c>
      <c r="F575" s="1828">
        <v>1</v>
      </c>
      <c r="G575" s="1828">
        <v>1</v>
      </c>
      <c r="H575" s="1856">
        <v>1</v>
      </c>
      <c r="I575" s="2073" t="s">
        <v>38</v>
      </c>
      <c r="J575" s="2218" t="s">
        <v>730</v>
      </c>
      <c r="K575" s="1915" t="s">
        <v>811</v>
      </c>
      <c r="L575" s="1794">
        <v>0</v>
      </c>
      <c r="M575" s="1915">
        <v>1</v>
      </c>
      <c r="N575" s="1915" t="s">
        <v>811</v>
      </c>
      <c r="O575" s="1794" t="s">
        <v>8914</v>
      </c>
      <c r="P575" s="2221"/>
      <c r="Q575" s="2221"/>
      <c r="R575" s="2184"/>
      <c r="S575" s="2248" t="s">
        <v>8198</v>
      </c>
      <c r="T575" s="1915" t="s">
        <v>7721</v>
      </c>
      <c r="U575" s="2225" t="s">
        <v>748</v>
      </c>
      <c r="V575" s="1915" t="s">
        <v>2145</v>
      </c>
      <c r="W575" s="1915" t="s">
        <v>5524</v>
      </c>
      <c r="X575" s="1794" t="s">
        <v>8914</v>
      </c>
    </row>
    <row r="576" spans="1:78" ht="32.1" customHeight="1">
      <c r="A576" s="2501"/>
      <c r="B576" s="1820" t="s">
        <v>661</v>
      </c>
      <c r="C576" s="1837">
        <v>1</v>
      </c>
      <c r="D576" s="1828">
        <v>1</v>
      </c>
      <c r="E576" s="1829">
        <v>0</v>
      </c>
      <c r="F576" s="1828">
        <v>1</v>
      </c>
      <c r="G576" s="1828">
        <v>1</v>
      </c>
      <c r="H576" s="1839">
        <v>1</v>
      </c>
      <c r="I576" s="2073" t="s">
        <v>38</v>
      </c>
      <c r="J576" s="2218" t="s">
        <v>730</v>
      </c>
      <c r="K576" s="1915" t="s">
        <v>811</v>
      </c>
      <c r="L576" s="1794">
        <v>0</v>
      </c>
      <c r="M576" s="1915">
        <v>1</v>
      </c>
      <c r="N576" s="1915" t="s">
        <v>1134</v>
      </c>
      <c r="O576" s="1915" t="s">
        <v>8915</v>
      </c>
      <c r="P576" s="1915"/>
      <c r="Q576" s="2026"/>
      <c r="R576" s="2184"/>
      <c r="S576" s="2248" t="s">
        <v>8199</v>
      </c>
      <c r="T576" s="1915" t="s">
        <v>7722</v>
      </c>
      <c r="U576" s="2225" t="s">
        <v>748</v>
      </c>
      <c r="V576" s="1915" t="s">
        <v>7993</v>
      </c>
      <c r="W576" s="1915" t="s">
        <v>8446</v>
      </c>
      <c r="X576" s="1915" t="s">
        <v>8915</v>
      </c>
    </row>
    <row r="577" spans="1:78" ht="32.1" customHeight="1">
      <c r="A577" s="2501"/>
      <c r="B577" s="1820" t="s">
        <v>662</v>
      </c>
      <c r="C577" s="1837">
        <v>1</v>
      </c>
      <c r="D577" s="1828">
        <v>1</v>
      </c>
      <c r="E577" s="1829">
        <v>1</v>
      </c>
      <c r="F577" s="1828">
        <v>1</v>
      </c>
      <c r="G577" s="1828">
        <v>1</v>
      </c>
      <c r="H577" s="1839">
        <v>1</v>
      </c>
      <c r="I577" s="2073" t="s">
        <v>38</v>
      </c>
      <c r="J577" s="2218" t="s">
        <v>730</v>
      </c>
      <c r="K577" s="1915" t="s">
        <v>811</v>
      </c>
      <c r="L577" s="1794">
        <v>1</v>
      </c>
      <c r="M577" s="1915">
        <v>1</v>
      </c>
      <c r="N577" s="1915" t="s">
        <v>948</v>
      </c>
      <c r="O577" s="1794" t="s">
        <v>8916</v>
      </c>
      <c r="P577" s="2221"/>
      <c r="Q577" s="2221"/>
      <c r="R577" s="2184"/>
      <c r="S577" s="2248" t="s">
        <v>8200</v>
      </c>
      <c r="T577" s="1915" t="s">
        <v>7723</v>
      </c>
      <c r="U577" s="2225" t="s">
        <v>811</v>
      </c>
      <c r="V577" s="1915" t="s">
        <v>7994</v>
      </c>
      <c r="W577" s="1915" t="s">
        <v>8447</v>
      </c>
      <c r="X577" s="1794" t="s">
        <v>8916</v>
      </c>
    </row>
    <row r="578" spans="1:78" ht="36" customHeight="1">
      <c r="A578" s="2059"/>
      <c r="B578" s="2155" t="s">
        <v>663</v>
      </c>
      <c r="C578" s="2156">
        <f>AVERAGE(C579:C580)</f>
        <v>1</v>
      </c>
      <c r="D578" s="2156">
        <f t="shared" ref="D578:H578" si="151">AVERAGE(D579:D580)</f>
        <v>1</v>
      </c>
      <c r="E578" s="2156">
        <f t="shared" si="151"/>
        <v>1</v>
      </c>
      <c r="F578" s="2156">
        <f t="shared" si="151"/>
        <v>1</v>
      </c>
      <c r="G578" s="2156">
        <f t="shared" si="151"/>
        <v>1</v>
      </c>
      <c r="H578" s="2156">
        <f t="shared" si="151"/>
        <v>1</v>
      </c>
      <c r="I578" s="2073"/>
      <c r="J578" s="2127"/>
      <c r="K578" s="2004"/>
      <c r="L578" s="2004"/>
      <c r="M578" s="2004"/>
      <c r="N578" s="1911"/>
      <c r="O578" s="2004"/>
      <c r="P578" s="2004"/>
      <c r="Q578" s="2004"/>
      <c r="R578" s="2134"/>
      <c r="S578" s="2250"/>
      <c r="T578" s="2059"/>
      <c r="U578" s="2157"/>
      <c r="V578" s="2059"/>
      <c r="W578" s="1911" t="s">
        <v>8448</v>
      </c>
      <c r="X578" s="2059"/>
      <c r="AU578" s="1890"/>
      <c r="AV578" s="1890"/>
      <c r="AW578" s="1890"/>
      <c r="AX578" s="1890"/>
      <c r="AY578" s="1890"/>
      <c r="AZ578" s="1890"/>
      <c r="BA578" s="1890"/>
      <c r="BB578" s="1890"/>
      <c r="BC578" s="1890"/>
      <c r="BD578" s="1890"/>
      <c r="BE578" s="1890"/>
      <c r="BF578" s="1890"/>
      <c r="BG578" s="1890"/>
      <c r="BH578" s="1890"/>
      <c r="BI578" s="1890"/>
      <c r="BJ578" s="1890"/>
      <c r="BK578" s="1890"/>
      <c r="BL578" s="1890"/>
      <c r="BM578" s="1890"/>
      <c r="BN578" s="1890"/>
      <c r="BO578" s="1890"/>
      <c r="BP578" s="1890"/>
      <c r="BQ578" s="1890"/>
      <c r="BR578" s="1890"/>
      <c r="BS578" s="1890"/>
      <c r="BT578" s="1890"/>
      <c r="BU578" s="1890"/>
      <c r="BV578" s="1890"/>
      <c r="BW578" s="1890"/>
      <c r="BX578" s="1890"/>
      <c r="BY578" s="1890"/>
      <c r="BZ578" s="1890"/>
    </row>
    <row r="579" spans="1:78" ht="32.1" customHeight="1">
      <c r="A579" s="2501"/>
      <c r="B579" s="1804" t="s">
        <v>664</v>
      </c>
      <c r="C579" s="1837">
        <v>1</v>
      </c>
      <c r="D579" s="1828">
        <v>1</v>
      </c>
      <c r="E579" s="1829">
        <v>1</v>
      </c>
      <c r="F579" s="1828">
        <v>1</v>
      </c>
      <c r="G579" s="1833">
        <v>1</v>
      </c>
      <c r="H579" s="1839">
        <v>1</v>
      </c>
      <c r="I579" s="2073" t="s">
        <v>38</v>
      </c>
      <c r="J579" s="2218" t="s">
        <v>730</v>
      </c>
      <c r="K579" s="1915" t="s">
        <v>811</v>
      </c>
      <c r="L579" s="1794">
        <v>1</v>
      </c>
      <c r="M579" s="1915">
        <v>1</v>
      </c>
      <c r="N579" s="1914" t="s">
        <v>1134</v>
      </c>
      <c r="O579" s="1794" t="s">
        <v>8917</v>
      </c>
      <c r="P579" s="2221"/>
      <c r="Q579" s="2221"/>
      <c r="R579" s="2184"/>
      <c r="S579" s="2248" t="s">
        <v>9001</v>
      </c>
      <c r="T579" s="1915" t="s">
        <v>7724</v>
      </c>
      <c r="U579" s="2225" t="s">
        <v>811</v>
      </c>
      <c r="V579" s="1915" t="s">
        <v>7995</v>
      </c>
      <c r="W579" s="1914" t="s">
        <v>5526</v>
      </c>
      <c r="X579" s="1794" t="s">
        <v>8917</v>
      </c>
      <c r="AU579" s="1890"/>
      <c r="AV579" s="1890"/>
      <c r="AW579" s="1890"/>
      <c r="AX579" s="1890"/>
      <c r="AY579" s="1890"/>
      <c r="AZ579" s="1890"/>
      <c r="BA579" s="1890"/>
      <c r="BB579" s="1890"/>
      <c r="BC579" s="1890"/>
      <c r="BD579" s="1890"/>
      <c r="BE579" s="1890"/>
      <c r="BF579" s="1890"/>
      <c r="BG579" s="1890"/>
      <c r="BH579" s="1890"/>
      <c r="BI579" s="1890"/>
      <c r="BJ579" s="1890"/>
      <c r="BK579" s="1890"/>
      <c r="BL579" s="1890"/>
      <c r="BM579" s="1890"/>
      <c r="BN579" s="1890"/>
      <c r="BO579" s="1890"/>
      <c r="BP579" s="1890"/>
      <c r="BQ579" s="1890"/>
      <c r="BR579" s="1890"/>
      <c r="BS579" s="1890"/>
      <c r="BT579" s="1890"/>
      <c r="BU579" s="1890"/>
      <c r="BV579" s="1890"/>
      <c r="BW579" s="1890"/>
      <c r="BX579" s="1890"/>
      <c r="BY579" s="1890"/>
      <c r="BZ579" s="1890"/>
    </row>
    <row r="580" spans="1:78" ht="32.1" customHeight="1">
      <c r="A580" s="2501"/>
      <c r="B580" s="1804" t="s">
        <v>665</v>
      </c>
      <c r="C580" s="1837">
        <v>1</v>
      </c>
      <c r="D580" s="1828">
        <v>1</v>
      </c>
      <c r="E580" s="1829">
        <v>1</v>
      </c>
      <c r="F580" s="1828">
        <v>1</v>
      </c>
      <c r="G580" s="1833">
        <v>1</v>
      </c>
      <c r="H580" s="1839">
        <v>1</v>
      </c>
      <c r="I580" s="2073" t="s">
        <v>38</v>
      </c>
      <c r="J580" s="2218" t="s">
        <v>730</v>
      </c>
      <c r="K580" s="1925" t="s">
        <v>811</v>
      </c>
      <c r="L580" s="1794">
        <v>1</v>
      </c>
      <c r="M580" s="1915">
        <v>1</v>
      </c>
      <c r="N580" s="1914" t="s">
        <v>948</v>
      </c>
      <c r="O580" s="1794" t="s">
        <v>8918</v>
      </c>
      <c r="P580" s="2221"/>
      <c r="Q580" s="2221"/>
      <c r="R580" s="2184"/>
      <c r="S580" s="2248" t="s">
        <v>8201</v>
      </c>
      <c r="T580" s="1925" t="s">
        <v>7725</v>
      </c>
      <c r="U580" s="2225" t="s">
        <v>811</v>
      </c>
      <c r="V580" s="1915" t="s">
        <v>7996</v>
      </c>
      <c r="W580" s="1914" t="s">
        <v>5527</v>
      </c>
      <c r="X580" s="1794" t="s">
        <v>8918</v>
      </c>
      <c r="AU580" s="1890"/>
      <c r="AV580" s="1890"/>
      <c r="AW580" s="1890"/>
      <c r="AX580" s="1890"/>
      <c r="AY580" s="1890"/>
      <c r="AZ580" s="1890"/>
      <c r="BA580" s="1890"/>
      <c r="BB580" s="1890"/>
      <c r="BC580" s="1890"/>
      <c r="BD580" s="1890"/>
      <c r="BE580" s="1890"/>
      <c r="BF580" s="1890"/>
      <c r="BG580" s="1890"/>
      <c r="BH580" s="1890"/>
      <c r="BI580" s="1890"/>
      <c r="BJ580" s="1890"/>
      <c r="BK580" s="1890"/>
      <c r="BL580" s="1890"/>
      <c r="BM580" s="1890"/>
      <c r="BN580" s="1890"/>
      <c r="BO580" s="1890"/>
      <c r="BP580" s="1890"/>
      <c r="BQ580" s="1890"/>
      <c r="BR580" s="1890"/>
      <c r="BS580" s="1890"/>
      <c r="BT580" s="1890"/>
      <c r="BU580" s="1890"/>
      <c r="BV580" s="1890"/>
      <c r="BW580" s="1890"/>
      <c r="BX580" s="1890"/>
      <c r="BY580" s="1890"/>
      <c r="BZ580" s="1890"/>
    </row>
    <row r="581" spans="1:78" ht="32.1" customHeight="1">
      <c r="A581" s="2501"/>
      <c r="B581" s="1820" t="s">
        <v>666</v>
      </c>
      <c r="C581" s="1837">
        <v>1</v>
      </c>
      <c r="D581" s="1828">
        <v>0.5</v>
      </c>
      <c r="E581" s="1829">
        <v>1</v>
      </c>
      <c r="F581" s="1828">
        <v>1</v>
      </c>
      <c r="G581" s="1848">
        <v>0.5</v>
      </c>
      <c r="H581" s="1839">
        <v>1</v>
      </c>
      <c r="I581" s="2073" t="s">
        <v>459</v>
      </c>
      <c r="J581" s="2218" t="s">
        <v>730</v>
      </c>
      <c r="K581" s="1925" t="s">
        <v>5427</v>
      </c>
      <c r="L581" s="1794">
        <v>1</v>
      </c>
      <c r="M581" s="1915">
        <v>1</v>
      </c>
      <c r="N581" s="1917" t="s">
        <v>7373</v>
      </c>
      <c r="O581" s="1794" t="s">
        <v>8919</v>
      </c>
      <c r="P581" s="2221"/>
      <c r="Q581" s="2221"/>
      <c r="R581" s="2184"/>
      <c r="S581" s="2248" t="s">
        <v>8202</v>
      </c>
      <c r="T581" s="1925" t="s">
        <v>7726</v>
      </c>
      <c r="U581" s="2225" t="s">
        <v>7351</v>
      </c>
      <c r="V581" s="1915" t="s">
        <v>7997</v>
      </c>
      <c r="W581" s="1917" t="s">
        <v>8449</v>
      </c>
      <c r="X581" s="1794" t="s">
        <v>8919</v>
      </c>
      <c r="AU581" s="1890"/>
      <c r="AV581" s="1890"/>
      <c r="AW581" s="1890"/>
      <c r="AX581" s="1890"/>
      <c r="AY581" s="1890"/>
      <c r="AZ581" s="1890"/>
      <c r="BA581" s="1890"/>
      <c r="BB581" s="1890"/>
      <c r="BC581" s="1890"/>
      <c r="BD581" s="1890"/>
      <c r="BE581" s="1890"/>
      <c r="BF581" s="1890"/>
      <c r="BG581" s="1890"/>
      <c r="BH581" s="1890"/>
      <c r="BI581" s="1890"/>
      <c r="BJ581" s="1890"/>
      <c r="BK581" s="1890"/>
      <c r="BL581" s="1890"/>
      <c r="BM581" s="1890"/>
      <c r="BN581" s="1890"/>
      <c r="BO581" s="1890"/>
      <c r="BP581" s="1890"/>
      <c r="BQ581" s="1890"/>
      <c r="BR581" s="1890"/>
      <c r="BS581" s="1890"/>
      <c r="BT581" s="1890"/>
      <c r="BU581" s="1890"/>
      <c r="BV581" s="1890"/>
      <c r="BW581" s="1890"/>
      <c r="BX581" s="1890"/>
      <c r="BY581" s="1890"/>
      <c r="BZ581" s="1890"/>
    </row>
    <row r="582" spans="1:78" ht="32.1" customHeight="1">
      <c r="A582" s="2501"/>
      <c r="B582" s="1820" t="s">
        <v>667</v>
      </c>
      <c r="C582" s="1837">
        <v>1</v>
      </c>
      <c r="D582" s="1828">
        <v>1</v>
      </c>
      <c r="E582" s="1829">
        <v>0</v>
      </c>
      <c r="F582" s="1828">
        <v>1</v>
      </c>
      <c r="G582" s="1828">
        <v>0.5</v>
      </c>
      <c r="H582" s="1839">
        <v>1</v>
      </c>
      <c r="I582" s="2073"/>
      <c r="J582" s="2218" t="s">
        <v>730</v>
      </c>
      <c r="K582" s="1925" t="s">
        <v>811</v>
      </c>
      <c r="L582" s="1794">
        <v>0</v>
      </c>
      <c r="M582" s="1925">
        <v>1</v>
      </c>
      <c r="N582" s="1915" t="s">
        <v>7373</v>
      </c>
      <c r="O582" s="1794" t="s">
        <v>8920</v>
      </c>
      <c r="P582" s="2221"/>
      <c r="Q582" s="2221"/>
      <c r="R582" s="2184"/>
      <c r="S582" s="2248" t="s">
        <v>8203</v>
      </c>
      <c r="T582" s="1925" t="s">
        <v>7727</v>
      </c>
      <c r="U582" s="2225" t="s">
        <v>748</v>
      </c>
      <c r="V582" s="1925" t="s">
        <v>7998</v>
      </c>
      <c r="W582" s="1915" t="s">
        <v>8450</v>
      </c>
      <c r="X582" s="1794" t="s">
        <v>8920</v>
      </c>
      <c r="AU582" s="1890"/>
      <c r="AV582" s="1890"/>
      <c r="AW582" s="1890"/>
      <c r="AX582" s="1890"/>
      <c r="AY582" s="1890"/>
      <c r="AZ582" s="1890"/>
      <c r="BA582" s="1890"/>
      <c r="BB582" s="1890"/>
      <c r="BC582" s="1890"/>
      <c r="BD582" s="1890"/>
      <c r="BE582" s="1890"/>
      <c r="BF582" s="1890"/>
      <c r="BG582" s="1890"/>
      <c r="BH582" s="1890"/>
      <c r="BI582" s="1890"/>
      <c r="BJ582" s="1890"/>
      <c r="BK582" s="1890"/>
      <c r="BL582" s="1890"/>
      <c r="BM582" s="1890"/>
      <c r="BN582" s="1890"/>
      <c r="BO582" s="1890"/>
      <c r="BP582" s="1890"/>
      <c r="BQ582" s="1890"/>
      <c r="BR582" s="1890"/>
      <c r="BS582" s="1890"/>
      <c r="BT582" s="1890"/>
      <c r="BU582" s="1890"/>
      <c r="BV582" s="1890"/>
      <c r="BW582" s="1890"/>
      <c r="BX582" s="1890"/>
      <c r="BY582" s="1890"/>
      <c r="BZ582" s="1890"/>
    </row>
    <row r="583" spans="1:78" ht="32.1" customHeight="1">
      <c r="A583" s="2517" t="s">
        <v>7078</v>
      </c>
      <c r="B583" s="2071" t="s">
        <v>669</v>
      </c>
      <c r="C583" s="2129">
        <f>AVERAGE(C584,C585,C586,C587,C588)</f>
        <v>0.93399999999999994</v>
      </c>
      <c r="D583" s="2129">
        <f t="shared" ref="D583:G583" si="152">AVERAGE(D584,D585,D586,D587,D588)</f>
        <v>0.998</v>
      </c>
      <c r="E583" s="2129">
        <f t="shared" si="152"/>
        <v>0.06</v>
      </c>
      <c r="F583" s="2129">
        <f t="shared" si="152"/>
        <v>0.83399999999999996</v>
      </c>
      <c r="G583" s="2129">
        <f t="shared" si="152"/>
        <v>0.6</v>
      </c>
      <c r="H583" s="2129">
        <f>AVERAGE(H584,H585,H586,H587,H588)</f>
        <v>0.62359999999999993</v>
      </c>
      <c r="I583" s="2073"/>
      <c r="J583" s="2238"/>
      <c r="K583" s="2074"/>
      <c r="L583" s="2074"/>
      <c r="M583" s="2074"/>
      <c r="N583" s="2074"/>
      <c r="O583" s="2074"/>
      <c r="P583" s="2141"/>
      <c r="Q583" s="2141"/>
      <c r="R583" s="2185"/>
      <c r="S583" s="2395"/>
      <c r="T583" s="2074"/>
      <c r="U583" s="2074"/>
      <c r="V583" s="2074"/>
      <c r="W583" s="2074"/>
      <c r="X583" s="2074"/>
      <c r="AU583" s="1890"/>
      <c r="AV583" s="1890"/>
      <c r="AW583" s="1890"/>
      <c r="AX583" s="1890"/>
      <c r="AY583" s="1890"/>
      <c r="AZ583" s="1890"/>
      <c r="BA583" s="1890"/>
      <c r="BB583" s="1890"/>
      <c r="BC583" s="1890"/>
      <c r="BD583" s="1890"/>
      <c r="BE583" s="1890"/>
      <c r="BF583" s="1890"/>
      <c r="BG583" s="1890"/>
      <c r="BH583" s="1890"/>
      <c r="BI583" s="1890"/>
      <c r="BJ583" s="1890"/>
      <c r="BK583" s="1890"/>
      <c r="BL583" s="1890"/>
      <c r="BM583" s="1890"/>
      <c r="BN583" s="1890"/>
      <c r="BO583" s="1890"/>
      <c r="BP583" s="1890"/>
      <c r="BQ583" s="1890"/>
      <c r="BR583" s="1890"/>
      <c r="BS583" s="1890"/>
      <c r="BT583" s="1890"/>
      <c r="BU583" s="1890"/>
      <c r="BV583" s="1890"/>
      <c r="BW583" s="1890"/>
      <c r="BX583" s="1890"/>
      <c r="BY583" s="1890"/>
      <c r="BZ583" s="1890"/>
    </row>
    <row r="584" spans="1:78" ht="32.1" customHeight="1">
      <c r="A584" s="2501"/>
      <c r="B584" s="1820" t="s">
        <v>670</v>
      </c>
      <c r="C584" s="1837">
        <v>1</v>
      </c>
      <c r="D584" s="1828">
        <v>1</v>
      </c>
      <c r="E584" s="1829">
        <v>0</v>
      </c>
      <c r="F584" s="1828">
        <v>1</v>
      </c>
      <c r="G584" s="1828">
        <v>1</v>
      </c>
      <c r="H584" s="1856">
        <v>1</v>
      </c>
      <c r="I584" s="2073" t="s">
        <v>38</v>
      </c>
      <c r="J584" s="2218" t="s">
        <v>730</v>
      </c>
      <c r="K584" s="1925" t="s">
        <v>811</v>
      </c>
      <c r="L584" s="1794">
        <v>0</v>
      </c>
      <c r="M584" s="1915">
        <v>1</v>
      </c>
      <c r="N584" s="1915" t="s">
        <v>1068</v>
      </c>
      <c r="O584" s="1794" t="s">
        <v>8921</v>
      </c>
      <c r="P584" s="2221"/>
      <c r="Q584" s="2221"/>
      <c r="R584" s="2184"/>
      <c r="S584" s="2248" t="s">
        <v>8204</v>
      </c>
      <c r="T584" s="1925" t="s">
        <v>7728</v>
      </c>
      <c r="U584" s="2225" t="s">
        <v>748</v>
      </c>
      <c r="V584" s="1915"/>
      <c r="W584" s="1915"/>
      <c r="X584" s="1794" t="s">
        <v>8921</v>
      </c>
      <c r="AU584" s="1890"/>
      <c r="AV584" s="1890"/>
      <c r="AW584" s="1890"/>
      <c r="AX584" s="1890"/>
      <c r="AY584" s="1890"/>
      <c r="AZ584" s="1890"/>
      <c r="BA584" s="1890"/>
      <c r="BB584" s="1890"/>
      <c r="BC584" s="1890"/>
      <c r="BD584" s="1890"/>
      <c r="BE584" s="1890"/>
      <c r="BF584" s="1890"/>
      <c r="BG584" s="1890"/>
      <c r="BH584" s="1890"/>
      <c r="BI584" s="1890"/>
      <c r="BJ584" s="1890"/>
      <c r="BK584" s="1890"/>
      <c r="BL584" s="1890"/>
      <c r="BM584" s="1890"/>
      <c r="BN584" s="1890"/>
      <c r="BO584" s="1890"/>
      <c r="BP584" s="1890"/>
      <c r="BQ584" s="1890"/>
      <c r="BR584" s="1890"/>
      <c r="BS584" s="1890"/>
      <c r="BT584" s="1890"/>
      <c r="BU584" s="1890"/>
      <c r="BV584" s="1890"/>
      <c r="BW584" s="1890"/>
      <c r="BX584" s="1890"/>
      <c r="BY584" s="1890"/>
      <c r="BZ584" s="1890"/>
    </row>
    <row r="585" spans="1:78" ht="45" customHeight="1">
      <c r="A585" s="2501"/>
      <c r="B585" s="1820" t="s">
        <v>671</v>
      </c>
      <c r="C585" s="1837">
        <v>1</v>
      </c>
      <c r="D585" s="1828">
        <v>1</v>
      </c>
      <c r="E585" s="1829">
        <v>0</v>
      </c>
      <c r="F585" s="1828">
        <v>1</v>
      </c>
      <c r="G585" s="1828">
        <v>1</v>
      </c>
      <c r="H585" s="1856">
        <v>1</v>
      </c>
      <c r="I585" s="2073" t="s">
        <v>38</v>
      </c>
      <c r="J585" s="2218" t="s">
        <v>730</v>
      </c>
      <c r="K585" s="1915" t="s">
        <v>811</v>
      </c>
      <c r="L585" s="1794">
        <v>0</v>
      </c>
      <c r="M585" s="1915">
        <v>1</v>
      </c>
      <c r="N585" s="1915" t="s">
        <v>1068</v>
      </c>
      <c r="O585" s="1794" t="s">
        <v>8921</v>
      </c>
      <c r="P585" s="2221"/>
      <c r="Q585" s="2221"/>
      <c r="R585" s="2184"/>
      <c r="S585" s="2248" t="s">
        <v>8205</v>
      </c>
      <c r="T585" s="1915" t="s">
        <v>7729</v>
      </c>
      <c r="U585" s="2225" t="s">
        <v>748</v>
      </c>
      <c r="V585" s="1915" t="s">
        <v>7999</v>
      </c>
      <c r="W585" s="1915"/>
      <c r="X585" s="1794" t="s">
        <v>8921</v>
      </c>
      <c r="AU585" s="1890"/>
      <c r="AV585" s="1890"/>
      <c r="AW585" s="1890"/>
      <c r="AX585" s="1890"/>
      <c r="AY585" s="1890"/>
      <c r="AZ585" s="1890"/>
      <c r="BA585" s="1890"/>
      <c r="BB585" s="1890"/>
      <c r="BC585" s="1890"/>
      <c r="BD585" s="1890"/>
      <c r="BE585" s="1890"/>
      <c r="BF585" s="1890"/>
      <c r="BG585" s="1890"/>
      <c r="BH585" s="1890"/>
      <c r="BI585" s="1890"/>
      <c r="BJ585" s="1890"/>
      <c r="BK585" s="1890"/>
      <c r="BL585" s="1890"/>
      <c r="BM585" s="1890"/>
      <c r="BN585" s="1890"/>
      <c r="BO585" s="1890"/>
      <c r="BP585" s="1890"/>
      <c r="BQ585" s="1890"/>
      <c r="BR585" s="1890"/>
      <c r="BS585" s="1890"/>
      <c r="BT585" s="1890"/>
      <c r="BU585" s="1890"/>
      <c r="BV585" s="1890"/>
      <c r="BW585" s="1890"/>
      <c r="BX585" s="1890"/>
      <c r="BY585" s="1890"/>
      <c r="BZ585" s="1890"/>
    </row>
    <row r="586" spans="1:78" ht="48.95" customHeight="1">
      <c r="A586" s="1874"/>
      <c r="B586" s="1843" t="s">
        <v>672</v>
      </c>
      <c r="C586" s="1837">
        <v>1</v>
      </c>
      <c r="D586" s="1828">
        <v>1</v>
      </c>
      <c r="E586" s="1829">
        <v>0</v>
      </c>
      <c r="F586" s="1828">
        <v>1</v>
      </c>
      <c r="G586" s="1828">
        <v>1</v>
      </c>
      <c r="H586" s="1839">
        <v>1</v>
      </c>
      <c r="I586" s="2073" t="s">
        <v>38</v>
      </c>
      <c r="J586" s="2218" t="s">
        <v>730</v>
      </c>
      <c r="K586" s="1915" t="s">
        <v>811</v>
      </c>
      <c r="L586" s="1794">
        <v>0</v>
      </c>
      <c r="M586" s="1915">
        <v>1</v>
      </c>
      <c r="N586" s="1915" t="s">
        <v>1068</v>
      </c>
      <c r="O586" s="1794" t="s">
        <v>8922</v>
      </c>
      <c r="P586" s="2221"/>
      <c r="Q586" s="2221"/>
      <c r="R586" s="2184"/>
      <c r="S586" s="2248" t="s">
        <v>8206</v>
      </c>
      <c r="T586" s="1915" t="s">
        <v>7730</v>
      </c>
      <c r="U586" s="2225" t="s">
        <v>748</v>
      </c>
      <c r="V586" s="1915"/>
      <c r="W586" s="1915"/>
      <c r="X586" s="1794" t="s">
        <v>8922</v>
      </c>
      <c r="AU586" s="1890"/>
      <c r="AV586" s="1890"/>
      <c r="AW586" s="1890"/>
      <c r="AX586" s="1890"/>
      <c r="AY586" s="1890"/>
      <c r="AZ586" s="1890"/>
      <c r="BA586" s="1890"/>
      <c r="BB586" s="1890"/>
      <c r="BC586" s="1890"/>
      <c r="BD586" s="1890"/>
      <c r="BE586" s="1890"/>
      <c r="BF586" s="1890"/>
      <c r="BG586" s="1890"/>
      <c r="BH586" s="1890"/>
      <c r="BI586" s="1890"/>
      <c r="BJ586" s="1890"/>
      <c r="BK586" s="1890"/>
      <c r="BL586" s="1890"/>
      <c r="BM586" s="1890"/>
      <c r="BN586" s="1890"/>
      <c r="BO586" s="1890"/>
      <c r="BP586" s="1890"/>
      <c r="BQ586" s="1890"/>
      <c r="BR586" s="1890"/>
      <c r="BS586" s="1890"/>
      <c r="BT586" s="1890"/>
      <c r="BU586" s="1890"/>
      <c r="BV586" s="1890"/>
      <c r="BW586" s="1890"/>
      <c r="BX586" s="1890"/>
      <c r="BY586" s="1890"/>
      <c r="BZ586" s="1890"/>
    </row>
    <row r="587" spans="1:78" ht="45.95" customHeight="1">
      <c r="A587" s="1899"/>
      <c r="B587" s="1843" t="s">
        <v>673</v>
      </c>
      <c r="C587" s="1839">
        <f>(J587-$Q587)/($P587-$Q587)</f>
        <v>0.67</v>
      </c>
      <c r="D587" s="1839">
        <f t="shared" ref="D587:F587" si="153">(K587-$Q587)/($P587-$Q587)</f>
        <v>0.99</v>
      </c>
      <c r="E587" s="1839">
        <f t="shared" si="153"/>
        <v>0.3</v>
      </c>
      <c r="F587" s="1850">
        <f t="shared" si="153"/>
        <v>0.17</v>
      </c>
      <c r="G587" s="1839">
        <v>0</v>
      </c>
      <c r="H587" s="1839">
        <f>(O587-$Q587)/($P587-$Q587)</f>
        <v>0.11800000000000001</v>
      </c>
      <c r="I587" s="2073" t="s">
        <v>5337</v>
      </c>
      <c r="J587" s="2218" t="s">
        <v>9009</v>
      </c>
      <c r="K587" s="1915">
        <v>99</v>
      </c>
      <c r="L587" s="1794">
        <v>30</v>
      </c>
      <c r="M587" s="1915">
        <v>17</v>
      </c>
      <c r="N587" s="1915" t="s">
        <v>877</v>
      </c>
      <c r="O587" s="1916">
        <v>11.8</v>
      </c>
      <c r="P587" s="2221">
        <v>100</v>
      </c>
      <c r="Q587" s="2221">
        <v>0</v>
      </c>
      <c r="R587" s="2184"/>
      <c r="S587" s="2248" t="s">
        <v>9008</v>
      </c>
      <c r="T587" s="1915" t="s">
        <v>7731</v>
      </c>
      <c r="U587" s="2274">
        <v>0.3</v>
      </c>
      <c r="V587" s="1915"/>
      <c r="W587" s="1915"/>
      <c r="X587" s="1916">
        <v>11.8</v>
      </c>
      <c r="AU587" s="1890"/>
      <c r="AV587" s="1890"/>
      <c r="AW587" s="1890"/>
      <c r="AX587" s="1890"/>
      <c r="AY587" s="1890"/>
      <c r="AZ587" s="1890"/>
      <c r="BA587" s="1890"/>
      <c r="BB587" s="1890"/>
      <c r="BC587" s="1890"/>
      <c r="BD587" s="1890"/>
      <c r="BE587" s="1890"/>
      <c r="BF587" s="1890"/>
      <c r="BG587" s="1890"/>
      <c r="BH587" s="1890"/>
      <c r="BI587" s="1890"/>
      <c r="BJ587" s="1890"/>
      <c r="BK587" s="1890"/>
      <c r="BL587" s="1890"/>
      <c r="BM587" s="1890"/>
      <c r="BN587" s="1890"/>
      <c r="BO587" s="1890"/>
      <c r="BP587" s="1890"/>
      <c r="BQ587" s="1890"/>
      <c r="BR587" s="1890"/>
      <c r="BS587" s="1890"/>
      <c r="BT587" s="1890"/>
      <c r="BU587" s="1890"/>
      <c r="BV587" s="1890"/>
      <c r="BW587" s="1890"/>
      <c r="BX587" s="1890"/>
      <c r="BY587" s="1890"/>
      <c r="BZ587" s="1890"/>
    </row>
    <row r="588" spans="1:78" ht="42" customHeight="1">
      <c r="A588" s="1874"/>
      <c r="B588" s="1843" t="s">
        <v>675</v>
      </c>
      <c r="C588" s="1837">
        <v>1</v>
      </c>
      <c r="D588" s="1828">
        <v>1</v>
      </c>
      <c r="E588" s="1829">
        <v>0</v>
      </c>
      <c r="F588" s="1828">
        <v>1</v>
      </c>
      <c r="G588" s="1828">
        <v>0</v>
      </c>
      <c r="H588" s="1839">
        <v>0</v>
      </c>
      <c r="I588" s="2073" t="s">
        <v>38</v>
      </c>
      <c r="J588" s="2218" t="s">
        <v>730</v>
      </c>
      <c r="K588" s="1915" t="s">
        <v>811</v>
      </c>
      <c r="L588" s="1794">
        <v>0</v>
      </c>
      <c r="M588" s="1915">
        <v>1</v>
      </c>
      <c r="N588" s="1915">
        <v>0</v>
      </c>
      <c r="O588" s="1794" t="s">
        <v>748</v>
      </c>
      <c r="P588" s="2221"/>
      <c r="Q588" s="2221"/>
      <c r="R588" s="2184"/>
      <c r="S588" s="2248" t="s">
        <v>8207</v>
      </c>
      <c r="T588" s="1915" t="s">
        <v>7732</v>
      </c>
      <c r="U588" s="2225" t="s">
        <v>748</v>
      </c>
      <c r="V588" s="1915"/>
      <c r="W588" s="1915"/>
      <c r="X588" s="1794" t="s">
        <v>748</v>
      </c>
      <c r="AU588" s="1890"/>
      <c r="AV588" s="1890"/>
      <c r="AW588" s="1890"/>
      <c r="AX588" s="1890"/>
      <c r="AY588" s="1890"/>
      <c r="AZ588" s="1890"/>
      <c r="BA588" s="1890"/>
      <c r="BB588" s="1890"/>
      <c r="BC588" s="1890"/>
      <c r="BD588" s="1890"/>
      <c r="BE588" s="1890"/>
      <c r="BF588" s="1890"/>
      <c r="BG588" s="1890"/>
      <c r="BH588" s="1890"/>
      <c r="BI588" s="1890"/>
      <c r="BJ588" s="1890"/>
      <c r="BK588" s="1890"/>
      <c r="BL588" s="1890"/>
      <c r="BM588" s="1890"/>
      <c r="BN588" s="1890"/>
      <c r="BO588" s="1890"/>
      <c r="BP588" s="1890"/>
      <c r="BQ588" s="1890"/>
      <c r="BR588" s="1890"/>
      <c r="BS588" s="1890"/>
      <c r="BT588" s="1890"/>
      <c r="BU588" s="1890"/>
      <c r="BV588" s="1890"/>
      <c r="BW588" s="1890"/>
      <c r="BX588" s="1890"/>
      <c r="BY588" s="1890"/>
      <c r="BZ588" s="1890"/>
    </row>
    <row r="589" spans="1:78" ht="32.1" customHeight="1">
      <c r="A589" s="2515" t="s">
        <v>7079</v>
      </c>
      <c r="B589" s="2071" t="s">
        <v>676</v>
      </c>
      <c r="C589" s="2129">
        <f>AVERAGE(C590:C599)</f>
        <v>0.95</v>
      </c>
      <c r="D589" s="2129">
        <f t="shared" ref="D589:H589" si="154">AVERAGE(D590:D599)</f>
        <v>0.85</v>
      </c>
      <c r="E589" s="2129">
        <f t="shared" si="154"/>
        <v>0.8</v>
      </c>
      <c r="F589" s="2129">
        <f t="shared" si="154"/>
        <v>1</v>
      </c>
      <c r="G589" s="2129">
        <f t="shared" si="154"/>
        <v>0.95</v>
      </c>
      <c r="H589" s="2129">
        <f t="shared" si="154"/>
        <v>0.75</v>
      </c>
      <c r="I589" s="2073"/>
      <c r="J589" s="2396"/>
      <c r="K589" s="2397"/>
      <c r="L589" s="2397"/>
      <c r="M589" s="2397"/>
      <c r="N589" s="2397"/>
      <c r="O589" s="2397"/>
      <c r="P589" s="2398"/>
      <c r="Q589" s="2398"/>
      <c r="R589" s="2186"/>
      <c r="S589" s="2399"/>
      <c r="T589" s="2397"/>
      <c r="U589" s="2397"/>
      <c r="V589" s="2397"/>
      <c r="W589" s="2397"/>
      <c r="X589" s="2397"/>
      <c r="AU589" s="1890"/>
      <c r="AV589" s="1890"/>
      <c r="AW589" s="1890"/>
      <c r="AX589" s="1890"/>
      <c r="AY589" s="1890"/>
      <c r="AZ589" s="1890"/>
      <c r="BA589" s="1890"/>
      <c r="BB589" s="1890"/>
      <c r="BC589" s="1890"/>
      <c r="BD589" s="1890"/>
      <c r="BE589" s="1890"/>
      <c r="BF589" s="1890"/>
      <c r="BG589" s="1890"/>
      <c r="BH589" s="1890"/>
      <c r="BI589" s="1890"/>
      <c r="BJ589" s="1890"/>
      <c r="BK589" s="1890"/>
      <c r="BL589" s="1890"/>
      <c r="BM589" s="1890"/>
      <c r="BN589" s="1890"/>
      <c r="BO589" s="1890"/>
      <c r="BP589" s="1890"/>
      <c r="BQ589" s="1890"/>
      <c r="BR589" s="1890"/>
      <c r="BS589" s="1890"/>
      <c r="BT589" s="1890"/>
      <c r="BU589" s="1890"/>
      <c r="BV589" s="1890"/>
      <c r="BW589" s="1890"/>
      <c r="BX589" s="1890"/>
      <c r="BY589" s="1890"/>
      <c r="BZ589" s="1890"/>
    </row>
    <row r="590" spans="1:78" ht="32.1" customHeight="1">
      <c r="A590" s="2501"/>
      <c r="B590" s="1820" t="s">
        <v>677</v>
      </c>
      <c r="C590" s="1837">
        <v>1</v>
      </c>
      <c r="D590" s="1828">
        <v>1</v>
      </c>
      <c r="E590" s="1846">
        <v>1</v>
      </c>
      <c r="F590" s="1828">
        <v>1</v>
      </c>
      <c r="G590" s="1833">
        <v>1</v>
      </c>
      <c r="H590" s="1856">
        <v>1</v>
      </c>
      <c r="I590" s="2073" t="s">
        <v>38</v>
      </c>
      <c r="J590" s="2218" t="s">
        <v>730</v>
      </c>
      <c r="K590" s="1915" t="s">
        <v>811</v>
      </c>
      <c r="L590" s="1794">
        <v>1</v>
      </c>
      <c r="M590" s="1915">
        <v>1</v>
      </c>
      <c r="N590" s="1914" t="s">
        <v>811</v>
      </c>
      <c r="O590" s="1794" t="s">
        <v>8924</v>
      </c>
      <c r="P590" s="2221"/>
      <c r="Q590" s="2221"/>
      <c r="R590" s="2184"/>
      <c r="S590" s="2248" t="s">
        <v>8208</v>
      </c>
      <c r="T590" s="1915" t="s">
        <v>7733</v>
      </c>
      <c r="U590" s="2225" t="s">
        <v>811</v>
      </c>
      <c r="V590" s="1915"/>
      <c r="W590" s="1914" t="s">
        <v>8451</v>
      </c>
      <c r="X590" s="1794" t="s">
        <v>8924</v>
      </c>
      <c r="AU590" s="1890"/>
      <c r="AV590" s="1890"/>
      <c r="AW590" s="1890"/>
      <c r="AX590" s="1890"/>
      <c r="AY590" s="1890"/>
      <c r="AZ590" s="1890"/>
      <c r="BA590" s="1890"/>
      <c r="BB590" s="1890"/>
      <c r="BC590" s="1890"/>
      <c r="BD590" s="1890"/>
      <c r="BE590" s="1890"/>
      <c r="BF590" s="1890"/>
      <c r="BG590" s="1890"/>
      <c r="BH590" s="1890"/>
      <c r="BI590" s="1890"/>
      <c r="BJ590" s="1890"/>
      <c r="BK590" s="1890"/>
      <c r="BL590" s="1890"/>
      <c r="BM590" s="1890"/>
      <c r="BN590" s="1890"/>
      <c r="BO590" s="1890"/>
      <c r="BP590" s="1890"/>
      <c r="BQ590" s="1890"/>
      <c r="BR590" s="1890"/>
      <c r="BS590" s="1890"/>
      <c r="BT590" s="1890"/>
      <c r="BU590" s="1890"/>
      <c r="BV590" s="1890"/>
      <c r="BW590" s="1890"/>
      <c r="BX590" s="1890"/>
      <c r="BY590" s="1890"/>
      <c r="BZ590" s="1890"/>
    </row>
    <row r="591" spans="1:78" ht="32.1" customHeight="1">
      <c r="A591" s="2501"/>
      <c r="B591" s="1820" t="s">
        <v>678</v>
      </c>
      <c r="C591" s="1837">
        <v>1</v>
      </c>
      <c r="D591" s="1828">
        <v>1</v>
      </c>
      <c r="E591" s="1846">
        <v>1</v>
      </c>
      <c r="F591" s="1828">
        <v>1</v>
      </c>
      <c r="G591" s="1833">
        <v>1</v>
      </c>
      <c r="H591" s="1856">
        <v>1</v>
      </c>
      <c r="I591" s="2073" t="s">
        <v>38</v>
      </c>
      <c r="J591" s="2218" t="s">
        <v>730</v>
      </c>
      <c r="K591" s="1915" t="s">
        <v>811</v>
      </c>
      <c r="L591" s="1794">
        <v>1</v>
      </c>
      <c r="M591" s="1915">
        <v>1</v>
      </c>
      <c r="N591" s="1914" t="s">
        <v>811</v>
      </c>
      <c r="O591" s="1794" t="s">
        <v>8925</v>
      </c>
      <c r="P591" s="2221"/>
      <c r="Q591" s="2221"/>
      <c r="R591" s="2184"/>
      <c r="S591" s="2275" t="s">
        <v>8997</v>
      </c>
      <c r="T591" s="1915" t="s">
        <v>7734</v>
      </c>
      <c r="U591" s="2225" t="s">
        <v>811</v>
      </c>
      <c r="V591" s="1915"/>
      <c r="W591" s="1914" t="s">
        <v>8452</v>
      </c>
      <c r="X591" s="1794" t="s">
        <v>8925</v>
      </c>
      <c r="AU591" s="1890"/>
      <c r="AV591" s="1890"/>
      <c r="AW591" s="1890"/>
      <c r="AX591" s="1890"/>
      <c r="AY591" s="1890"/>
      <c r="AZ591" s="1890"/>
      <c r="BA591" s="1890"/>
      <c r="BB591" s="1890"/>
      <c r="BC591" s="1890"/>
      <c r="BD591" s="1890"/>
      <c r="BE591" s="1890"/>
      <c r="BF591" s="1890"/>
      <c r="BG591" s="1890"/>
      <c r="BH591" s="1890"/>
      <c r="BI591" s="1890"/>
      <c r="BJ591" s="1890"/>
      <c r="BK591" s="1890"/>
      <c r="BL591" s="1890"/>
      <c r="BM591" s="1890"/>
      <c r="BN591" s="1890"/>
      <c r="BO591" s="1890"/>
      <c r="BP591" s="1890"/>
      <c r="BQ591" s="1890"/>
      <c r="BR591" s="1890"/>
      <c r="BS591" s="1890"/>
      <c r="BT591" s="1890"/>
      <c r="BU591" s="1890"/>
      <c r="BV591" s="1890"/>
      <c r="BW591" s="1890"/>
      <c r="BX591" s="1890"/>
      <c r="BY591" s="1890"/>
      <c r="BZ591" s="1890"/>
    </row>
    <row r="592" spans="1:78" ht="60.95" customHeight="1">
      <c r="A592" s="2501"/>
      <c r="B592" s="1820" t="s">
        <v>679</v>
      </c>
      <c r="C592" s="1837">
        <v>1</v>
      </c>
      <c r="D592" s="1828">
        <v>1</v>
      </c>
      <c r="E592" s="1829">
        <v>1</v>
      </c>
      <c r="F592" s="1828">
        <v>1</v>
      </c>
      <c r="G592" s="1837">
        <v>1</v>
      </c>
      <c r="H592" s="1856">
        <v>0</v>
      </c>
      <c r="I592" s="2073" t="s">
        <v>38</v>
      </c>
      <c r="J592" s="2218" t="s">
        <v>730</v>
      </c>
      <c r="K592" s="1915" t="s">
        <v>811</v>
      </c>
      <c r="L592" s="1794">
        <v>1</v>
      </c>
      <c r="M592" s="1915">
        <v>1</v>
      </c>
      <c r="N592" s="1802" t="s">
        <v>811</v>
      </c>
      <c r="O592" s="1794" t="s">
        <v>748</v>
      </c>
      <c r="P592" s="2221"/>
      <c r="Q592" s="2221"/>
      <c r="R592" s="2184"/>
      <c r="S592" s="2275" t="s">
        <v>9303</v>
      </c>
      <c r="T592" s="1915" t="s">
        <v>7735</v>
      </c>
      <c r="U592" s="2225" t="s">
        <v>811</v>
      </c>
      <c r="V592" s="1915" t="s">
        <v>8000</v>
      </c>
      <c r="W592" s="1802" t="s">
        <v>8453</v>
      </c>
      <c r="X592" s="1794" t="s">
        <v>748</v>
      </c>
      <c r="AU592" s="1890"/>
      <c r="AV592" s="1890"/>
      <c r="AW592" s="1890"/>
      <c r="AX592" s="1890"/>
      <c r="AY592" s="1890"/>
      <c r="AZ592" s="1890"/>
      <c r="BA592" s="1890"/>
      <c r="BB592" s="1890"/>
      <c r="BC592" s="1890"/>
      <c r="BD592" s="1890"/>
      <c r="BE592" s="1890"/>
      <c r="BF592" s="1890"/>
      <c r="BG592" s="1890"/>
      <c r="BH592" s="1890"/>
      <c r="BI592" s="1890"/>
      <c r="BJ592" s="1890"/>
      <c r="BK592" s="1890"/>
      <c r="BL592" s="1890"/>
      <c r="BM592" s="1890"/>
      <c r="BN592" s="1890"/>
      <c r="BO592" s="1890"/>
      <c r="BP592" s="1890"/>
      <c r="BQ592" s="1890"/>
      <c r="BR592" s="1890"/>
      <c r="BS592" s="1890"/>
      <c r="BT592" s="1890"/>
      <c r="BU592" s="1890"/>
      <c r="BV592" s="1890"/>
      <c r="BW592" s="1890"/>
      <c r="BX592" s="1890"/>
      <c r="BY592" s="1890"/>
      <c r="BZ592" s="1890"/>
    </row>
    <row r="593" spans="1:78" ht="32.1" customHeight="1">
      <c r="A593" s="2501"/>
      <c r="B593" s="1820" t="s">
        <v>680</v>
      </c>
      <c r="C593" s="1837">
        <v>1</v>
      </c>
      <c r="D593" s="1828">
        <v>1</v>
      </c>
      <c r="E593" s="1829">
        <v>1</v>
      </c>
      <c r="F593" s="1828">
        <v>1</v>
      </c>
      <c r="G593" s="1837">
        <v>1</v>
      </c>
      <c r="H593" s="1856">
        <v>1</v>
      </c>
      <c r="I593" s="2073" t="s">
        <v>459</v>
      </c>
      <c r="J593" s="2218" t="s">
        <v>730</v>
      </c>
      <c r="K593" s="1915" t="s">
        <v>811</v>
      </c>
      <c r="L593" s="1794">
        <v>1</v>
      </c>
      <c r="M593" s="1915">
        <v>1</v>
      </c>
      <c r="N593" s="1802" t="s">
        <v>811</v>
      </c>
      <c r="O593" s="1794" t="s">
        <v>8926</v>
      </c>
      <c r="P593" s="2221"/>
      <c r="Q593" s="2221"/>
      <c r="R593" s="2184"/>
      <c r="S593" s="2248" t="s">
        <v>8209</v>
      </c>
      <c r="T593" s="1915" t="s">
        <v>7736</v>
      </c>
      <c r="U593" s="2225" t="s">
        <v>811</v>
      </c>
      <c r="V593" s="1915"/>
      <c r="W593" s="1802" t="s">
        <v>8454</v>
      </c>
      <c r="X593" s="1794" t="s">
        <v>8926</v>
      </c>
      <c r="AU593" s="1890"/>
      <c r="AV593" s="1890"/>
      <c r="AW593" s="1890"/>
      <c r="AX593" s="1890"/>
      <c r="AY593" s="1890"/>
      <c r="AZ593" s="1890"/>
      <c r="BA593" s="1890"/>
      <c r="BB593" s="1890"/>
      <c r="BC593" s="1890"/>
      <c r="BD593" s="1890"/>
      <c r="BE593" s="1890"/>
      <c r="BF593" s="1890"/>
      <c r="BG593" s="1890"/>
      <c r="BH593" s="1890"/>
      <c r="BI593" s="1890"/>
      <c r="BJ593" s="1890"/>
      <c r="BK593" s="1890"/>
      <c r="BL593" s="1890"/>
      <c r="BM593" s="1890"/>
      <c r="BN593" s="1890"/>
      <c r="BO593" s="1890"/>
      <c r="BP593" s="1890"/>
      <c r="BQ593" s="1890"/>
      <c r="BR593" s="1890"/>
      <c r="BS593" s="1890"/>
      <c r="BT593" s="1890"/>
      <c r="BU593" s="1890"/>
      <c r="BV593" s="1890"/>
      <c r="BW593" s="1890"/>
      <c r="BX593" s="1890"/>
      <c r="BY593" s="1890"/>
      <c r="BZ593" s="1890"/>
    </row>
    <row r="594" spans="1:78" ht="48" customHeight="1">
      <c r="A594" s="2501"/>
      <c r="B594" s="1820" t="s">
        <v>681</v>
      </c>
      <c r="C594" s="1837">
        <v>1</v>
      </c>
      <c r="D594" s="1828">
        <v>1</v>
      </c>
      <c r="E594" s="1829">
        <v>0</v>
      </c>
      <c r="F594" s="1828">
        <v>1</v>
      </c>
      <c r="G594" s="1833">
        <v>1</v>
      </c>
      <c r="H594" s="1856">
        <v>0</v>
      </c>
      <c r="I594" s="2073" t="s">
        <v>38</v>
      </c>
      <c r="J594" s="2218" t="s">
        <v>730</v>
      </c>
      <c r="K594" s="1915" t="s">
        <v>811</v>
      </c>
      <c r="L594" s="1794">
        <v>0</v>
      </c>
      <c r="M594" s="1915">
        <v>1</v>
      </c>
      <c r="N594" s="1914" t="s">
        <v>811</v>
      </c>
      <c r="O594" s="1794" t="s">
        <v>5808</v>
      </c>
      <c r="P594" s="2221"/>
      <c r="Q594" s="2221"/>
      <c r="R594" s="2184"/>
      <c r="S594" s="2275" t="s">
        <v>8998</v>
      </c>
      <c r="T594" s="1915" t="s">
        <v>7737</v>
      </c>
      <c r="U594" s="2225" t="s">
        <v>748</v>
      </c>
      <c r="V594" s="1915"/>
      <c r="W594" s="1914" t="s">
        <v>8455</v>
      </c>
      <c r="X594" s="1794" t="s">
        <v>5808</v>
      </c>
    </row>
    <row r="595" spans="1:78" ht="32.1" customHeight="1">
      <c r="A595" s="2501"/>
      <c r="B595" s="1820" t="s">
        <v>682</v>
      </c>
      <c r="C595" s="1837">
        <v>1</v>
      </c>
      <c r="D595" s="1828">
        <v>1</v>
      </c>
      <c r="E595" s="1829">
        <v>1</v>
      </c>
      <c r="F595" s="1829">
        <v>1</v>
      </c>
      <c r="G595" s="1833">
        <v>1</v>
      </c>
      <c r="H595" s="1856">
        <v>1</v>
      </c>
      <c r="I595" s="2073" t="s">
        <v>38</v>
      </c>
      <c r="J595" s="2218" t="s">
        <v>730</v>
      </c>
      <c r="K595" s="1915" t="s">
        <v>811</v>
      </c>
      <c r="L595" s="1794">
        <v>1</v>
      </c>
      <c r="M595" s="1794">
        <v>1</v>
      </c>
      <c r="N595" s="1914" t="s">
        <v>811</v>
      </c>
      <c r="O595" s="1794" t="s">
        <v>8927</v>
      </c>
      <c r="P595" s="2221"/>
      <c r="Q595" s="2221"/>
      <c r="R595" s="2184"/>
      <c r="S595" s="2248" t="s">
        <v>8210</v>
      </c>
      <c r="T595" s="1915" t="s">
        <v>7738</v>
      </c>
      <c r="U595" s="2225" t="s">
        <v>811</v>
      </c>
      <c r="V595" s="1915"/>
      <c r="W595" s="1914" t="s">
        <v>8456</v>
      </c>
      <c r="X595" s="1794" t="s">
        <v>8927</v>
      </c>
    </row>
    <row r="596" spans="1:78" ht="105" customHeight="1">
      <c r="A596" s="1899"/>
      <c r="B596" s="1820" t="s">
        <v>683</v>
      </c>
      <c r="C596" s="1837">
        <v>1</v>
      </c>
      <c r="D596" s="1829">
        <v>0</v>
      </c>
      <c r="E596" s="1829">
        <v>1</v>
      </c>
      <c r="F596" s="1828">
        <v>1</v>
      </c>
      <c r="G596" s="1837">
        <v>1</v>
      </c>
      <c r="H596" s="1856">
        <v>1</v>
      </c>
      <c r="I596" s="2073" t="s">
        <v>38</v>
      </c>
      <c r="J596" s="2218" t="s">
        <v>730</v>
      </c>
      <c r="K596" s="1915" t="s">
        <v>811</v>
      </c>
      <c r="L596" s="1794">
        <v>1</v>
      </c>
      <c r="M596" s="1915">
        <v>1</v>
      </c>
      <c r="N596" s="1802" t="s">
        <v>811</v>
      </c>
      <c r="O596" s="1794" t="s">
        <v>5809</v>
      </c>
      <c r="P596" s="2221"/>
      <c r="Q596" s="2221"/>
      <c r="R596" s="2184"/>
      <c r="S596" s="2248" t="s">
        <v>8211</v>
      </c>
      <c r="T596" s="1915" t="s">
        <v>9155</v>
      </c>
      <c r="U596" s="2225" t="s">
        <v>7352</v>
      </c>
      <c r="V596" s="1915" t="s">
        <v>8001</v>
      </c>
      <c r="W596" s="1914" t="s">
        <v>8457</v>
      </c>
      <c r="X596" s="1794" t="s">
        <v>5809</v>
      </c>
    </row>
    <row r="597" spans="1:78" ht="32.1" customHeight="1">
      <c r="A597" s="2501"/>
      <c r="B597" s="1820" t="s">
        <v>684</v>
      </c>
      <c r="C597" s="1837">
        <v>1</v>
      </c>
      <c r="D597" s="1828">
        <v>1</v>
      </c>
      <c r="E597" s="1829">
        <v>1</v>
      </c>
      <c r="F597" s="1830">
        <v>1</v>
      </c>
      <c r="G597" s="1837">
        <v>1</v>
      </c>
      <c r="H597" s="1856">
        <v>1</v>
      </c>
      <c r="I597" s="2073" t="s">
        <v>457</v>
      </c>
      <c r="J597" s="2218" t="s">
        <v>730</v>
      </c>
      <c r="K597" s="1915" t="s">
        <v>811</v>
      </c>
      <c r="L597" s="1794">
        <v>1</v>
      </c>
      <c r="M597" s="1916">
        <v>1</v>
      </c>
      <c r="N597" s="1802" t="s">
        <v>1068</v>
      </c>
      <c r="O597" s="1794" t="s">
        <v>2210</v>
      </c>
      <c r="P597" s="2221"/>
      <c r="Q597" s="2221"/>
      <c r="R597" s="2184"/>
      <c r="S597" s="2248" t="s">
        <v>8212</v>
      </c>
      <c r="T597" s="1915" t="s">
        <v>7739</v>
      </c>
      <c r="U597" s="2225" t="s">
        <v>7353</v>
      </c>
      <c r="V597" s="1916" t="s">
        <v>8002</v>
      </c>
      <c r="W597" s="1802" t="s">
        <v>8458</v>
      </c>
      <c r="X597" s="1794" t="s">
        <v>2210</v>
      </c>
    </row>
    <row r="598" spans="1:78" s="1818" customFormat="1" ht="48" customHeight="1">
      <c r="A598" s="2504"/>
      <c r="B598" s="2057" t="s">
        <v>7153</v>
      </c>
      <c r="C598" s="2058">
        <v>0.5</v>
      </c>
      <c r="D598" s="2058">
        <v>0.5</v>
      </c>
      <c r="E598" s="2058">
        <v>0</v>
      </c>
      <c r="F598" s="2058">
        <v>1</v>
      </c>
      <c r="G598" s="2058">
        <v>0.5</v>
      </c>
      <c r="H598" s="2058">
        <v>0.5</v>
      </c>
      <c r="I598" s="2136" t="s">
        <v>686</v>
      </c>
      <c r="J598" s="2151">
        <v>0.5</v>
      </c>
      <c r="K598" s="2151" t="s">
        <v>7396</v>
      </c>
      <c r="L598" s="2151">
        <v>0</v>
      </c>
      <c r="M598" s="2151">
        <v>1</v>
      </c>
      <c r="N598" s="2151">
        <v>1</v>
      </c>
      <c r="O598" s="2151">
        <v>0.5</v>
      </c>
      <c r="P598" s="2152">
        <v>1</v>
      </c>
      <c r="Q598" s="2152">
        <v>0</v>
      </c>
      <c r="R598" s="2184"/>
      <c r="S598" s="2328" t="s">
        <v>8214</v>
      </c>
      <c r="T598" s="2151" t="s">
        <v>7740</v>
      </c>
      <c r="U598" s="2329" t="s">
        <v>6745</v>
      </c>
      <c r="V598" s="2151"/>
      <c r="W598" s="2151"/>
      <c r="X598" s="2151">
        <v>0.5</v>
      </c>
    </row>
    <row r="599" spans="1:78" ht="32.1" customHeight="1">
      <c r="A599" s="2501"/>
      <c r="B599" s="1820" t="s">
        <v>687</v>
      </c>
      <c r="C599" s="1837">
        <v>1</v>
      </c>
      <c r="D599" s="1828">
        <v>1</v>
      </c>
      <c r="E599" s="1829">
        <v>1</v>
      </c>
      <c r="F599" s="1830">
        <v>1</v>
      </c>
      <c r="G599" s="1833">
        <v>1</v>
      </c>
      <c r="H599" s="1856">
        <v>1</v>
      </c>
      <c r="I599" s="2073" t="s">
        <v>38</v>
      </c>
      <c r="J599" s="2218" t="s">
        <v>730</v>
      </c>
      <c r="K599" s="1915" t="s">
        <v>811</v>
      </c>
      <c r="L599" s="1794">
        <v>1</v>
      </c>
      <c r="M599" s="1916">
        <v>1</v>
      </c>
      <c r="N599" s="1914" t="s">
        <v>811</v>
      </c>
      <c r="O599" s="2233" t="s">
        <v>8923</v>
      </c>
      <c r="P599" s="2221"/>
      <c r="Q599" s="2221"/>
      <c r="R599" s="2184"/>
      <c r="S599" s="1915" t="s">
        <v>8213</v>
      </c>
      <c r="T599" s="1915" t="s">
        <v>7741</v>
      </c>
      <c r="U599" s="2225" t="s">
        <v>811</v>
      </c>
      <c r="V599" s="1916" t="s">
        <v>8003</v>
      </c>
      <c r="W599" s="2276" t="s">
        <v>5530</v>
      </c>
      <c r="X599" s="2233" t="s">
        <v>8923</v>
      </c>
    </row>
    <row r="600" spans="1:78" ht="32.1" customHeight="1">
      <c r="A600" s="2514">
        <v>2.2999999999999998</v>
      </c>
      <c r="B600" s="2068" t="s">
        <v>7080</v>
      </c>
      <c r="C600" s="2069">
        <f t="shared" ref="C600:H600" si="155">AVERAGE(C601,C614)</f>
        <v>0.55000000000000004</v>
      </c>
      <c r="D600" s="2069">
        <f t="shared" si="155"/>
        <v>0.53811022120518692</v>
      </c>
      <c r="E600" s="2069">
        <f t="shared" si="155"/>
        <v>0.54994279176201366</v>
      </c>
      <c r="F600" s="2069">
        <f t="shared" si="155"/>
        <v>0.2986937452326468</v>
      </c>
      <c r="G600" s="2069">
        <f t="shared" si="155"/>
        <v>0.63565980167810832</v>
      </c>
      <c r="H600" s="2069">
        <f t="shared" si="155"/>
        <v>0.60353260869565217</v>
      </c>
      <c r="I600" s="2073"/>
      <c r="J600" s="2065"/>
      <c r="K600" s="2065"/>
      <c r="L600" s="2139"/>
      <c r="M600" s="2065"/>
      <c r="N600" s="2065"/>
      <c r="O600" s="2065"/>
      <c r="P600" s="2065"/>
      <c r="Q600" s="2065"/>
      <c r="R600" s="2070"/>
      <c r="S600" s="2065"/>
      <c r="T600" s="2065"/>
      <c r="U600" s="2139"/>
      <c r="V600" s="2065"/>
      <c r="W600" s="2065"/>
      <c r="X600" s="2065"/>
    </row>
    <row r="601" spans="1:78" ht="32.1" customHeight="1">
      <c r="A601" s="2519" t="s">
        <v>5326</v>
      </c>
      <c r="B601" s="2071" t="s">
        <v>690</v>
      </c>
      <c r="C601" s="2129">
        <f>AVERAGE(C602,C606,C610,C611)</f>
        <v>0.5</v>
      </c>
      <c r="D601" s="2129">
        <f t="shared" ref="D601:H601" si="156">AVERAGE(D602,D606,D610,D611)</f>
        <v>0.54166666666666663</v>
      </c>
      <c r="E601" s="2129">
        <f t="shared" si="156"/>
        <v>0.25</v>
      </c>
      <c r="F601" s="2129">
        <f t="shared" si="156"/>
        <v>0.29166666666666663</v>
      </c>
      <c r="G601" s="2129">
        <f t="shared" si="156"/>
        <v>0.33333333333333331</v>
      </c>
      <c r="H601" s="2129">
        <f t="shared" si="156"/>
        <v>0.4375</v>
      </c>
      <c r="I601" s="2073"/>
      <c r="J601" s="2074"/>
      <c r="K601" s="2234"/>
      <c r="L601" s="2074"/>
      <c r="M601" s="2074"/>
      <c r="N601" s="2074"/>
      <c r="O601" s="2074"/>
      <c r="P601" s="2235"/>
      <c r="Q601" s="2235"/>
      <c r="R601" s="2140"/>
      <c r="S601" s="2074"/>
      <c r="T601" s="2234"/>
      <c r="U601" s="2074"/>
      <c r="V601" s="2074"/>
      <c r="W601" s="2074"/>
      <c r="X601" s="2074"/>
    </row>
    <row r="602" spans="1:78" ht="32.1" customHeight="1">
      <c r="A602" s="2500"/>
      <c r="B602" s="2059" t="s">
        <v>691</v>
      </c>
      <c r="C602" s="2060">
        <f>AVERAGE(C603:C605)</f>
        <v>0.66666666666666663</v>
      </c>
      <c r="D602" s="2060">
        <f t="shared" ref="D602:H602" si="157">AVERAGE(D603:D605)</f>
        <v>0.16666666666666666</v>
      </c>
      <c r="E602" s="2060">
        <f t="shared" si="157"/>
        <v>0</v>
      </c>
      <c r="F602" s="2060">
        <f t="shared" si="157"/>
        <v>0.5</v>
      </c>
      <c r="G602" s="2060">
        <f t="shared" si="157"/>
        <v>1</v>
      </c>
      <c r="H602" s="2060">
        <f t="shared" si="157"/>
        <v>0.66666666666666663</v>
      </c>
      <c r="I602" s="2073"/>
      <c r="J602" s="2236"/>
      <c r="K602" s="2006"/>
      <c r="L602" s="1911"/>
      <c r="M602" s="1910"/>
      <c r="N602" s="1910"/>
      <c r="O602" s="1911"/>
      <c r="P602" s="1969"/>
      <c r="Q602" s="1969"/>
      <c r="R602" s="2184"/>
      <c r="S602" s="2277"/>
      <c r="T602" s="1911"/>
      <c r="U602" s="1911" t="s">
        <v>6002</v>
      </c>
      <c r="V602" s="1911"/>
      <c r="W602" s="1910"/>
      <c r="X602" s="1911"/>
    </row>
    <row r="603" spans="1:78" ht="32.1" customHeight="1">
      <c r="A603" s="2501"/>
      <c r="B603" s="1804" t="s">
        <v>692</v>
      </c>
      <c r="C603" s="1837">
        <v>0.5</v>
      </c>
      <c r="D603" s="1877">
        <v>0</v>
      </c>
      <c r="E603" s="1829">
        <v>0</v>
      </c>
      <c r="F603" s="1844">
        <v>0.5</v>
      </c>
      <c r="G603" s="1833">
        <v>1</v>
      </c>
      <c r="H603" s="1827">
        <v>0.5</v>
      </c>
      <c r="I603" s="2073" t="s">
        <v>459</v>
      </c>
      <c r="J603" s="2218" t="s">
        <v>6225</v>
      </c>
      <c r="K603" s="2007" t="s">
        <v>1060</v>
      </c>
      <c r="L603" s="1794">
        <v>0</v>
      </c>
      <c r="M603" s="1935" t="s">
        <v>6225</v>
      </c>
      <c r="N603" s="1914" t="s">
        <v>8459</v>
      </c>
      <c r="O603" s="1915" t="s">
        <v>8928</v>
      </c>
      <c r="P603" s="1915"/>
      <c r="Q603" s="1915"/>
      <c r="R603" s="2138"/>
      <c r="S603" s="2248" t="s">
        <v>8215</v>
      </c>
      <c r="T603" s="1915"/>
      <c r="U603" s="1794" t="s">
        <v>748</v>
      </c>
      <c r="V603" s="1935" t="s">
        <v>6199</v>
      </c>
      <c r="W603" s="1914"/>
      <c r="X603" s="1915" t="s">
        <v>8928</v>
      </c>
    </row>
    <row r="604" spans="1:78" ht="32.1" customHeight="1">
      <c r="A604" s="2501"/>
      <c r="B604" s="1804" t="s">
        <v>693</v>
      </c>
      <c r="C604" s="1837">
        <v>0.5</v>
      </c>
      <c r="D604" s="1877">
        <v>0</v>
      </c>
      <c r="E604" s="1829">
        <v>0</v>
      </c>
      <c r="F604" s="1844">
        <v>0.5</v>
      </c>
      <c r="G604" s="1828">
        <v>1</v>
      </c>
      <c r="H604" s="1827">
        <v>1</v>
      </c>
      <c r="I604" s="2073" t="s">
        <v>459</v>
      </c>
      <c r="J604" s="2218" t="s">
        <v>6225</v>
      </c>
      <c r="K604" s="2007" t="s">
        <v>1060</v>
      </c>
      <c r="L604" s="1794">
        <v>0</v>
      </c>
      <c r="M604" s="1935" t="s">
        <v>6225</v>
      </c>
      <c r="N604" s="1915" t="s">
        <v>960</v>
      </c>
      <c r="O604" s="1915" t="s">
        <v>8929</v>
      </c>
      <c r="P604" s="1915"/>
      <c r="Q604" s="1915"/>
      <c r="R604" s="2138"/>
      <c r="S604" s="2248" t="s">
        <v>8216</v>
      </c>
      <c r="T604" s="1915" t="s">
        <v>7742</v>
      </c>
      <c r="U604" s="1794" t="s">
        <v>748</v>
      </c>
      <c r="V604" s="1935" t="s">
        <v>6200</v>
      </c>
      <c r="W604" s="1915"/>
      <c r="X604" s="1915" t="s">
        <v>8929</v>
      </c>
    </row>
    <row r="605" spans="1:78" ht="32.1" customHeight="1">
      <c r="A605" s="2501"/>
      <c r="B605" s="1797" t="s">
        <v>694</v>
      </c>
      <c r="C605" s="1837">
        <v>1</v>
      </c>
      <c r="D605" s="1877">
        <v>0.5</v>
      </c>
      <c r="E605" s="1829">
        <v>0</v>
      </c>
      <c r="F605" s="1844">
        <v>0.5</v>
      </c>
      <c r="G605" s="1828">
        <v>1</v>
      </c>
      <c r="H605" s="1827">
        <v>0.5</v>
      </c>
      <c r="I605" s="2073" t="s">
        <v>459</v>
      </c>
      <c r="J605" s="2217">
        <v>1</v>
      </c>
      <c r="K605" s="2007" t="s">
        <v>2454</v>
      </c>
      <c r="L605" s="1794">
        <v>0</v>
      </c>
      <c r="M605" s="1935" t="s">
        <v>6225</v>
      </c>
      <c r="N605" s="1915" t="s">
        <v>8460</v>
      </c>
      <c r="O605" s="1915" t="s">
        <v>8930</v>
      </c>
      <c r="P605" s="1915"/>
      <c r="Q605" s="1915"/>
      <c r="R605" s="2138"/>
      <c r="S605" s="2248" t="s">
        <v>8217</v>
      </c>
      <c r="T605" s="1915"/>
      <c r="U605" s="1794" t="s">
        <v>748</v>
      </c>
      <c r="V605" s="1935" t="s">
        <v>8004</v>
      </c>
      <c r="W605" s="1915"/>
      <c r="X605" s="1915" t="s">
        <v>8930</v>
      </c>
    </row>
    <row r="606" spans="1:78" ht="32.1" customHeight="1">
      <c r="A606" s="2500"/>
      <c r="B606" s="2059" t="s">
        <v>695</v>
      </c>
      <c r="C606" s="2060">
        <f>AVERAGE(C607:C609)</f>
        <v>0.33333333333333331</v>
      </c>
      <c r="D606" s="2060">
        <f t="shared" ref="D606:H606" si="158">AVERAGE(D607:D609)</f>
        <v>0.5</v>
      </c>
      <c r="E606" s="2060">
        <f t="shared" si="158"/>
        <v>0</v>
      </c>
      <c r="F606" s="2060">
        <f t="shared" si="158"/>
        <v>0.16666666666666666</v>
      </c>
      <c r="G606" s="2060">
        <f t="shared" si="158"/>
        <v>0.33333333333333331</v>
      </c>
      <c r="H606" s="2060">
        <f t="shared" si="158"/>
        <v>0.33333333333333331</v>
      </c>
      <c r="I606" s="2073"/>
      <c r="J606" s="1910"/>
      <c r="K606" s="1963"/>
      <c r="L606" s="1911"/>
      <c r="M606" s="1910"/>
      <c r="N606" s="1911"/>
      <c r="O606" s="1911" t="s">
        <v>9087</v>
      </c>
      <c r="P606" s="2237"/>
      <c r="Q606" s="2237"/>
      <c r="R606" s="2187"/>
      <c r="S606" s="2250"/>
      <c r="T606" s="1911"/>
      <c r="U606" s="1911"/>
      <c r="V606" s="1911"/>
      <c r="W606" s="1911"/>
      <c r="X606" s="1911"/>
    </row>
    <row r="607" spans="1:78" ht="32.1" customHeight="1">
      <c r="A607" s="2501"/>
      <c r="B607" s="1804" t="s">
        <v>696</v>
      </c>
      <c r="C607" s="1837">
        <v>0</v>
      </c>
      <c r="D607" s="1877">
        <v>1</v>
      </c>
      <c r="E607" s="1829">
        <v>0</v>
      </c>
      <c r="F607" s="1844">
        <v>0</v>
      </c>
      <c r="G607" s="1833">
        <v>1</v>
      </c>
      <c r="H607" s="1827">
        <v>1</v>
      </c>
      <c r="I607" s="2073" t="s">
        <v>459</v>
      </c>
      <c r="J607" s="2217">
        <v>0</v>
      </c>
      <c r="K607" s="2313" t="s">
        <v>960</v>
      </c>
      <c r="L607" s="1794">
        <v>0</v>
      </c>
      <c r="M607" s="1935">
        <v>0</v>
      </c>
      <c r="N607" s="1914" t="s">
        <v>5532</v>
      </c>
      <c r="O607" s="1915" t="s">
        <v>8931</v>
      </c>
      <c r="P607" s="1915"/>
      <c r="Q607" s="1915"/>
      <c r="R607" s="2138"/>
      <c r="S607" s="2248" t="s">
        <v>8218</v>
      </c>
      <c r="T607" s="1915"/>
      <c r="U607" s="1794" t="s">
        <v>8517</v>
      </c>
      <c r="V607" s="1935" t="s">
        <v>6202</v>
      </c>
      <c r="W607" s="1914"/>
      <c r="X607" s="1915" t="s">
        <v>8931</v>
      </c>
    </row>
    <row r="608" spans="1:78" ht="32.1" customHeight="1">
      <c r="A608" s="2501"/>
      <c r="B608" s="1804" t="s">
        <v>697</v>
      </c>
      <c r="C608" s="1837">
        <v>0.5</v>
      </c>
      <c r="D608" s="1877">
        <v>0</v>
      </c>
      <c r="E608" s="1829">
        <v>0</v>
      </c>
      <c r="F608" s="1844">
        <v>0</v>
      </c>
      <c r="G608" s="1873">
        <v>0</v>
      </c>
      <c r="H608" s="1827">
        <v>0</v>
      </c>
      <c r="I608" s="2073" t="s">
        <v>459</v>
      </c>
      <c r="J608" s="2218" t="s">
        <v>6225</v>
      </c>
      <c r="K608" s="2007" t="s">
        <v>1060</v>
      </c>
      <c r="L608" s="1794">
        <v>0</v>
      </c>
      <c r="M608" s="1935">
        <v>0</v>
      </c>
      <c r="N608" s="1914" t="s">
        <v>1060</v>
      </c>
      <c r="O608" s="1915" t="s">
        <v>5814</v>
      </c>
      <c r="P608" s="1915"/>
      <c r="Q608" s="1915"/>
      <c r="R608" s="2138"/>
      <c r="S608" s="2248" t="s">
        <v>8219</v>
      </c>
      <c r="T608" s="1915"/>
      <c r="U608" s="1794" t="s">
        <v>8518</v>
      </c>
      <c r="V608" s="1935" t="s">
        <v>6203</v>
      </c>
      <c r="W608" s="1914"/>
      <c r="X608" s="1915" t="s">
        <v>5814</v>
      </c>
    </row>
    <row r="609" spans="1:78" ht="45.95" customHeight="1">
      <c r="A609" s="2501"/>
      <c r="B609" s="1804" t="s">
        <v>698</v>
      </c>
      <c r="C609" s="1837">
        <v>0.5</v>
      </c>
      <c r="D609" s="1877">
        <v>0.5</v>
      </c>
      <c r="E609" s="1829">
        <v>0</v>
      </c>
      <c r="F609" s="1844">
        <v>0.5</v>
      </c>
      <c r="G609" s="1873">
        <v>0</v>
      </c>
      <c r="H609" s="1827">
        <v>0</v>
      </c>
      <c r="I609" s="2073" t="s">
        <v>459</v>
      </c>
      <c r="J609" s="2218" t="s">
        <v>6225</v>
      </c>
      <c r="K609" s="2007" t="s">
        <v>7397</v>
      </c>
      <c r="L609" s="1794">
        <v>0</v>
      </c>
      <c r="M609" s="1935" t="s">
        <v>6225</v>
      </c>
      <c r="N609" s="1914" t="s">
        <v>1060</v>
      </c>
      <c r="O609" s="1915" t="s">
        <v>8932</v>
      </c>
      <c r="P609" s="1915"/>
      <c r="Q609" s="1915"/>
      <c r="R609" s="2138"/>
      <c r="S609" s="2248" t="s">
        <v>8220</v>
      </c>
      <c r="T609" s="1915"/>
      <c r="U609" s="1794" t="s">
        <v>8518</v>
      </c>
      <c r="V609" s="1935" t="s">
        <v>6204</v>
      </c>
      <c r="W609" s="1914"/>
      <c r="X609" s="1915" t="s">
        <v>8932</v>
      </c>
    </row>
    <row r="610" spans="1:78" ht="51" customHeight="1">
      <c r="A610" s="1874"/>
      <c r="B610" s="1843" t="s">
        <v>699</v>
      </c>
      <c r="C610" s="1837">
        <v>0.5</v>
      </c>
      <c r="D610" s="1877">
        <v>1</v>
      </c>
      <c r="E610" s="1829">
        <v>0</v>
      </c>
      <c r="F610" s="1844">
        <v>0.5</v>
      </c>
      <c r="G610" s="1873">
        <v>0</v>
      </c>
      <c r="H610" s="1827">
        <v>0.5</v>
      </c>
      <c r="I610" s="2073" t="s">
        <v>596</v>
      </c>
      <c r="J610" s="2218" t="s">
        <v>6225</v>
      </c>
      <c r="K610" s="2007" t="s">
        <v>960</v>
      </c>
      <c r="L610" s="1794">
        <v>0</v>
      </c>
      <c r="M610" s="1935" t="s">
        <v>6225</v>
      </c>
      <c r="N610" s="1914" t="s">
        <v>1060</v>
      </c>
      <c r="O610" s="1914" t="s">
        <v>8933</v>
      </c>
      <c r="P610" s="1915"/>
      <c r="Q610" s="1915"/>
      <c r="R610" s="2138"/>
      <c r="S610" s="2248" t="s">
        <v>8221</v>
      </c>
      <c r="T610" s="1915"/>
      <c r="U610" s="1794" t="s">
        <v>8519</v>
      </c>
      <c r="V610" s="1935" t="s">
        <v>8005</v>
      </c>
      <c r="W610" s="1914"/>
      <c r="X610" s="1795" t="s">
        <v>8933</v>
      </c>
    </row>
    <row r="611" spans="1:78" ht="114.95" customHeight="1">
      <c r="A611" s="2500"/>
      <c r="B611" s="2059" t="s">
        <v>700</v>
      </c>
      <c r="C611" s="2060">
        <f>AVERAGE(C612,C613)</f>
        <v>0.5</v>
      </c>
      <c r="D611" s="2060">
        <f>AVERAGE(D612,D613)</f>
        <v>0.5</v>
      </c>
      <c r="E611" s="2060">
        <f>AVERAGE(E612,E613)</f>
        <v>1</v>
      </c>
      <c r="F611" s="2060">
        <f>AVERAGE(F612,F613)</f>
        <v>0</v>
      </c>
      <c r="G611" s="2060">
        <f>AVERAGE(G612,G613)</f>
        <v>0</v>
      </c>
      <c r="H611" s="2060">
        <f t="shared" ref="H611" si="159">AVERAGE(H612,H613)</f>
        <v>0.25</v>
      </c>
      <c r="I611" s="2073"/>
      <c r="J611" s="1910"/>
      <c r="K611" s="1963"/>
      <c r="L611" s="1911"/>
      <c r="M611" s="1911"/>
      <c r="N611" s="1910"/>
      <c r="O611" s="1911"/>
      <c r="P611" s="1911"/>
      <c r="Q611" s="1911"/>
      <c r="R611" s="2138"/>
      <c r="S611" s="2250"/>
      <c r="T611" s="1911" t="s">
        <v>7743</v>
      </c>
      <c r="U611" s="1911"/>
      <c r="V611" s="1911"/>
      <c r="W611" s="1910"/>
      <c r="X611" s="1911"/>
    </row>
    <row r="612" spans="1:78" ht="123" customHeight="1">
      <c r="A612" s="1899"/>
      <c r="B612" s="1797" t="s">
        <v>701</v>
      </c>
      <c r="C612" s="1837">
        <v>0.5</v>
      </c>
      <c r="D612" s="1877">
        <v>0.5</v>
      </c>
      <c r="E612" s="1829">
        <v>1</v>
      </c>
      <c r="F612" s="1844">
        <v>0</v>
      </c>
      <c r="G612" s="1837">
        <v>0</v>
      </c>
      <c r="H612" s="1827">
        <v>0</v>
      </c>
      <c r="I612" s="2073" t="s">
        <v>596</v>
      </c>
      <c r="J612" s="2218" t="s">
        <v>6225</v>
      </c>
      <c r="K612" s="2007" t="s">
        <v>7398</v>
      </c>
      <c r="L612" s="1794">
        <v>1</v>
      </c>
      <c r="M612" s="1935" t="s">
        <v>877</v>
      </c>
      <c r="N612" s="1928" t="s">
        <v>8461</v>
      </c>
      <c r="O612" s="1915" t="s">
        <v>748</v>
      </c>
      <c r="P612" s="1915"/>
      <c r="Q612" s="1915"/>
      <c r="R612" s="2138"/>
      <c r="S612" s="2248" t="s">
        <v>8222</v>
      </c>
      <c r="T612" s="2008" t="s">
        <v>7744</v>
      </c>
      <c r="U612" s="1794" t="s">
        <v>8520</v>
      </c>
      <c r="V612" s="1935" t="s">
        <v>6206</v>
      </c>
      <c r="W612" s="1928" t="s">
        <v>8461</v>
      </c>
      <c r="X612" s="1915" t="s">
        <v>748</v>
      </c>
    </row>
    <row r="613" spans="1:78" ht="95.1" customHeight="1">
      <c r="A613" s="2509"/>
      <c r="B613" s="1797" t="s">
        <v>7081</v>
      </c>
      <c r="C613" s="1837">
        <v>0.5</v>
      </c>
      <c r="D613" s="1877">
        <v>0.5</v>
      </c>
      <c r="E613" s="1829">
        <v>1</v>
      </c>
      <c r="F613" s="1844">
        <v>0</v>
      </c>
      <c r="G613" s="1873">
        <v>0</v>
      </c>
      <c r="H613" s="1827">
        <v>0.5</v>
      </c>
      <c r="I613" s="2073" t="s">
        <v>596</v>
      </c>
      <c r="J613" s="2218" t="s">
        <v>6225</v>
      </c>
      <c r="K613" s="2007" t="s">
        <v>7398</v>
      </c>
      <c r="L613" s="1794">
        <v>1</v>
      </c>
      <c r="M613" s="1935" t="s">
        <v>6225</v>
      </c>
      <c r="N613" s="1914" t="s">
        <v>8462</v>
      </c>
      <c r="O613" s="1921" t="s">
        <v>8934</v>
      </c>
      <c r="P613" s="1915"/>
      <c r="Q613" s="1915"/>
      <c r="R613" s="2138"/>
      <c r="S613" s="2248" t="s">
        <v>8223</v>
      </c>
      <c r="T613" s="1915"/>
      <c r="U613" s="1794" t="s">
        <v>8521</v>
      </c>
      <c r="V613" s="1935" t="s">
        <v>6739</v>
      </c>
      <c r="W613" s="1914"/>
      <c r="X613" s="1921" t="s">
        <v>8934</v>
      </c>
    </row>
    <row r="614" spans="1:78" s="1818" customFormat="1" ht="32.1" customHeight="1">
      <c r="A614" s="2520" t="s">
        <v>7082</v>
      </c>
      <c r="B614" s="2134" t="s">
        <v>703</v>
      </c>
      <c r="C614" s="2135">
        <f>AVERAGE(C615:C619)</f>
        <v>0.6</v>
      </c>
      <c r="D614" s="2135">
        <f t="shared" ref="D614:H614" si="160">AVERAGE(D615:D619)</f>
        <v>0.5345537757437071</v>
      </c>
      <c r="E614" s="2135">
        <f t="shared" si="160"/>
        <v>0.84988558352402743</v>
      </c>
      <c r="F614" s="2135">
        <f t="shared" si="160"/>
        <v>0.30572082379862697</v>
      </c>
      <c r="G614" s="2135">
        <f t="shared" si="160"/>
        <v>0.93798627002288337</v>
      </c>
      <c r="H614" s="2135">
        <f t="shared" si="160"/>
        <v>0.76956521739130435</v>
      </c>
      <c r="I614" s="2136"/>
      <c r="J614" s="2137"/>
      <c r="K614" s="2137"/>
      <c r="L614" s="2137"/>
      <c r="M614" s="2137"/>
      <c r="N614" s="2137"/>
      <c r="O614" s="2137"/>
      <c r="P614" s="2137"/>
      <c r="Q614" s="2137"/>
      <c r="R614" s="2138"/>
      <c r="S614" s="2137"/>
      <c r="T614" s="2137"/>
      <c r="U614" s="2137"/>
      <c r="V614" s="2137"/>
      <c r="W614" s="2137"/>
      <c r="X614" s="2137"/>
    </row>
    <row r="615" spans="1:78" s="1893" customFormat="1" ht="90">
      <c r="A615" s="2504" t="s">
        <v>9184</v>
      </c>
      <c r="B615" s="2400" t="s">
        <v>9140</v>
      </c>
      <c r="C615" s="2194">
        <f t="shared" ref="C615:H616" si="161">IF(J615&lt;$P615,1,IF(J615&gt;$Q615,0,(J615-$Q615)/($P615-$Q615)))</f>
        <v>0</v>
      </c>
      <c r="D615" s="2194">
        <f t="shared" si="161"/>
        <v>0.36842105263157887</v>
      </c>
      <c r="E615" s="2194">
        <f t="shared" si="161"/>
        <v>0.68421052631578949</v>
      </c>
      <c r="F615" s="2194">
        <f t="shared" si="161"/>
        <v>0.78947368421052622</v>
      </c>
      <c r="G615" s="2194">
        <f t="shared" si="161"/>
        <v>0.84210526315789469</v>
      </c>
      <c r="H615" s="2194">
        <f t="shared" si="161"/>
        <v>1</v>
      </c>
      <c r="I615" s="2073" t="s">
        <v>5295</v>
      </c>
      <c r="J615" s="2208">
        <v>0.28999999999999998</v>
      </c>
      <c r="K615" s="2208">
        <v>0.22</v>
      </c>
      <c r="L615" s="2208">
        <v>0.16</v>
      </c>
      <c r="M615" s="2208">
        <v>0.14000000000000001</v>
      </c>
      <c r="N615" s="2208">
        <v>0.13</v>
      </c>
      <c r="O615" s="2208">
        <v>0.09</v>
      </c>
      <c r="P615" s="2208">
        <v>0.1</v>
      </c>
      <c r="Q615" s="2347">
        <v>0.28999999999999998</v>
      </c>
      <c r="R615" s="2188"/>
      <c r="S615" s="2388"/>
      <c r="T615" s="2388"/>
      <c r="U615" s="2388"/>
      <c r="V615" s="2388"/>
      <c r="W615" s="2388"/>
      <c r="X615" s="2388"/>
      <c r="Y615" s="1818"/>
      <c r="Z615" s="1818"/>
      <c r="AA615" s="1818"/>
      <c r="AB615" s="1818"/>
      <c r="AC615" s="1818"/>
      <c r="AD615" s="1818"/>
      <c r="AE615" s="1818"/>
      <c r="AF615" s="1818"/>
      <c r="AG615" s="1818"/>
      <c r="AH615" s="1818"/>
      <c r="AI615" s="1818"/>
      <c r="AJ615" s="1818"/>
      <c r="AK615" s="1818"/>
      <c r="AL615" s="1818"/>
      <c r="AM615" s="1818"/>
      <c r="AN615" s="1818"/>
      <c r="AO615" s="1818"/>
      <c r="AP615" s="1818"/>
      <c r="AQ615" s="1818"/>
      <c r="AR615" s="1818"/>
      <c r="AS615" s="1818"/>
      <c r="AT615" s="1818"/>
      <c r="AU615" s="1818"/>
      <c r="AV615" s="1818"/>
      <c r="AW615" s="1818"/>
      <c r="AX615" s="1818"/>
      <c r="AY615" s="1818"/>
      <c r="AZ615" s="1818"/>
      <c r="BA615" s="1818"/>
      <c r="BB615" s="1818"/>
      <c r="BC615" s="1818"/>
      <c r="BD615" s="1818"/>
      <c r="BE615" s="1818"/>
      <c r="BF615" s="1818"/>
      <c r="BG615" s="1818"/>
      <c r="BH615" s="1818"/>
      <c r="BI615" s="1818"/>
      <c r="BJ615" s="1818"/>
      <c r="BK615" s="1818"/>
      <c r="BL615" s="1818"/>
      <c r="BM615" s="1818"/>
      <c r="BN615" s="1818"/>
      <c r="BO615" s="1818"/>
      <c r="BP615" s="1818"/>
      <c r="BQ615" s="1818"/>
      <c r="BR615" s="1818"/>
      <c r="BS615" s="1818"/>
      <c r="BT615" s="1818"/>
      <c r="BU615" s="1818"/>
      <c r="BV615" s="1818"/>
      <c r="BW615" s="1818"/>
      <c r="BX615" s="1818"/>
      <c r="BY615" s="1818"/>
      <c r="BZ615" s="1818"/>
    </row>
    <row r="616" spans="1:78" s="1893" customFormat="1" ht="75">
      <c r="A616" s="2504" t="s">
        <v>9184</v>
      </c>
      <c r="B616" s="2400" t="s">
        <v>9141</v>
      </c>
      <c r="C616" s="2194">
        <f t="shared" si="161"/>
        <v>0</v>
      </c>
      <c r="D616" s="2194">
        <f t="shared" si="161"/>
        <v>0.30434782608695643</v>
      </c>
      <c r="E616" s="2194">
        <f t="shared" si="161"/>
        <v>0.56521739130434778</v>
      </c>
      <c r="F616" s="2194">
        <f t="shared" si="161"/>
        <v>0.73913043478260865</v>
      </c>
      <c r="G616" s="2194">
        <f t="shared" si="161"/>
        <v>0.84782608695652184</v>
      </c>
      <c r="H616" s="2194">
        <f t="shared" si="161"/>
        <v>0.84782608695652184</v>
      </c>
      <c r="I616" s="2073" t="s">
        <v>5295</v>
      </c>
      <c r="J616" s="2208">
        <v>0.62</v>
      </c>
      <c r="K616" s="2208">
        <v>0.46</v>
      </c>
      <c r="L616" s="2208">
        <v>0.34</v>
      </c>
      <c r="M616" s="2208">
        <v>0.26</v>
      </c>
      <c r="N616" s="2208">
        <v>0.21</v>
      </c>
      <c r="O616" s="2208">
        <v>0.21</v>
      </c>
      <c r="P616" s="2208">
        <v>0.14000000000000001</v>
      </c>
      <c r="Q616" s="2401">
        <v>0.6</v>
      </c>
      <c r="R616" s="2189"/>
      <c r="S616" s="2388"/>
      <c r="T616" s="2388"/>
      <c r="U616" s="2388"/>
      <c r="V616" s="2388"/>
      <c r="W616" s="2388"/>
      <c r="X616" s="2388"/>
      <c r="Y616" s="1818"/>
      <c r="Z616" s="1818"/>
      <c r="AA616" s="1818"/>
      <c r="AB616" s="1818"/>
      <c r="AC616" s="1818"/>
      <c r="AD616" s="1818"/>
      <c r="AE616" s="1818"/>
      <c r="AF616" s="1818"/>
      <c r="AG616" s="1818"/>
      <c r="AH616" s="1818"/>
      <c r="AI616" s="1818"/>
      <c r="AJ616" s="1818"/>
      <c r="AK616" s="1818"/>
      <c r="AL616" s="1818"/>
      <c r="AM616" s="1818"/>
      <c r="AN616" s="1818"/>
      <c r="AO616" s="1818"/>
      <c r="AP616" s="1818"/>
      <c r="AQ616" s="1818"/>
      <c r="AR616" s="1818"/>
      <c r="AS616" s="1818"/>
      <c r="AT616" s="1818"/>
      <c r="AU616" s="1818"/>
      <c r="AV616" s="1818"/>
      <c r="AW616" s="1818"/>
      <c r="AX616" s="1818"/>
      <c r="AY616" s="1818"/>
      <c r="AZ616" s="1818"/>
      <c r="BA616" s="1818"/>
      <c r="BB616" s="1818"/>
      <c r="BC616" s="1818"/>
      <c r="BD616" s="1818"/>
      <c r="BE616" s="1818"/>
      <c r="BF616" s="1818"/>
      <c r="BG616" s="1818"/>
      <c r="BH616" s="1818"/>
      <c r="BI616" s="1818"/>
      <c r="BJ616" s="1818"/>
      <c r="BK616" s="1818"/>
      <c r="BL616" s="1818"/>
      <c r="BM616" s="1818"/>
      <c r="BN616" s="1818"/>
      <c r="BO616" s="1818"/>
      <c r="BP616" s="1818"/>
      <c r="BQ616" s="1818"/>
      <c r="BR616" s="1818"/>
      <c r="BS616" s="1818"/>
      <c r="BT616" s="1818"/>
      <c r="BU616" s="1818"/>
      <c r="BV616" s="1818"/>
      <c r="BW616" s="1818"/>
      <c r="BX616" s="1818"/>
      <c r="BY616" s="1818"/>
      <c r="BZ616" s="1818"/>
    </row>
    <row r="617" spans="1:78" s="1818" customFormat="1" ht="32.1" customHeight="1">
      <c r="A617" s="1874"/>
      <c r="B617" s="1843" t="s">
        <v>6741</v>
      </c>
      <c r="C617" s="1837">
        <v>1</v>
      </c>
      <c r="D617" s="1857">
        <v>1</v>
      </c>
      <c r="E617" s="1830">
        <v>1</v>
      </c>
      <c r="F617" s="1830">
        <v>0</v>
      </c>
      <c r="G617" s="1829">
        <v>1</v>
      </c>
      <c r="H617" s="1850">
        <v>1</v>
      </c>
      <c r="I617" s="2073" t="s">
        <v>38</v>
      </c>
      <c r="J617" s="2218" t="s">
        <v>8139</v>
      </c>
      <c r="K617" s="1955" t="s">
        <v>1134</v>
      </c>
      <c r="L617" s="1916">
        <v>1</v>
      </c>
      <c r="M617" s="1929">
        <v>0</v>
      </c>
      <c r="N617" s="1949" t="s">
        <v>8463</v>
      </c>
      <c r="O617" s="1794" t="s">
        <v>8935</v>
      </c>
      <c r="P617" s="2009"/>
      <c r="Q617" s="2009"/>
      <c r="R617" s="2190"/>
      <c r="S617" s="2248" t="s">
        <v>8224</v>
      </c>
      <c r="T617" s="1916" t="s">
        <v>7745</v>
      </c>
      <c r="U617" s="1916" t="s">
        <v>8522</v>
      </c>
      <c r="V617" s="1929" t="s">
        <v>8006</v>
      </c>
      <c r="W617" s="1949"/>
      <c r="X617" s="1794" t="s">
        <v>8935</v>
      </c>
    </row>
    <row r="618" spans="1:78" s="1818" customFormat="1" ht="32.1" customHeight="1">
      <c r="A618" s="1874"/>
      <c r="B618" s="1843" t="s">
        <v>7083</v>
      </c>
      <c r="C618" s="1837">
        <v>1</v>
      </c>
      <c r="D618" s="1877">
        <v>0</v>
      </c>
      <c r="E618" s="1830">
        <v>1</v>
      </c>
      <c r="F618" s="1830">
        <v>0</v>
      </c>
      <c r="G618" s="1833">
        <v>1</v>
      </c>
      <c r="H618" s="1850">
        <v>1</v>
      </c>
      <c r="I618" s="2073" t="s">
        <v>38</v>
      </c>
      <c r="J618" s="2218" t="s">
        <v>8139</v>
      </c>
      <c r="K618" s="2007" t="s">
        <v>968</v>
      </c>
      <c r="L618" s="1916">
        <v>1</v>
      </c>
      <c r="M618" s="1929">
        <v>0</v>
      </c>
      <c r="N618" s="1914" t="s">
        <v>8464</v>
      </c>
      <c r="O618" s="1949" t="s">
        <v>8936</v>
      </c>
      <c r="P618" s="2009"/>
      <c r="Q618" s="2009"/>
      <c r="R618" s="2190"/>
      <c r="S618" s="2248" t="s">
        <v>8225</v>
      </c>
      <c r="T618" s="1915" t="s">
        <v>7746</v>
      </c>
      <c r="U618" s="1916" t="s">
        <v>8523</v>
      </c>
      <c r="V618" s="1929"/>
      <c r="W618" s="1914"/>
      <c r="X618" s="1949" t="s">
        <v>8936</v>
      </c>
    </row>
    <row r="619" spans="1:78" s="1818" customFormat="1" ht="32.1" customHeight="1">
      <c r="A619" s="1874"/>
      <c r="B619" s="1843" t="s">
        <v>704</v>
      </c>
      <c r="C619" s="1837">
        <v>1</v>
      </c>
      <c r="D619" s="1877">
        <v>1</v>
      </c>
      <c r="E619" s="1833">
        <v>1</v>
      </c>
      <c r="F619" s="1830">
        <v>0</v>
      </c>
      <c r="G619" s="1829">
        <v>1</v>
      </c>
      <c r="H619" s="1850">
        <v>0</v>
      </c>
      <c r="I619" s="2073" t="s">
        <v>38</v>
      </c>
      <c r="J619" s="2218" t="s">
        <v>8139</v>
      </c>
      <c r="K619" s="2007" t="s">
        <v>1134</v>
      </c>
      <c r="L619" s="1914">
        <v>1</v>
      </c>
      <c r="M619" s="1929">
        <v>0</v>
      </c>
      <c r="N619" s="1949" t="s">
        <v>8465</v>
      </c>
      <c r="O619" s="1949" t="s">
        <v>748</v>
      </c>
      <c r="P619" s="2009"/>
      <c r="Q619" s="2009"/>
      <c r="R619" s="2190"/>
      <c r="S619" s="2248" t="s">
        <v>8226</v>
      </c>
      <c r="T619" s="1915" t="s">
        <v>7747</v>
      </c>
      <c r="U619" s="1914" t="s">
        <v>8524</v>
      </c>
      <c r="V619" s="1929"/>
      <c r="W619" s="1949"/>
      <c r="X619" s="1949" t="s">
        <v>748</v>
      </c>
    </row>
    <row r="620" spans="1:78" ht="15">
      <c r="A620" s="2514">
        <v>2.4</v>
      </c>
      <c r="B620" s="2068" t="s">
        <v>705</v>
      </c>
      <c r="C620" s="2069">
        <f>AVERAGE(C621,C651)</f>
        <v>0.76728479853479858</v>
      </c>
      <c r="D620" s="2069">
        <f t="shared" ref="D620:H620" si="162">AVERAGE(D621,D651)</f>
        <v>0.7566964285714286</v>
      </c>
      <c r="E620" s="2069">
        <f t="shared" si="162"/>
        <v>0.70456730769230758</v>
      </c>
      <c r="F620" s="2069">
        <f t="shared" si="162"/>
        <v>0.58016254578754578</v>
      </c>
      <c r="G620" s="2069">
        <f t="shared" si="162"/>
        <v>0.69899267399267395</v>
      </c>
      <c r="H620" s="2069">
        <f t="shared" si="162"/>
        <v>0.51581632653061216</v>
      </c>
      <c r="I620" s="2064"/>
      <c r="J620" s="2065"/>
      <c r="K620" s="2065"/>
      <c r="L620" s="2065"/>
      <c r="M620" s="2074"/>
      <c r="N620" s="2065"/>
      <c r="O620" s="2065"/>
      <c r="P620" s="2066"/>
      <c r="Q620" s="2066"/>
      <c r="R620" s="2067"/>
      <c r="S620" s="2065"/>
      <c r="T620" s="2065"/>
      <c r="U620" s="2065"/>
      <c r="V620" s="2074"/>
      <c r="W620" s="2065"/>
      <c r="X620" s="2065"/>
    </row>
    <row r="621" spans="1:78" ht="15">
      <c r="A621" s="2521" t="s">
        <v>9185</v>
      </c>
      <c r="B621" s="2071" t="s">
        <v>491</v>
      </c>
      <c r="C621" s="2072">
        <f>AVERAGE(C622:C627,C628,C638,C639,C646:C650)</f>
        <v>0.78456959706959706</v>
      </c>
      <c r="D621" s="2072">
        <f t="shared" ref="D621:H621" si="163">AVERAGE(D622:D627,D628,D638,D639,D646:D650)</f>
        <v>0.66339285714285712</v>
      </c>
      <c r="E621" s="2072">
        <f t="shared" si="163"/>
        <v>0.70913461538461531</v>
      </c>
      <c r="F621" s="2072">
        <f t="shared" si="163"/>
        <v>0.36032509157509157</v>
      </c>
      <c r="G621" s="2072">
        <f t="shared" si="163"/>
        <v>0.59798534798534797</v>
      </c>
      <c r="H621" s="2072">
        <f t="shared" si="163"/>
        <v>0.33163265306122447</v>
      </c>
      <c r="I621" s="2073"/>
      <c r="J621" s="2074"/>
      <c r="K621" s="2074"/>
      <c r="L621" s="2074"/>
      <c r="M621" s="2074"/>
      <c r="N621" s="2074"/>
      <c r="O621" s="2074"/>
      <c r="P621" s="2141"/>
      <c r="Q621" s="2141"/>
      <c r="R621" s="2142"/>
      <c r="S621" s="2074"/>
      <c r="T621" s="2074"/>
      <c r="U621" s="2074"/>
      <c r="V621" s="2074"/>
      <c r="W621" s="2074"/>
      <c r="X621" s="2074"/>
    </row>
    <row r="622" spans="1:78" ht="48.95" customHeight="1">
      <c r="A622" s="2522"/>
      <c r="B622" s="1807" t="s">
        <v>5271</v>
      </c>
      <c r="C622" s="1846">
        <v>1</v>
      </c>
      <c r="D622" s="1828">
        <v>1</v>
      </c>
      <c r="E622" s="1829">
        <v>0.25</v>
      </c>
      <c r="F622" s="1830">
        <v>0.5</v>
      </c>
      <c r="G622" s="1828">
        <v>0</v>
      </c>
      <c r="H622" s="1879">
        <v>0</v>
      </c>
      <c r="I622" s="2073" t="s">
        <v>492</v>
      </c>
      <c r="J622" s="2010">
        <v>1</v>
      </c>
      <c r="K622" s="1915" t="s">
        <v>960</v>
      </c>
      <c r="L622" s="1794">
        <v>0.25</v>
      </c>
      <c r="M622" s="1929">
        <v>0.5</v>
      </c>
      <c r="N622" s="1992" t="s">
        <v>748</v>
      </c>
      <c r="O622" s="1992" t="s">
        <v>8937</v>
      </c>
      <c r="P622" s="1915">
        <v>1</v>
      </c>
      <c r="Q622" s="1915">
        <v>0</v>
      </c>
      <c r="R622" s="2138"/>
      <c r="S622" s="1800" t="s">
        <v>9100</v>
      </c>
      <c r="T622" s="1915" t="s">
        <v>7748</v>
      </c>
      <c r="U622" s="1794" t="s">
        <v>8525</v>
      </c>
      <c r="V622" s="2011" t="s">
        <v>8007</v>
      </c>
      <c r="W622" s="1992" t="s">
        <v>8466</v>
      </c>
      <c r="X622" s="1992" t="s">
        <v>8937</v>
      </c>
    </row>
    <row r="623" spans="1:78" ht="32.1" customHeight="1">
      <c r="A623" s="2522"/>
      <c r="B623" s="1807" t="s">
        <v>7084</v>
      </c>
      <c r="C623" s="1846">
        <v>1</v>
      </c>
      <c r="D623" s="1828">
        <v>1</v>
      </c>
      <c r="E623" s="1846">
        <v>0.5</v>
      </c>
      <c r="F623" s="1846">
        <v>0</v>
      </c>
      <c r="G623" s="1829">
        <v>0.5</v>
      </c>
      <c r="H623" s="2330">
        <v>0.5</v>
      </c>
      <c r="I623" s="2073" t="s">
        <v>5276</v>
      </c>
      <c r="J623" s="2010">
        <v>1</v>
      </c>
      <c r="K623" s="1915" t="s">
        <v>960</v>
      </c>
      <c r="L623" s="1794">
        <v>0.5</v>
      </c>
      <c r="M623" s="1984" t="s">
        <v>877</v>
      </c>
      <c r="N623" s="1992" t="s">
        <v>5427</v>
      </c>
      <c r="O623" s="1992" t="s">
        <v>8938</v>
      </c>
      <c r="P623" s="1915"/>
      <c r="Q623" s="1915"/>
      <c r="R623" s="2138"/>
      <c r="S623" s="1800" t="s">
        <v>9101</v>
      </c>
      <c r="T623" s="1915" t="s">
        <v>7749</v>
      </c>
      <c r="U623" s="1794" t="s">
        <v>5427</v>
      </c>
      <c r="V623" s="1984" t="s">
        <v>877</v>
      </c>
      <c r="W623" s="1992" t="s">
        <v>8467</v>
      </c>
      <c r="X623" s="1992" t="s">
        <v>8938</v>
      </c>
    </row>
    <row r="624" spans="1:78" ht="51.95" customHeight="1">
      <c r="A624" s="2522"/>
      <c r="B624" s="1807" t="s">
        <v>5274</v>
      </c>
      <c r="C624" s="1846">
        <v>1</v>
      </c>
      <c r="D624" s="1828">
        <v>1</v>
      </c>
      <c r="E624" s="1846">
        <v>1</v>
      </c>
      <c r="F624" s="1846">
        <v>0</v>
      </c>
      <c r="G624" s="1829">
        <v>0.5</v>
      </c>
      <c r="H624" s="2330">
        <v>0</v>
      </c>
      <c r="I624" s="2073" t="s">
        <v>5277</v>
      </c>
      <c r="J624" s="2010">
        <v>1</v>
      </c>
      <c r="K624" s="1915" t="s">
        <v>960</v>
      </c>
      <c r="L624" s="1794">
        <v>1</v>
      </c>
      <c r="M624" s="1984" t="s">
        <v>877</v>
      </c>
      <c r="N624" s="1992" t="s">
        <v>811</v>
      </c>
      <c r="O624" s="1992" t="s">
        <v>1060</v>
      </c>
      <c r="P624" s="1915"/>
      <c r="Q624" s="1915"/>
      <c r="R624" s="2138"/>
      <c r="S624" s="1800"/>
      <c r="T624" s="1915" t="s">
        <v>7750</v>
      </c>
      <c r="U624" s="1794" t="s">
        <v>811</v>
      </c>
      <c r="V624" s="1984" t="s">
        <v>877</v>
      </c>
      <c r="W624" s="1992" t="s">
        <v>8468</v>
      </c>
      <c r="X624" s="1992" t="s">
        <v>1060</v>
      </c>
    </row>
    <row r="625" spans="1:78" ht="32.1" customHeight="1">
      <c r="A625" s="2522"/>
      <c r="B625" s="1807" t="s">
        <v>7085</v>
      </c>
      <c r="C625" s="1846">
        <v>1</v>
      </c>
      <c r="D625" s="1828">
        <v>1</v>
      </c>
      <c r="E625" s="1846">
        <v>1</v>
      </c>
      <c r="F625" s="1846">
        <v>0</v>
      </c>
      <c r="G625" s="1829">
        <v>1</v>
      </c>
      <c r="H625" s="2330">
        <v>0</v>
      </c>
      <c r="I625" s="2073" t="s">
        <v>5277</v>
      </c>
      <c r="J625" s="2010">
        <v>1</v>
      </c>
      <c r="K625" s="1915" t="s">
        <v>960</v>
      </c>
      <c r="L625" s="1794">
        <v>1</v>
      </c>
      <c r="M625" s="1984" t="s">
        <v>877</v>
      </c>
      <c r="N625" s="1992" t="s">
        <v>811</v>
      </c>
      <c r="O625" s="1992" t="s">
        <v>8939</v>
      </c>
      <c r="P625" s="1915"/>
      <c r="Q625" s="1915"/>
      <c r="R625" s="2138"/>
      <c r="S625" s="1800"/>
      <c r="T625" s="1915" t="s">
        <v>7751</v>
      </c>
      <c r="U625" s="1794" t="s">
        <v>811</v>
      </c>
      <c r="V625" s="1984" t="s">
        <v>877</v>
      </c>
      <c r="W625" s="1992"/>
      <c r="X625" s="1992" t="s">
        <v>8939</v>
      </c>
    </row>
    <row r="626" spans="1:78" ht="47.1" customHeight="1">
      <c r="A626" s="2522"/>
      <c r="B626" s="1807" t="s">
        <v>7086</v>
      </c>
      <c r="C626" s="1846">
        <v>0.5</v>
      </c>
      <c r="D626" s="1828">
        <v>0</v>
      </c>
      <c r="E626" s="1829">
        <v>0</v>
      </c>
      <c r="F626" s="1846">
        <v>0</v>
      </c>
      <c r="G626" s="1829">
        <v>0</v>
      </c>
      <c r="H626" s="2330">
        <v>0</v>
      </c>
      <c r="I626" s="2073" t="s">
        <v>5277</v>
      </c>
      <c r="J626" s="2010">
        <v>0.5</v>
      </c>
      <c r="K626" s="1915" t="s">
        <v>1060</v>
      </c>
      <c r="L626" s="1794">
        <v>0</v>
      </c>
      <c r="M626" s="1984" t="s">
        <v>877</v>
      </c>
      <c r="N626" s="1992" t="s">
        <v>748</v>
      </c>
      <c r="O626" s="1992" t="s">
        <v>1060</v>
      </c>
      <c r="P626" s="1915"/>
      <c r="Q626" s="1915"/>
      <c r="R626" s="2138"/>
      <c r="S626" s="1800"/>
      <c r="T626" s="1915" t="s">
        <v>7752</v>
      </c>
      <c r="U626" s="1794" t="s">
        <v>748</v>
      </c>
      <c r="V626" s="1984" t="s">
        <v>877</v>
      </c>
      <c r="W626" s="1992" t="s">
        <v>8469</v>
      </c>
      <c r="X626" s="1992" t="s">
        <v>1060</v>
      </c>
      <c r="AU626" s="1890"/>
      <c r="AV626" s="1890"/>
      <c r="AW626" s="1890"/>
      <c r="AX626" s="1890"/>
      <c r="AY626" s="1890"/>
      <c r="AZ626" s="1890"/>
      <c r="BA626" s="1890"/>
      <c r="BB626" s="1890"/>
      <c r="BC626" s="1890"/>
      <c r="BD626" s="1890"/>
      <c r="BE626" s="1890"/>
      <c r="BF626" s="1890"/>
      <c r="BG626" s="1890"/>
      <c r="BH626" s="1890"/>
      <c r="BI626" s="1890"/>
      <c r="BJ626" s="1890"/>
      <c r="BK626" s="1890"/>
      <c r="BL626" s="1890"/>
      <c r="BM626" s="1890"/>
      <c r="BN626" s="1890"/>
      <c r="BO626" s="1890"/>
      <c r="BP626" s="1890"/>
      <c r="BQ626" s="1890"/>
      <c r="BR626" s="1890"/>
      <c r="BS626" s="1890"/>
      <c r="BT626" s="1890"/>
      <c r="BU626" s="1890"/>
      <c r="BV626" s="1890"/>
      <c r="BW626" s="1890"/>
      <c r="BX626" s="1890"/>
      <c r="BY626" s="1890"/>
      <c r="BZ626" s="1890"/>
    </row>
    <row r="627" spans="1:78" ht="48" customHeight="1">
      <c r="A627" s="2522"/>
      <c r="B627" s="1807" t="s">
        <v>7087</v>
      </c>
      <c r="C627" s="1846">
        <v>1</v>
      </c>
      <c r="D627" s="1828">
        <v>0.5</v>
      </c>
      <c r="E627" s="1829">
        <v>0.5</v>
      </c>
      <c r="F627" s="1846">
        <v>0</v>
      </c>
      <c r="G627" s="1829">
        <v>0.5</v>
      </c>
      <c r="H627" s="2330">
        <v>0</v>
      </c>
      <c r="I627" s="2073" t="s">
        <v>492</v>
      </c>
      <c r="J627" s="2010">
        <v>1</v>
      </c>
      <c r="K627" s="1915" t="s">
        <v>2454</v>
      </c>
      <c r="L627" s="1794">
        <v>0.5</v>
      </c>
      <c r="M627" s="1984" t="s">
        <v>877</v>
      </c>
      <c r="N627" s="1992" t="s">
        <v>5427</v>
      </c>
      <c r="O627" s="2010"/>
      <c r="P627" s="1915"/>
      <c r="Q627" s="1915"/>
      <c r="R627" s="2138"/>
      <c r="S627" s="1800"/>
      <c r="T627" s="1915" t="s">
        <v>7753</v>
      </c>
      <c r="U627" s="1794" t="s">
        <v>5427</v>
      </c>
      <c r="V627" s="1984" t="s">
        <v>877</v>
      </c>
      <c r="W627" s="1992"/>
      <c r="X627" s="1992"/>
      <c r="AU627" s="1890"/>
      <c r="AV627" s="1890"/>
      <c r="AW627" s="1890"/>
      <c r="AX627" s="1890"/>
      <c r="AY627" s="1890"/>
      <c r="AZ627" s="1890"/>
      <c r="BA627" s="1890"/>
      <c r="BB627" s="1890"/>
      <c r="BC627" s="1890"/>
      <c r="BD627" s="1890"/>
      <c r="BE627" s="1890"/>
      <c r="BF627" s="1890"/>
      <c r="BG627" s="1890"/>
      <c r="BH627" s="1890"/>
      <c r="BI627" s="1890"/>
      <c r="BJ627" s="1890"/>
      <c r="BK627" s="1890"/>
      <c r="BL627" s="1890"/>
      <c r="BM627" s="1890"/>
      <c r="BN627" s="1890"/>
      <c r="BO627" s="1890"/>
      <c r="BP627" s="1890"/>
      <c r="BQ627" s="1890"/>
      <c r="BR627" s="1890"/>
      <c r="BS627" s="1890"/>
      <c r="BT627" s="1890"/>
      <c r="BU627" s="1890"/>
      <c r="BV627" s="1890"/>
      <c r="BW627" s="1890"/>
      <c r="BX627" s="1890"/>
      <c r="BY627" s="1890"/>
      <c r="BZ627" s="1890"/>
    </row>
    <row r="628" spans="1:78" ht="32.1" customHeight="1">
      <c r="A628" s="2523"/>
      <c r="B628" s="2059" t="s">
        <v>7063</v>
      </c>
      <c r="C628" s="2143">
        <f>AVERAGE(C630:C637)</f>
        <v>0.625</v>
      </c>
      <c r="D628" s="2143">
        <f t="shared" ref="D628:H628" si="164">AVERAGE(D630:D637)</f>
        <v>0.4375</v>
      </c>
      <c r="E628" s="2143">
        <f t="shared" si="164"/>
        <v>0.3125</v>
      </c>
      <c r="F628" s="2143">
        <f t="shared" si="164"/>
        <v>0.5625</v>
      </c>
      <c r="G628" s="2143">
        <f t="shared" si="164"/>
        <v>0.5</v>
      </c>
      <c r="H628" s="2143">
        <f t="shared" si="164"/>
        <v>0.6428571428571429</v>
      </c>
      <c r="I628" s="2073"/>
      <c r="J628" s="2012"/>
      <c r="K628" s="1911"/>
      <c r="L628" s="1911"/>
      <c r="M628" s="2012"/>
      <c r="N628" s="2012"/>
      <c r="O628" s="2012"/>
      <c r="P628" s="1911"/>
      <c r="Q628" s="1911"/>
      <c r="R628" s="2138"/>
      <c r="S628" s="2278"/>
      <c r="T628" s="1911"/>
      <c r="U628" s="1911"/>
      <c r="V628" s="2013"/>
      <c r="W628" s="2012"/>
      <c r="X628" s="2012"/>
      <c r="AU628" s="1890"/>
      <c r="AV628" s="1890"/>
      <c r="AW628" s="1890"/>
      <c r="AX628" s="1890"/>
      <c r="AY628" s="1890"/>
      <c r="AZ628" s="1890"/>
      <c r="BA628" s="1890"/>
      <c r="BB628" s="1890"/>
      <c r="BC628" s="1890"/>
      <c r="BD628" s="1890"/>
      <c r="BE628" s="1890"/>
      <c r="BF628" s="1890"/>
      <c r="BG628" s="1890"/>
      <c r="BH628" s="1890"/>
      <c r="BI628" s="1890"/>
      <c r="BJ628" s="1890"/>
      <c r="BK628" s="1890"/>
      <c r="BL628" s="1890"/>
      <c r="BM628" s="1890"/>
      <c r="BN628" s="1890"/>
      <c r="BO628" s="1890"/>
      <c r="BP628" s="1890"/>
      <c r="BQ628" s="1890"/>
      <c r="BR628" s="1890"/>
      <c r="BS628" s="1890"/>
      <c r="BT628" s="1890"/>
      <c r="BU628" s="1890"/>
      <c r="BV628" s="1890"/>
      <c r="BW628" s="1890"/>
      <c r="BX628" s="1890"/>
      <c r="BY628" s="1890"/>
      <c r="BZ628" s="1890"/>
    </row>
    <row r="629" spans="1:78" ht="32.1" customHeight="1">
      <c r="A629" s="2522"/>
      <c r="B629" s="1807" t="s">
        <v>5272</v>
      </c>
      <c r="C629" s="1879"/>
      <c r="D629" s="1879"/>
      <c r="E629" s="1879"/>
      <c r="F629" s="1879"/>
      <c r="G629" s="1879"/>
      <c r="H629" s="1879"/>
      <c r="I629" s="2073"/>
      <c r="J629" s="2010"/>
      <c r="K629" s="1794"/>
      <c r="L629" s="1794"/>
      <c r="M629" s="2010"/>
      <c r="N629" s="2010"/>
      <c r="O629" s="2010"/>
      <c r="P629" s="1794"/>
      <c r="Q629" s="1794"/>
      <c r="R629" s="2138"/>
      <c r="S629" s="1800"/>
      <c r="T629" s="1915"/>
      <c r="U629" s="1794"/>
      <c r="V629" s="1984"/>
      <c r="W629" s="1992"/>
      <c r="X629" s="1992"/>
      <c r="AU629" s="1890"/>
      <c r="AV629" s="1890"/>
      <c r="AW629" s="1890"/>
      <c r="AX629" s="1890"/>
      <c r="AY629" s="1890"/>
      <c r="AZ629" s="1890"/>
      <c r="BA629" s="1890"/>
      <c r="BB629" s="1890"/>
      <c r="BC629" s="1890"/>
      <c r="BD629" s="1890"/>
      <c r="BE629" s="1890"/>
      <c r="BF629" s="1890"/>
      <c r="BG629" s="1890"/>
      <c r="BH629" s="1890"/>
      <c r="BI629" s="1890"/>
      <c r="BJ629" s="1890"/>
      <c r="BK629" s="1890"/>
      <c r="BL629" s="1890"/>
      <c r="BM629" s="1890"/>
      <c r="BN629" s="1890"/>
      <c r="BO629" s="1890"/>
      <c r="BP629" s="1890"/>
      <c r="BQ629" s="1890"/>
      <c r="BR629" s="1890"/>
      <c r="BS629" s="1890"/>
      <c r="BT629" s="1890"/>
      <c r="BU629" s="1890"/>
      <c r="BV629" s="1890"/>
      <c r="BW629" s="1890"/>
      <c r="BX629" s="1890"/>
      <c r="BY629" s="1890"/>
      <c r="BZ629" s="1890"/>
    </row>
    <row r="630" spans="1:78" ht="32.1" customHeight="1">
      <c r="A630" s="2522"/>
      <c r="B630" s="1805" t="s">
        <v>7064</v>
      </c>
      <c r="C630" s="1846">
        <v>0.5</v>
      </c>
      <c r="D630" s="1828">
        <v>0.5</v>
      </c>
      <c r="E630" s="1879">
        <v>0.5</v>
      </c>
      <c r="F630" s="1848">
        <v>0.5</v>
      </c>
      <c r="G630" s="1828">
        <v>1</v>
      </c>
      <c r="H630" s="1879">
        <v>1</v>
      </c>
      <c r="I630" s="2073" t="s">
        <v>495</v>
      </c>
      <c r="J630" s="1995">
        <v>0.5</v>
      </c>
      <c r="K630" s="1915" t="s">
        <v>2454</v>
      </c>
      <c r="L630" s="1794" t="s">
        <v>6009</v>
      </c>
      <c r="M630" s="1941">
        <v>0.5</v>
      </c>
      <c r="N630" s="1992" t="s">
        <v>811</v>
      </c>
      <c r="O630" s="2014" t="s">
        <v>960</v>
      </c>
      <c r="P630" s="1915"/>
      <c r="Q630" s="1915"/>
      <c r="R630" s="2138"/>
      <c r="S630" s="1800"/>
      <c r="T630" s="1915" t="s">
        <v>7754</v>
      </c>
      <c r="U630" s="1794" t="s">
        <v>8526</v>
      </c>
      <c r="V630" s="1984" t="s">
        <v>8008</v>
      </c>
      <c r="W630" s="1992" t="s">
        <v>8470</v>
      </c>
      <c r="X630" s="2015" t="s">
        <v>960</v>
      </c>
      <c r="AU630" s="1890"/>
      <c r="AV630" s="1890"/>
      <c r="AW630" s="1890"/>
      <c r="AX630" s="1890"/>
      <c r="AY630" s="1890"/>
      <c r="AZ630" s="1890"/>
      <c r="BA630" s="1890"/>
      <c r="BB630" s="1890"/>
      <c r="BC630" s="1890"/>
      <c r="BD630" s="1890"/>
      <c r="BE630" s="1890"/>
      <c r="BF630" s="1890"/>
      <c r="BG630" s="1890"/>
      <c r="BH630" s="1890"/>
      <c r="BI630" s="1890"/>
      <c r="BJ630" s="1890"/>
      <c r="BK630" s="1890"/>
      <c r="BL630" s="1890"/>
      <c r="BM630" s="1890"/>
      <c r="BN630" s="1890"/>
      <c r="BO630" s="1890"/>
      <c r="BP630" s="1890"/>
      <c r="BQ630" s="1890"/>
      <c r="BR630" s="1890"/>
      <c r="BS630" s="1890"/>
      <c r="BT630" s="1890"/>
      <c r="BU630" s="1890"/>
      <c r="BV630" s="1890"/>
      <c r="BW630" s="1890"/>
      <c r="BX630" s="1890"/>
      <c r="BY630" s="1890"/>
      <c r="BZ630" s="1890"/>
    </row>
    <row r="631" spans="1:78" ht="32.1" customHeight="1">
      <c r="A631" s="2522"/>
      <c r="B631" s="1805" t="s">
        <v>7065</v>
      </c>
      <c r="C631" s="1846">
        <v>0.5</v>
      </c>
      <c r="D631" s="1828">
        <v>1</v>
      </c>
      <c r="E631" s="1879">
        <v>0</v>
      </c>
      <c r="F631" s="1847">
        <v>0.5</v>
      </c>
      <c r="G631" s="1828">
        <v>1</v>
      </c>
      <c r="H631" s="1879">
        <v>1</v>
      </c>
      <c r="I631" s="2073" t="s">
        <v>495</v>
      </c>
      <c r="J631" s="1995">
        <v>0.5</v>
      </c>
      <c r="K631" s="1915" t="s">
        <v>960</v>
      </c>
      <c r="L631" s="1794" t="s">
        <v>6010</v>
      </c>
      <c r="M631" s="1941">
        <v>0.5</v>
      </c>
      <c r="N631" s="1992" t="s">
        <v>811</v>
      </c>
      <c r="O631" s="2014" t="s">
        <v>960</v>
      </c>
      <c r="P631" s="1915"/>
      <c r="Q631" s="1915"/>
      <c r="R631" s="2138"/>
      <c r="S631" s="1800"/>
      <c r="T631" s="1915" t="s">
        <v>7755</v>
      </c>
      <c r="U631" s="1794"/>
      <c r="V631" s="1984"/>
      <c r="W631" s="1992" t="s">
        <v>8471</v>
      </c>
      <c r="X631" s="2015" t="s">
        <v>960</v>
      </c>
      <c r="AU631" s="1890"/>
      <c r="AV631" s="1890"/>
      <c r="AW631" s="1890"/>
      <c r="AX631" s="1890"/>
      <c r="AY631" s="1890"/>
      <c r="AZ631" s="1890"/>
      <c r="BA631" s="1890"/>
      <c r="BB631" s="1890"/>
      <c r="BC631" s="1890"/>
      <c r="BD631" s="1890"/>
      <c r="BE631" s="1890"/>
      <c r="BF631" s="1890"/>
      <c r="BG631" s="1890"/>
      <c r="BH631" s="1890"/>
      <c r="BI631" s="1890"/>
      <c r="BJ631" s="1890"/>
      <c r="BK631" s="1890"/>
      <c r="BL631" s="1890"/>
      <c r="BM631" s="1890"/>
      <c r="BN631" s="1890"/>
      <c r="BO631" s="1890"/>
      <c r="BP631" s="1890"/>
      <c r="BQ631" s="1890"/>
      <c r="BR631" s="1890"/>
      <c r="BS631" s="1890"/>
      <c r="BT631" s="1890"/>
      <c r="BU631" s="1890"/>
      <c r="BV631" s="1890"/>
      <c r="BW631" s="1890"/>
      <c r="BX631" s="1890"/>
      <c r="BY631" s="1890"/>
      <c r="BZ631" s="1890"/>
    </row>
    <row r="632" spans="1:78" ht="32.1" customHeight="1">
      <c r="A632" s="2522"/>
      <c r="B632" s="1805" t="s">
        <v>7066</v>
      </c>
      <c r="C632" s="1846">
        <v>0.5</v>
      </c>
      <c r="D632" s="1828">
        <v>0.5</v>
      </c>
      <c r="E632" s="1879">
        <v>0</v>
      </c>
      <c r="F632" s="1847">
        <v>0.5</v>
      </c>
      <c r="G632" s="1828">
        <v>0.5</v>
      </c>
      <c r="H632" s="1879">
        <v>0.5</v>
      </c>
      <c r="I632" s="2073" t="s">
        <v>495</v>
      </c>
      <c r="J632" s="1995">
        <v>0.5</v>
      </c>
      <c r="K632" s="1915" t="s">
        <v>2454</v>
      </c>
      <c r="L632" s="1794" t="s">
        <v>6011</v>
      </c>
      <c r="M632" s="1941">
        <v>0.5</v>
      </c>
      <c r="N632" s="1992" t="s">
        <v>5427</v>
      </c>
      <c r="O632" s="2014" t="s">
        <v>8940</v>
      </c>
      <c r="P632" s="1915"/>
      <c r="Q632" s="1915"/>
      <c r="R632" s="2138"/>
      <c r="S632" s="1800"/>
      <c r="T632" s="1915" t="s">
        <v>7756</v>
      </c>
      <c r="U632" s="1794"/>
      <c r="V632" s="1984"/>
      <c r="W632" s="1992" t="s">
        <v>8472</v>
      </c>
      <c r="X632" s="2015" t="s">
        <v>8940</v>
      </c>
      <c r="AU632" s="1890"/>
      <c r="AV632" s="1890"/>
      <c r="AW632" s="1890"/>
      <c r="AX632" s="1890"/>
      <c r="AY632" s="1890"/>
      <c r="AZ632" s="1890"/>
      <c r="BA632" s="1890"/>
      <c r="BB632" s="1890"/>
      <c r="BC632" s="1890"/>
      <c r="BD632" s="1890"/>
      <c r="BE632" s="1890"/>
      <c r="BF632" s="1890"/>
      <c r="BG632" s="1890"/>
      <c r="BH632" s="1890"/>
      <c r="BI632" s="1890"/>
      <c r="BJ632" s="1890"/>
      <c r="BK632" s="1890"/>
      <c r="BL632" s="1890"/>
      <c r="BM632" s="1890"/>
      <c r="BN632" s="1890"/>
      <c r="BO632" s="1890"/>
      <c r="BP632" s="1890"/>
      <c r="BQ632" s="1890"/>
      <c r="BR632" s="1890"/>
      <c r="BS632" s="1890"/>
      <c r="BT632" s="1890"/>
      <c r="BU632" s="1890"/>
      <c r="BV632" s="1890"/>
      <c r="BW632" s="1890"/>
      <c r="BX632" s="1890"/>
      <c r="BY632" s="1890"/>
      <c r="BZ632" s="1890"/>
    </row>
    <row r="633" spans="1:78" ht="32.1" customHeight="1">
      <c r="A633" s="2522"/>
      <c r="B633" s="1805" t="s">
        <v>7067</v>
      </c>
      <c r="C633" s="1846">
        <v>0.5</v>
      </c>
      <c r="D633" s="1828">
        <v>0</v>
      </c>
      <c r="E633" s="1879">
        <v>0</v>
      </c>
      <c r="F633" s="1847">
        <v>0.5</v>
      </c>
      <c r="G633" s="1828">
        <v>0</v>
      </c>
      <c r="H633" s="1879">
        <v>0.5</v>
      </c>
      <c r="I633" s="2073" t="s">
        <v>495</v>
      </c>
      <c r="J633" s="1995">
        <v>0.5</v>
      </c>
      <c r="K633" s="1915" t="s">
        <v>1060</v>
      </c>
      <c r="L633" s="1794" t="s">
        <v>6011</v>
      </c>
      <c r="M633" s="1941">
        <v>0.5</v>
      </c>
      <c r="N633" s="1992" t="s">
        <v>748</v>
      </c>
      <c r="O633" s="2014" t="s">
        <v>8941</v>
      </c>
      <c r="P633" s="1915"/>
      <c r="Q633" s="1915"/>
      <c r="R633" s="2138"/>
      <c r="S633" s="1800"/>
      <c r="T633" s="1915" t="s">
        <v>748</v>
      </c>
      <c r="U633" s="1794"/>
      <c r="V633" s="1984"/>
      <c r="W633" s="1992"/>
      <c r="X633" s="2015" t="s">
        <v>8941</v>
      </c>
      <c r="AU633" s="1890"/>
      <c r="AV633" s="1890"/>
      <c r="AW633" s="1890"/>
      <c r="AX633" s="1890"/>
      <c r="AY633" s="1890"/>
      <c r="AZ633" s="1890"/>
      <c r="BA633" s="1890"/>
      <c r="BB633" s="1890"/>
      <c r="BC633" s="1890"/>
      <c r="BD633" s="1890"/>
      <c r="BE633" s="1890"/>
      <c r="BF633" s="1890"/>
      <c r="BG633" s="1890"/>
      <c r="BH633" s="1890"/>
      <c r="BI633" s="1890"/>
      <c r="BJ633" s="1890"/>
      <c r="BK633" s="1890"/>
      <c r="BL633" s="1890"/>
      <c r="BM633" s="1890"/>
      <c r="BN633" s="1890"/>
      <c r="BO633" s="1890"/>
      <c r="BP633" s="1890"/>
      <c r="BQ633" s="1890"/>
      <c r="BR633" s="1890"/>
      <c r="BS633" s="1890"/>
      <c r="BT633" s="1890"/>
      <c r="BU633" s="1890"/>
      <c r="BV633" s="1890"/>
      <c r="BW633" s="1890"/>
      <c r="BX633" s="1890"/>
      <c r="BY633" s="1890"/>
      <c r="BZ633" s="1890"/>
    </row>
    <row r="634" spans="1:78" ht="32.1" customHeight="1">
      <c r="A634" s="2522"/>
      <c r="B634" s="1805" t="s">
        <v>7068</v>
      </c>
      <c r="C634" s="1846">
        <v>1</v>
      </c>
      <c r="D634" s="1828">
        <v>0</v>
      </c>
      <c r="E634" s="1879">
        <v>0</v>
      </c>
      <c r="F634" s="1847">
        <v>0.5</v>
      </c>
      <c r="G634" s="1828">
        <v>0.5</v>
      </c>
      <c r="H634" s="1879">
        <v>0.5</v>
      </c>
      <c r="I634" s="2073" t="s">
        <v>495</v>
      </c>
      <c r="J634" s="1995">
        <v>1</v>
      </c>
      <c r="K634" s="1915" t="s">
        <v>1060</v>
      </c>
      <c r="L634" s="1794" t="s">
        <v>6011</v>
      </c>
      <c r="M634" s="1941">
        <v>0.5</v>
      </c>
      <c r="N634" s="1992" t="s">
        <v>5427</v>
      </c>
      <c r="O634" s="2014" t="s">
        <v>8942</v>
      </c>
      <c r="P634" s="1915"/>
      <c r="Q634" s="1915"/>
      <c r="R634" s="2138"/>
      <c r="S634" s="1800"/>
      <c r="T634" s="1915" t="s">
        <v>748</v>
      </c>
      <c r="U634" s="1794"/>
      <c r="V634" s="1984"/>
      <c r="W634" s="1992" t="s">
        <v>8473</v>
      </c>
      <c r="X634" s="2015" t="s">
        <v>8942</v>
      </c>
      <c r="AU634" s="1890"/>
      <c r="AV634" s="1890"/>
      <c r="AW634" s="1890"/>
      <c r="AX634" s="1890"/>
      <c r="AY634" s="1890"/>
      <c r="AZ634" s="1890"/>
      <c r="BA634" s="1890"/>
      <c r="BB634" s="1890"/>
      <c r="BC634" s="1890"/>
      <c r="BD634" s="1890"/>
      <c r="BE634" s="1890"/>
      <c r="BF634" s="1890"/>
      <c r="BG634" s="1890"/>
      <c r="BH634" s="1890"/>
      <c r="BI634" s="1890"/>
      <c r="BJ634" s="1890"/>
      <c r="BK634" s="1890"/>
      <c r="BL634" s="1890"/>
      <c r="BM634" s="1890"/>
      <c r="BN634" s="1890"/>
      <c r="BO634" s="1890"/>
      <c r="BP634" s="1890"/>
      <c r="BQ634" s="1890"/>
      <c r="BR634" s="1890"/>
      <c r="BS634" s="1890"/>
      <c r="BT634" s="1890"/>
      <c r="BU634" s="1890"/>
      <c r="BV634" s="1890"/>
      <c r="BW634" s="1890"/>
      <c r="BX634" s="1890"/>
      <c r="BY634" s="1890"/>
      <c r="BZ634" s="1890"/>
    </row>
    <row r="635" spans="1:78" ht="32.1" customHeight="1">
      <c r="A635" s="2522"/>
      <c r="B635" s="1805" t="s">
        <v>7069</v>
      </c>
      <c r="C635" s="1846">
        <v>1</v>
      </c>
      <c r="D635" s="1828">
        <v>0</v>
      </c>
      <c r="E635" s="1879">
        <v>0.5</v>
      </c>
      <c r="F635" s="1847">
        <v>0.5</v>
      </c>
      <c r="G635" s="1828">
        <v>0.5</v>
      </c>
      <c r="H635" s="1879">
        <v>1</v>
      </c>
      <c r="I635" s="2073" t="s">
        <v>495</v>
      </c>
      <c r="J635" s="1995">
        <v>1</v>
      </c>
      <c r="K635" s="1915" t="s">
        <v>1060</v>
      </c>
      <c r="L635" s="1794" t="s">
        <v>6012</v>
      </c>
      <c r="M635" s="1941">
        <v>0.5</v>
      </c>
      <c r="N635" s="1992" t="s">
        <v>5427</v>
      </c>
      <c r="O635" s="2014" t="s">
        <v>5825</v>
      </c>
      <c r="P635" s="1915"/>
      <c r="Q635" s="1915"/>
      <c r="R635" s="2138"/>
      <c r="S635" s="1800"/>
      <c r="T635" s="1915" t="s">
        <v>6530</v>
      </c>
      <c r="U635" s="1794"/>
      <c r="V635" s="1984" t="s">
        <v>6216</v>
      </c>
      <c r="W635" s="1992" t="s">
        <v>8474</v>
      </c>
      <c r="X635" s="2015" t="s">
        <v>5825</v>
      </c>
      <c r="AU635" s="1890"/>
      <c r="AV635" s="1890"/>
      <c r="AW635" s="1890"/>
      <c r="AX635" s="1890"/>
      <c r="AY635" s="1890"/>
      <c r="AZ635" s="1890"/>
      <c r="BA635" s="1890"/>
      <c r="BB635" s="1890"/>
      <c r="BC635" s="1890"/>
      <c r="BD635" s="1890"/>
      <c r="BE635" s="1890"/>
      <c r="BF635" s="1890"/>
      <c r="BG635" s="1890"/>
      <c r="BH635" s="1890"/>
      <c r="BI635" s="1890"/>
      <c r="BJ635" s="1890"/>
      <c r="BK635" s="1890"/>
      <c r="BL635" s="1890"/>
      <c r="BM635" s="1890"/>
      <c r="BN635" s="1890"/>
      <c r="BO635" s="1890"/>
      <c r="BP635" s="1890"/>
      <c r="BQ635" s="1890"/>
      <c r="BR635" s="1890"/>
      <c r="BS635" s="1890"/>
      <c r="BT635" s="1890"/>
      <c r="BU635" s="1890"/>
      <c r="BV635" s="1890"/>
      <c r="BW635" s="1890"/>
      <c r="BX635" s="1890"/>
      <c r="BY635" s="1890"/>
      <c r="BZ635" s="1890"/>
    </row>
    <row r="636" spans="1:78" ht="32.1" customHeight="1">
      <c r="A636" s="2522"/>
      <c r="B636" s="1805" t="s">
        <v>7070</v>
      </c>
      <c r="C636" s="1846">
        <v>0.5</v>
      </c>
      <c r="D636" s="1828">
        <v>0.5</v>
      </c>
      <c r="E636" s="1879">
        <v>0.5</v>
      </c>
      <c r="F636" s="1847">
        <v>0.5</v>
      </c>
      <c r="G636" s="1828">
        <v>0</v>
      </c>
      <c r="H636" s="1879">
        <v>0</v>
      </c>
      <c r="I636" s="2073" t="s">
        <v>495</v>
      </c>
      <c r="J636" s="1995">
        <v>0.5</v>
      </c>
      <c r="K636" s="1915" t="s">
        <v>2454</v>
      </c>
      <c r="L636" s="1794" t="s">
        <v>6013</v>
      </c>
      <c r="M636" s="1941">
        <v>0.5</v>
      </c>
      <c r="N636" s="1992" t="s">
        <v>748</v>
      </c>
      <c r="O636" s="2014" t="s">
        <v>8943</v>
      </c>
      <c r="P636" s="1915"/>
      <c r="Q636" s="1915"/>
      <c r="R636" s="2138"/>
      <c r="S636" s="1800"/>
      <c r="T636" s="1915" t="s">
        <v>7757</v>
      </c>
      <c r="U636" s="1794"/>
      <c r="V636" s="1984" t="s">
        <v>6217</v>
      </c>
      <c r="W636" s="1992"/>
      <c r="X636" s="2015" t="s">
        <v>8943</v>
      </c>
      <c r="AU636" s="1890"/>
      <c r="AV636" s="1890"/>
      <c r="AW636" s="1890"/>
      <c r="AX636" s="1890"/>
      <c r="AY636" s="1890"/>
      <c r="AZ636" s="1890"/>
      <c r="BA636" s="1890"/>
      <c r="BB636" s="1890"/>
      <c r="BC636" s="1890"/>
      <c r="BD636" s="1890"/>
      <c r="BE636" s="1890"/>
      <c r="BF636" s="1890"/>
      <c r="BG636" s="1890"/>
      <c r="BH636" s="1890"/>
      <c r="BI636" s="1890"/>
      <c r="BJ636" s="1890"/>
      <c r="BK636" s="1890"/>
      <c r="BL636" s="1890"/>
      <c r="BM636" s="1890"/>
      <c r="BN636" s="1890"/>
      <c r="BO636" s="1890"/>
      <c r="BP636" s="1890"/>
      <c r="BQ636" s="1890"/>
      <c r="BR636" s="1890"/>
      <c r="BS636" s="1890"/>
      <c r="BT636" s="1890"/>
      <c r="BU636" s="1890"/>
      <c r="BV636" s="1890"/>
      <c r="BW636" s="1890"/>
      <c r="BX636" s="1890"/>
      <c r="BY636" s="1890"/>
      <c r="BZ636" s="1890"/>
    </row>
    <row r="637" spans="1:78" ht="32.1" customHeight="1">
      <c r="A637" s="2522"/>
      <c r="B637" s="1805" t="s">
        <v>7071</v>
      </c>
      <c r="C637" s="1846">
        <v>0.5</v>
      </c>
      <c r="D637" s="1828">
        <v>1</v>
      </c>
      <c r="E637" s="1879">
        <v>1</v>
      </c>
      <c r="F637" s="1847">
        <v>1</v>
      </c>
      <c r="G637" s="1828">
        <v>0.5</v>
      </c>
      <c r="H637" s="1879" t="s">
        <v>1073</v>
      </c>
      <c r="I637" s="2073" t="s">
        <v>495</v>
      </c>
      <c r="J637" s="1995">
        <v>0.5</v>
      </c>
      <c r="K637" s="1915" t="s">
        <v>960</v>
      </c>
      <c r="L637" s="1794" t="s">
        <v>811</v>
      </c>
      <c r="M637" s="1941">
        <v>1</v>
      </c>
      <c r="N637" s="1992" t="s">
        <v>3989</v>
      </c>
      <c r="O637" s="2014" t="s">
        <v>8944</v>
      </c>
      <c r="P637" s="1915"/>
      <c r="Q637" s="1915"/>
      <c r="R637" s="2138"/>
      <c r="S637" s="1800"/>
      <c r="T637" s="1915" t="s">
        <v>811</v>
      </c>
      <c r="U637" s="1794"/>
      <c r="V637" s="1984" t="s">
        <v>811</v>
      </c>
      <c r="W637" s="1992" t="s">
        <v>8475</v>
      </c>
      <c r="X637" s="2015" t="s">
        <v>8944</v>
      </c>
      <c r="AU637" s="1890"/>
      <c r="AV637" s="1890"/>
      <c r="AW637" s="1890"/>
      <c r="AX637" s="1890"/>
      <c r="AY637" s="1890"/>
      <c r="AZ637" s="1890"/>
      <c r="BA637" s="1890"/>
      <c r="BB637" s="1890"/>
      <c r="BC637" s="1890"/>
      <c r="BD637" s="1890"/>
      <c r="BE637" s="1890"/>
      <c r="BF637" s="1890"/>
      <c r="BG637" s="1890"/>
      <c r="BH637" s="1890"/>
      <c r="BI637" s="1890"/>
      <c r="BJ637" s="1890"/>
      <c r="BK637" s="1890"/>
      <c r="BL637" s="1890"/>
      <c r="BM637" s="1890"/>
      <c r="BN637" s="1890"/>
      <c r="BO637" s="1890"/>
      <c r="BP637" s="1890"/>
      <c r="BQ637" s="1890"/>
      <c r="BR637" s="1890"/>
      <c r="BS637" s="1890"/>
      <c r="BT637" s="1890"/>
      <c r="BU637" s="1890"/>
      <c r="BV637" s="1890"/>
      <c r="BW637" s="1890"/>
      <c r="BX637" s="1890"/>
      <c r="BY637" s="1890"/>
      <c r="BZ637" s="1890"/>
    </row>
    <row r="638" spans="1:78" ht="32.1" customHeight="1">
      <c r="A638" s="2522"/>
      <c r="B638" s="1807" t="s">
        <v>503</v>
      </c>
      <c r="C638" s="1846">
        <v>1</v>
      </c>
      <c r="D638" s="1828">
        <v>0</v>
      </c>
      <c r="E638" s="1879">
        <v>1</v>
      </c>
      <c r="F638" s="1847">
        <v>1</v>
      </c>
      <c r="G638" s="1848">
        <v>0.5</v>
      </c>
      <c r="H638" s="1879">
        <v>0</v>
      </c>
      <c r="I638" s="2073" t="s">
        <v>495</v>
      </c>
      <c r="J638" s="1995">
        <v>1</v>
      </c>
      <c r="K638" s="1915" t="s">
        <v>1060</v>
      </c>
      <c r="L638" s="1794" t="s">
        <v>6014</v>
      </c>
      <c r="M638" s="1941">
        <v>1</v>
      </c>
      <c r="N638" s="1984" t="s">
        <v>3989</v>
      </c>
      <c r="O638" s="2014" t="s">
        <v>8945</v>
      </c>
      <c r="P638" s="1915">
        <v>1</v>
      </c>
      <c r="Q638" s="1915">
        <v>0</v>
      </c>
      <c r="R638" s="2138"/>
      <c r="S638" s="1800"/>
      <c r="T638" s="1915" t="s">
        <v>748</v>
      </c>
      <c r="U638" s="1794" t="s">
        <v>8527</v>
      </c>
      <c r="V638" s="1984" t="s">
        <v>8009</v>
      </c>
      <c r="W638" s="1984" t="s">
        <v>8476</v>
      </c>
      <c r="X638" s="2015" t="s">
        <v>8945</v>
      </c>
      <c r="AU638" s="1890"/>
      <c r="AV638" s="1890"/>
      <c r="AW638" s="1890"/>
      <c r="AX638" s="1890"/>
      <c r="AY638" s="1890"/>
      <c r="AZ638" s="1890"/>
      <c r="BA638" s="1890"/>
      <c r="BB638" s="1890"/>
      <c r="BC638" s="1890"/>
      <c r="BD638" s="1890"/>
      <c r="BE638" s="1890"/>
      <c r="BF638" s="1890"/>
      <c r="BG638" s="1890"/>
      <c r="BH638" s="1890"/>
      <c r="BI638" s="1890"/>
      <c r="BJ638" s="1890"/>
      <c r="BK638" s="1890"/>
      <c r="BL638" s="1890"/>
      <c r="BM638" s="1890"/>
      <c r="BN638" s="1890"/>
      <c r="BO638" s="1890"/>
      <c r="BP638" s="1890"/>
      <c r="BQ638" s="1890"/>
      <c r="BR638" s="1890"/>
      <c r="BS638" s="1890"/>
      <c r="BT638" s="1890"/>
      <c r="BU638" s="1890"/>
      <c r="BV638" s="1890"/>
      <c r="BW638" s="1890"/>
      <c r="BX638" s="1890"/>
      <c r="BY638" s="1890"/>
      <c r="BZ638" s="1890"/>
    </row>
    <row r="639" spans="1:78" ht="50.1" customHeight="1">
      <c r="A639" s="2523"/>
      <c r="B639" s="2059" t="s">
        <v>504</v>
      </c>
      <c r="C639" s="2143">
        <f>AVERAGE(C640:C644)</f>
        <v>0.5</v>
      </c>
      <c r="D639" s="2143">
        <f t="shared" ref="D639:H639" si="165">AVERAGE(D640:D644)</f>
        <v>0.85</v>
      </c>
      <c r="E639" s="2143">
        <f t="shared" si="165"/>
        <v>0.75</v>
      </c>
      <c r="F639" s="2143">
        <f t="shared" si="165"/>
        <v>0.7</v>
      </c>
      <c r="G639" s="2143">
        <f t="shared" si="165"/>
        <v>1</v>
      </c>
      <c r="H639" s="2143">
        <f t="shared" si="165"/>
        <v>1</v>
      </c>
      <c r="I639" s="2073" t="s">
        <v>492</v>
      </c>
      <c r="J639" s="2016"/>
      <c r="K639" s="1911"/>
      <c r="L639" s="1911"/>
      <c r="M639" s="1978"/>
      <c r="N639" s="2013"/>
      <c r="O639" s="1910" t="s">
        <v>8946</v>
      </c>
      <c r="P639" s="1911"/>
      <c r="Q639" s="1911"/>
      <c r="R639" s="2138"/>
      <c r="S639" s="2278" t="s">
        <v>9102</v>
      </c>
      <c r="T639" s="1911"/>
      <c r="U639" s="1911"/>
      <c r="V639" s="2013"/>
      <c r="W639" s="2013"/>
      <c r="X639" s="2278" t="s">
        <v>8946</v>
      </c>
      <c r="AU639" s="1890"/>
      <c r="AV639" s="1890"/>
      <c r="AW639" s="1890"/>
      <c r="AX639" s="1890"/>
      <c r="AY639" s="1890"/>
      <c r="AZ639" s="1890"/>
      <c r="BA639" s="1890"/>
      <c r="BB639" s="1890"/>
      <c r="BC639" s="1890"/>
      <c r="BD639" s="1890"/>
      <c r="BE639" s="1890"/>
      <c r="BF639" s="1890"/>
      <c r="BG639" s="1890"/>
      <c r="BH639" s="1890"/>
      <c r="BI639" s="1890"/>
      <c r="BJ639" s="1890"/>
      <c r="BK639" s="1890"/>
      <c r="BL639" s="1890"/>
      <c r="BM639" s="1890"/>
      <c r="BN639" s="1890"/>
      <c r="BO639" s="1890"/>
      <c r="BP639" s="1890"/>
      <c r="BQ639" s="1890"/>
      <c r="BR639" s="1890"/>
      <c r="BS639" s="1890"/>
      <c r="BT639" s="1890"/>
      <c r="BU639" s="1890"/>
      <c r="BV639" s="1890"/>
      <c r="BW639" s="1890"/>
      <c r="BX639" s="1890"/>
      <c r="BY639" s="1890"/>
      <c r="BZ639" s="1890"/>
    </row>
    <row r="640" spans="1:78" ht="32.1" customHeight="1">
      <c r="A640" s="2522"/>
      <c r="B640" s="1805" t="s">
        <v>505</v>
      </c>
      <c r="C640" s="1846">
        <v>0.25</v>
      </c>
      <c r="D640" s="1829">
        <v>0.25</v>
      </c>
      <c r="E640" s="1829">
        <v>1</v>
      </c>
      <c r="F640" s="1847">
        <v>0.5</v>
      </c>
      <c r="G640" s="1848">
        <v>1</v>
      </c>
      <c r="H640" s="1879">
        <v>1</v>
      </c>
      <c r="I640" s="2073" t="s">
        <v>492</v>
      </c>
      <c r="J640" s="1794">
        <v>0.25</v>
      </c>
      <c r="K640" s="1794" t="s">
        <v>2411</v>
      </c>
      <c r="L640" s="1794">
        <v>1</v>
      </c>
      <c r="M640" s="1941">
        <v>0.5</v>
      </c>
      <c r="N640" s="1984" t="s">
        <v>811</v>
      </c>
      <c r="O640" s="2014" t="s">
        <v>960</v>
      </c>
      <c r="P640" s="1915"/>
      <c r="Q640" s="1915"/>
      <c r="R640" s="2138"/>
      <c r="S640" s="1800"/>
      <c r="T640" s="1794" t="s">
        <v>7758</v>
      </c>
      <c r="U640" s="1794" t="s">
        <v>8528</v>
      </c>
      <c r="V640" s="1984" t="s">
        <v>8010</v>
      </c>
      <c r="W640" s="1984" t="s">
        <v>8477</v>
      </c>
      <c r="X640" s="2015" t="s">
        <v>960</v>
      </c>
      <c r="AU640" s="1890"/>
      <c r="AV640" s="1890"/>
      <c r="AW640" s="1890"/>
      <c r="AX640" s="1890"/>
      <c r="AY640" s="1890"/>
      <c r="AZ640" s="1890"/>
      <c r="BA640" s="1890"/>
      <c r="BB640" s="1890"/>
      <c r="BC640" s="1890"/>
      <c r="BD640" s="1890"/>
      <c r="BE640" s="1890"/>
      <c r="BF640" s="1890"/>
      <c r="BG640" s="1890"/>
      <c r="BH640" s="1890"/>
      <c r="BI640" s="1890"/>
      <c r="BJ640" s="1890"/>
      <c r="BK640" s="1890"/>
      <c r="BL640" s="1890"/>
      <c r="BM640" s="1890"/>
      <c r="BN640" s="1890"/>
      <c r="BO640" s="1890"/>
      <c r="BP640" s="1890"/>
      <c r="BQ640" s="1890"/>
      <c r="BR640" s="1890"/>
      <c r="BS640" s="1890"/>
      <c r="BT640" s="1890"/>
      <c r="BU640" s="1890"/>
      <c r="BV640" s="1890"/>
      <c r="BW640" s="1890"/>
      <c r="BX640" s="1890"/>
      <c r="BY640" s="1890"/>
      <c r="BZ640" s="1890"/>
    </row>
    <row r="641" spans="1:78" ht="32.1" customHeight="1">
      <c r="A641" s="2522"/>
      <c r="B641" s="1805" t="s">
        <v>506</v>
      </c>
      <c r="C641" s="1846">
        <v>0.5</v>
      </c>
      <c r="D641" s="1828">
        <v>1</v>
      </c>
      <c r="E641" s="1829">
        <v>1</v>
      </c>
      <c r="F641" s="1848">
        <v>0.5</v>
      </c>
      <c r="G641" s="1848">
        <v>1</v>
      </c>
      <c r="H641" s="1879">
        <v>1</v>
      </c>
      <c r="I641" s="2073" t="s">
        <v>492</v>
      </c>
      <c r="J641" s="1794">
        <v>0.5</v>
      </c>
      <c r="K641" s="1915" t="s">
        <v>960</v>
      </c>
      <c r="L641" s="1794">
        <v>1</v>
      </c>
      <c r="M641" s="1941">
        <v>0.5</v>
      </c>
      <c r="N641" s="1984" t="s">
        <v>811</v>
      </c>
      <c r="O641" s="2014" t="s">
        <v>960</v>
      </c>
      <c r="P641" s="1915"/>
      <c r="Q641" s="1915"/>
      <c r="R641" s="2138"/>
      <c r="S641" s="1800"/>
      <c r="T641" s="1915" t="s">
        <v>7759</v>
      </c>
      <c r="U641" s="1794" t="s">
        <v>8529</v>
      </c>
      <c r="V641" s="1984" t="s">
        <v>8011</v>
      </c>
      <c r="W641" s="1984" t="s">
        <v>9192</v>
      </c>
      <c r="X641" s="2015" t="s">
        <v>960</v>
      </c>
      <c r="AU641" s="1890"/>
      <c r="AV641" s="1890"/>
      <c r="AW641" s="1890"/>
      <c r="AX641" s="1890"/>
      <c r="AY641" s="1890"/>
      <c r="AZ641" s="1890"/>
      <c r="BA641" s="1890"/>
      <c r="BB641" s="1890"/>
      <c r="BC641" s="1890"/>
      <c r="BD641" s="1890"/>
      <c r="BE641" s="1890"/>
      <c r="BF641" s="1890"/>
      <c r="BG641" s="1890"/>
      <c r="BH641" s="1890"/>
      <c r="BI641" s="1890"/>
      <c r="BJ641" s="1890"/>
      <c r="BK641" s="1890"/>
      <c r="BL641" s="1890"/>
      <c r="BM641" s="1890"/>
      <c r="BN641" s="1890"/>
      <c r="BO641" s="1890"/>
      <c r="BP641" s="1890"/>
      <c r="BQ641" s="1890"/>
      <c r="BR641" s="1890"/>
      <c r="BS641" s="1890"/>
      <c r="BT641" s="1890"/>
      <c r="BU641" s="1890"/>
      <c r="BV641" s="1890"/>
      <c r="BW641" s="1890"/>
      <c r="BX641" s="1890"/>
      <c r="BY641" s="1890"/>
      <c r="BZ641" s="1890"/>
    </row>
    <row r="642" spans="1:78" ht="32.1" customHeight="1">
      <c r="A642" s="2522"/>
      <c r="B642" s="1805" t="s">
        <v>507</v>
      </c>
      <c r="C642" s="1846">
        <v>1</v>
      </c>
      <c r="D642" s="1828">
        <v>1</v>
      </c>
      <c r="E642" s="1829">
        <v>1</v>
      </c>
      <c r="F642" s="1848">
        <v>1</v>
      </c>
      <c r="G642" s="1848">
        <v>1</v>
      </c>
      <c r="H642" s="1879">
        <v>1</v>
      </c>
      <c r="I642" s="2073" t="s">
        <v>492</v>
      </c>
      <c r="J642" s="1794" t="s">
        <v>960</v>
      </c>
      <c r="K642" s="1915" t="s">
        <v>960</v>
      </c>
      <c r="L642" s="1794">
        <v>1</v>
      </c>
      <c r="M642" s="1941">
        <v>1</v>
      </c>
      <c r="N642" s="1984" t="s">
        <v>811</v>
      </c>
      <c r="O642" s="2014" t="s">
        <v>960</v>
      </c>
      <c r="P642" s="1915"/>
      <c r="Q642" s="1915"/>
      <c r="R642" s="2138"/>
      <c r="S642" s="1800" t="s">
        <v>9103</v>
      </c>
      <c r="T642" s="1915" t="s">
        <v>7760</v>
      </c>
      <c r="U642" s="1794" t="s">
        <v>8530</v>
      </c>
      <c r="V642" s="1984" t="s">
        <v>8012</v>
      </c>
      <c r="W642" s="1984" t="s">
        <v>8478</v>
      </c>
      <c r="X642" s="2015" t="s">
        <v>960</v>
      </c>
    </row>
    <row r="643" spans="1:78" ht="32.1" customHeight="1">
      <c r="A643" s="2522"/>
      <c r="B643" s="1805" t="s">
        <v>5282</v>
      </c>
      <c r="C643" s="1846">
        <v>0.5</v>
      </c>
      <c r="D643" s="1829">
        <v>1</v>
      </c>
      <c r="E643" s="1829">
        <v>0.25</v>
      </c>
      <c r="F643" s="1829">
        <v>0.5</v>
      </c>
      <c r="G643" s="1848">
        <v>1</v>
      </c>
      <c r="H643" s="1879">
        <v>1</v>
      </c>
      <c r="I643" s="2073" t="s">
        <v>492</v>
      </c>
      <c r="J643" s="1794">
        <v>0.5</v>
      </c>
      <c r="K643" s="1915" t="s">
        <v>960</v>
      </c>
      <c r="L643" s="1794">
        <v>0.25</v>
      </c>
      <c r="M643" s="1984" t="s">
        <v>8013</v>
      </c>
      <c r="N643" s="1984" t="s">
        <v>811</v>
      </c>
      <c r="O643" s="2014" t="s">
        <v>960</v>
      </c>
      <c r="P643" s="1915"/>
      <c r="Q643" s="1915"/>
      <c r="R643" s="2138"/>
      <c r="S643" s="1800"/>
      <c r="T643" s="1915" t="s">
        <v>7761</v>
      </c>
      <c r="U643" s="1794" t="s">
        <v>8531</v>
      </c>
      <c r="V643" s="1984" t="s">
        <v>8013</v>
      </c>
      <c r="W643" s="1984" t="s">
        <v>8479</v>
      </c>
      <c r="X643" s="2015" t="s">
        <v>960</v>
      </c>
    </row>
    <row r="644" spans="1:78" ht="32.1" customHeight="1">
      <c r="A644" s="2522"/>
      <c r="B644" s="1805" t="s">
        <v>508</v>
      </c>
      <c r="C644" s="1846">
        <v>0.25</v>
      </c>
      <c r="D644" s="1829">
        <v>1</v>
      </c>
      <c r="E644" s="1829">
        <v>0.5</v>
      </c>
      <c r="F644" s="1829">
        <v>1</v>
      </c>
      <c r="G644" s="1848">
        <v>1</v>
      </c>
      <c r="H644" s="1879">
        <v>1</v>
      </c>
      <c r="I644" s="2073" t="s">
        <v>492</v>
      </c>
      <c r="J644" s="1794">
        <v>0.25</v>
      </c>
      <c r="K644" s="1915" t="s">
        <v>960</v>
      </c>
      <c r="L644" s="1794">
        <v>0.5</v>
      </c>
      <c r="M644" s="2017">
        <v>1</v>
      </c>
      <c r="N644" s="1984" t="s">
        <v>811</v>
      </c>
      <c r="O644" s="2014" t="s">
        <v>8947</v>
      </c>
      <c r="P644" s="1915"/>
      <c r="Q644" s="1915"/>
      <c r="R644" s="2138"/>
      <c r="S644" s="1800"/>
      <c r="T644" s="1915" t="s">
        <v>6535</v>
      </c>
      <c r="U644" s="1794" t="s">
        <v>8532</v>
      </c>
      <c r="V644" s="1984" t="s">
        <v>8014</v>
      </c>
      <c r="W644" s="1984" t="s">
        <v>8480</v>
      </c>
      <c r="X644" s="2015" t="s">
        <v>8947</v>
      </c>
    </row>
    <row r="645" spans="1:78" ht="48" customHeight="1">
      <c r="A645" s="2522"/>
      <c r="B645" s="1807" t="s">
        <v>5327</v>
      </c>
      <c r="C645" s="1846"/>
      <c r="D645" s="1829"/>
      <c r="E645" s="1829"/>
      <c r="F645" s="1829"/>
      <c r="G645" s="1848"/>
      <c r="H645" s="1879"/>
      <c r="I645" s="2073" t="s">
        <v>5279</v>
      </c>
      <c r="J645" s="2010"/>
      <c r="K645" s="1915"/>
      <c r="L645" s="1794">
        <v>0</v>
      </c>
      <c r="M645" s="1941"/>
      <c r="N645" s="1984" t="s">
        <v>811</v>
      </c>
      <c r="O645" s="2014" t="s">
        <v>8948</v>
      </c>
      <c r="P645" s="2018">
        <v>1</v>
      </c>
      <c r="Q645" s="2018">
        <v>0</v>
      </c>
      <c r="R645" s="2191"/>
      <c r="S645" s="1800"/>
      <c r="T645" s="1915"/>
      <c r="U645" s="1794"/>
      <c r="V645" s="1915"/>
      <c r="W645" s="1984" t="s">
        <v>8481</v>
      </c>
      <c r="X645" s="2015" t="s">
        <v>8948</v>
      </c>
    </row>
    <row r="646" spans="1:78" ht="32.1" customHeight="1">
      <c r="A646" s="2522"/>
      <c r="B646" s="1807" t="s">
        <v>509</v>
      </c>
      <c r="C646" s="1846">
        <v>1</v>
      </c>
      <c r="D646" s="1829">
        <v>1</v>
      </c>
      <c r="E646" s="1829">
        <v>1</v>
      </c>
      <c r="F646" s="1829">
        <v>0.5</v>
      </c>
      <c r="G646" s="1848">
        <v>1</v>
      </c>
      <c r="H646" s="1879">
        <v>0</v>
      </c>
      <c r="I646" s="2073" t="s">
        <v>5279</v>
      </c>
      <c r="J646" s="1949">
        <v>1</v>
      </c>
      <c r="K646" s="1915" t="s">
        <v>960</v>
      </c>
      <c r="L646" s="1794">
        <v>1</v>
      </c>
      <c r="M646" s="1941">
        <v>0.5</v>
      </c>
      <c r="N646" s="1984" t="s">
        <v>811</v>
      </c>
      <c r="O646" s="2014" t="s">
        <v>5828</v>
      </c>
      <c r="P646" s="2018">
        <v>1</v>
      </c>
      <c r="Q646" s="2018">
        <v>0.5</v>
      </c>
      <c r="R646" s="2191"/>
      <c r="S646" s="1800">
        <v>1</v>
      </c>
      <c r="T646" s="1915" t="s">
        <v>7762</v>
      </c>
      <c r="U646" s="1794" t="s">
        <v>8533</v>
      </c>
      <c r="V646" s="1984" t="s">
        <v>8015</v>
      </c>
      <c r="W646" s="1984" t="s">
        <v>8482</v>
      </c>
      <c r="X646" s="2015" t="s">
        <v>5828</v>
      </c>
    </row>
    <row r="647" spans="1:78" ht="32.1" customHeight="1">
      <c r="A647" s="2522"/>
      <c r="B647" s="1807" t="s">
        <v>510</v>
      </c>
      <c r="C647" s="1846">
        <v>1</v>
      </c>
      <c r="D647" s="1829">
        <v>1</v>
      </c>
      <c r="E647" s="1829">
        <v>1</v>
      </c>
      <c r="F647" s="1829">
        <v>0.5</v>
      </c>
      <c r="G647" s="1848">
        <v>1</v>
      </c>
      <c r="H647" s="1879">
        <v>1</v>
      </c>
      <c r="I647" s="2073" t="s">
        <v>5279</v>
      </c>
      <c r="J647" s="1995">
        <v>1</v>
      </c>
      <c r="K647" s="1794" t="s">
        <v>960</v>
      </c>
      <c r="L647" s="1794">
        <v>1</v>
      </c>
      <c r="M647" s="1949">
        <v>0.5</v>
      </c>
      <c r="N647" s="2010" t="s">
        <v>811</v>
      </c>
      <c r="O647" s="2331" t="s">
        <v>8949</v>
      </c>
      <c r="P647" s="2018">
        <v>1</v>
      </c>
      <c r="Q647" s="2018">
        <v>0.5</v>
      </c>
      <c r="R647" s="2191"/>
      <c r="S647" s="1800">
        <v>1</v>
      </c>
      <c r="T647" s="1915" t="s">
        <v>6537</v>
      </c>
      <c r="U647" s="1794" t="s">
        <v>8533</v>
      </c>
      <c r="V647" s="1984" t="s">
        <v>8016</v>
      </c>
      <c r="W647" s="1984" t="s">
        <v>8483</v>
      </c>
      <c r="X647" s="2015" t="s">
        <v>8949</v>
      </c>
    </row>
    <row r="648" spans="1:78" ht="87" customHeight="1">
      <c r="A648" s="2522"/>
      <c r="B648" s="1807" t="s">
        <v>5338</v>
      </c>
      <c r="C648" s="1846">
        <f>IF(J648&gt;$P648,1,IF(J648&lt;$Q648,0,(J648-$Q648)/($P648-$Q648)))</f>
        <v>0.35897435897435898</v>
      </c>
      <c r="D648" s="1846">
        <f t="shared" ref="D648:H648" si="166">IF(K648&gt;$P648,1,IF(K648&lt;$Q648,0,(K648-$Q648)/($P648-$Q648)))</f>
        <v>0</v>
      </c>
      <c r="E648" s="1846">
        <f t="shared" si="166"/>
        <v>0.61538461538461542</v>
      </c>
      <c r="F648" s="1846">
        <f t="shared" si="166"/>
        <v>0.28205128205128205</v>
      </c>
      <c r="G648" s="1846">
        <f t="shared" si="166"/>
        <v>0.87179487179487181</v>
      </c>
      <c r="H648" s="1846">
        <f t="shared" si="166"/>
        <v>0</v>
      </c>
      <c r="I648" s="2073" t="s">
        <v>5339</v>
      </c>
      <c r="J648" s="2010">
        <v>17</v>
      </c>
      <c r="K648" s="2010">
        <v>3</v>
      </c>
      <c r="L648" s="1794">
        <v>27</v>
      </c>
      <c r="M648" s="1949">
        <v>14</v>
      </c>
      <c r="N648" s="2010">
        <v>37</v>
      </c>
      <c r="O648" s="2331">
        <v>0</v>
      </c>
      <c r="P648" s="2019">
        <v>42</v>
      </c>
      <c r="Q648" s="2018">
        <v>3</v>
      </c>
      <c r="R648" s="2191"/>
      <c r="S648" s="1800" t="s">
        <v>9104</v>
      </c>
      <c r="T648" s="1984" t="s">
        <v>7400</v>
      </c>
      <c r="U648" s="1794" t="s">
        <v>8534</v>
      </c>
      <c r="V648" s="2279" t="s">
        <v>8017</v>
      </c>
      <c r="W648" s="1984" t="s">
        <v>9193</v>
      </c>
      <c r="X648" s="2015" t="s">
        <v>8950</v>
      </c>
    </row>
    <row r="649" spans="1:78" ht="32.1" customHeight="1">
      <c r="A649" s="2524"/>
      <c r="B649" s="1899" t="s">
        <v>6955</v>
      </c>
      <c r="C649" s="1829">
        <v>0.5</v>
      </c>
      <c r="D649" s="1829">
        <v>0.5</v>
      </c>
      <c r="E649" s="1846">
        <v>1</v>
      </c>
      <c r="F649" s="1829">
        <v>0</v>
      </c>
      <c r="G649" s="1828">
        <v>0.5</v>
      </c>
      <c r="H649" s="1879">
        <v>0.5</v>
      </c>
      <c r="I649" s="2073" t="s">
        <v>495</v>
      </c>
      <c r="J649" s="1794">
        <v>0.5</v>
      </c>
      <c r="K649" s="1794" t="s">
        <v>2454</v>
      </c>
      <c r="L649" s="1794">
        <v>1</v>
      </c>
      <c r="M649" s="1794">
        <v>0</v>
      </c>
      <c r="N649" s="1794" t="s">
        <v>5427</v>
      </c>
      <c r="O649" s="2331" t="s">
        <v>8951</v>
      </c>
      <c r="P649" s="2018">
        <v>1</v>
      </c>
      <c r="Q649" s="2018">
        <v>0.5</v>
      </c>
      <c r="R649" s="2191"/>
      <c r="S649" s="1800" t="s">
        <v>9105</v>
      </c>
      <c r="T649" s="1915" t="s">
        <v>6538</v>
      </c>
      <c r="U649" s="1794" t="s">
        <v>8535</v>
      </c>
      <c r="V649" s="2020" t="s">
        <v>748</v>
      </c>
      <c r="W649" s="1915" t="s">
        <v>8484</v>
      </c>
      <c r="X649" s="2015" t="s">
        <v>8951</v>
      </c>
    </row>
    <row r="650" spans="1:78" ht="30.75" customHeight="1">
      <c r="A650" s="2524"/>
      <c r="B650" s="1899" t="s">
        <v>6956</v>
      </c>
      <c r="C650" s="1829">
        <v>0.5</v>
      </c>
      <c r="D650" s="1829">
        <v>1</v>
      </c>
      <c r="E650" s="1846">
        <v>1</v>
      </c>
      <c r="F650" s="1829">
        <v>1</v>
      </c>
      <c r="G650" s="1828">
        <v>0.5</v>
      </c>
      <c r="H650" s="1879">
        <v>1</v>
      </c>
      <c r="I650" s="2073" t="s">
        <v>5285</v>
      </c>
      <c r="J650" s="1794">
        <v>0.5</v>
      </c>
      <c r="K650" s="1794" t="s">
        <v>811</v>
      </c>
      <c r="L650" s="1794">
        <v>1</v>
      </c>
      <c r="M650" s="1794">
        <v>1</v>
      </c>
      <c r="N650" s="1794" t="s">
        <v>5427</v>
      </c>
      <c r="O650" s="2331" t="s">
        <v>8952</v>
      </c>
      <c r="P650" s="2018">
        <v>1</v>
      </c>
      <c r="Q650" s="2018" t="s">
        <v>6828</v>
      </c>
      <c r="R650" s="2191"/>
      <c r="S650" s="1800" t="s">
        <v>9106</v>
      </c>
      <c r="T650" s="1915" t="s">
        <v>811</v>
      </c>
      <c r="U650" s="1794" t="s">
        <v>8535</v>
      </c>
      <c r="V650" s="2020" t="s">
        <v>960</v>
      </c>
      <c r="W650" s="1915" t="s">
        <v>5546</v>
      </c>
      <c r="X650" s="2015" t="s">
        <v>8952</v>
      </c>
    </row>
    <row r="651" spans="1:78" s="1818" customFormat="1" ht="32.1" customHeight="1">
      <c r="A651" s="2525" t="s">
        <v>7088</v>
      </c>
      <c r="B651" s="2134" t="s">
        <v>5286</v>
      </c>
      <c r="C651" s="2135">
        <f>AVERAGE(C652:C656)</f>
        <v>0.75</v>
      </c>
      <c r="D651" s="2135">
        <f t="shared" ref="D651:H651" si="167">AVERAGE(D652:D656)</f>
        <v>0.85</v>
      </c>
      <c r="E651" s="2135">
        <f t="shared" si="167"/>
        <v>0.7</v>
      </c>
      <c r="F651" s="2135">
        <f t="shared" si="167"/>
        <v>0.8</v>
      </c>
      <c r="G651" s="2135">
        <f t="shared" si="167"/>
        <v>0.8</v>
      </c>
      <c r="H651" s="2135">
        <f t="shared" si="167"/>
        <v>0.7</v>
      </c>
      <c r="I651" s="2136"/>
      <c r="J651" s="2238"/>
      <c r="K651" s="2137"/>
      <c r="L651" s="2137"/>
      <c r="M651" s="2137"/>
      <c r="N651" s="2137"/>
      <c r="O651" s="2137"/>
      <c r="P651" s="2145"/>
      <c r="Q651" s="2145"/>
      <c r="R651" s="2146"/>
      <c r="S651" s="2137"/>
      <c r="T651" s="2137"/>
      <c r="U651" s="2137"/>
      <c r="V651" s="2137"/>
      <c r="W651" s="2137"/>
      <c r="X651" s="2137"/>
    </row>
    <row r="652" spans="1:78" s="1893" customFormat="1" ht="158.1" customHeight="1">
      <c r="A652" s="2526" t="s">
        <v>9186</v>
      </c>
      <c r="B652" s="2057" t="s">
        <v>7154</v>
      </c>
      <c r="C652" s="2058">
        <v>1</v>
      </c>
      <c r="D652" s="2058">
        <v>1</v>
      </c>
      <c r="E652" s="2058">
        <v>1</v>
      </c>
      <c r="F652" s="2058">
        <v>1</v>
      </c>
      <c r="G652" s="2058">
        <v>1</v>
      </c>
      <c r="H652" s="2058">
        <v>1</v>
      </c>
      <c r="I652" s="2073" t="s">
        <v>522</v>
      </c>
      <c r="J652" s="2151"/>
      <c r="K652" s="2332" t="s">
        <v>7155</v>
      </c>
      <c r="L652" s="2151" t="s">
        <v>7156</v>
      </c>
      <c r="M652" s="2151" t="s">
        <v>7157</v>
      </c>
      <c r="N652" s="2332" t="s">
        <v>7158</v>
      </c>
      <c r="O652" s="2332" t="s">
        <v>7159</v>
      </c>
      <c r="P652" s="2333" t="s">
        <v>7160</v>
      </c>
      <c r="Q652" s="2323" t="s">
        <v>6828</v>
      </c>
      <c r="R652" s="2179"/>
      <c r="S652" s="2151"/>
      <c r="T652" s="2151" t="s">
        <v>6539</v>
      </c>
      <c r="U652" s="2151" t="s">
        <v>8536</v>
      </c>
      <c r="V652" s="2151" t="s">
        <v>6761</v>
      </c>
      <c r="W652" s="2151"/>
      <c r="X652" s="2332" t="s">
        <v>7159</v>
      </c>
      <c r="Y652" s="1818"/>
      <c r="Z652" s="1818"/>
      <c r="AA652" s="1818"/>
      <c r="AB652" s="1818"/>
      <c r="AC652" s="1818"/>
      <c r="AD652" s="1818"/>
      <c r="AE652" s="1818"/>
      <c r="AF652" s="1818"/>
      <c r="AG652" s="1818"/>
      <c r="AH652" s="1818"/>
      <c r="AI652" s="1818"/>
      <c r="AJ652" s="1818"/>
      <c r="AK652" s="1818"/>
      <c r="AL652" s="1818"/>
      <c r="AM652" s="1818"/>
      <c r="AN652" s="1818"/>
      <c r="AO652" s="1818"/>
      <c r="AP652" s="1818"/>
      <c r="AQ652" s="1818"/>
      <c r="AR652" s="1818"/>
      <c r="AS652" s="1818"/>
      <c r="AT652" s="1818"/>
      <c r="AU652" s="1818"/>
      <c r="AV652" s="1818"/>
      <c r="AW652" s="1818"/>
      <c r="AX652" s="1818"/>
      <c r="AY652" s="1818"/>
      <c r="AZ652" s="1818"/>
      <c r="BA652" s="1818"/>
      <c r="BB652" s="1818"/>
      <c r="BC652" s="1818"/>
      <c r="BD652" s="1818"/>
      <c r="BE652" s="1818"/>
      <c r="BF652" s="1818"/>
      <c r="BG652" s="1818"/>
      <c r="BH652" s="1818"/>
      <c r="BI652" s="1818"/>
      <c r="BJ652" s="1818"/>
      <c r="BK652" s="1818"/>
      <c r="BL652" s="1818"/>
      <c r="BM652" s="1818"/>
      <c r="BN652" s="1818"/>
      <c r="BO652" s="1818"/>
      <c r="BP652" s="1818"/>
      <c r="BQ652" s="1818"/>
      <c r="BR652" s="1818"/>
      <c r="BS652" s="1818"/>
      <c r="BT652" s="1818"/>
      <c r="BU652" s="1818"/>
      <c r="BV652" s="1818"/>
      <c r="BW652" s="1818"/>
      <c r="BX652" s="1818"/>
      <c r="BY652" s="1818"/>
      <c r="BZ652" s="1818"/>
    </row>
    <row r="653" spans="1:78" ht="59.1" customHeight="1">
      <c r="A653" s="2522"/>
      <c r="B653" s="1807" t="s">
        <v>7089</v>
      </c>
      <c r="C653" s="1846">
        <v>1</v>
      </c>
      <c r="D653" s="1829">
        <v>1</v>
      </c>
      <c r="E653" s="1829">
        <v>0.5</v>
      </c>
      <c r="F653" s="1829">
        <v>0.5</v>
      </c>
      <c r="G653" s="2572">
        <v>0.5</v>
      </c>
      <c r="H653" s="1850">
        <v>0.25</v>
      </c>
      <c r="I653" s="2073" t="s">
        <v>522</v>
      </c>
      <c r="J653" s="1794">
        <v>0.25</v>
      </c>
      <c r="K653" s="1794" t="s">
        <v>960</v>
      </c>
      <c r="L653" s="1794">
        <v>0.5</v>
      </c>
      <c r="M653" s="1794">
        <v>0.5</v>
      </c>
      <c r="N653" s="1794" t="s">
        <v>811</v>
      </c>
      <c r="O653" s="1802" t="s">
        <v>8953</v>
      </c>
      <c r="P653" s="1794">
        <v>1</v>
      </c>
      <c r="Q653" s="1794">
        <v>0.25</v>
      </c>
      <c r="R653" s="2138"/>
      <c r="S653" s="2327" t="s">
        <v>9182</v>
      </c>
      <c r="T653" s="1794" t="s">
        <v>6540</v>
      </c>
      <c r="U653" s="1794" t="s">
        <v>8537</v>
      </c>
      <c r="V653" s="1917" t="s">
        <v>6224</v>
      </c>
      <c r="W653" s="1917" t="s">
        <v>8486</v>
      </c>
      <c r="X653" s="1795" t="s">
        <v>8953</v>
      </c>
    </row>
    <row r="654" spans="1:78" ht="54.95" customHeight="1">
      <c r="A654" s="2527"/>
      <c r="B654" s="1807" t="s">
        <v>5281</v>
      </c>
      <c r="C654" s="2573">
        <v>0.25</v>
      </c>
      <c r="D654" s="1829">
        <v>1</v>
      </c>
      <c r="E654" s="1829">
        <v>0.5</v>
      </c>
      <c r="F654" s="1829">
        <v>0.5</v>
      </c>
      <c r="G654" s="1829">
        <v>0.5</v>
      </c>
      <c r="H654" s="1850">
        <v>0.25</v>
      </c>
      <c r="I654" s="2073" t="s">
        <v>522</v>
      </c>
      <c r="J654" s="1794">
        <v>0.25</v>
      </c>
      <c r="K654" s="1794" t="s">
        <v>960</v>
      </c>
      <c r="L654" s="1794">
        <v>0.5</v>
      </c>
      <c r="M654" s="1794" t="s">
        <v>6225</v>
      </c>
      <c r="N654" s="1794" t="s">
        <v>8485</v>
      </c>
      <c r="O654" s="1802" t="s">
        <v>8954</v>
      </c>
      <c r="P654" s="1794">
        <v>1</v>
      </c>
      <c r="Q654" s="1794">
        <v>0.25</v>
      </c>
      <c r="R654" s="2138"/>
      <c r="S654" s="2327" t="s">
        <v>9183</v>
      </c>
      <c r="T654" s="1794" t="s">
        <v>6540</v>
      </c>
      <c r="U654" s="1794" t="s">
        <v>8538</v>
      </c>
      <c r="V654" s="1917" t="s">
        <v>8018</v>
      </c>
      <c r="W654" s="1917" t="s">
        <v>8487</v>
      </c>
      <c r="X654" s="1795" t="s">
        <v>8954</v>
      </c>
    </row>
    <row r="655" spans="1:78" ht="51.95" customHeight="1">
      <c r="A655" s="2522"/>
      <c r="B655" s="1807" t="s">
        <v>6727</v>
      </c>
      <c r="C655" s="1846">
        <v>0.5</v>
      </c>
      <c r="D655" s="1829">
        <v>0.25</v>
      </c>
      <c r="E655" s="1829">
        <v>1</v>
      </c>
      <c r="F655" s="1829">
        <v>1</v>
      </c>
      <c r="G655" s="1829">
        <v>1</v>
      </c>
      <c r="H655" s="1850">
        <v>1</v>
      </c>
      <c r="I655" s="2073" t="s">
        <v>522</v>
      </c>
      <c r="J655" s="1949">
        <v>0.5</v>
      </c>
      <c r="K655" s="1794" t="s">
        <v>2411</v>
      </c>
      <c r="L655" s="1794">
        <v>1</v>
      </c>
      <c r="M655" s="1794">
        <v>1</v>
      </c>
      <c r="N655" s="1794" t="s">
        <v>811</v>
      </c>
      <c r="O655" s="2334" t="s">
        <v>5832</v>
      </c>
      <c r="P655" s="1794">
        <v>1</v>
      </c>
      <c r="Q655" s="1794">
        <v>0</v>
      </c>
      <c r="R655" s="2138"/>
      <c r="S655" s="1794"/>
      <c r="T655" s="1794" t="s">
        <v>6541</v>
      </c>
      <c r="U655" s="1794" t="s">
        <v>8539</v>
      </c>
      <c r="V655" s="1795" t="s">
        <v>8019</v>
      </c>
      <c r="W655" s="1917" t="s">
        <v>8488</v>
      </c>
      <c r="X655" s="2021" t="s">
        <v>5832</v>
      </c>
    </row>
    <row r="656" spans="1:78" ht="153" customHeight="1">
      <c r="A656" s="2522"/>
      <c r="B656" s="1807" t="s">
        <v>523</v>
      </c>
      <c r="C656" s="1846">
        <v>1</v>
      </c>
      <c r="D656" s="1829">
        <v>1</v>
      </c>
      <c r="E656" s="1846">
        <v>0.5</v>
      </c>
      <c r="F656" s="1829">
        <v>1</v>
      </c>
      <c r="G656" s="1829">
        <v>1</v>
      </c>
      <c r="H656" s="1850">
        <v>1</v>
      </c>
      <c r="I656" s="2073" t="s">
        <v>524</v>
      </c>
      <c r="J656" s="1794">
        <v>1</v>
      </c>
      <c r="K656" s="1794" t="s">
        <v>1060</v>
      </c>
      <c r="L656" s="1794">
        <v>0.5</v>
      </c>
      <c r="M656" s="1794">
        <v>1</v>
      </c>
      <c r="N656" s="1794" t="s">
        <v>811</v>
      </c>
      <c r="O656" s="1806" t="s">
        <v>5833</v>
      </c>
      <c r="P656" s="1794">
        <v>1</v>
      </c>
      <c r="Q656" s="1794">
        <v>0</v>
      </c>
      <c r="R656" s="2138"/>
      <c r="S656" s="1794"/>
      <c r="T656" s="1794" t="s">
        <v>7763</v>
      </c>
      <c r="U656" s="1794" t="s">
        <v>8540</v>
      </c>
      <c r="V656" s="1917" t="s">
        <v>8020</v>
      </c>
      <c r="W656" s="1917" t="s">
        <v>5550</v>
      </c>
      <c r="X656" s="2022" t="s">
        <v>5833</v>
      </c>
    </row>
    <row r="657" spans="1:176" s="1818" customFormat="1" ht="32.1" customHeight="1">
      <c r="A657" s="2520">
        <v>2.5</v>
      </c>
      <c r="B657" s="2134" t="s">
        <v>7090</v>
      </c>
      <c r="C657" s="2135">
        <f>AVERAGE(C658,C663,C668,C673,C678,C683,C684)</f>
        <v>0.7142857142857143</v>
      </c>
      <c r="D657" s="2135">
        <f t="shared" ref="D657:H657" si="168">AVERAGE(D658,D663,D668,D673,D678,D683,D684)</f>
        <v>0.6607142857142857</v>
      </c>
      <c r="E657" s="2135">
        <f t="shared" si="168"/>
        <v>0.35714285714285715</v>
      </c>
      <c r="F657" s="2135">
        <f t="shared" si="168"/>
        <v>0.5714285714285714</v>
      </c>
      <c r="G657" s="2135">
        <f t="shared" si="168"/>
        <v>0.45238095238095238</v>
      </c>
      <c r="H657" s="2135">
        <f t="shared" si="168"/>
        <v>0.375</v>
      </c>
      <c r="I657" s="2147"/>
      <c r="J657" s="2148"/>
      <c r="K657" s="2148"/>
      <c r="L657" s="2148"/>
      <c r="M657" s="2148"/>
      <c r="N657" s="2148"/>
      <c r="O657" s="2148"/>
      <c r="P657" s="2149"/>
      <c r="Q657" s="2149"/>
      <c r="R657" s="2150"/>
      <c r="S657" s="2148"/>
      <c r="T657" s="2148"/>
      <c r="U657" s="2148"/>
      <c r="V657" s="2148"/>
      <c r="W657" s="2148"/>
      <c r="X657" s="2148"/>
    </row>
    <row r="658" spans="1:176" ht="32.1" customHeight="1">
      <c r="A658" s="2500"/>
      <c r="B658" s="2059" t="s">
        <v>707</v>
      </c>
      <c r="C658" s="2060">
        <f>AVERAGE(C659:C662)</f>
        <v>0.5</v>
      </c>
      <c r="D658" s="2060">
        <f t="shared" ref="D658:H658" si="169">AVERAGE(D659:D662)</f>
        <v>0.5</v>
      </c>
      <c r="E658" s="2060">
        <f t="shared" si="169"/>
        <v>0</v>
      </c>
      <c r="F658" s="2060">
        <f t="shared" si="169"/>
        <v>0.625</v>
      </c>
      <c r="G658" s="2060">
        <f t="shared" si="169"/>
        <v>0.66666666666666663</v>
      </c>
      <c r="H658" s="2060">
        <f t="shared" si="169"/>
        <v>0</v>
      </c>
      <c r="I658" s="2073" t="s">
        <v>708</v>
      </c>
      <c r="J658" s="1910"/>
      <c r="K658" s="1911"/>
      <c r="L658" s="1911"/>
      <c r="M658" s="1912" t="s">
        <v>8060</v>
      </c>
      <c r="N658" s="1911"/>
      <c r="O658" s="1911"/>
      <c r="P658" s="1911"/>
      <c r="Q658" s="1911"/>
      <c r="R658" s="2138"/>
      <c r="S658" s="2250"/>
      <c r="T658" s="1911"/>
      <c r="U658" s="1911"/>
      <c r="V658" s="1912"/>
      <c r="W658" s="1911"/>
      <c r="X658" s="1911"/>
      <c r="AU658" s="1890"/>
      <c r="AV658" s="1890"/>
      <c r="AW658" s="1890"/>
      <c r="AX658" s="1890"/>
      <c r="AY658" s="1890"/>
      <c r="AZ658" s="1890"/>
      <c r="BA658" s="1890"/>
      <c r="BB658" s="1890"/>
      <c r="BC658" s="1890"/>
      <c r="BD658" s="1890"/>
      <c r="BE658" s="1890"/>
      <c r="BF658" s="1890"/>
      <c r="BG658" s="1890"/>
      <c r="BH658" s="1890"/>
      <c r="BI658" s="1890"/>
      <c r="BJ658" s="1890"/>
      <c r="BK658" s="1890"/>
      <c r="BL658" s="1890"/>
      <c r="BM658" s="1890"/>
      <c r="BN658" s="1890"/>
      <c r="BO658" s="1890"/>
      <c r="BP658" s="1890"/>
      <c r="BQ658" s="1890"/>
      <c r="BR658" s="1890"/>
      <c r="BS658" s="1890"/>
      <c r="BT658" s="1890"/>
      <c r="BU658" s="1890"/>
      <c r="BV658" s="1890"/>
      <c r="BW658" s="1890"/>
      <c r="BX658" s="1890"/>
      <c r="BY658" s="1890"/>
      <c r="BZ658" s="1890"/>
    </row>
    <row r="659" spans="1:176" ht="32.1" customHeight="1">
      <c r="A659" s="2501"/>
      <c r="B659" s="1804" t="s">
        <v>709</v>
      </c>
      <c r="C659" s="1837">
        <v>0.5</v>
      </c>
      <c r="D659" s="1829">
        <v>0.5</v>
      </c>
      <c r="E659" s="1846">
        <v>0</v>
      </c>
      <c r="F659" s="1829">
        <v>0.5</v>
      </c>
      <c r="G659" s="1837">
        <v>0.5</v>
      </c>
      <c r="H659" s="1850">
        <v>0</v>
      </c>
      <c r="I659" s="2073"/>
      <c r="J659" s="2053">
        <v>0.5</v>
      </c>
      <c r="K659" s="1915" t="s">
        <v>7399</v>
      </c>
      <c r="L659" s="1915">
        <v>0</v>
      </c>
      <c r="M659" s="2023" t="s">
        <v>6225</v>
      </c>
      <c r="N659" s="1914" t="s">
        <v>8489</v>
      </c>
      <c r="O659" s="1915" t="s">
        <v>5834</v>
      </c>
      <c r="P659" s="1915"/>
      <c r="Q659" s="1915"/>
      <c r="R659" s="2192"/>
      <c r="S659" s="2248" t="s">
        <v>8227</v>
      </c>
      <c r="T659" s="1915" t="s">
        <v>7764</v>
      </c>
      <c r="U659" s="1915" t="s">
        <v>5834</v>
      </c>
      <c r="V659" s="2023" t="s">
        <v>8021</v>
      </c>
      <c r="W659" s="1914" t="s">
        <v>8491</v>
      </c>
      <c r="X659" s="1915" t="s">
        <v>5834</v>
      </c>
      <c r="AU659" s="1890"/>
      <c r="AV659" s="1890"/>
      <c r="AW659" s="1890"/>
      <c r="AX659" s="1890"/>
      <c r="AY659" s="1890"/>
      <c r="AZ659" s="1890"/>
      <c r="BA659" s="1890"/>
      <c r="BB659" s="1890"/>
      <c r="BC659" s="1890"/>
      <c r="BD659" s="1890"/>
      <c r="BE659" s="1890"/>
      <c r="BF659" s="1890"/>
      <c r="BG659" s="1890"/>
      <c r="BH659" s="1890"/>
      <c r="BI659" s="1890"/>
      <c r="BJ659" s="1890"/>
      <c r="BK659" s="1890"/>
      <c r="BL659" s="1890"/>
      <c r="BM659" s="1890"/>
      <c r="BN659" s="1890"/>
      <c r="BO659" s="1890"/>
      <c r="BP659" s="1890"/>
      <c r="BQ659" s="1890"/>
      <c r="BR659" s="1890"/>
      <c r="BS659" s="1890"/>
      <c r="BT659" s="1890"/>
      <c r="BU659" s="1890"/>
      <c r="BV659" s="1890"/>
      <c r="BW659" s="1890"/>
      <c r="BX659" s="1890"/>
      <c r="BY659" s="1890"/>
      <c r="BZ659" s="1890"/>
    </row>
    <row r="660" spans="1:176" ht="71.25" customHeight="1">
      <c r="A660" s="1899"/>
      <c r="B660" s="1804" t="s">
        <v>569</v>
      </c>
      <c r="C660" s="1837">
        <v>0.5</v>
      </c>
      <c r="D660" s="1829">
        <v>0.5</v>
      </c>
      <c r="E660" s="1846">
        <v>0</v>
      </c>
      <c r="F660" s="1829">
        <v>0.5</v>
      </c>
      <c r="G660" s="1837">
        <v>1</v>
      </c>
      <c r="H660" s="1850">
        <v>0</v>
      </c>
      <c r="I660" s="2073" t="s">
        <v>710</v>
      </c>
      <c r="J660" s="2053">
        <v>0.5</v>
      </c>
      <c r="K660" s="1915" t="s">
        <v>2454</v>
      </c>
      <c r="L660" s="1915">
        <v>0</v>
      </c>
      <c r="M660" s="2023" t="s">
        <v>6226</v>
      </c>
      <c r="N660" s="1914" t="s">
        <v>2337</v>
      </c>
      <c r="O660" s="1915" t="s">
        <v>5834</v>
      </c>
      <c r="P660" s="1915"/>
      <c r="Q660" s="1915"/>
      <c r="R660" s="2192"/>
      <c r="S660" s="2248" t="s">
        <v>8228</v>
      </c>
      <c r="T660" s="1915" t="s">
        <v>7765</v>
      </c>
      <c r="U660" s="1915" t="s">
        <v>5834</v>
      </c>
      <c r="V660" s="2023" t="s">
        <v>8022</v>
      </c>
      <c r="W660" s="1914" t="s">
        <v>8492</v>
      </c>
      <c r="X660" s="1915" t="s">
        <v>5834</v>
      </c>
      <c r="AU660" s="1890"/>
      <c r="AV660" s="1890"/>
      <c r="AW660" s="1890"/>
      <c r="AX660" s="1890"/>
      <c r="AY660" s="1890"/>
      <c r="AZ660" s="1890"/>
      <c r="BA660" s="1890"/>
      <c r="BB660" s="1890"/>
      <c r="BC660" s="1890"/>
      <c r="BD660" s="1890"/>
      <c r="BE660" s="1890"/>
      <c r="BF660" s="1890"/>
      <c r="BG660" s="1890"/>
      <c r="BH660" s="1890"/>
      <c r="BI660" s="1890"/>
      <c r="BJ660" s="1890"/>
      <c r="BK660" s="1890"/>
      <c r="BL660" s="1890"/>
      <c r="BM660" s="1890"/>
      <c r="BN660" s="1890"/>
      <c r="BO660" s="1890"/>
      <c r="BP660" s="1890"/>
      <c r="BQ660" s="1890"/>
      <c r="BR660" s="1890"/>
      <c r="BS660" s="1890"/>
      <c r="BT660" s="1890"/>
      <c r="BU660" s="1890"/>
      <c r="BV660" s="1890"/>
      <c r="BW660" s="1890"/>
      <c r="BX660" s="1890"/>
      <c r="BY660" s="1890"/>
      <c r="BZ660" s="1890"/>
    </row>
    <row r="661" spans="1:176" ht="41.25" customHeight="1">
      <c r="A661" s="1899"/>
      <c r="B661" s="1804" t="s">
        <v>711</v>
      </c>
      <c r="C661" s="1837">
        <v>0.5</v>
      </c>
      <c r="D661" s="1846">
        <v>0.5</v>
      </c>
      <c r="E661" s="1846" t="s">
        <v>1073</v>
      </c>
      <c r="F661" s="1829">
        <v>1</v>
      </c>
      <c r="G661" s="1829" t="s">
        <v>1073</v>
      </c>
      <c r="H661" s="1850">
        <v>0</v>
      </c>
      <c r="I661" s="2073"/>
      <c r="J661" s="2053">
        <v>0.5</v>
      </c>
      <c r="K661" s="1915" t="s">
        <v>1060</v>
      </c>
      <c r="L661" s="1915" t="s">
        <v>1073</v>
      </c>
      <c r="M661" s="2023" t="s">
        <v>730</v>
      </c>
      <c r="N661" s="1915" t="s">
        <v>5552</v>
      </c>
      <c r="O661" s="1915" t="s">
        <v>5834</v>
      </c>
      <c r="P661" s="1915"/>
      <c r="Q661" s="1915"/>
      <c r="R661" s="2192"/>
      <c r="S661" s="2248" t="s">
        <v>8229</v>
      </c>
      <c r="T661" s="1915" t="s">
        <v>7766</v>
      </c>
      <c r="U661" s="1794" t="s">
        <v>6027</v>
      </c>
      <c r="V661" s="2023" t="s">
        <v>8023</v>
      </c>
      <c r="W661" s="1915"/>
      <c r="X661" s="1915" t="s">
        <v>5834</v>
      </c>
      <c r="AU661" s="1890"/>
      <c r="AV661" s="1890"/>
      <c r="AW661" s="1890"/>
      <c r="AX661" s="1890"/>
      <c r="AY661" s="1890"/>
      <c r="AZ661" s="1890"/>
      <c r="BA661" s="1890"/>
      <c r="BB661" s="1890"/>
      <c r="BC661" s="1890"/>
      <c r="BD661" s="1890"/>
      <c r="BE661" s="1890"/>
      <c r="BF661" s="1890"/>
      <c r="BG661" s="1890"/>
      <c r="BH661" s="1890"/>
      <c r="BI661" s="1890"/>
      <c r="BJ661" s="1890"/>
      <c r="BK661" s="1890"/>
      <c r="BL661" s="1890"/>
      <c r="BM661" s="1890"/>
      <c r="BN661" s="1890"/>
      <c r="BO661" s="1890"/>
      <c r="BP661" s="1890"/>
      <c r="BQ661" s="1890"/>
      <c r="BR661" s="1890"/>
      <c r="BS661" s="1890"/>
      <c r="BT661" s="1890"/>
      <c r="BU661" s="1890"/>
      <c r="BV661" s="1890"/>
      <c r="BW661" s="1890"/>
      <c r="BX661" s="1890"/>
      <c r="BY661" s="1890"/>
      <c r="BZ661" s="1890"/>
    </row>
    <row r="662" spans="1:176" ht="45.75" customHeight="1">
      <c r="A662" s="1899"/>
      <c r="B662" s="1804" t="s">
        <v>712</v>
      </c>
      <c r="C662" s="1837">
        <v>0.5</v>
      </c>
      <c r="D662" s="1846">
        <v>0.5</v>
      </c>
      <c r="E662" s="1846">
        <v>0</v>
      </c>
      <c r="F662" s="1829">
        <v>0.5</v>
      </c>
      <c r="G662" s="1829">
        <v>0.5</v>
      </c>
      <c r="H662" s="1850">
        <v>0</v>
      </c>
      <c r="I662" s="2073"/>
      <c r="J662" s="2053">
        <v>0.5</v>
      </c>
      <c r="K662" s="1915" t="s">
        <v>1060</v>
      </c>
      <c r="L662" s="1915">
        <v>0</v>
      </c>
      <c r="M662" s="2023" t="s">
        <v>6225</v>
      </c>
      <c r="N662" s="1915" t="s">
        <v>5553</v>
      </c>
      <c r="O662" s="1915" t="s">
        <v>5834</v>
      </c>
      <c r="P662" s="1915"/>
      <c r="Q662" s="1915"/>
      <c r="R662" s="2192"/>
      <c r="S662" s="2248" t="s">
        <v>8230</v>
      </c>
      <c r="T662" s="1915" t="s">
        <v>9156</v>
      </c>
      <c r="U662" s="1915" t="s">
        <v>5834</v>
      </c>
      <c r="V662" s="2023" t="s">
        <v>8024</v>
      </c>
      <c r="W662" s="1915"/>
      <c r="X662" s="1915" t="s">
        <v>5834</v>
      </c>
      <c r="AU662" s="1890"/>
      <c r="AV662" s="1890"/>
      <c r="AW662" s="1890"/>
      <c r="AX662" s="1890"/>
      <c r="AY662" s="1890"/>
      <c r="AZ662" s="1890"/>
      <c r="BA662" s="1890"/>
      <c r="BB662" s="1890"/>
      <c r="BC662" s="1890"/>
      <c r="BD662" s="1890"/>
      <c r="BE662" s="1890"/>
      <c r="BF662" s="1890"/>
      <c r="BG662" s="1890"/>
      <c r="BH662" s="1890"/>
      <c r="BI662" s="1890"/>
      <c r="BJ662" s="1890"/>
      <c r="BK662" s="1890"/>
      <c r="BL662" s="1890"/>
      <c r="BM662" s="1890"/>
      <c r="BN662" s="1890"/>
      <c r="BO662" s="1890"/>
      <c r="BP662" s="1890"/>
      <c r="BQ662" s="1890"/>
      <c r="BR662" s="1890"/>
      <c r="BS662" s="1890"/>
      <c r="BT662" s="1890"/>
      <c r="BU662" s="1890"/>
      <c r="BV662" s="1890"/>
      <c r="BW662" s="1890"/>
      <c r="BX662" s="1890"/>
      <c r="BY662" s="1890"/>
      <c r="BZ662" s="1890"/>
    </row>
    <row r="663" spans="1:176" ht="32.1" customHeight="1">
      <c r="A663" s="2500"/>
      <c r="B663" s="2059" t="s">
        <v>713</v>
      </c>
      <c r="C663" s="2060">
        <f>AVERAGE(C664:C667)</f>
        <v>0.75</v>
      </c>
      <c r="D663" s="2060">
        <f t="shared" ref="D663:H663" si="170">AVERAGE(D664:D667)</f>
        <v>0.5</v>
      </c>
      <c r="E663" s="2060">
        <f t="shared" si="170"/>
        <v>0.375</v>
      </c>
      <c r="F663" s="2060">
        <f t="shared" si="170"/>
        <v>0.875</v>
      </c>
      <c r="G663" s="2060">
        <f t="shared" si="170"/>
        <v>0.75</v>
      </c>
      <c r="H663" s="2060">
        <f t="shared" si="170"/>
        <v>1</v>
      </c>
      <c r="I663" s="2073" t="s">
        <v>714</v>
      </c>
      <c r="J663" s="2239"/>
      <c r="K663" s="1911"/>
      <c r="L663" s="1966"/>
      <c r="M663" s="1978"/>
      <c r="N663" s="1966"/>
      <c r="O663" s="1966"/>
      <c r="P663" s="1966"/>
      <c r="Q663" s="1966"/>
      <c r="R663" s="2177"/>
      <c r="S663" s="2280"/>
      <c r="T663" s="1911"/>
      <c r="U663" s="1966"/>
      <c r="V663" s="1978"/>
      <c r="W663" s="1966"/>
      <c r="X663" s="1966"/>
    </row>
    <row r="664" spans="1:176" s="1965" customFormat="1" ht="32.1" customHeight="1">
      <c r="A664" s="1899"/>
      <c r="B664" s="1804" t="s">
        <v>709</v>
      </c>
      <c r="C664" s="1837">
        <v>0.5</v>
      </c>
      <c r="D664" s="1846">
        <v>0</v>
      </c>
      <c r="E664" s="1829">
        <v>0.5</v>
      </c>
      <c r="F664" s="1829">
        <v>0.5</v>
      </c>
      <c r="G664" s="1829">
        <v>1</v>
      </c>
      <c r="H664" s="1850">
        <v>1</v>
      </c>
      <c r="I664" s="2073"/>
      <c r="J664" s="2053">
        <v>0.5</v>
      </c>
      <c r="K664" s="1794" t="s">
        <v>748</v>
      </c>
      <c r="L664" s="1915">
        <v>0.5</v>
      </c>
      <c r="M664" s="2023" t="s">
        <v>6634</v>
      </c>
      <c r="N664" s="1915" t="s">
        <v>5554</v>
      </c>
      <c r="O664" s="1914" t="s">
        <v>5835</v>
      </c>
      <c r="P664" s="1915"/>
      <c r="Q664" s="1915"/>
      <c r="R664" s="2192"/>
      <c r="S664" s="2248" t="s">
        <v>8231</v>
      </c>
      <c r="T664" s="1915" t="s">
        <v>7767</v>
      </c>
      <c r="U664" s="1915" t="s">
        <v>748</v>
      </c>
      <c r="V664" s="2023" t="s">
        <v>8025</v>
      </c>
      <c r="W664" s="1915"/>
      <c r="X664" s="1914" t="s">
        <v>5835</v>
      </c>
      <c r="Y664" s="1818"/>
      <c r="Z664" s="1818"/>
      <c r="AA664" s="1818"/>
      <c r="AB664" s="1818"/>
      <c r="AC664" s="1818"/>
      <c r="AD664" s="1818"/>
      <c r="AE664" s="1818"/>
      <c r="AF664" s="1818"/>
      <c r="AG664" s="1818"/>
      <c r="AH664" s="1818"/>
      <c r="AI664" s="1818"/>
      <c r="AJ664" s="1818"/>
      <c r="AK664" s="1818"/>
      <c r="AL664" s="1818"/>
      <c r="AM664" s="1818"/>
      <c r="AN664" s="1818"/>
      <c r="AO664" s="1818"/>
      <c r="AP664" s="1818"/>
      <c r="AQ664" s="1818"/>
      <c r="AR664" s="1818"/>
      <c r="AS664" s="1818"/>
      <c r="AT664" s="1818"/>
      <c r="AU664" s="1818"/>
      <c r="AV664" s="1818"/>
      <c r="AW664" s="1818"/>
      <c r="AX664" s="1818"/>
      <c r="AY664" s="1818"/>
      <c r="AZ664" s="1818"/>
      <c r="BA664" s="1818"/>
      <c r="BB664" s="1818"/>
      <c r="BC664" s="1818"/>
      <c r="BD664" s="1818"/>
      <c r="BE664" s="1818"/>
      <c r="BF664" s="1818"/>
      <c r="BG664" s="1818"/>
      <c r="BH664" s="1818"/>
      <c r="BI664" s="1818"/>
      <c r="BJ664" s="1818"/>
      <c r="BK664" s="1818"/>
      <c r="BL664" s="1818"/>
      <c r="BM664" s="1818"/>
      <c r="BN664" s="1818"/>
      <c r="BO664" s="1818"/>
      <c r="BP664" s="1818"/>
      <c r="BQ664" s="1818"/>
      <c r="BR664" s="1818"/>
      <c r="BS664" s="1818"/>
      <c r="BT664" s="1818"/>
      <c r="BU664" s="1818"/>
      <c r="BV664" s="1818"/>
      <c r="BW664" s="1818"/>
      <c r="BX664" s="1818"/>
      <c r="BY664" s="1818"/>
      <c r="BZ664" s="1818"/>
      <c r="CA664" s="1890"/>
      <c r="CB664" s="1890"/>
      <c r="CC664" s="1890"/>
      <c r="CD664" s="1890"/>
      <c r="CE664" s="1890"/>
      <c r="CF664" s="1890"/>
      <c r="CG664" s="1890"/>
      <c r="CH664" s="1890"/>
      <c r="CI664" s="1890"/>
      <c r="CJ664" s="1890"/>
      <c r="CK664" s="1890"/>
      <c r="CL664" s="1890"/>
      <c r="CM664" s="1890"/>
      <c r="CN664" s="1890"/>
      <c r="CO664" s="1890"/>
      <c r="CP664" s="1890"/>
      <c r="CQ664" s="1890"/>
      <c r="CR664" s="1890"/>
      <c r="CS664" s="1890"/>
      <c r="CT664" s="1890"/>
      <c r="CU664" s="1890"/>
      <c r="CV664" s="1890"/>
      <c r="CW664" s="1890"/>
      <c r="CX664" s="1890"/>
      <c r="CY664" s="1890"/>
      <c r="CZ664" s="1890"/>
      <c r="DA664" s="1890"/>
      <c r="DB664" s="1890"/>
      <c r="DC664" s="1890"/>
      <c r="DD664" s="1890"/>
      <c r="DE664" s="1890"/>
      <c r="DF664" s="1890"/>
      <c r="DG664" s="1890"/>
      <c r="DH664" s="1890"/>
      <c r="DI664" s="1890"/>
      <c r="DJ664" s="1890"/>
      <c r="DK664" s="1890"/>
      <c r="DL664" s="1890"/>
      <c r="DM664" s="1890"/>
      <c r="DN664" s="1890"/>
      <c r="DO664" s="1890"/>
      <c r="DP664" s="1890"/>
      <c r="DQ664" s="1890"/>
      <c r="DR664" s="1890"/>
      <c r="DS664" s="1890"/>
      <c r="DT664" s="1890"/>
      <c r="DU664" s="1890"/>
      <c r="DV664" s="1890"/>
      <c r="DW664" s="1890"/>
      <c r="DX664" s="1890"/>
      <c r="DY664" s="1890"/>
      <c r="DZ664" s="1890"/>
      <c r="EA664" s="1890"/>
      <c r="EB664" s="1890"/>
      <c r="EC664" s="1890"/>
      <c r="ED664" s="1890"/>
      <c r="EE664" s="1890"/>
      <c r="EF664" s="1890"/>
      <c r="EG664" s="1890"/>
      <c r="EH664" s="1890"/>
      <c r="EI664" s="1890"/>
      <c r="EJ664" s="1890"/>
      <c r="EK664" s="1890"/>
      <c r="EL664" s="1890"/>
      <c r="EM664" s="1890"/>
      <c r="EN664" s="1890"/>
      <c r="EO664" s="1890"/>
      <c r="EP664" s="1890"/>
      <c r="EQ664" s="1890"/>
      <c r="ER664" s="1890"/>
      <c r="ES664" s="1890"/>
      <c r="ET664" s="1890"/>
      <c r="EU664" s="1890"/>
      <c r="EV664" s="1890"/>
      <c r="EW664" s="1890"/>
      <c r="EX664" s="1890"/>
      <c r="EY664" s="1890"/>
      <c r="EZ664" s="1890"/>
      <c r="FA664" s="1890"/>
      <c r="FB664" s="1890"/>
      <c r="FC664" s="1890"/>
      <c r="FD664" s="1890"/>
      <c r="FE664" s="1890"/>
      <c r="FF664" s="1890"/>
      <c r="FG664" s="1890"/>
      <c r="FH664" s="1890"/>
      <c r="FI664" s="1890"/>
      <c r="FJ664" s="1890"/>
      <c r="FK664" s="1890"/>
      <c r="FL664" s="1890"/>
      <c r="FM664" s="1890"/>
      <c r="FN664" s="1890"/>
      <c r="FO664" s="1890"/>
      <c r="FP664" s="1890"/>
      <c r="FQ664" s="1890"/>
      <c r="FR664" s="1890"/>
      <c r="FS664" s="1890"/>
      <c r="FT664" s="1890"/>
    </row>
    <row r="665" spans="1:176" s="1965" customFormat="1" ht="87" customHeight="1">
      <c r="A665" s="1899"/>
      <c r="B665" s="1804" t="s">
        <v>715</v>
      </c>
      <c r="C665" s="1837">
        <v>0.5</v>
      </c>
      <c r="D665" s="1846">
        <v>0.5</v>
      </c>
      <c r="E665" s="1829">
        <v>0.5</v>
      </c>
      <c r="F665" s="1829">
        <v>1</v>
      </c>
      <c r="G665" s="1829">
        <v>1</v>
      </c>
      <c r="H665" s="1850">
        <v>1</v>
      </c>
      <c r="I665" s="2073" t="s">
        <v>716</v>
      </c>
      <c r="J665" s="2053">
        <v>0.5</v>
      </c>
      <c r="K665" s="1794" t="s">
        <v>5427</v>
      </c>
      <c r="L665" s="1915">
        <v>0.5</v>
      </c>
      <c r="M665" s="2023" t="s">
        <v>6225</v>
      </c>
      <c r="N665" s="1915" t="s">
        <v>5555</v>
      </c>
      <c r="O665" s="1914" t="s">
        <v>5836</v>
      </c>
      <c r="P665" s="1915"/>
      <c r="Q665" s="1915"/>
      <c r="R665" s="2192"/>
      <c r="S665" s="2248" t="s">
        <v>8232</v>
      </c>
      <c r="T665" s="1915" t="s">
        <v>7768</v>
      </c>
      <c r="U665" s="1915" t="s">
        <v>748</v>
      </c>
      <c r="V665" s="2023" t="s">
        <v>8026</v>
      </c>
      <c r="W665" s="1915"/>
      <c r="X665" s="1914" t="s">
        <v>5836</v>
      </c>
      <c r="Y665" s="1818"/>
      <c r="Z665" s="1818"/>
      <c r="AA665" s="1818"/>
      <c r="AB665" s="1818"/>
      <c r="AC665" s="1818"/>
      <c r="AD665" s="1818"/>
      <c r="AE665" s="1818"/>
      <c r="AF665" s="1818"/>
      <c r="AG665" s="1818"/>
      <c r="AH665" s="1818"/>
      <c r="AI665" s="1818"/>
      <c r="AJ665" s="1818"/>
      <c r="AK665" s="1818"/>
      <c r="AL665" s="1818"/>
      <c r="AM665" s="1818"/>
      <c r="AN665" s="1818"/>
      <c r="AO665" s="1818"/>
      <c r="AP665" s="1818"/>
      <c r="AQ665" s="1818"/>
      <c r="AR665" s="1818"/>
      <c r="AS665" s="1818"/>
      <c r="AT665" s="1818"/>
      <c r="AU665" s="1818"/>
      <c r="AV665" s="1818"/>
      <c r="AW665" s="1818"/>
      <c r="AX665" s="1818"/>
      <c r="AY665" s="1818"/>
      <c r="AZ665" s="1818"/>
      <c r="BA665" s="1818"/>
      <c r="BB665" s="1818"/>
      <c r="BC665" s="1818"/>
      <c r="BD665" s="1818"/>
      <c r="BE665" s="1818"/>
      <c r="BF665" s="1818"/>
      <c r="BG665" s="1818"/>
      <c r="BH665" s="1818"/>
      <c r="BI665" s="1818"/>
      <c r="BJ665" s="1818"/>
      <c r="BK665" s="1818"/>
      <c r="BL665" s="1818"/>
      <c r="BM665" s="1818"/>
      <c r="BN665" s="1818"/>
      <c r="BO665" s="1818"/>
      <c r="BP665" s="1818"/>
      <c r="BQ665" s="1818"/>
      <c r="BR665" s="1818"/>
      <c r="BS665" s="1818"/>
      <c r="BT665" s="1818"/>
      <c r="BU665" s="1818"/>
      <c r="BV665" s="1818"/>
      <c r="BW665" s="1818"/>
      <c r="BX665" s="1818"/>
      <c r="BY665" s="1818"/>
      <c r="BZ665" s="1818"/>
      <c r="CA665" s="1890"/>
      <c r="CB665" s="1890"/>
      <c r="CC665" s="1890"/>
      <c r="CD665" s="1890"/>
      <c r="CE665" s="1890"/>
      <c r="CF665" s="1890"/>
      <c r="CG665" s="1890"/>
      <c r="CH665" s="1890"/>
      <c r="CI665" s="1890"/>
      <c r="CJ665" s="1890"/>
      <c r="CK665" s="1890"/>
      <c r="CL665" s="1890"/>
      <c r="CM665" s="1890"/>
      <c r="CN665" s="1890"/>
      <c r="CO665" s="1890"/>
      <c r="CP665" s="1890"/>
      <c r="CQ665" s="1890"/>
      <c r="CR665" s="1890"/>
      <c r="CS665" s="1890"/>
      <c r="CT665" s="1890"/>
      <c r="CU665" s="1890"/>
      <c r="CV665" s="1890"/>
      <c r="CW665" s="1890"/>
      <c r="CX665" s="1890"/>
      <c r="CY665" s="1890"/>
      <c r="CZ665" s="1890"/>
      <c r="DA665" s="1890"/>
      <c r="DB665" s="1890"/>
      <c r="DC665" s="1890"/>
      <c r="DD665" s="1890"/>
      <c r="DE665" s="1890"/>
      <c r="DF665" s="1890"/>
      <c r="DG665" s="1890"/>
      <c r="DH665" s="1890"/>
      <c r="DI665" s="1890"/>
      <c r="DJ665" s="1890"/>
      <c r="DK665" s="1890"/>
      <c r="DL665" s="1890"/>
      <c r="DM665" s="1890"/>
      <c r="DN665" s="1890"/>
      <c r="DO665" s="1890"/>
      <c r="DP665" s="1890"/>
      <c r="DQ665" s="1890"/>
      <c r="DR665" s="1890"/>
      <c r="DS665" s="1890"/>
      <c r="DT665" s="1890"/>
      <c r="DU665" s="1890"/>
      <c r="DV665" s="1890"/>
      <c r="DW665" s="1890"/>
      <c r="DX665" s="1890"/>
      <c r="DY665" s="1890"/>
      <c r="DZ665" s="1890"/>
      <c r="EA665" s="1890"/>
      <c r="EB665" s="1890"/>
      <c r="EC665" s="1890"/>
      <c r="ED665" s="1890"/>
      <c r="EE665" s="1890"/>
      <c r="EF665" s="1890"/>
      <c r="EG665" s="1890"/>
      <c r="EH665" s="1890"/>
      <c r="EI665" s="1890"/>
      <c r="EJ665" s="1890"/>
      <c r="EK665" s="1890"/>
      <c r="EL665" s="1890"/>
      <c r="EM665" s="1890"/>
      <c r="EN665" s="1890"/>
      <c r="EO665" s="1890"/>
      <c r="EP665" s="1890"/>
      <c r="EQ665" s="1890"/>
      <c r="ER665" s="1890"/>
      <c r="ES665" s="1890"/>
      <c r="ET665" s="1890"/>
      <c r="EU665" s="1890"/>
      <c r="EV665" s="1890"/>
      <c r="EW665" s="1890"/>
      <c r="EX665" s="1890"/>
      <c r="EY665" s="1890"/>
      <c r="EZ665" s="1890"/>
      <c r="FA665" s="1890"/>
      <c r="FB665" s="1890"/>
      <c r="FC665" s="1890"/>
      <c r="FD665" s="1890"/>
      <c r="FE665" s="1890"/>
      <c r="FF665" s="1890"/>
      <c r="FG665" s="1890"/>
      <c r="FH665" s="1890"/>
      <c r="FI665" s="1890"/>
      <c r="FJ665" s="1890"/>
      <c r="FK665" s="1890"/>
      <c r="FL665" s="1890"/>
      <c r="FM665" s="1890"/>
      <c r="FN665" s="1890"/>
      <c r="FO665" s="1890"/>
      <c r="FP665" s="1890"/>
      <c r="FQ665" s="1890"/>
      <c r="FR665" s="1890"/>
      <c r="FS665" s="1890"/>
      <c r="FT665" s="1890"/>
    </row>
    <row r="666" spans="1:176" s="1965" customFormat="1" ht="32.1" customHeight="1">
      <c r="A666" s="1899"/>
      <c r="B666" s="1804" t="s">
        <v>711</v>
      </c>
      <c r="C666" s="1837">
        <v>1</v>
      </c>
      <c r="D666" s="1846">
        <v>1</v>
      </c>
      <c r="E666" s="1829">
        <v>0</v>
      </c>
      <c r="F666" s="1829">
        <v>1</v>
      </c>
      <c r="G666" s="1829">
        <v>0</v>
      </c>
      <c r="H666" s="1850">
        <v>1</v>
      </c>
      <c r="I666" s="2073"/>
      <c r="J666" s="2053">
        <v>1</v>
      </c>
      <c r="K666" s="1794" t="s">
        <v>811</v>
      </c>
      <c r="L666" s="1915" t="s">
        <v>1073</v>
      </c>
      <c r="M666" s="2023" t="s">
        <v>8061</v>
      </c>
      <c r="N666" s="1915" t="s">
        <v>5556</v>
      </c>
      <c r="O666" s="1914" t="s">
        <v>5837</v>
      </c>
      <c r="P666" s="1915"/>
      <c r="Q666" s="1915"/>
      <c r="R666" s="2192"/>
      <c r="S666" s="2248" t="s">
        <v>6711</v>
      </c>
      <c r="T666" s="1915" t="s">
        <v>7769</v>
      </c>
      <c r="U666" s="1915" t="s">
        <v>6029</v>
      </c>
      <c r="V666" s="2023"/>
      <c r="W666" s="1915"/>
      <c r="X666" s="1914" t="s">
        <v>5837</v>
      </c>
      <c r="Y666" s="1818"/>
      <c r="Z666" s="1818"/>
      <c r="AA666" s="1818"/>
      <c r="AB666" s="1818"/>
      <c r="AC666" s="1818"/>
      <c r="AD666" s="1818"/>
      <c r="AE666" s="1818"/>
      <c r="AF666" s="1818"/>
      <c r="AG666" s="1818"/>
      <c r="AH666" s="1818"/>
      <c r="AI666" s="1818"/>
      <c r="AJ666" s="1818"/>
      <c r="AK666" s="1818"/>
      <c r="AL666" s="1818"/>
      <c r="AM666" s="1818"/>
      <c r="AN666" s="1818"/>
      <c r="AO666" s="1818"/>
      <c r="AP666" s="1818"/>
      <c r="AQ666" s="1818"/>
      <c r="AR666" s="1818"/>
      <c r="AS666" s="1818"/>
      <c r="AT666" s="1818"/>
      <c r="AU666" s="1818"/>
      <c r="AV666" s="1818"/>
      <c r="AW666" s="1818"/>
      <c r="AX666" s="1818"/>
      <c r="AY666" s="1818"/>
      <c r="AZ666" s="1818"/>
      <c r="BA666" s="1818"/>
      <c r="BB666" s="1818"/>
      <c r="BC666" s="1818"/>
      <c r="BD666" s="1818"/>
      <c r="BE666" s="1818"/>
      <c r="BF666" s="1818"/>
      <c r="BG666" s="1818"/>
      <c r="BH666" s="1818"/>
      <c r="BI666" s="1818"/>
      <c r="BJ666" s="1818"/>
      <c r="BK666" s="1818"/>
      <c r="BL666" s="1818"/>
      <c r="BM666" s="1818"/>
      <c r="BN666" s="1818"/>
      <c r="BO666" s="1818"/>
      <c r="BP666" s="1818"/>
      <c r="BQ666" s="1818"/>
      <c r="BR666" s="1818"/>
      <c r="BS666" s="1818"/>
      <c r="BT666" s="1818"/>
      <c r="BU666" s="1818"/>
      <c r="BV666" s="1818"/>
      <c r="BW666" s="1818"/>
      <c r="BX666" s="1818"/>
      <c r="BY666" s="1818"/>
      <c r="BZ666" s="1818"/>
      <c r="CA666" s="1890"/>
      <c r="CB666" s="1890"/>
      <c r="CC666" s="1890"/>
      <c r="CD666" s="1890"/>
      <c r="CE666" s="1890"/>
      <c r="CF666" s="1890"/>
      <c r="CG666" s="1890"/>
      <c r="CH666" s="1890"/>
      <c r="CI666" s="1890"/>
      <c r="CJ666" s="1890"/>
      <c r="CK666" s="1890"/>
      <c r="CL666" s="1890"/>
      <c r="CM666" s="1890"/>
      <c r="CN666" s="1890"/>
      <c r="CO666" s="1890"/>
      <c r="CP666" s="1890"/>
      <c r="CQ666" s="1890"/>
      <c r="CR666" s="1890"/>
      <c r="CS666" s="1890"/>
      <c r="CT666" s="1890"/>
      <c r="CU666" s="1890"/>
      <c r="CV666" s="1890"/>
      <c r="CW666" s="1890"/>
      <c r="CX666" s="1890"/>
      <c r="CY666" s="1890"/>
      <c r="CZ666" s="1890"/>
      <c r="DA666" s="1890"/>
      <c r="DB666" s="1890"/>
      <c r="DC666" s="1890"/>
      <c r="DD666" s="1890"/>
      <c r="DE666" s="1890"/>
      <c r="DF666" s="1890"/>
      <c r="DG666" s="1890"/>
      <c r="DH666" s="1890"/>
      <c r="DI666" s="1890"/>
      <c r="DJ666" s="1890"/>
      <c r="DK666" s="1890"/>
      <c r="DL666" s="1890"/>
      <c r="DM666" s="1890"/>
      <c r="DN666" s="1890"/>
      <c r="DO666" s="1890"/>
      <c r="DP666" s="1890"/>
      <c r="DQ666" s="1890"/>
      <c r="DR666" s="1890"/>
      <c r="DS666" s="1890"/>
      <c r="DT666" s="1890"/>
      <c r="DU666" s="1890"/>
      <c r="DV666" s="1890"/>
      <c r="DW666" s="1890"/>
      <c r="DX666" s="1890"/>
      <c r="DY666" s="1890"/>
      <c r="DZ666" s="1890"/>
      <c r="EA666" s="1890"/>
      <c r="EB666" s="1890"/>
      <c r="EC666" s="1890"/>
      <c r="ED666" s="1890"/>
      <c r="EE666" s="1890"/>
      <c r="EF666" s="1890"/>
      <c r="EG666" s="1890"/>
      <c r="EH666" s="1890"/>
      <c r="EI666" s="1890"/>
      <c r="EJ666" s="1890"/>
      <c r="EK666" s="1890"/>
      <c r="EL666" s="1890"/>
      <c r="EM666" s="1890"/>
      <c r="EN666" s="1890"/>
      <c r="EO666" s="1890"/>
      <c r="EP666" s="1890"/>
      <c r="EQ666" s="1890"/>
      <c r="ER666" s="1890"/>
      <c r="ES666" s="1890"/>
      <c r="ET666" s="1890"/>
      <c r="EU666" s="1890"/>
      <c r="EV666" s="1890"/>
      <c r="EW666" s="1890"/>
      <c r="EX666" s="1890"/>
      <c r="EY666" s="1890"/>
      <c r="EZ666" s="1890"/>
      <c r="FA666" s="1890"/>
      <c r="FB666" s="1890"/>
      <c r="FC666" s="1890"/>
      <c r="FD666" s="1890"/>
      <c r="FE666" s="1890"/>
      <c r="FF666" s="1890"/>
      <c r="FG666" s="1890"/>
      <c r="FH666" s="1890"/>
      <c r="FI666" s="1890"/>
      <c r="FJ666" s="1890"/>
      <c r="FK666" s="1890"/>
      <c r="FL666" s="1890"/>
      <c r="FM666" s="1890"/>
      <c r="FN666" s="1890"/>
      <c r="FO666" s="1890"/>
      <c r="FP666" s="1890"/>
      <c r="FQ666" s="1890"/>
      <c r="FR666" s="1890"/>
      <c r="FS666" s="1890"/>
      <c r="FT666" s="1890"/>
    </row>
    <row r="667" spans="1:176" s="1965" customFormat="1" ht="32.1" customHeight="1">
      <c r="A667" s="1899"/>
      <c r="B667" s="1804" t="s">
        <v>712</v>
      </c>
      <c r="C667" s="1837">
        <v>1</v>
      </c>
      <c r="D667" s="1846">
        <v>0.5</v>
      </c>
      <c r="E667" s="1829">
        <v>0.5</v>
      </c>
      <c r="F667" s="1829">
        <v>1</v>
      </c>
      <c r="G667" s="1829">
        <v>1</v>
      </c>
      <c r="H667" s="1850">
        <v>1</v>
      </c>
      <c r="I667" s="2073"/>
      <c r="J667" s="2053">
        <v>1</v>
      </c>
      <c r="K667" s="1794" t="s">
        <v>5427</v>
      </c>
      <c r="L667" s="1915">
        <v>0.5</v>
      </c>
      <c r="M667" s="2023" t="s">
        <v>8062</v>
      </c>
      <c r="N667" s="1915" t="s">
        <v>5557</v>
      </c>
      <c r="O667" s="1914" t="s">
        <v>5837</v>
      </c>
      <c r="P667" s="1915"/>
      <c r="Q667" s="1915"/>
      <c r="R667" s="2192"/>
      <c r="S667" s="2248" t="s">
        <v>6712</v>
      </c>
      <c r="T667" s="1914" t="s">
        <v>7770</v>
      </c>
      <c r="U667" s="1915" t="s">
        <v>748</v>
      </c>
      <c r="V667" s="2023" t="s">
        <v>2357</v>
      </c>
      <c r="W667" s="1915" t="s">
        <v>8493</v>
      </c>
      <c r="X667" s="1914" t="s">
        <v>5837</v>
      </c>
      <c r="Y667" s="1818"/>
      <c r="Z667" s="1818"/>
      <c r="AA667" s="1818"/>
      <c r="AB667" s="1818"/>
      <c r="AC667" s="1818"/>
      <c r="AD667" s="1818"/>
      <c r="AE667" s="1818"/>
      <c r="AF667" s="1818"/>
      <c r="AG667" s="1818"/>
      <c r="AH667" s="1818"/>
      <c r="AI667" s="1818"/>
      <c r="AJ667" s="1818"/>
      <c r="AK667" s="1818"/>
      <c r="AL667" s="1818"/>
      <c r="AM667" s="1818"/>
      <c r="AN667" s="1818"/>
      <c r="AO667" s="1818"/>
      <c r="AP667" s="1818"/>
      <c r="AQ667" s="1818"/>
      <c r="AR667" s="1818"/>
      <c r="AS667" s="1818"/>
      <c r="AT667" s="1818"/>
      <c r="AU667" s="1818"/>
      <c r="AV667" s="1818"/>
      <c r="AW667" s="1818"/>
      <c r="AX667" s="1818"/>
      <c r="AY667" s="1818"/>
      <c r="AZ667" s="1818"/>
      <c r="BA667" s="1818"/>
      <c r="BB667" s="1818"/>
      <c r="BC667" s="1818"/>
      <c r="BD667" s="1818"/>
      <c r="BE667" s="1818"/>
      <c r="BF667" s="1818"/>
      <c r="BG667" s="1818"/>
      <c r="BH667" s="1818"/>
      <c r="BI667" s="1818"/>
      <c r="BJ667" s="1818"/>
      <c r="BK667" s="1818"/>
      <c r="BL667" s="1818"/>
      <c r="BM667" s="1818"/>
      <c r="BN667" s="1818"/>
      <c r="BO667" s="1818"/>
      <c r="BP667" s="1818"/>
      <c r="BQ667" s="1818"/>
      <c r="BR667" s="1818"/>
      <c r="BS667" s="1818"/>
      <c r="BT667" s="1818"/>
      <c r="BU667" s="1818"/>
      <c r="BV667" s="1818"/>
      <c r="BW667" s="1818"/>
      <c r="BX667" s="1818"/>
      <c r="BY667" s="1818"/>
      <c r="BZ667" s="1818"/>
      <c r="CA667" s="1890"/>
      <c r="CB667" s="1890"/>
      <c r="CC667" s="1890"/>
      <c r="CD667" s="1890"/>
      <c r="CE667" s="1890"/>
      <c r="CF667" s="1890"/>
      <c r="CG667" s="1890"/>
      <c r="CH667" s="1890"/>
      <c r="CI667" s="1890"/>
      <c r="CJ667" s="1890"/>
      <c r="CK667" s="1890"/>
      <c r="CL667" s="1890"/>
      <c r="CM667" s="1890"/>
      <c r="CN667" s="1890"/>
      <c r="CO667" s="1890"/>
      <c r="CP667" s="1890"/>
      <c r="CQ667" s="1890"/>
      <c r="CR667" s="1890"/>
      <c r="CS667" s="1890"/>
      <c r="CT667" s="1890"/>
      <c r="CU667" s="1890"/>
      <c r="CV667" s="1890"/>
      <c r="CW667" s="1890"/>
      <c r="CX667" s="1890"/>
      <c r="CY667" s="1890"/>
      <c r="CZ667" s="1890"/>
      <c r="DA667" s="1890"/>
      <c r="DB667" s="1890"/>
      <c r="DC667" s="1890"/>
      <c r="DD667" s="1890"/>
      <c r="DE667" s="1890"/>
      <c r="DF667" s="1890"/>
      <c r="DG667" s="1890"/>
      <c r="DH667" s="1890"/>
      <c r="DI667" s="1890"/>
      <c r="DJ667" s="1890"/>
      <c r="DK667" s="1890"/>
      <c r="DL667" s="1890"/>
      <c r="DM667" s="1890"/>
      <c r="DN667" s="1890"/>
      <c r="DO667" s="1890"/>
      <c r="DP667" s="1890"/>
      <c r="DQ667" s="1890"/>
      <c r="DR667" s="1890"/>
      <c r="DS667" s="1890"/>
      <c r="DT667" s="1890"/>
      <c r="DU667" s="1890"/>
      <c r="DV667" s="1890"/>
      <c r="DW667" s="1890"/>
      <c r="DX667" s="1890"/>
      <c r="DY667" s="1890"/>
      <c r="DZ667" s="1890"/>
      <c r="EA667" s="1890"/>
      <c r="EB667" s="1890"/>
      <c r="EC667" s="1890"/>
      <c r="ED667" s="1890"/>
      <c r="EE667" s="1890"/>
      <c r="EF667" s="1890"/>
      <c r="EG667" s="1890"/>
      <c r="EH667" s="1890"/>
      <c r="EI667" s="1890"/>
      <c r="EJ667" s="1890"/>
      <c r="EK667" s="1890"/>
      <c r="EL667" s="1890"/>
      <c r="EM667" s="1890"/>
      <c r="EN667" s="1890"/>
      <c r="EO667" s="1890"/>
      <c r="EP667" s="1890"/>
      <c r="EQ667" s="1890"/>
      <c r="ER667" s="1890"/>
      <c r="ES667" s="1890"/>
      <c r="ET667" s="1890"/>
      <c r="EU667" s="1890"/>
      <c r="EV667" s="1890"/>
      <c r="EW667" s="1890"/>
      <c r="EX667" s="1890"/>
      <c r="EY667" s="1890"/>
      <c r="EZ667" s="1890"/>
      <c r="FA667" s="1890"/>
      <c r="FB667" s="1890"/>
      <c r="FC667" s="1890"/>
      <c r="FD667" s="1890"/>
      <c r="FE667" s="1890"/>
      <c r="FF667" s="1890"/>
      <c r="FG667" s="1890"/>
      <c r="FH667" s="1890"/>
      <c r="FI667" s="1890"/>
      <c r="FJ667" s="1890"/>
      <c r="FK667" s="1890"/>
      <c r="FL667" s="1890"/>
      <c r="FM667" s="1890"/>
      <c r="FN667" s="1890"/>
      <c r="FO667" s="1890"/>
      <c r="FP667" s="1890"/>
      <c r="FQ667" s="1890"/>
      <c r="FR667" s="1890"/>
      <c r="FS667" s="1890"/>
      <c r="FT667" s="1890"/>
    </row>
    <row r="668" spans="1:176" s="1965" customFormat="1" ht="32.1" customHeight="1">
      <c r="A668" s="2500"/>
      <c r="B668" s="2059" t="s">
        <v>717</v>
      </c>
      <c r="C668" s="2060">
        <f>AVERAGE(C669:C672)</f>
        <v>0.75</v>
      </c>
      <c r="D668" s="2060">
        <f t="shared" ref="D668:H668" si="171">AVERAGE(D669:D672)</f>
        <v>0.75</v>
      </c>
      <c r="E668" s="2060">
        <f t="shared" si="171"/>
        <v>0</v>
      </c>
      <c r="F668" s="2060">
        <f t="shared" si="171"/>
        <v>0.75</v>
      </c>
      <c r="G668" s="2060">
        <f t="shared" si="171"/>
        <v>0.625</v>
      </c>
      <c r="H668" s="2060">
        <f t="shared" si="171"/>
        <v>0.5</v>
      </c>
      <c r="I668" s="2073" t="s">
        <v>718</v>
      </c>
      <c r="J668" s="2239"/>
      <c r="K668" s="1911"/>
      <c r="L668" s="1966"/>
      <c r="M668" s="1978"/>
      <c r="N668" s="1966"/>
      <c r="O668" s="1966"/>
      <c r="P668" s="1966"/>
      <c r="Q668" s="1966"/>
      <c r="R668" s="2177"/>
      <c r="S668" s="2280"/>
      <c r="T668" s="1911"/>
      <c r="U668" s="1966"/>
      <c r="V668" s="1978"/>
      <c r="W668" s="1966"/>
      <c r="X668" s="1966"/>
      <c r="Y668" s="1818"/>
      <c r="Z668" s="1818"/>
      <c r="AA668" s="1818"/>
      <c r="AB668" s="1818"/>
      <c r="AC668" s="1818"/>
      <c r="AD668" s="1818"/>
      <c r="AE668" s="1818"/>
      <c r="AF668" s="1818"/>
      <c r="AG668" s="1818"/>
      <c r="AH668" s="1818"/>
      <c r="AI668" s="1818"/>
      <c r="AJ668" s="1818"/>
      <c r="AK668" s="1818"/>
      <c r="AL668" s="1818"/>
      <c r="AM668" s="1818"/>
      <c r="AN668" s="1818"/>
      <c r="AO668" s="1818"/>
      <c r="AP668" s="1818"/>
      <c r="AQ668" s="1818"/>
      <c r="AR668" s="1818"/>
      <c r="AS668" s="1818"/>
      <c r="AT668" s="1818"/>
      <c r="AU668" s="1818"/>
      <c r="AV668" s="1818"/>
      <c r="AW668" s="1818"/>
      <c r="AX668" s="1818"/>
      <c r="AY668" s="1818"/>
      <c r="AZ668" s="1818"/>
      <c r="BA668" s="1818"/>
      <c r="BB668" s="1818"/>
      <c r="BC668" s="1818"/>
      <c r="BD668" s="1818"/>
      <c r="BE668" s="1818"/>
      <c r="BF668" s="1818"/>
      <c r="BG668" s="1818"/>
      <c r="BH668" s="1818"/>
      <c r="BI668" s="1818"/>
      <c r="BJ668" s="1818"/>
      <c r="BK668" s="1818"/>
      <c r="BL668" s="1818"/>
      <c r="BM668" s="1818"/>
      <c r="BN668" s="1818"/>
      <c r="BO668" s="1818"/>
      <c r="BP668" s="1818"/>
      <c r="BQ668" s="1818"/>
      <c r="BR668" s="1818"/>
      <c r="BS668" s="1818"/>
      <c r="BT668" s="1818"/>
      <c r="BU668" s="1818"/>
      <c r="BV668" s="1818"/>
      <c r="BW668" s="1818"/>
      <c r="BX668" s="1818"/>
      <c r="BY668" s="1818"/>
      <c r="BZ668" s="1818"/>
      <c r="CA668" s="1890"/>
      <c r="CB668" s="1890"/>
      <c r="CC668" s="1890"/>
      <c r="CD668" s="1890"/>
      <c r="CE668" s="1890"/>
      <c r="CF668" s="1890"/>
      <c r="CG668" s="1890"/>
      <c r="CH668" s="1890"/>
      <c r="CI668" s="1890"/>
      <c r="CJ668" s="1890"/>
      <c r="CK668" s="1890"/>
      <c r="CL668" s="1890"/>
      <c r="CM668" s="1890"/>
      <c r="CN668" s="1890"/>
      <c r="CO668" s="1890"/>
      <c r="CP668" s="1890"/>
      <c r="CQ668" s="1890"/>
      <c r="CR668" s="1890"/>
      <c r="CS668" s="1890"/>
      <c r="CT668" s="1890"/>
      <c r="CU668" s="1890"/>
      <c r="CV668" s="1890"/>
      <c r="CW668" s="1890"/>
      <c r="CX668" s="1890"/>
      <c r="CY668" s="1890"/>
      <c r="CZ668" s="1890"/>
      <c r="DA668" s="1890"/>
      <c r="DB668" s="1890"/>
      <c r="DC668" s="1890"/>
      <c r="DD668" s="1890"/>
      <c r="DE668" s="1890"/>
      <c r="DF668" s="1890"/>
      <c r="DG668" s="1890"/>
      <c r="DH668" s="1890"/>
      <c r="DI668" s="1890"/>
      <c r="DJ668" s="1890"/>
      <c r="DK668" s="1890"/>
      <c r="DL668" s="1890"/>
      <c r="DM668" s="1890"/>
      <c r="DN668" s="1890"/>
      <c r="DO668" s="1890"/>
      <c r="DP668" s="1890"/>
      <c r="DQ668" s="1890"/>
      <c r="DR668" s="1890"/>
      <c r="DS668" s="1890"/>
      <c r="DT668" s="1890"/>
      <c r="DU668" s="1890"/>
      <c r="DV668" s="1890"/>
      <c r="DW668" s="1890"/>
      <c r="DX668" s="1890"/>
      <c r="DY668" s="1890"/>
      <c r="DZ668" s="1890"/>
      <c r="EA668" s="1890"/>
      <c r="EB668" s="1890"/>
      <c r="EC668" s="1890"/>
      <c r="ED668" s="1890"/>
      <c r="EE668" s="1890"/>
      <c r="EF668" s="1890"/>
      <c r="EG668" s="1890"/>
      <c r="EH668" s="1890"/>
      <c r="EI668" s="1890"/>
      <c r="EJ668" s="1890"/>
      <c r="EK668" s="1890"/>
      <c r="EL668" s="1890"/>
      <c r="EM668" s="1890"/>
      <c r="EN668" s="1890"/>
      <c r="EO668" s="1890"/>
      <c r="EP668" s="1890"/>
      <c r="EQ668" s="1890"/>
      <c r="ER668" s="1890"/>
      <c r="ES668" s="1890"/>
      <c r="ET668" s="1890"/>
      <c r="EU668" s="1890"/>
      <c r="EV668" s="1890"/>
      <c r="EW668" s="1890"/>
      <c r="EX668" s="1890"/>
      <c r="EY668" s="1890"/>
      <c r="EZ668" s="1890"/>
      <c r="FA668" s="1890"/>
      <c r="FB668" s="1890"/>
      <c r="FC668" s="1890"/>
      <c r="FD668" s="1890"/>
      <c r="FE668" s="1890"/>
      <c r="FF668" s="1890"/>
      <c r="FG668" s="1890"/>
      <c r="FH668" s="1890"/>
      <c r="FI668" s="1890"/>
      <c r="FJ668" s="1890"/>
      <c r="FK668" s="1890"/>
      <c r="FL668" s="1890"/>
      <c r="FM668" s="1890"/>
      <c r="FN668" s="1890"/>
      <c r="FO668" s="1890"/>
      <c r="FP668" s="1890"/>
      <c r="FQ668" s="1890"/>
      <c r="FR668" s="1890"/>
      <c r="FS668" s="1890"/>
      <c r="FT668" s="1890"/>
    </row>
    <row r="669" spans="1:176" s="1965" customFormat="1" ht="63.75" customHeight="1">
      <c r="A669" s="1899"/>
      <c r="B669" s="1804" t="s">
        <v>709</v>
      </c>
      <c r="C669" s="1837">
        <v>0.5</v>
      </c>
      <c r="D669" s="1829">
        <v>0</v>
      </c>
      <c r="E669" s="1829">
        <v>0</v>
      </c>
      <c r="F669" s="1829">
        <v>0.5</v>
      </c>
      <c r="G669" s="1829">
        <v>0.5</v>
      </c>
      <c r="H669" s="1850">
        <v>0.5</v>
      </c>
      <c r="I669" s="2073"/>
      <c r="J669" s="2053">
        <v>0.5</v>
      </c>
      <c r="K669" s="1915" t="s">
        <v>748</v>
      </c>
      <c r="L669" s="1915">
        <v>0</v>
      </c>
      <c r="M669" s="2023" t="s">
        <v>6226</v>
      </c>
      <c r="N669" s="1915" t="s">
        <v>5558</v>
      </c>
      <c r="O669" s="1915" t="s">
        <v>5838</v>
      </c>
      <c r="P669" s="1915"/>
      <c r="Q669" s="1915"/>
      <c r="R669" s="2192"/>
      <c r="S669" s="2248" t="s">
        <v>8233</v>
      </c>
      <c r="T669" s="1915" t="s">
        <v>7771</v>
      </c>
      <c r="U669" s="1915" t="s">
        <v>748</v>
      </c>
      <c r="V669" s="2023" t="s">
        <v>8027</v>
      </c>
      <c r="W669" s="1915" t="s">
        <v>8494</v>
      </c>
      <c r="X669" s="1915" t="s">
        <v>5838</v>
      </c>
      <c r="Y669" s="1818"/>
      <c r="Z669" s="1818"/>
      <c r="AA669" s="1818"/>
      <c r="AB669" s="1818"/>
      <c r="AC669" s="1818"/>
      <c r="AD669" s="1818"/>
      <c r="AE669" s="1818"/>
      <c r="AF669" s="1818"/>
      <c r="AG669" s="1818"/>
      <c r="AH669" s="1818"/>
      <c r="AI669" s="1818"/>
      <c r="AJ669" s="1818"/>
      <c r="AK669" s="1818"/>
      <c r="AL669" s="1818"/>
      <c r="AM669" s="1818"/>
      <c r="AN669" s="1818"/>
      <c r="AO669" s="1818"/>
      <c r="AP669" s="1818"/>
      <c r="AQ669" s="1818"/>
      <c r="AR669" s="1818"/>
      <c r="AS669" s="1818"/>
      <c r="AT669" s="1818"/>
      <c r="AU669" s="1818"/>
      <c r="AV669" s="1818"/>
      <c r="AW669" s="1818"/>
      <c r="AX669" s="1818"/>
      <c r="AY669" s="1818"/>
      <c r="AZ669" s="1818"/>
      <c r="BA669" s="1818"/>
      <c r="BB669" s="1818"/>
      <c r="BC669" s="1818"/>
      <c r="BD669" s="1818"/>
      <c r="BE669" s="1818"/>
      <c r="BF669" s="1818"/>
      <c r="BG669" s="1818"/>
      <c r="BH669" s="1818"/>
      <c r="BI669" s="1818"/>
      <c r="BJ669" s="1818"/>
      <c r="BK669" s="1818"/>
      <c r="BL669" s="1818"/>
      <c r="BM669" s="1818"/>
      <c r="BN669" s="1818"/>
      <c r="BO669" s="1818"/>
      <c r="BP669" s="1818"/>
      <c r="BQ669" s="1818"/>
      <c r="BR669" s="1818"/>
      <c r="BS669" s="1818"/>
      <c r="BT669" s="1818"/>
      <c r="BU669" s="1818"/>
      <c r="BV669" s="1818"/>
      <c r="BW669" s="1818"/>
      <c r="BX669" s="1818"/>
      <c r="BY669" s="1818"/>
      <c r="BZ669" s="1818"/>
      <c r="CA669" s="1890"/>
      <c r="CB669" s="1890"/>
      <c r="CC669" s="1890"/>
      <c r="CD669" s="1890"/>
      <c r="CE669" s="1890"/>
      <c r="CF669" s="1890"/>
      <c r="CG669" s="1890"/>
      <c r="CH669" s="1890"/>
      <c r="CI669" s="1890"/>
      <c r="CJ669" s="1890"/>
      <c r="CK669" s="1890"/>
      <c r="CL669" s="1890"/>
      <c r="CM669" s="1890"/>
      <c r="CN669" s="1890"/>
      <c r="CO669" s="1890"/>
      <c r="CP669" s="1890"/>
      <c r="CQ669" s="1890"/>
      <c r="CR669" s="1890"/>
      <c r="CS669" s="1890"/>
      <c r="CT669" s="1890"/>
      <c r="CU669" s="1890"/>
      <c r="CV669" s="1890"/>
      <c r="CW669" s="1890"/>
      <c r="CX669" s="1890"/>
      <c r="CY669" s="1890"/>
      <c r="CZ669" s="1890"/>
      <c r="DA669" s="1890"/>
      <c r="DB669" s="1890"/>
      <c r="DC669" s="1890"/>
      <c r="DD669" s="1890"/>
      <c r="DE669" s="1890"/>
      <c r="DF669" s="1890"/>
      <c r="DG669" s="1890"/>
      <c r="DH669" s="1890"/>
      <c r="DI669" s="1890"/>
      <c r="DJ669" s="1890"/>
      <c r="DK669" s="1890"/>
      <c r="DL669" s="1890"/>
      <c r="DM669" s="1890"/>
      <c r="DN669" s="1890"/>
      <c r="DO669" s="1890"/>
      <c r="DP669" s="1890"/>
      <c r="DQ669" s="1890"/>
      <c r="DR669" s="1890"/>
      <c r="DS669" s="1890"/>
      <c r="DT669" s="1890"/>
      <c r="DU669" s="1890"/>
      <c r="DV669" s="1890"/>
      <c r="DW669" s="1890"/>
      <c r="DX669" s="1890"/>
      <c r="DY669" s="1890"/>
      <c r="DZ669" s="1890"/>
      <c r="EA669" s="1890"/>
      <c r="EB669" s="1890"/>
      <c r="EC669" s="1890"/>
      <c r="ED669" s="1890"/>
      <c r="EE669" s="1890"/>
      <c r="EF669" s="1890"/>
      <c r="EG669" s="1890"/>
      <c r="EH669" s="1890"/>
      <c r="EI669" s="1890"/>
      <c r="EJ669" s="1890"/>
      <c r="EK669" s="1890"/>
      <c r="EL669" s="1890"/>
      <c r="EM669" s="1890"/>
      <c r="EN669" s="1890"/>
      <c r="EO669" s="1890"/>
      <c r="EP669" s="1890"/>
      <c r="EQ669" s="1890"/>
      <c r="ER669" s="1890"/>
      <c r="ES669" s="1890"/>
      <c r="ET669" s="1890"/>
      <c r="EU669" s="1890"/>
      <c r="EV669" s="1890"/>
      <c r="EW669" s="1890"/>
      <c r="EX669" s="1890"/>
      <c r="EY669" s="1890"/>
      <c r="EZ669" s="1890"/>
      <c r="FA669" s="1890"/>
      <c r="FB669" s="1890"/>
      <c r="FC669" s="1890"/>
      <c r="FD669" s="1890"/>
      <c r="FE669" s="1890"/>
      <c r="FF669" s="1890"/>
      <c r="FG669" s="1890"/>
      <c r="FH669" s="1890"/>
      <c r="FI669" s="1890"/>
      <c r="FJ669" s="1890"/>
      <c r="FK669" s="1890"/>
      <c r="FL669" s="1890"/>
      <c r="FM669" s="1890"/>
      <c r="FN669" s="1890"/>
      <c r="FO669" s="1890"/>
      <c r="FP669" s="1890"/>
      <c r="FQ669" s="1890"/>
      <c r="FR669" s="1890"/>
      <c r="FS669" s="1890"/>
      <c r="FT669" s="1890"/>
    </row>
    <row r="670" spans="1:176" s="1965" customFormat="1" ht="32.1" customHeight="1">
      <c r="A670" s="1899"/>
      <c r="B670" s="1804" t="s">
        <v>569</v>
      </c>
      <c r="C670" s="1837">
        <v>0.5</v>
      </c>
      <c r="D670" s="1829">
        <v>1</v>
      </c>
      <c r="E670" s="1829">
        <v>0</v>
      </c>
      <c r="F670" s="1829">
        <v>0.5</v>
      </c>
      <c r="G670" s="1829">
        <v>1</v>
      </c>
      <c r="H670" s="1850">
        <v>0.5</v>
      </c>
      <c r="I670" s="2073" t="s">
        <v>719</v>
      </c>
      <c r="J670" s="2053">
        <v>0.5</v>
      </c>
      <c r="K670" s="1915" t="s">
        <v>811</v>
      </c>
      <c r="L670" s="1915">
        <v>0</v>
      </c>
      <c r="M670" s="2023" t="s">
        <v>6225</v>
      </c>
      <c r="N670" s="1915" t="s">
        <v>5559</v>
      </c>
      <c r="O670" s="1915" t="s">
        <v>5838</v>
      </c>
      <c r="P670" s="1915"/>
      <c r="Q670" s="1915"/>
      <c r="R670" s="2192"/>
      <c r="S670" s="2248" t="s">
        <v>8234</v>
      </c>
      <c r="T670" s="1915" t="s">
        <v>7772</v>
      </c>
      <c r="U670" s="1915" t="s">
        <v>748</v>
      </c>
      <c r="V670" s="2023" t="s">
        <v>2369</v>
      </c>
      <c r="W670" s="1915"/>
      <c r="X670" s="1915" t="s">
        <v>5838</v>
      </c>
      <c r="Y670" s="1818"/>
      <c r="Z670" s="1818"/>
      <c r="AA670" s="1818"/>
      <c r="AB670" s="1818"/>
      <c r="AC670" s="1818"/>
      <c r="AD670" s="1818"/>
      <c r="AE670" s="1818"/>
      <c r="AF670" s="1818"/>
      <c r="AG670" s="1818"/>
      <c r="AH670" s="1818"/>
      <c r="AI670" s="1818"/>
      <c r="AJ670" s="1818"/>
      <c r="AK670" s="1818"/>
      <c r="AL670" s="1818"/>
      <c r="AM670" s="1818"/>
      <c r="AN670" s="1818"/>
      <c r="AO670" s="1818"/>
      <c r="AP670" s="1818"/>
      <c r="AQ670" s="1818"/>
      <c r="AR670" s="1818"/>
      <c r="AS670" s="1818"/>
      <c r="AT670" s="1818"/>
      <c r="AU670" s="1818"/>
      <c r="AV670" s="1818"/>
      <c r="AW670" s="1818"/>
      <c r="AX670" s="1818"/>
      <c r="AY670" s="1818"/>
      <c r="AZ670" s="1818"/>
      <c r="BA670" s="1818"/>
      <c r="BB670" s="1818"/>
      <c r="BC670" s="1818"/>
      <c r="BD670" s="1818"/>
      <c r="BE670" s="1818"/>
      <c r="BF670" s="1818"/>
      <c r="BG670" s="1818"/>
      <c r="BH670" s="1818"/>
      <c r="BI670" s="1818"/>
      <c r="BJ670" s="1818"/>
      <c r="BK670" s="1818"/>
      <c r="BL670" s="1818"/>
      <c r="BM670" s="1818"/>
      <c r="BN670" s="1818"/>
      <c r="BO670" s="1818"/>
      <c r="BP670" s="1818"/>
      <c r="BQ670" s="1818"/>
      <c r="BR670" s="1818"/>
      <c r="BS670" s="1818"/>
      <c r="BT670" s="1818"/>
      <c r="BU670" s="1818"/>
      <c r="BV670" s="1818"/>
      <c r="BW670" s="1818"/>
      <c r="BX670" s="1818"/>
      <c r="BY670" s="1818"/>
      <c r="BZ670" s="1818"/>
      <c r="CA670" s="1890"/>
      <c r="CB670" s="1890"/>
      <c r="CC670" s="1890"/>
      <c r="CD670" s="1890"/>
      <c r="CE670" s="1890"/>
      <c r="CF670" s="1890"/>
      <c r="CG670" s="1890"/>
      <c r="CH670" s="1890"/>
      <c r="CI670" s="1890"/>
      <c r="CJ670" s="1890"/>
      <c r="CK670" s="1890"/>
      <c r="CL670" s="1890"/>
      <c r="CM670" s="1890"/>
      <c r="CN670" s="1890"/>
      <c r="CO670" s="1890"/>
      <c r="CP670" s="1890"/>
      <c r="CQ670" s="1890"/>
      <c r="CR670" s="1890"/>
      <c r="CS670" s="1890"/>
      <c r="CT670" s="1890"/>
      <c r="CU670" s="1890"/>
      <c r="CV670" s="1890"/>
      <c r="CW670" s="1890"/>
      <c r="CX670" s="1890"/>
      <c r="CY670" s="1890"/>
      <c r="CZ670" s="1890"/>
      <c r="DA670" s="1890"/>
      <c r="DB670" s="1890"/>
      <c r="DC670" s="1890"/>
      <c r="DD670" s="1890"/>
      <c r="DE670" s="1890"/>
      <c r="DF670" s="1890"/>
      <c r="DG670" s="1890"/>
      <c r="DH670" s="1890"/>
      <c r="DI670" s="1890"/>
      <c r="DJ670" s="1890"/>
      <c r="DK670" s="1890"/>
      <c r="DL670" s="1890"/>
      <c r="DM670" s="1890"/>
      <c r="DN670" s="1890"/>
      <c r="DO670" s="1890"/>
      <c r="DP670" s="1890"/>
      <c r="DQ670" s="1890"/>
      <c r="DR670" s="1890"/>
      <c r="DS670" s="1890"/>
      <c r="DT670" s="1890"/>
      <c r="DU670" s="1890"/>
      <c r="DV670" s="1890"/>
      <c r="DW670" s="1890"/>
      <c r="DX670" s="1890"/>
      <c r="DY670" s="1890"/>
      <c r="DZ670" s="1890"/>
      <c r="EA670" s="1890"/>
      <c r="EB670" s="1890"/>
      <c r="EC670" s="1890"/>
      <c r="ED670" s="1890"/>
      <c r="EE670" s="1890"/>
      <c r="EF670" s="1890"/>
      <c r="EG670" s="1890"/>
      <c r="EH670" s="1890"/>
      <c r="EI670" s="1890"/>
      <c r="EJ670" s="1890"/>
      <c r="EK670" s="1890"/>
      <c r="EL670" s="1890"/>
      <c r="EM670" s="1890"/>
      <c r="EN670" s="1890"/>
      <c r="EO670" s="1890"/>
      <c r="EP670" s="1890"/>
      <c r="EQ670" s="1890"/>
      <c r="ER670" s="1890"/>
      <c r="ES670" s="1890"/>
      <c r="ET670" s="1890"/>
      <c r="EU670" s="1890"/>
      <c r="EV670" s="1890"/>
      <c r="EW670" s="1890"/>
      <c r="EX670" s="1890"/>
      <c r="EY670" s="1890"/>
      <c r="EZ670" s="1890"/>
      <c r="FA670" s="1890"/>
      <c r="FB670" s="1890"/>
      <c r="FC670" s="1890"/>
      <c r="FD670" s="1890"/>
      <c r="FE670" s="1890"/>
      <c r="FF670" s="1890"/>
      <c r="FG670" s="1890"/>
      <c r="FH670" s="1890"/>
      <c r="FI670" s="1890"/>
      <c r="FJ670" s="1890"/>
      <c r="FK670" s="1890"/>
      <c r="FL670" s="1890"/>
      <c r="FM670" s="1890"/>
      <c r="FN670" s="1890"/>
      <c r="FO670" s="1890"/>
      <c r="FP670" s="1890"/>
      <c r="FQ670" s="1890"/>
      <c r="FR670" s="1890"/>
      <c r="FS670" s="1890"/>
      <c r="FT670" s="1890"/>
    </row>
    <row r="671" spans="1:176" s="1965" customFormat="1" ht="32.1" customHeight="1">
      <c r="A671" s="1899"/>
      <c r="B671" s="1804" t="s">
        <v>711</v>
      </c>
      <c r="C671" s="1837">
        <v>1</v>
      </c>
      <c r="D671" s="1829">
        <v>1</v>
      </c>
      <c r="E671" s="1829">
        <v>0</v>
      </c>
      <c r="F671" s="1829">
        <v>1</v>
      </c>
      <c r="G671" s="1829">
        <v>0</v>
      </c>
      <c r="H671" s="1850">
        <v>0.5</v>
      </c>
      <c r="I671" s="2073"/>
      <c r="J671" s="2053">
        <v>1</v>
      </c>
      <c r="K671" s="1915" t="s">
        <v>811</v>
      </c>
      <c r="L671" s="1915" t="s">
        <v>1073</v>
      </c>
      <c r="M671" s="2023" t="s">
        <v>730</v>
      </c>
      <c r="N671" s="1915" t="s">
        <v>5556</v>
      </c>
      <c r="O671" s="1915" t="s">
        <v>5838</v>
      </c>
      <c r="P671" s="1915"/>
      <c r="Q671" s="1915"/>
      <c r="R671" s="2192"/>
      <c r="S671" s="2248" t="s">
        <v>6717</v>
      </c>
      <c r="T671" s="1915" t="s">
        <v>7772</v>
      </c>
      <c r="U671" s="1915" t="s">
        <v>6029</v>
      </c>
      <c r="V671" s="2023" t="s">
        <v>2371</v>
      </c>
      <c r="W671" s="1915"/>
      <c r="X671" s="1915" t="s">
        <v>5838</v>
      </c>
      <c r="Y671" s="1818"/>
      <c r="Z671" s="1818"/>
      <c r="AA671" s="1818"/>
      <c r="AB671" s="1818"/>
      <c r="AC671" s="1818"/>
      <c r="AD671" s="1818"/>
      <c r="AE671" s="1818"/>
      <c r="AF671" s="1818"/>
      <c r="AG671" s="1818"/>
      <c r="AH671" s="1818"/>
      <c r="AI671" s="1818"/>
      <c r="AJ671" s="1818"/>
      <c r="AK671" s="1818"/>
      <c r="AL671" s="1818"/>
      <c r="AM671" s="1818"/>
      <c r="AN671" s="1818"/>
      <c r="AO671" s="1818"/>
      <c r="AP671" s="1818"/>
      <c r="AQ671" s="1818"/>
      <c r="AR671" s="1818"/>
      <c r="AS671" s="1818"/>
      <c r="AT671" s="1818"/>
      <c r="AU671" s="1818"/>
      <c r="AV671" s="1818"/>
      <c r="AW671" s="1818"/>
      <c r="AX671" s="1818"/>
      <c r="AY671" s="1818"/>
      <c r="AZ671" s="1818"/>
      <c r="BA671" s="1818"/>
      <c r="BB671" s="1818"/>
      <c r="BC671" s="1818"/>
      <c r="BD671" s="1818"/>
      <c r="BE671" s="1818"/>
      <c r="BF671" s="1818"/>
      <c r="BG671" s="1818"/>
      <c r="BH671" s="1818"/>
      <c r="BI671" s="1818"/>
      <c r="BJ671" s="1818"/>
      <c r="BK671" s="1818"/>
      <c r="BL671" s="1818"/>
      <c r="BM671" s="1818"/>
      <c r="BN671" s="1818"/>
      <c r="BO671" s="1818"/>
      <c r="BP671" s="1818"/>
      <c r="BQ671" s="1818"/>
      <c r="BR671" s="1818"/>
      <c r="BS671" s="1818"/>
      <c r="BT671" s="1818"/>
      <c r="BU671" s="1818"/>
      <c r="BV671" s="1818"/>
      <c r="BW671" s="1818"/>
      <c r="BX671" s="1818"/>
      <c r="BY671" s="1818"/>
      <c r="BZ671" s="1818"/>
      <c r="CA671" s="1890"/>
      <c r="CB671" s="1890"/>
      <c r="CC671" s="1890"/>
      <c r="CD671" s="1890"/>
      <c r="CE671" s="1890"/>
      <c r="CF671" s="1890"/>
      <c r="CG671" s="1890"/>
      <c r="CH671" s="1890"/>
      <c r="CI671" s="1890"/>
      <c r="CJ671" s="1890"/>
      <c r="CK671" s="1890"/>
      <c r="CL671" s="1890"/>
      <c r="CM671" s="1890"/>
      <c r="CN671" s="1890"/>
      <c r="CO671" s="1890"/>
      <c r="CP671" s="1890"/>
      <c r="CQ671" s="1890"/>
      <c r="CR671" s="1890"/>
      <c r="CS671" s="1890"/>
      <c r="CT671" s="1890"/>
      <c r="CU671" s="1890"/>
      <c r="CV671" s="1890"/>
      <c r="CW671" s="1890"/>
      <c r="CX671" s="1890"/>
      <c r="CY671" s="1890"/>
      <c r="CZ671" s="1890"/>
      <c r="DA671" s="1890"/>
      <c r="DB671" s="1890"/>
      <c r="DC671" s="1890"/>
      <c r="DD671" s="1890"/>
      <c r="DE671" s="1890"/>
      <c r="DF671" s="1890"/>
      <c r="DG671" s="1890"/>
      <c r="DH671" s="1890"/>
      <c r="DI671" s="1890"/>
      <c r="DJ671" s="1890"/>
      <c r="DK671" s="1890"/>
      <c r="DL671" s="1890"/>
      <c r="DM671" s="1890"/>
      <c r="DN671" s="1890"/>
      <c r="DO671" s="1890"/>
      <c r="DP671" s="1890"/>
      <c r="DQ671" s="1890"/>
      <c r="DR671" s="1890"/>
      <c r="DS671" s="1890"/>
      <c r="DT671" s="1890"/>
      <c r="DU671" s="1890"/>
      <c r="DV671" s="1890"/>
      <c r="DW671" s="1890"/>
      <c r="DX671" s="1890"/>
      <c r="DY671" s="1890"/>
      <c r="DZ671" s="1890"/>
      <c r="EA671" s="1890"/>
      <c r="EB671" s="1890"/>
      <c r="EC671" s="1890"/>
      <c r="ED671" s="1890"/>
      <c r="EE671" s="1890"/>
      <c r="EF671" s="1890"/>
      <c r="EG671" s="1890"/>
      <c r="EH671" s="1890"/>
      <c r="EI671" s="1890"/>
      <c r="EJ671" s="1890"/>
      <c r="EK671" s="1890"/>
      <c r="EL671" s="1890"/>
      <c r="EM671" s="1890"/>
      <c r="EN671" s="1890"/>
      <c r="EO671" s="1890"/>
      <c r="EP671" s="1890"/>
      <c r="EQ671" s="1890"/>
      <c r="ER671" s="1890"/>
      <c r="ES671" s="1890"/>
      <c r="ET671" s="1890"/>
      <c r="EU671" s="1890"/>
      <c r="EV671" s="1890"/>
      <c r="EW671" s="1890"/>
      <c r="EX671" s="1890"/>
      <c r="EY671" s="1890"/>
      <c r="EZ671" s="1890"/>
      <c r="FA671" s="1890"/>
      <c r="FB671" s="1890"/>
      <c r="FC671" s="1890"/>
      <c r="FD671" s="1890"/>
      <c r="FE671" s="1890"/>
      <c r="FF671" s="1890"/>
      <c r="FG671" s="1890"/>
      <c r="FH671" s="1890"/>
      <c r="FI671" s="1890"/>
      <c r="FJ671" s="1890"/>
      <c r="FK671" s="1890"/>
      <c r="FL671" s="1890"/>
      <c r="FM671" s="1890"/>
      <c r="FN671" s="1890"/>
      <c r="FO671" s="1890"/>
      <c r="FP671" s="1890"/>
      <c r="FQ671" s="1890"/>
      <c r="FR671" s="1890"/>
      <c r="FS671" s="1890"/>
      <c r="FT671" s="1890"/>
    </row>
    <row r="672" spans="1:176" s="1965" customFormat="1" ht="32.1" customHeight="1">
      <c r="A672" s="1899"/>
      <c r="B672" s="1804" t="s">
        <v>712</v>
      </c>
      <c r="C672" s="1837">
        <v>1</v>
      </c>
      <c r="D672" s="1829">
        <v>1</v>
      </c>
      <c r="E672" s="1829">
        <v>0</v>
      </c>
      <c r="F672" s="1829">
        <v>1</v>
      </c>
      <c r="G672" s="1829">
        <v>1</v>
      </c>
      <c r="H672" s="1850">
        <v>0.5</v>
      </c>
      <c r="I672" s="2073"/>
      <c r="J672" s="2053">
        <v>1</v>
      </c>
      <c r="K672" s="1915" t="s">
        <v>811</v>
      </c>
      <c r="L672" s="1915">
        <v>0</v>
      </c>
      <c r="M672" s="2023" t="s">
        <v>730</v>
      </c>
      <c r="N672" s="1915" t="s">
        <v>8490</v>
      </c>
      <c r="O672" s="1915" t="s">
        <v>5838</v>
      </c>
      <c r="P672" s="1915"/>
      <c r="Q672" s="1915"/>
      <c r="R672" s="2192"/>
      <c r="S672" s="2248" t="s">
        <v>6717</v>
      </c>
      <c r="T672" s="1915" t="s">
        <v>7772</v>
      </c>
      <c r="U672" s="1915" t="s">
        <v>748</v>
      </c>
      <c r="V672" s="2023" t="s">
        <v>2373</v>
      </c>
      <c r="W672" s="1915"/>
      <c r="X672" s="1915" t="s">
        <v>5838</v>
      </c>
      <c r="Y672" s="1818"/>
      <c r="Z672" s="1818"/>
      <c r="AA672" s="1818"/>
      <c r="AB672" s="1818"/>
      <c r="AC672" s="1818"/>
      <c r="AD672" s="1818"/>
      <c r="AE672" s="1818"/>
      <c r="AF672" s="1818"/>
      <c r="AG672" s="1818"/>
      <c r="AH672" s="1818"/>
      <c r="AI672" s="1818"/>
      <c r="AJ672" s="1818"/>
      <c r="AK672" s="1818"/>
      <c r="AL672" s="1818"/>
      <c r="AM672" s="1818"/>
      <c r="AN672" s="1818"/>
      <c r="AO672" s="1818"/>
      <c r="AP672" s="1818"/>
      <c r="AQ672" s="1818"/>
      <c r="AR672" s="1818"/>
      <c r="AS672" s="1818"/>
      <c r="AT672" s="1818"/>
      <c r="AU672" s="1818"/>
      <c r="AV672" s="1818"/>
      <c r="AW672" s="1818"/>
      <c r="AX672" s="1818"/>
      <c r="AY672" s="1818"/>
      <c r="AZ672" s="1818"/>
      <c r="BA672" s="1818"/>
      <c r="BB672" s="1818"/>
      <c r="BC672" s="1818"/>
      <c r="BD672" s="1818"/>
      <c r="BE672" s="1818"/>
      <c r="BF672" s="1818"/>
      <c r="BG672" s="1818"/>
      <c r="BH672" s="1818"/>
      <c r="BI672" s="1818"/>
      <c r="BJ672" s="1818"/>
      <c r="BK672" s="1818"/>
      <c r="BL672" s="1818"/>
      <c r="BM672" s="1818"/>
      <c r="BN672" s="1818"/>
      <c r="BO672" s="1818"/>
      <c r="BP672" s="1818"/>
      <c r="BQ672" s="1818"/>
      <c r="BR672" s="1818"/>
      <c r="BS672" s="1818"/>
      <c r="BT672" s="1818"/>
      <c r="BU672" s="1818"/>
      <c r="BV672" s="1818"/>
      <c r="BW672" s="1818"/>
      <c r="BX672" s="1818"/>
      <c r="BY672" s="1818"/>
      <c r="BZ672" s="1818"/>
      <c r="CA672" s="1890"/>
      <c r="CB672" s="1890"/>
      <c r="CC672" s="1890"/>
      <c r="CD672" s="1890"/>
      <c r="CE672" s="1890"/>
      <c r="CF672" s="1890"/>
      <c r="CG672" s="1890"/>
      <c r="CH672" s="1890"/>
      <c r="CI672" s="1890"/>
      <c r="CJ672" s="1890"/>
      <c r="CK672" s="1890"/>
      <c r="CL672" s="1890"/>
      <c r="CM672" s="1890"/>
      <c r="CN672" s="1890"/>
      <c r="CO672" s="1890"/>
      <c r="CP672" s="1890"/>
      <c r="CQ672" s="1890"/>
      <c r="CR672" s="1890"/>
      <c r="CS672" s="1890"/>
      <c r="CT672" s="1890"/>
      <c r="CU672" s="1890"/>
      <c r="CV672" s="1890"/>
      <c r="CW672" s="1890"/>
      <c r="CX672" s="1890"/>
      <c r="CY672" s="1890"/>
      <c r="CZ672" s="1890"/>
      <c r="DA672" s="1890"/>
      <c r="DB672" s="1890"/>
      <c r="DC672" s="1890"/>
      <c r="DD672" s="1890"/>
      <c r="DE672" s="1890"/>
      <c r="DF672" s="1890"/>
      <c r="DG672" s="1890"/>
      <c r="DH672" s="1890"/>
      <c r="DI672" s="1890"/>
      <c r="DJ672" s="1890"/>
      <c r="DK672" s="1890"/>
      <c r="DL672" s="1890"/>
      <c r="DM672" s="1890"/>
      <c r="DN672" s="1890"/>
      <c r="DO672" s="1890"/>
      <c r="DP672" s="1890"/>
      <c r="DQ672" s="1890"/>
      <c r="DR672" s="1890"/>
      <c r="DS672" s="1890"/>
      <c r="DT672" s="1890"/>
      <c r="DU672" s="1890"/>
      <c r="DV672" s="1890"/>
      <c r="DW672" s="1890"/>
      <c r="DX672" s="1890"/>
      <c r="DY672" s="1890"/>
      <c r="DZ672" s="1890"/>
      <c r="EA672" s="1890"/>
      <c r="EB672" s="1890"/>
      <c r="EC672" s="1890"/>
      <c r="ED672" s="1890"/>
      <c r="EE672" s="1890"/>
      <c r="EF672" s="1890"/>
      <c r="EG672" s="1890"/>
      <c r="EH672" s="1890"/>
      <c r="EI672" s="1890"/>
      <c r="EJ672" s="1890"/>
      <c r="EK672" s="1890"/>
      <c r="EL672" s="1890"/>
      <c r="EM672" s="1890"/>
      <c r="EN672" s="1890"/>
      <c r="EO672" s="1890"/>
      <c r="EP672" s="1890"/>
      <c r="EQ672" s="1890"/>
      <c r="ER672" s="1890"/>
      <c r="ES672" s="1890"/>
      <c r="ET672" s="1890"/>
      <c r="EU672" s="1890"/>
      <c r="EV672" s="1890"/>
      <c r="EW672" s="1890"/>
      <c r="EX672" s="1890"/>
      <c r="EY672" s="1890"/>
      <c r="EZ672" s="1890"/>
      <c r="FA672" s="1890"/>
      <c r="FB672" s="1890"/>
      <c r="FC672" s="1890"/>
      <c r="FD672" s="1890"/>
      <c r="FE672" s="1890"/>
      <c r="FF672" s="1890"/>
      <c r="FG672" s="1890"/>
      <c r="FH672" s="1890"/>
      <c r="FI672" s="1890"/>
      <c r="FJ672" s="1890"/>
      <c r="FK672" s="1890"/>
      <c r="FL672" s="1890"/>
      <c r="FM672" s="1890"/>
      <c r="FN672" s="1890"/>
      <c r="FO672" s="1890"/>
      <c r="FP672" s="1890"/>
      <c r="FQ672" s="1890"/>
      <c r="FR672" s="1890"/>
      <c r="FS672" s="1890"/>
      <c r="FT672" s="1890"/>
    </row>
    <row r="673" spans="1:176" s="1965" customFormat="1" ht="32.1" customHeight="1">
      <c r="A673" s="2500"/>
      <c r="B673" s="2059" t="s">
        <v>720</v>
      </c>
      <c r="C673" s="2060">
        <f>AVERAGE(C674:C677)</f>
        <v>0.125</v>
      </c>
      <c r="D673" s="2060">
        <f t="shared" ref="D673:H673" si="172">AVERAGE(D674:D677)</f>
        <v>0.75</v>
      </c>
      <c r="E673" s="2060">
        <f t="shared" si="172"/>
        <v>0</v>
      </c>
      <c r="F673" s="2060">
        <f t="shared" si="172"/>
        <v>0.25</v>
      </c>
      <c r="G673" s="2060">
        <f t="shared" si="172"/>
        <v>0.25</v>
      </c>
      <c r="H673" s="2060">
        <f t="shared" si="172"/>
        <v>0.125</v>
      </c>
      <c r="I673" s="2073" t="s">
        <v>721</v>
      </c>
      <c r="J673" s="2239"/>
      <c r="K673" s="1911"/>
      <c r="L673" s="1911"/>
      <c r="M673" s="1912"/>
      <c r="N673" s="1911"/>
      <c r="O673" s="1911"/>
      <c r="P673" s="1911"/>
      <c r="Q673" s="1911"/>
      <c r="R673" s="2138"/>
      <c r="S673" s="2250"/>
      <c r="T673" s="1911"/>
      <c r="U673" s="1911"/>
      <c r="V673" s="1912"/>
      <c r="W673" s="1911"/>
      <c r="X673" s="1911"/>
      <c r="Y673" s="1818"/>
      <c r="Z673" s="1818"/>
      <c r="AA673" s="1818"/>
      <c r="AB673" s="1818"/>
      <c r="AC673" s="1818"/>
      <c r="AD673" s="1818"/>
      <c r="AE673" s="1818"/>
      <c r="AF673" s="1818"/>
      <c r="AG673" s="1818"/>
      <c r="AH673" s="1818"/>
      <c r="AI673" s="1818"/>
      <c r="AJ673" s="1818"/>
      <c r="AK673" s="1818"/>
      <c r="AL673" s="1818"/>
      <c r="AM673" s="1818"/>
      <c r="AN673" s="1818"/>
      <c r="AO673" s="1818"/>
      <c r="AP673" s="1818"/>
      <c r="AQ673" s="1818"/>
      <c r="AR673" s="1818"/>
      <c r="AS673" s="1818"/>
      <c r="AT673" s="1818"/>
      <c r="AU673" s="1818"/>
      <c r="AV673" s="1818"/>
      <c r="AW673" s="1818"/>
      <c r="AX673" s="1818"/>
      <c r="AY673" s="1818"/>
      <c r="AZ673" s="1818"/>
      <c r="BA673" s="1818"/>
      <c r="BB673" s="1818"/>
      <c r="BC673" s="1818"/>
      <c r="BD673" s="1818"/>
      <c r="BE673" s="1818"/>
      <c r="BF673" s="1818"/>
      <c r="BG673" s="1818"/>
      <c r="BH673" s="1818"/>
      <c r="BI673" s="1818"/>
      <c r="BJ673" s="1818"/>
      <c r="BK673" s="1818"/>
      <c r="BL673" s="1818"/>
      <c r="BM673" s="1818"/>
      <c r="BN673" s="1818"/>
      <c r="BO673" s="1818"/>
      <c r="BP673" s="1818"/>
      <c r="BQ673" s="1818"/>
      <c r="BR673" s="1818"/>
      <c r="BS673" s="1818"/>
      <c r="BT673" s="1818"/>
      <c r="BU673" s="1818"/>
      <c r="BV673" s="1818"/>
      <c r="BW673" s="1818"/>
      <c r="BX673" s="1818"/>
      <c r="BY673" s="1818"/>
      <c r="BZ673" s="1818"/>
      <c r="CA673" s="1890"/>
      <c r="CB673" s="1890"/>
      <c r="CC673" s="1890"/>
      <c r="CD673" s="1890"/>
      <c r="CE673" s="1890"/>
      <c r="CF673" s="1890"/>
      <c r="CG673" s="1890"/>
      <c r="CH673" s="1890"/>
      <c r="CI673" s="1890"/>
      <c r="CJ673" s="1890"/>
      <c r="CK673" s="1890"/>
      <c r="CL673" s="1890"/>
      <c r="CM673" s="1890"/>
      <c r="CN673" s="1890"/>
      <c r="CO673" s="1890"/>
      <c r="CP673" s="1890"/>
      <c r="CQ673" s="1890"/>
      <c r="CR673" s="1890"/>
      <c r="CS673" s="1890"/>
      <c r="CT673" s="1890"/>
      <c r="CU673" s="1890"/>
      <c r="CV673" s="1890"/>
      <c r="CW673" s="1890"/>
      <c r="CX673" s="1890"/>
      <c r="CY673" s="1890"/>
      <c r="CZ673" s="1890"/>
      <c r="DA673" s="1890"/>
      <c r="DB673" s="1890"/>
      <c r="DC673" s="1890"/>
      <c r="DD673" s="1890"/>
      <c r="DE673" s="1890"/>
      <c r="DF673" s="1890"/>
      <c r="DG673" s="1890"/>
      <c r="DH673" s="1890"/>
      <c r="DI673" s="1890"/>
      <c r="DJ673" s="1890"/>
      <c r="DK673" s="1890"/>
      <c r="DL673" s="1890"/>
      <c r="DM673" s="1890"/>
      <c r="DN673" s="1890"/>
      <c r="DO673" s="1890"/>
      <c r="DP673" s="1890"/>
      <c r="DQ673" s="1890"/>
      <c r="DR673" s="1890"/>
      <c r="DS673" s="1890"/>
      <c r="DT673" s="1890"/>
      <c r="DU673" s="1890"/>
      <c r="DV673" s="1890"/>
      <c r="DW673" s="1890"/>
      <c r="DX673" s="1890"/>
      <c r="DY673" s="1890"/>
      <c r="DZ673" s="1890"/>
      <c r="EA673" s="1890"/>
      <c r="EB673" s="1890"/>
      <c r="EC673" s="1890"/>
      <c r="ED673" s="1890"/>
      <c r="EE673" s="1890"/>
      <c r="EF673" s="1890"/>
      <c r="EG673" s="1890"/>
      <c r="EH673" s="1890"/>
      <c r="EI673" s="1890"/>
      <c r="EJ673" s="1890"/>
      <c r="EK673" s="1890"/>
      <c r="EL673" s="1890"/>
      <c r="EM673" s="1890"/>
      <c r="EN673" s="1890"/>
      <c r="EO673" s="1890"/>
      <c r="EP673" s="1890"/>
      <c r="EQ673" s="1890"/>
      <c r="ER673" s="1890"/>
      <c r="ES673" s="1890"/>
      <c r="ET673" s="1890"/>
      <c r="EU673" s="1890"/>
      <c r="EV673" s="1890"/>
      <c r="EW673" s="1890"/>
      <c r="EX673" s="1890"/>
      <c r="EY673" s="1890"/>
      <c r="EZ673" s="1890"/>
      <c r="FA673" s="1890"/>
      <c r="FB673" s="1890"/>
      <c r="FC673" s="1890"/>
      <c r="FD673" s="1890"/>
      <c r="FE673" s="1890"/>
      <c r="FF673" s="1890"/>
      <c r="FG673" s="1890"/>
      <c r="FH673" s="1890"/>
      <c r="FI673" s="1890"/>
      <c r="FJ673" s="1890"/>
      <c r="FK673" s="1890"/>
      <c r="FL673" s="1890"/>
      <c r="FM673" s="1890"/>
      <c r="FN673" s="1890"/>
      <c r="FO673" s="1890"/>
      <c r="FP673" s="1890"/>
      <c r="FQ673" s="1890"/>
      <c r="FR673" s="1890"/>
      <c r="FS673" s="1890"/>
      <c r="FT673" s="1890"/>
    </row>
    <row r="674" spans="1:176" s="1965" customFormat="1" ht="32.1" customHeight="1">
      <c r="A674" s="1899"/>
      <c r="B674" s="1804" t="s">
        <v>709</v>
      </c>
      <c r="C674" s="1837">
        <v>0</v>
      </c>
      <c r="D674" s="1846">
        <v>0</v>
      </c>
      <c r="E674" s="1829">
        <v>0</v>
      </c>
      <c r="F674" s="1829">
        <v>0</v>
      </c>
      <c r="G674" s="1837">
        <v>0</v>
      </c>
      <c r="H674" s="1850">
        <v>0</v>
      </c>
      <c r="I674" s="2073" t="s">
        <v>38</v>
      </c>
      <c r="J674" s="2053">
        <v>0</v>
      </c>
      <c r="K674" s="1794" t="s">
        <v>748</v>
      </c>
      <c r="L674" s="1915">
        <v>0</v>
      </c>
      <c r="M674" s="2023" t="s">
        <v>6226</v>
      </c>
      <c r="N674" s="1914" t="s">
        <v>2375</v>
      </c>
      <c r="O674" s="1915" t="s">
        <v>5839</v>
      </c>
      <c r="P674" s="1915"/>
      <c r="Q674" s="1915"/>
      <c r="R674" s="2192"/>
      <c r="S674" s="2248" t="s">
        <v>8235</v>
      </c>
      <c r="T674" s="1915" t="s">
        <v>7773</v>
      </c>
      <c r="U674" s="1915" t="s">
        <v>748</v>
      </c>
      <c r="V674" s="2023" t="s">
        <v>2375</v>
      </c>
      <c r="W674" s="1914"/>
      <c r="X674" s="1915" t="s">
        <v>5839</v>
      </c>
      <c r="Y674" s="1818"/>
      <c r="Z674" s="1818"/>
      <c r="AA674" s="1818"/>
      <c r="AB674" s="1818"/>
      <c r="AC674" s="1818"/>
      <c r="AD674" s="1818"/>
      <c r="AE674" s="1818"/>
      <c r="AF674" s="1818"/>
      <c r="AG674" s="1818"/>
      <c r="AH674" s="1818"/>
      <c r="AI674" s="1818"/>
      <c r="AJ674" s="1818"/>
      <c r="AK674" s="1818"/>
      <c r="AL674" s="1818"/>
      <c r="AM674" s="1818"/>
      <c r="AN674" s="1818"/>
      <c r="AO674" s="1818"/>
      <c r="AP674" s="1818"/>
      <c r="AQ674" s="1818"/>
      <c r="AR674" s="1818"/>
      <c r="AS674" s="1818"/>
      <c r="AT674" s="1818"/>
      <c r="AU674" s="1818"/>
      <c r="AV674" s="1818"/>
      <c r="AW674" s="1818"/>
      <c r="AX674" s="1818"/>
      <c r="AY674" s="1818"/>
      <c r="AZ674" s="1818"/>
      <c r="BA674" s="1818"/>
      <c r="BB674" s="1818"/>
      <c r="BC674" s="1818"/>
      <c r="BD674" s="1818"/>
      <c r="BE674" s="1818"/>
      <c r="BF674" s="1818"/>
      <c r="BG674" s="1818"/>
      <c r="BH674" s="1818"/>
      <c r="BI674" s="1818"/>
      <c r="BJ674" s="1818"/>
      <c r="BK674" s="1818"/>
      <c r="BL674" s="1818"/>
      <c r="BM674" s="1818"/>
      <c r="BN674" s="1818"/>
      <c r="BO674" s="1818"/>
      <c r="BP674" s="1818"/>
      <c r="BQ674" s="1818"/>
      <c r="BR674" s="1818"/>
      <c r="BS674" s="1818"/>
      <c r="BT674" s="1818"/>
      <c r="BU674" s="1818"/>
      <c r="BV674" s="1818"/>
      <c r="BW674" s="1818"/>
      <c r="BX674" s="1818"/>
      <c r="BY674" s="1818"/>
      <c r="BZ674" s="1818"/>
      <c r="CA674" s="1890"/>
      <c r="CB674" s="1890"/>
      <c r="CC674" s="1890"/>
      <c r="CD674" s="1890"/>
      <c r="CE674" s="1890"/>
      <c r="CF674" s="1890"/>
      <c r="CG674" s="1890"/>
      <c r="CH674" s="1890"/>
      <c r="CI674" s="1890"/>
      <c r="CJ674" s="1890"/>
      <c r="CK674" s="1890"/>
      <c r="CL674" s="1890"/>
      <c r="CM674" s="1890"/>
      <c r="CN674" s="1890"/>
      <c r="CO674" s="1890"/>
      <c r="CP674" s="1890"/>
      <c r="CQ674" s="1890"/>
      <c r="CR674" s="1890"/>
      <c r="CS674" s="1890"/>
      <c r="CT674" s="1890"/>
      <c r="CU674" s="1890"/>
      <c r="CV674" s="1890"/>
      <c r="CW674" s="1890"/>
      <c r="CX674" s="1890"/>
      <c r="CY674" s="1890"/>
      <c r="CZ674" s="1890"/>
      <c r="DA674" s="1890"/>
      <c r="DB674" s="1890"/>
      <c r="DC674" s="1890"/>
      <c r="DD674" s="1890"/>
      <c r="DE674" s="1890"/>
      <c r="DF674" s="1890"/>
      <c r="DG674" s="1890"/>
      <c r="DH674" s="1890"/>
      <c r="DI674" s="1890"/>
      <c r="DJ674" s="1890"/>
      <c r="DK674" s="1890"/>
      <c r="DL674" s="1890"/>
      <c r="DM674" s="1890"/>
      <c r="DN674" s="1890"/>
      <c r="DO674" s="1890"/>
      <c r="DP674" s="1890"/>
      <c r="DQ674" s="1890"/>
      <c r="DR674" s="1890"/>
      <c r="DS674" s="1890"/>
      <c r="DT674" s="1890"/>
      <c r="DU674" s="1890"/>
      <c r="DV674" s="1890"/>
      <c r="DW674" s="1890"/>
      <c r="DX674" s="1890"/>
      <c r="DY674" s="1890"/>
      <c r="DZ674" s="1890"/>
      <c r="EA674" s="1890"/>
      <c r="EB674" s="1890"/>
      <c r="EC674" s="1890"/>
      <c r="ED674" s="1890"/>
      <c r="EE674" s="1890"/>
      <c r="EF674" s="1890"/>
      <c r="EG674" s="1890"/>
      <c r="EH674" s="1890"/>
      <c r="EI674" s="1890"/>
      <c r="EJ674" s="1890"/>
      <c r="EK674" s="1890"/>
      <c r="EL674" s="1890"/>
      <c r="EM674" s="1890"/>
      <c r="EN674" s="1890"/>
      <c r="EO674" s="1890"/>
      <c r="EP674" s="1890"/>
      <c r="EQ674" s="1890"/>
      <c r="ER674" s="1890"/>
      <c r="ES674" s="1890"/>
      <c r="ET674" s="1890"/>
      <c r="EU674" s="1890"/>
      <c r="EV674" s="1890"/>
      <c r="EW674" s="1890"/>
      <c r="EX674" s="1890"/>
      <c r="EY674" s="1890"/>
      <c r="EZ674" s="1890"/>
      <c r="FA674" s="1890"/>
      <c r="FB674" s="1890"/>
      <c r="FC674" s="1890"/>
      <c r="FD674" s="1890"/>
      <c r="FE674" s="1890"/>
      <c r="FF674" s="1890"/>
      <c r="FG674" s="1890"/>
      <c r="FH674" s="1890"/>
      <c r="FI674" s="1890"/>
      <c r="FJ674" s="1890"/>
      <c r="FK674" s="1890"/>
      <c r="FL674" s="1890"/>
      <c r="FM674" s="1890"/>
      <c r="FN674" s="1890"/>
      <c r="FO674" s="1890"/>
      <c r="FP674" s="1890"/>
      <c r="FQ674" s="1890"/>
      <c r="FR674" s="1890"/>
      <c r="FS674" s="1890"/>
      <c r="FT674" s="1890"/>
    </row>
    <row r="675" spans="1:176" s="1965" customFormat="1" ht="32.1" customHeight="1">
      <c r="A675" s="1899"/>
      <c r="B675" s="1804" t="s">
        <v>569</v>
      </c>
      <c r="C675" s="1837">
        <v>0</v>
      </c>
      <c r="D675" s="1846">
        <v>1</v>
      </c>
      <c r="E675" s="1829">
        <v>0</v>
      </c>
      <c r="F675" s="1829">
        <v>0</v>
      </c>
      <c r="G675" s="1837">
        <v>0</v>
      </c>
      <c r="H675" s="1850">
        <v>0.5</v>
      </c>
      <c r="I675" s="2073" t="s">
        <v>722</v>
      </c>
      <c r="J675" s="2053">
        <v>0</v>
      </c>
      <c r="K675" s="1794" t="s">
        <v>811</v>
      </c>
      <c r="L675" s="1915">
        <v>0</v>
      </c>
      <c r="M675" s="2023" t="s">
        <v>6226</v>
      </c>
      <c r="N675" s="1914" t="s">
        <v>2375</v>
      </c>
      <c r="O675" s="1915" t="s">
        <v>5840</v>
      </c>
      <c r="P675" s="1915"/>
      <c r="Q675" s="1915"/>
      <c r="R675" s="2192"/>
      <c r="S675" s="2248" t="s">
        <v>8236</v>
      </c>
      <c r="T675" s="1915" t="s">
        <v>7774</v>
      </c>
      <c r="U675" s="1915" t="s">
        <v>748</v>
      </c>
      <c r="V675" s="2023" t="s">
        <v>8028</v>
      </c>
      <c r="W675" s="1914"/>
      <c r="X675" s="1915" t="s">
        <v>5840</v>
      </c>
      <c r="Y675" s="1818"/>
      <c r="Z675" s="1818"/>
      <c r="AA675" s="1818"/>
      <c r="AB675" s="1818"/>
      <c r="AC675" s="1818"/>
      <c r="AD675" s="1818"/>
      <c r="AE675" s="1818"/>
      <c r="AF675" s="1818"/>
      <c r="AG675" s="1818"/>
      <c r="AH675" s="1818"/>
      <c r="AI675" s="1818"/>
      <c r="AJ675" s="1818"/>
      <c r="AK675" s="1818"/>
      <c r="AL675" s="1818"/>
      <c r="AM675" s="1818"/>
      <c r="AN675" s="1818"/>
      <c r="AO675" s="1818"/>
      <c r="AP675" s="1818"/>
      <c r="AQ675" s="1818"/>
      <c r="AR675" s="1818"/>
      <c r="AS675" s="1818"/>
      <c r="AT675" s="1818"/>
      <c r="AU675" s="1818"/>
      <c r="AV675" s="1818"/>
      <c r="AW675" s="1818"/>
      <c r="AX675" s="1818"/>
      <c r="AY675" s="1818"/>
      <c r="AZ675" s="1818"/>
      <c r="BA675" s="1818"/>
      <c r="BB675" s="1818"/>
      <c r="BC675" s="1818"/>
      <c r="BD675" s="1818"/>
      <c r="BE675" s="1818"/>
      <c r="BF675" s="1818"/>
      <c r="BG675" s="1818"/>
      <c r="BH675" s="1818"/>
      <c r="BI675" s="1818"/>
      <c r="BJ675" s="1818"/>
      <c r="BK675" s="1818"/>
      <c r="BL675" s="1818"/>
      <c r="BM675" s="1818"/>
      <c r="BN675" s="1818"/>
      <c r="BO675" s="1818"/>
      <c r="BP675" s="1818"/>
      <c r="BQ675" s="1818"/>
      <c r="BR675" s="1818"/>
      <c r="BS675" s="1818"/>
      <c r="BT675" s="1818"/>
      <c r="BU675" s="1818"/>
      <c r="BV675" s="1818"/>
      <c r="BW675" s="1818"/>
      <c r="BX675" s="1818"/>
      <c r="BY675" s="1818"/>
      <c r="BZ675" s="1818"/>
      <c r="CA675" s="1890"/>
      <c r="CB675" s="1890"/>
      <c r="CC675" s="1890"/>
      <c r="CD675" s="1890"/>
      <c r="CE675" s="1890"/>
      <c r="CF675" s="1890"/>
      <c r="CG675" s="1890"/>
      <c r="CH675" s="1890"/>
      <c r="CI675" s="1890"/>
      <c r="CJ675" s="1890"/>
      <c r="CK675" s="1890"/>
      <c r="CL675" s="1890"/>
      <c r="CM675" s="1890"/>
      <c r="CN675" s="1890"/>
      <c r="CO675" s="1890"/>
      <c r="CP675" s="1890"/>
      <c r="CQ675" s="1890"/>
      <c r="CR675" s="1890"/>
      <c r="CS675" s="1890"/>
      <c r="CT675" s="1890"/>
      <c r="CU675" s="1890"/>
      <c r="CV675" s="1890"/>
      <c r="CW675" s="1890"/>
      <c r="CX675" s="1890"/>
      <c r="CY675" s="1890"/>
      <c r="CZ675" s="1890"/>
      <c r="DA675" s="1890"/>
      <c r="DB675" s="1890"/>
      <c r="DC675" s="1890"/>
      <c r="DD675" s="1890"/>
      <c r="DE675" s="1890"/>
      <c r="DF675" s="1890"/>
      <c r="DG675" s="1890"/>
      <c r="DH675" s="1890"/>
      <c r="DI675" s="1890"/>
      <c r="DJ675" s="1890"/>
      <c r="DK675" s="1890"/>
      <c r="DL675" s="1890"/>
      <c r="DM675" s="1890"/>
      <c r="DN675" s="1890"/>
      <c r="DO675" s="1890"/>
      <c r="DP675" s="1890"/>
      <c r="DQ675" s="1890"/>
      <c r="DR675" s="1890"/>
      <c r="DS675" s="1890"/>
      <c r="DT675" s="1890"/>
      <c r="DU675" s="1890"/>
      <c r="DV675" s="1890"/>
      <c r="DW675" s="1890"/>
      <c r="DX675" s="1890"/>
      <c r="DY675" s="1890"/>
      <c r="DZ675" s="1890"/>
      <c r="EA675" s="1890"/>
      <c r="EB675" s="1890"/>
      <c r="EC675" s="1890"/>
      <c r="ED675" s="1890"/>
      <c r="EE675" s="1890"/>
      <c r="EF675" s="1890"/>
      <c r="EG675" s="1890"/>
      <c r="EH675" s="1890"/>
      <c r="EI675" s="1890"/>
      <c r="EJ675" s="1890"/>
      <c r="EK675" s="1890"/>
      <c r="EL675" s="1890"/>
      <c r="EM675" s="1890"/>
      <c r="EN675" s="1890"/>
      <c r="EO675" s="1890"/>
      <c r="EP675" s="1890"/>
      <c r="EQ675" s="1890"/>
      <c r="ER675" s="1890"/>
      <c r="ES675" s="1890"/>
      <c r="ET675" s="1890"/>
      <c r="EU675" s="1890"/>
      <c r="EV675" s="1890"/>
      <c r="EW675" s="1890"/>
      <c r="EX675" s="1890"/>
      <c r="EY675" s="1890"/>
      <c r="EZ675" s="1890"/>
      <c r="FA675" s="1890"/>
      <c r="FB675" s="1890"/>
      <c r="FC675" s="1890"/>
      <c r="FD675" s="1890"/>
      <c r="FE675" s="1890"/>
      <c r="FF675" s="1890"/>
      <c r="FG675" s="1890"/>
      <c r="FH675" s="1890"/>
      <c r="FI675" s="1890"/>
      <c r="FJ675" s="1890"/>
      <c r="FK675" s="1890"/>
      <c r="FL675" s="1890"/>
      <c r="FM675" s="1890"/>
      <c r="FN675" s="1890"/>
      <c r="FO675" s="1890"/>
      <c r="FP675" s="1890"/>
      <c r="FQ675" s="1890"/>
      <c r="FR675" s="1890"/>
      <c r="FS675" s="1890"/>
      <c r="FT675" s="1890"/>
    </row>
    <row r="676" spans="1:176" s="1965" customFormat="1" ht="92.25" customHeight="1">
      <c r="A676" s="1899"/>
      <c r="B676" s="1804" t="s">
        <v>711</v>
      </c>
      <c r="C676" s="1837">
        <v>0</v>
      </c>
      <c r="D676" s="1846">
        <v>1</v>
      </c>
      <c r="E676" s="1829">
        <v>0</v>
      </c>
      <c r="F676" s="1829">
        <v>0</v>
      </c>
      <c r="G676" s="1829">
        <v>0</v>
      </c>
      <c r="H676" s="1850">
        <v>0</v>
      </c>
      <c r="I676" s="2073" t="s">
        <v>38</v>
      </c>
      <c r="J676" s="2053">
        <v>0.5</v>
      </c>
      <c r="K676" s="1794" t="s">
        <v>811</v>
      </c>
      <c r="L676" s="1915" t="s">
        <v>1073</v>
      </c>
      <c r="M676" s="2023" t="s">
        <v>6226</v>
      </c>
      <c r="N676" s="1915" t="s">
        <v>5556</v>
      </c>
      <c r="O676" s="1915" t="s">
        <v>5839</v>
      </c>
      <c r="P676" s="1915"/>
      <c r="Q676" s="1915"/>
      <c r="R676" s="2192"/>
      <c r="S676" s="2248" t="s">
        <v>8237</v>
      </c>
      <c r="T676" s="1915" t="s">
        <v>7775</v>
      </c>
      <c r="U676" s="1915" t="s">
        <v>6029</v>
      </c>
      <c r="V676" s="2023" t="s">
        <v>8028</v>
      </c>
      <c r="W676" s="1915"/>
      <c r="X676" s="1915" t="s">
        <v>5839</v>
      </c>
      <c r="Y676" s="1818"/>
      <c r="Z676" s="1818"/>
      <c r="AA676" s="1818"/>
      <c r="AB676" s="1818"/>
      <c r="AC676" s="1818"/>
      <c r="AD676" s="1818"/>
      <c r="AE676" s="1818"/>
      <c r="AF676" s="1818"/>
      <c r="AG676" s="1818"/>
      <c r="AH676" s="1818"/>
      <c r="AI676" s="1818"/>
      <c r="AJ676" s="1818"/>
      <c r="AK676" s="1818"/>
      <c r="AL676" s="1818"/>
      <c r="AM676" s="1818"/>
      <c r="AN676" s="1818"/>
      <c r="AO676" s="1818"/>
      <c r="AP676" s="1818"/>
      <c r="AQ676" s="1818"/>
      <c r="AR676" s="1818"/>
      <c r="AS676" s="1818"/>
      <c r="AT676" s="1818"/>
      <c r="AU676" s="1818"/>
      <c r="AV676" s="1818"/>
      <c r="AW676" s="1818"/>
      <c r="AX676" s="1818"/>
      <c r="AY676" s="1818"/>
      <c r="AZ676" s="1818"/>
      <c r="BA676" s="1818"/>
      <c r="BB676" s="1818"/>
      <c r="BC676" s="1818"/>
      <c r="BD676" s="1818"/>
      <c r="BE676" s="1818"/>
      <c r="BF676" s="1818"/>
      <c r="BG676" s="1818"/>
      <c r="BH676" s="1818"/>
      <c r="BI676" s="1818"/>
      <c r="BJ676" s="1818"/>
      <c r="BK676" s="1818"/>
      <c r="BL676" s="1818"/>
      <c r="BM676" s="1818"/>
      <c r="BN676" s="1818"/>
      <c r="BO676" s="1818"/>
      <c r="BP676" s="1818"/>
      <c r="BQ676" s="1818"/>
      <c r="BR676" s="1818"/>
      <c r="BS676" s="1818"/>
      <c r="BT676" s="1818"/>
      <c r="BU676" s="1818"/>
      <c r="BV676" s="1818"/>
      <c r="BW676" s="1818"/>
      <c r="BX676" s="1818"/>
      <c r="BY676" s="1818"/>
      <c r="BZ676" s="1818"/>
      <c r="CA676" s="1890"/>
      <c r="CB676" s="1890"/>
      <c r="CC676" s="1890"/>
      <c r="CD676" s="1890"/>
      <c r="CE676" s="1890"/>
      <c r="CF676" s="1890"/>
      <c r="CG676" s="1890"/>
      <c r="CH676" s="1890"/>
      <c r="CI676" s="1890"/>
      <c r="CJ676" s="1890"/>
      <c r="CK676" s="1890"/>
      <c r="CL676" s="1890"/>
      <c r="CM676" s="1890"/>
      <c r="CN676" s="1890"/>
      <c r="CO676" s="1890"/>
      <c r="CP676" s="1890"/>
      <c r="CQ676" s="1890"/>
      <c r="CR676" s="1890"/>
      <c r="CS676" s="1890"/>
      <c r="CT676" s="1890"/>
      <c r="CU676" s="1890"/>
      <c r="CV676" s="1890"/>
      <c r="CW676" s="1890"/>
      <c r="CX676" s="1890"/>
      <c r="CY676" s="1890"/>
      <c r="CZ676" s="1890"/>
      <c r="DA676" s="1890"/>
      <c r="DB676" s="1890"/>
      <c r="DC676" s="1890"/>
      <c r="DD676" s="1890"/>
      <c r="DE676" s="1890"/>
      <c r="DF676" s="1890"/>
      <c r="DG676" s="1890"/>
      <c r="DH676" s="1890"/>
      <c r="DI676" s="1890"/>
      <c r="DJ676" s="1890"/>
      <c r="DK676" s="1890"/>
      <c r="DL676" s="1890"/>
      <c r="DM676" s="1890"/>
      <c r="DN676" s="1890"/>
      <c r="DO676" s="1890"/>
      <c r="DP676" s="1890"/>
      <c r="DQ676" s="1890"/>
      <c r="DR676" s="1890"/>
      <c r="DS676" s="1890"/>
      <c r="DT676" s="1890"/>
      <c r="DU676" s="1890"/>
      <c r="DV676" s="1890"/>
      <c r="DW676" s="1890"/>
      <c r="DX676" s="1890"/>
      <c r="DY676" s="1890"/>
      <c r="DZ676" s="1890"/>
      <c r="EA676" s="1890"/>
      <c r="EB676" s="1890"/>
      <c r="EC676" s="1890"/>
      <c r="ED676" s="1890"/>
      <c r="EE676" s="1890"/>
      <c r="EF676" s="1890"/>
      <c r="EG676" s="1890"/>
      <c r="EH676" s="1890"/>
      <c r="EI676" s="1890"/>
      <c r="EJ676" s="1890"/>
      <c r="EK676" s="1890"/>
      <c r="EL676" s="1890"/>
      <c r="EM676" s="1890"/>
      <c r="EN676" s="1890"/>
      <c r="EO676" s="1890"/>
      <c r="EP676" s="1890"/>
      <c r="EQ676" s="1890"/>
      <c r="ER676" s="1890"/>
      <c r="ES676" s="1890"/>
      <c r="ET676" s="1890"/>
      <c r="EU676" s="1890"/>
      <c r="EV676" s="1890"/>
      <c r="EW676" s="1890"/>
      <c r="EX676" s="1890"/>
      <c r="EY676" s="1890"/>
      <c r="EZ676" s="1890"/>
      <c r="FA676" s="1890"/>
      <c r="FB676" s="1890"/>
      <c r="FC676" s="1890"/>
      <c r="FD676" s="1890"/>
      <c r="FE676" s="1890"/>
      <c r="FF676" s="1890"/>
      <c r="FG676" s="1890"/>
      <c r="FH676" s="1890"/>
      <c r="FI676" s="1890"/>
      <c r="FJ676" s="1890"/>
      <c r="FK676" s="1890"/>
      <c r="FL676" s="1890"/>
      <c r="FM676" s="1890"/>
      <c r="FN676" s="1890"/>
      <c r="FO676" s="1890"/>
      <c r="FP676" s="1890"/>
      <c r="FQ676" s="1890"/>
      <c r="FR676" s="1890"/>
      <c r="FS676" s="1890"/>
      <c r="FT676" s="1890"/>
    </row>
    <row r="677" spans="1:176" s="1965" customFormat="1" ht="89.25" customHeight="1">
      <c r="A677" s="1899"/>
      <c r="B677" s="1804" t="s">
        <v>712</v>
      </c>
      <c r="C677" s="1837">
        <v>0.5</v>
      </c>
      <c r="D677" s="1846">
        <v>1</v>
      </c>
      <c r="E677" s="1829">
        <v>0</v>
      </c>
      <c r="F677" s="1829">
        <v>1</v>
      </c>
      <c r="G677" s="1837">
        <v>1</v>
      </c>
      <c r="H677" s="1850">
        <v>0</v>
      </c>
      <c r="I677" s="2073" t="s">
        <v>722</v>
      </c>
      <c r="J677" s="2053">
        <v>0.5</v>
      </c>
      <c r="K677" s="1794" t="s">
        <v>811</v>
      </c>
      <c r="L677" s="1915">
        <v>0</v>
      </c>
      <c r="M677" s="2023" t="s">
        <v>6226</v>
      </c>
      <c r="N677" s="1914" t="s">
        <v>2379</v>
      </c>
      <c r="O677" s="1915" t="s">
        <v>5839</v>
      </c>
      <c r="P677" s="1915"/>
      <c r="Q677" s="1915"/>
      <c r="R677" s="2192"/>
      <c r="S677" s="2248" t="s">
        <v>8238</v>
      </c>
      <c r="T677" s="1915" t="s">
        <v>7776</v>
      </c>
      <c r="U677" s="1915" t="s">
        <v>748</v>
      </c>
      <c r="V677" s="2023" t="s">
        <v>8028</v>
      </c>
      <c r="W677" s="1914"/>
      <c r="X677" s="1915" t="s">
        <v>5839</v>
      </c>
      <c r="Y677" s="1818"/>
      <c r="Z677" s="1818"/>
      <c r="AA677" s="1818"/>
      <c r="AB677" s="1818"/>
      <c r="AC677" s="1818"/>
      <c r="AD677" s="1818"/>
      <c r="AE677" s="1818"/>
      <c r="AF677" s="1818"/>
      <c r="AG677" s="1818"/>
      <c r="AH677" s="1818"/>
      <c r="AI677" s="1818"/>
      <c r="AJ677" s="1818"/>
      <c r="AK677" s="1818"/>
      <c r="AL677" s="1818"/>
      <c r="AM677" s="1818"/>
      <c r="AN677" s="1818"/>
      <c r="AO677" s="1818"/>
      <c r="AP677" s="1818"/>
      <c r="AQ677" s="1818"/>
      <c r="AR677" s="1818"/>
      <c r="AS677" s="1818"/>
      <c r="AT677" s="1818"/>
      <c r="AU677" s="1818"/>
      <c r="AV677" s="1818"/>
      <c r="AW677" s="1818"/>
      <c r="AX677" s="1818"/>
      <c r="AY677" s="1818"/>
      <c r="AZ677" s="1818"/>
      <c r="BA677" s="1818"/>
      <c r="BB677" s="1818"/>
      <c r="BC677" s="1818"/>
      <c r="BD677" s="1818"/>
      <c r="BE677" s="1818"/>
      <c r="BF677" s="1818"/>
      <c r="BG677" s="1818"/>
      <c r="BH677" s="1818"/>
      <c r="BI677" s="1818"/>
      <c r="BJ677" s="1818"/>
      <c r="BK677" s="1818"/>
      <c r="BL677" s="1818"/>
      <c r="BM677" s="1818"/>
      <c r="BN677" s="1818"/>
      <c r="BO677" s="1818"/>
      <c r="BP677" s="1818"/>
      <c r="BQ677" s="1818"/>
      <c r="BR677" s="1818"/>
      <c r="BS677" s="1818"/>
      <c r="BT677" s="1818"/>
      <c r="BU677" s="1818"/>
      <c r="BV677" s="1818"/>
      <c r="BW677" s="1818"/>
      <c r="BX677" s="1818"/>
      <c r="BY677" s="1818"/>
      <c r="BZ677" s="1818"/>
      <c r="CA677" s="1890"/>
      <c r="CB677" s="1890"/>
      <c r="CC677" s="1890"/>
      <c r="CD677" s="1890"/>
      <c r="CE677" s="1890"/>
      <c r="CF677" s="1890"/>
      <c r="CG677" s="1890"/>
      <c r="CH677" s="1890"/>
      <c r="CI677" s="1890"/>
      <c r="CJ677" s="1890"/>
      <c r="CK677" s="1890"/>
      <c r="CL677" s="1890"/>
      <c r="CM677" s="1890"/>
      <c r="CN677" s="1890"/>
      <c r="CO677" s="1890"/>
      <c r="CP677" s="1890"/>
      <c r="CQ677" s="1890"/>
      <c r="CR677" s="1890"/>
      <c r="CS677" s="1890"/>
      <c r="CT677" s="1890"/>
      <c r="CU677" s="1890"/>
      <c r="CV677" s="1890"/>
      <c r="CW677" s="1890"/>
      <c r="CX677" s="1890"/>
      <c r="CY677" s="1890"/>
      <c r="CZ677" s="1890"/>
      <c r="DA677" s="1890"/>
      <c r="DB677" s="1890"/>
      <c r="DC677" s="1890"/>
      <c r="DD677" s="1890"/>
      <c r="DE677" s="1890"/>
      <c r="DF677" s="1890"/>
      <c r="DG677" s="1890"/>
      <c r="DH677" s="1890"/>
      <c r="DI677" s="1890"/>
      <c r="DJ677" s="1890"/>
      <c r="DK677" s="1890"/>
      <c r="DL677" s="1890"/>
      <c r="DM677" s="1890"/>
      <c r="DN677" s="1890"/>
      <c r="DO677" s="1890"/>
      <c r="DP677" s="1890"/>
      <c r="DQ677" s="1890"/>
      <c r="DR677" s="1890"/>
      <c r="DS677" s="1890"/>
      <c r="DT677" s="1890"/>
      <c r="DU677" s="1890"/>
      <c r="DV677" s="1890"/>
      <c r="DW677" s="1890"/>
      <c r="DX677" s="1890"/>
      <c r="DY677" s="1890"/>
      <c r="DZ677" s="1890"/>
      <c r="EA677" s="1890"/>
      <c r="EB677" s="1890"/>
      <c r="EC677" s="1890"/>
      <c r="ED677" s="1890"/>
      <c r="EE677" s="1890"/>
      <c r="EF677" s="1890"/>
      <c r="EG677" s="1890"/>
      <c r="EH677" s="1890"/>
      <c r="EI677" s="1890"/>
      <c r="EJ677" s="1890"/>
      <c r="EK677" s="1890"/>
      <c r="EL677" s="1890"/>
      <c r="EM677" s="1890"/>
      <c r="EN677" s="1890"/>
      <c r="EO677" s="1890"/>
      <c r="EP677" s="1890"/>
      <c r="EQ677" s="1890"/>
      <c r="ER677" s="1890"/>
      <c r="ES677" s="1890"/>
      <c r="ET677" s="1890"/>
      <c r="EU677" s="1890"/>
      <c r="EV677" s="1890"/>
      <c r="EW677" s="1890"/>
      <c r="EX677" s="1890"/>
      <c r="EY677" s="1890"/>
      <c r="EZ677" s="1890"/>
      <c r="FA677" s="1890"/>
      <c r="FB677" s="1890"/>
      <c r="FC677" s="1890"/>
      <c r="FD677" s="1890"/>
      <c r="FE677" s="1890"/>
      <c r="FF677" s="1890"/>
      <c r="FG677" s="1890"/>
      <c r="FH677" s="1890"/>
      <c r="FI677" s="1890"/>
      <c r="FJ677" s="1890"/>
      <c r="FK677" s="1890"/>
      <c r="FL677" s="1890"/>
      <c r="FM677" s="1890"/>
      <c r="FN677" s="1890"/>
      <c r="FO677" s="1890"/>
      <c r="FP677" s="1890"/>
      <c r="FQ677" s="1890"/>
      <c r="FR677" s="1890"/>
      <c r="FS677" s="1890"/>
      <c r="FT677" s="1890"/>
    </row>
    <row r="678" spans="1:176" s="1965" customFormat="1" ht="32.1" customHeight="1">
      <c r="A678" s="2500"/>
      <c r="B678" s="2059" t="s">
        <v>723</v>
      </c>
      <c r="C678" s="2060">
        <f>AVERAGE(C679:C682)</f>
        <v>0.875</v>
      </c>
      <c r="D678" s="2060">
        <f t="shared" ref="D678:H678" si="173">AVERAGE(D679:D682)</f>
        <v>0.125</v>
      </c>
      <c r="E678" s="2060">
        <f t="shared" si="173"/>
        <v>0.125</v>
      </c>
      <c r="F678" s="2060">
        <f t="shared" si="173"/>
        <v>0.5</v>
      </c>
      <c r="G678" s="2060">
        <f t="shared" si="173"/>
        <v>0.375</v>
      </c>
      <c r="H678" s="2060">
        <f t="shared" si="173"/>
        <v>0</v>
      </c>
      <c r="I678" s="2073" t="s">
        <v>724</v>
      </c>
      <c r="J678" s="2239"/>
      <c r="K678" s="1911"/>
      <c r="L678" s="1911"/>
      <c r="M678" s="1912"/>
      <c r="N678" s="1911"/>
      <c r="O678" s="1911"/>
      <c r="P678" s="1911"/>
      <c r="Q678" s="1911"/>
      <c r="R678" s="2138"/>
      <c r="S678" s="2250"/>
      <c r="T678" s="1911"/>
      <c r="U678" s="1911"/>
      <c r="V678" s="1912"/>
      <c r="W678" s="1911"/>
      <c r="X678" s="1911"/>
      <c r="Y678" s="1818"/>
      <c r="Z678" s="1818"/>
      <c r="AA678" s="1818"/>
      <c r="AB678" s="1818"/>
      <c r="AC678" s="1818"/>
      <c r="AD678" s="1818"/>
      <c r="AE678" s="1818"/>
      <c r="AF678" s="1818"/>
      <c r="AG678" s="1818"/>
      <c r="AH678" s="1818"/>
      <c r="AI678" s="1818"/>
      <c r="AJ678" s="1818"/>
      <c r="AK678" s="1818"/>
      <c r="AL678" s="1818"/>
      <c r="AM678" s="1818"/>
      <c r="AN678" s="1818"/>
      <c r="AO678" s="1818"/>
      <c r="AP678" s="1818"/>
      <c r="AQ678" s="1818"/>
      <c r="AR678" s="1818"/>
      <c r="AS678" s="1818"/>
      <c r="AT678" s="1818"/>
      <c r="AU678" s="1818"/>
      <c r="AV678" s="1818"/>
      <c r="AW678" s="1818"/>
      <c r="AX678" s="1818"/>
      <c r="AY678" s="1818"/>
      <c r="AZ678" s="1818"/>
      <c r="BA678" s="1818"/>
      <c r="BB678" s="1818"/>
      <c r="BC678" s="1818"/>
      <c r="BD678" s="1818"/>
      <c r="BE678" s="1818"/>
      <c r="BF678" s="1818"/>
      <c r="BG678" s="1818"/>
      <c r="BH678" s="1818"/>
      <c r="BI678" s="1818"/>
      <c r="BJ678" s="1818"/>
      <c r="BK678" s="1818"/>
      <c r="BL678" s="1818"/>
      <c r="BM678" s="1818"/>
      <c r="BN678" s="1818"/>
      <c r="BO678" s="1818"/>
      <c r="BP678" s="1818"/>
      <c r="BQ678" s="1818"/>
      <c r="BR678" s="1818"/>
      <c r="BS678" s="1818"/>
      <c r="BT678" s="1818"/>
      <c r="BU678" s="1818"/>
      <c r="BV678" s="1818"/>
      <c r="BW678" s="1818"/>
      <c r="BX678" s="1818"/>
      <c r="BY678" s="1818"/>
      <c r="BZ678" s="1818"/>
      <c r="CA678" s="1890"/>
      <c r="CB678" s="1890"/>
      <c r="CC678" s="1890"/>
      <c r="CD678" s="1890"/>
      <c r="CE678" s="1890"/>
      <c r="CF678" s="1890"/>
      <c r="CG678" s="1890"/>
      <c r="CH678" s="1890"/>
      <c r="CI678" s="1890"/>
      <c r="CJ678" s="1890"/>
      <c r="CK678" s="1890"/>
      <c r="CL678" s="1890"/>
      <c r="CM678" s="1890"/>
      <c r="CN678" s="1890"/>
      <c r="CO678" s="1890"/>
      <c r="CP678" s="1890"/>
      <c r="CQ678" s="1890"/>
      <c r="CR678" s="1890"/>
      <c r="CS678" s="1890"/>
      <c r="CT678" s="1890"/>
      <c r="CU678" s="1890"/>
      <c r="CV678" s="1890"/>
      <c r="CW678" s="1890"/>
      <c r="CX678" s="1890"/>
      <c r="CY678" s="1890"/>
      <c r="CZ678" s="1890"/>
      <c r="DA678" s="1890"/>
      <c r="DB678" s="1890"/>
      <c r="DC678" s="1890"/>
      <c r="DD678" s="1890"/>
      <c r="DE678" s="1890"/>
      <c r="DF678" s="1890"/>
      <c r="DG678" s="1890"/>
      <c r="DH678" s="1890"/>
      <c r="DI678" s="1890"/>
      <c r="DJ678" s="1890"/>
      <c r="DK678" s="1890"/>
      <c r="DL678" s="1890"/>
      <c r="DM678" s="1890"/>
      <c r="DN678" s="1890"/>
      <c r="DO678" s="1890"/>
      <c r="DP678" s="1890"/>
      <c r="DQ678" s="1890"/>
      <c r="DR678" s="1890"/>
      <c r="DS678" s="1890"/>
      <c r="DT678" s="1890"/>
      <c r="DU678" s="1890"/>
      <c r="DV678" s="1890"/>
      <c r="DW678" s="1890"/>
      <c r="DX678" s="1890"/>
      <c r="DY678" s="1890"/>
      <c r="DZ678" s="1890"/>
      <c r="EA678" s="1890"/>
      <c r="EB678" s="1890"/>
      <c r="EC678" s="1890"/>
      <c r="ED678" s="1890"/>
      <c r="EE678" s="1890"/>
      <c r="EF678" s="1890"/>
      <c r="EG678" s="1890"/>
      <c r="EH678" s="1890"/>
      <c r="EI678" s="1890"/>
      <c r="EJ678" s="1890"/>
      <c r="EK678" s="1890"/>
      <c r="EL678" s="1890"/>
      <c r="EM678" s="1890"/>
      <c r="EN678" s="1890"/>
      <c r="EO678" s="1890"/>
      <c r="EP678" s="1890"/>
      <c r="EQ678" s="1890"/>
      <c r="ER678" s="1890"/>
      <c r="ES678" s="1890"/>
      <c r="ET678" s="1890"/>
      <c r="EU678" s="1890"/>
      <c r="EV678" s="1890"/>
      <c r="EW678" s="1890"/>
      <c r="EX678" s="1890"/>
      <c r="EY678" s="1890"/>
      <c r="EZ678" s="1890"/>
      <c r="FA678" s="1890"/>
      <c r="FB678" s="1890"/>
      <c r="FC678" s="1890"/>
      <c r="FD678" s="1890"/>
      <c r="FE678" s="1890"/>
      <c r="FF678" s="1890"/>
      <c r="FG678" s="1890"/>
      <c r="FH678" s="1890"/>
      <c r="FI678" s="1890"/>
      <c r="FJ678" s="1890"/>
      <c r="FK678" s="1890"/>
      <c r="FL678" s="1890"/>
      <c r="FM678" s="1890"/>
      <c r="FN678" s="1890"/>
      <c r="FO678" s="1890"/>
      <c r="FP678" s="1890"/>
      <c r="FQ678" s="1890"/>
      <c r="FR678" s="1890"/>
      <c r="FS678" s="1890"/>
      <c r="FT678" s="1890"/>
    </row>
    <row r="679" spans="1:176" s="1965" customFormat="1" ht="32.1" customHeight="1">
      <c r="A679" s="1899"/>
      <c r="B679" s="1804" t="s">
        <v>709</v>
      </c>
      <c r="C679" s="1837">
        <v>1</v>
      </c>
      <c r="D679" s="1846">
        <v>0</v>
      </c>
      <c r="E679" s="1829">
        <v>0</v>
      </c>
      <c r="F679" s="1829">
        <v>0</v>
      </c>
      <c r="G679" s="1829">
        <v>0</v>
      </c>
      <c r="H679" s="1850">
        <v>0</v>
      </c>
      <c r="I679" s="2073" t="s">
        <v>38</v>
      </c>
      <c r="J679" s="2053">
        <v>1</v>
      </c>
      <c r="K679" s="1794" t="s">
        <v>748</v>
      </c>
      <c r="L679" s="1915">
        <v>0</v>
      </c>
      <c r="M679" s="2023" t="s">
        <v>6226</v>
      </c>
      <c r="N679" s="1915" t="s">
        <v>5560</v>
      </c>
      <c r="O679" s="1915" t="s">
        <v>5841</v>
      </c>
      <c r="P679" s="1915"/>
      <c r="Q679" s="1915"/>
      <c r="R679" s="2192"/>
      <c r="S679" s="2248" t="s">
        <v>8239</v>
      </c>
      <c r="T679" s="1915" t="s">
        <v>7777</v>
      </c>
      <c r="U679" s="1915" t="s">
        <v>748</v>
      </c>
      <c r="V679" s="2023" t="s">
        <v>2382</v>
      </c>
      <c r="W679" s="1915"/>
      <c r="X679" s="1915" t="s">
        <v>5841</v>
      </c>
      <c r="Y679" s="1818"/>
      <c r="Z679" s="1818"/>
      <c r="AA679" s="1818"/>
      <c r="AB679" s="1818"/>
      <c r="AC679" s="1818"/>
      <c r="AD679" s="1818"/>
      <c r="AE679" s="1818"/>
      <c r="AF679" s="1818"/>
      <c r="AG679" s="1818"/>
      <c r="AH679" s="1818"/>
      <c r="AI679" s="1818"/>
      <c r="AJ679" s="1818"/>
      <c r="AK679" s="1818"/>
      <c r="AL679" s="1818"/>
      <c r="AM679" s="1818"/>
      <c r="AN679" s="1818"/>
      <c r="AO679" s="1818"/>
      <c r="AP679" s="1818"/>
      <c r="AQ679" s="1818"/>
      <c r="AR679" s="1818"/>
      <c r="AS679" s="1818"/>
      <c r="AT679" s="1818"/>
      <c r="AU679" s="1818"/>
      <c r="AV679" s="1818"/>
      <c r="AW679" s="1818"/>
      <c r="AX679" s="1818"/>
      <c r="AY679" s="1818"/>
      <c r="AZ679" s="1818"/>
      <c r="BA679" s="1818"/>
      <c r="BB679" s="1818"/>
      <c r="BC679" s="1818"/>
      <c r="BD679" s="1818"/>
      <c r="BE679" s="1818"/>
      <c r="BF679" s="1818"/>
      <c r="BG679" s="1818"/>
      <c r="BH679" s="1818"/>
      <c r="BI679" s="1818"/>
      <c r="BJ679" s="1818"/>
      <c r="BK679" s="1818"/>
      <c r="BL679" s="1818"/>
      <c r="BM679" s="1818"/>
      <c r="BN679" s="1818"/>
      <c r="BO679" s="1818"/>
      <c r="BP679" s="1818"/>
      <c r="BQ679" s="1818"/>
      <c r="BR679" s="1818"/>
      <c r="BS679" s="1818"/>
      <c r="BT679" s="1818"/>
      <c r="BU679" s="1818"/>
      <c r="BV679" s="1818"/>
      <c r="BW679" s="1818"/>
      <c r="BX679" s="1818"/>
      <c r="BY679" s="1818"/>
      <c r="BZ679" s="1818"/>
      <c r="CA679" s="1890"/>
      <c r="CB679" s="1890"/>
      <c r="CC679" s="1890"/>
      <c r="CD679" s="1890"/>
      <c r="CE679" s="1890"/>
      <c r="CF679" s="1890"/>
      <c r="CG679" s="1890"/>
      <c r="CH679" s="1890"/>
      <c r="CI679" s="1890"/>
      <c r="CJ679" s="1890"/>
      <c r="CK679" s="1890"/>
      <c r="CL679" s="1890"/>
      <c r="CM679" s="1890"/>
      <c r="CN679" s="1890"/>
      <c r="CO679" s="1890"/>
      <c r="CP679" s="1890"/>
      <c r="CQ679" s="1890"/>
      <c r="CR679" s="1890"/>
      <c r="CS679" s="1890"/>
      <c r="CT679" s="1890"/>
      <c r="CU679" s="1890"/>
      <c r="CV679" s="1890"/>
      <c r="CW679" s="1890"/>
      <c r="CX679" s="1890"/>
      <c r="CY679" s="1890"/>
      <c r="CZ679" s="1890"/>
      <c r="DA679" s="1890"/>
      <c r="DB679" s="1890"/>
      <c r="DC679" s="1890"/>
      <c r="DD679" s="1890"/>
      <c r="DE679" s="1890"/>
      <c r="DF679" s="1890"/>
      <c r="DG679" s="1890"/>
      <c r="DH679" s="1890"/>
      <c r="DI679" s="1890"/>
      <c r="DJ679" s="1890"/>
      <c r="DK679" s="1890"/>
      <c r="DL679" s="1890"/>
      <c r="DM679" s="1890"/>
      <c r="DN679" s="1890"/>
      <c r="DO679" s="1890"/>
      <c r="DP679" s="1890"/>
      <c r="DQ679" s="1890"/>
      <c r="DR679" s="1890"/>
      <c r="DS679" s="1890"/>
      <c r="DT679" s="1890"/>
      <c r="DU679" s="1890"/>
      <c r="DV679" s="1890"/>
      <c r="DW679" s="1890"/>
      <c r="DX679" s="1890"/>
      <c r="DY679" s="1890"/>
      <c r="DZ679" s="1890"/>
      <c r="EA679" s="1890"/>
      <c r="EB679" s="1890"/>
      <c r="EC679" s="1890"/>
      <c r="ED679" s="1890"/>
      <c r="EE679" s="1890"/>
      <c r="EF679" s="1890"/>
      <c r="EG679" s="1890"/>
      <c r="EH679" s="1890"/>
      <c r="EI679" s="1890"/>
      <c r="EJ679" s="1890"/>
      <c r="EK679" s="1890"/>
      <c r="EL679" s="1890"/>
      <c r="EM679" s="1890"/>
      <c r="EN679" s="1890"/>
      <c r="EO679" s="1890"/>
      <c r="EP679" s="1890"/>
      <c r="EQ679" s="1890"/>
      <c r="ER679" s="1890"/>
      <c r="ES679" s="1890"/>
      <c r="ET679" s="1890"/>
      <c r="EU679" s="1890"/>
      <c r="EV679" s="1890"/>
      <c r="EW679" s="1890"/>
      <c r="EX679" s="1890"/>
      <c r="EY679" s="1890"/>
      <c r="EZ679" s="1890"/>
      <c r="FA679" s="1890"/>
      <c r="FB679" s="1890"/>
      <c r="FC679" s="1890"/>
      <c r="FD679" s="1890"/>
      <c r="FE679" s="1890"/>
      <c r="FF679" s="1890"/>
      <c r="FG679" s="1890"/>
      <c r="FH679" s="1890"/>
      <c r="FI679" s="1890"/>
      <c r="FJ679" s="1890"/>
      <c r="FK679" s="1890"/>
      <c r="FL679" s="1890"/>
      <c r="FM679" s="1890"/>
      <c r="FN679" s="1890"/>
      <c r="FO679" s="1890"/>
      <c r="FP679" s="1890"/>
      <c r="FQ679" s="1890"/>
      <c r="FR679" s="1890"/>
      <c r="FS679" s="1890"/>
      <c r="FT679" s="1890"/>
    </row>
    <row r="680" spans="1:176" ht="132" customHeight="1">
      <c r="A680" s="1899"/>
      <c r="B680" s="1804" t="s">
        <v>569</v>
      </c>
      <c r="C680" s="1837">
        <v>0.5</v>
      </c>
      <c r="D680" s="1846">
        <v>0.5</v>
      </c>
      <c r="E680" s="1829">
        <v>0.5</v>
      </c>
      <c r="F680" s="1829">
        <v>0.5</v>
      </c>
      <c r="G680" s="1829">
        <v>0.5</v>
      </c>
      <c r="H680" s="1850">
        <v>0</v>
      </c>
      <c r="I680" s="2073" t="s">
        <v>722</v>
      </c>
      <c r="J680" s="2053">
        <v>1</v>
      </c>
      <c r="K680" s="1915" t="s">
        <v>811</v>
      </c>
      <c r="L680" s="1915">
        <v>1</v>
      </c>
      <c r="M680" s="2023" t="s">
        <v>730</v>
      </c>
      <c r="N680" s="1915" t="s">
        <v>5561</v>
      </c>
      <c r="O680" s="1915" t="s">
        <v>5842</v>
      </c>
      <c r="P680" s="1915"/>
      <c r="Q680" s="1915"/>
      <c r="R680" s="2192"/>
      <c r="S680" s="2248" t="s">
        <v>8239</v>
      </c>
      <c r="T680" s="1915" t="s">
        <v>7778</v>
      </c>
      <c r="U680" s="1915" t="s">
        <v>8541</v>
      </c>
      <c r="V680" s="2023" t="s">
        <v>8029</v>
      </c>
      <c r="W680" s="1915"/>
      <c r="X680" s="1915" t="s">
        <v>5842</v>
      </c>
    </row>
    <row r="681" spans="1:176" ht="32.1" customHeight="1">
      <c r="A681" s="1899"/>
      <c r="B681" s="1804" t="s">
        <v>711</v>
      </c>
      <c r="C681" s="1837">
        <v>1</v>
      </c>
      <c r="D681" s="1846">
        <v>0</v>
      </c>
      <c r="E681" s="1829">
        <v>0</v>
      </c>
      <c r="F681" s="1829">
        <v>1</v>
      </c>
      <c r="G681" s="1829">
        <v>0</v>
      </c>
      <c r="H681" s="1850">
        <v>0</v>
      </c>
      <c r="I681" s="2073" t="s">
        <v>38</v>
      </c>
      <c r="J681" s="2053">
        <v>1</v>
      </c>
      <c r="K681" s="1915" t="s">
        <v>763</v>
      </c>
      <c r="L681" s="1915" t="s">
        <v>1073</v>
      </c>
      <c r="M681" s="2023" t="s">
        <v>730</v>
      </c>
      <c r="N681" s="1915" t="s">
        <v>5556</v>
      </c>
      <c r="O681" s="1915" t="s">
        <v>5843</v>
      </c>
      <c r="P681" s="1915"/>
      <c r="Q681" s="1915"/>
      <c r="R681" s="2192"/>
      <c r="S681" s="2248" t="s">
        <v>8240</v>
      </c>
      <c r="T681" s="1915" t="s">
        <v>7779</v>
      </c>
      <c r="U681" s="1915" t="s">
        <v>6029</v>
      </c>
      <c r="V681" s="2023" t="s">
        <v>8030</v>
      </c>
      <c r="W681" s="1915"/>
      <c r="X681" s="1915" t="s">
        <v>5843</v>
      </c>
    </row>
    <row r="682" spans="1:176" ht="75.95" customHeight="1">
      <c r="A682" s="1899"/>
      <c r="B682" s="1804" t="s">
        <v>712</v>
      </c>
      <c r="C682" s="1837">
        <v>1</v>
      </c>
      <c r="D682" s="1846">
        <v>0</v>
      </c>
      <c r="E682" s="1829">
        <v>0</v>
      </c>
      <c r="F682" s="1829">
        <v>0.5</v>
      </c>
      <c r="G682" s="1829">
        <v>1</v>
      </c>
      <c r="H682" s="1850">
        <v>0</v>
      </c>
      <c r="I682" s="2073" t="s">
        <v>38</v>
      </c>
      <c r="J682" s="2053">
        <v>1</v>
      </c>
      <c r="K682" s="1915" t="s">
        <v>748</v>
      </c>
      <c r="L682" s="1915">
        <v>0</v>
      </c>
      <c r="M682" s="2023" t="s">
        <v>6225</v>
      </c>
      <c r="N682" s="1915" t="s">
        <v>5562</v>
      </c>
      <c r="O682" s="1915" t="s">
        <v>5844</v>
      </c>
      <c r="P682" s="1915"/>
      <c r="Q682" s="1915"/>
      <c r="R682" s="2192"/>
      <c r="S682" s="2248" t="s">
        <v>8241</v>
      </c>
      <c r="T682" s="1915" t="s">
        <v>7780</v>
      </c>
      <c r="U682" s="1915" t="s">
        <v>748</v>
      </c>
      <c r="V682" s="2023" t="s">
        <v>8031</v>
      </c>
      <c r="W682" s="1915"/>
      <c r="X682" s="1915" t="s">
        <v>5844</v>
      </c>
    </row>
    <row r="683" spans="1:176" ht="313.5" customHeight="1">
      <c r="A683" s="1899"/>
      <c r="B683" s="1820" t="s">
        <v>725</v>
      </c>
      <c r="C683" s="1850">
        <f>IF(J683&lt;$P683,1,IF(J683&gt;$Q683,0,(J683-$Q683)/($P683-$Q683)))</f>
        <v>1</v>
      </c>
      <c r="D683" s="1850">
        <f t="shared" ref="D683:H683" si="174">IF(K683&lt;$P683,1,IF(K683&gt;$Q683,0,(K683-$Q683)/($P683-$Q683)))</f>
        <v>1</v>
      </c>
      <c r="E683" s="1850">
        <f t="shared" si="174"/>
        <v>1</v>
      </c>
      <c r="F683" s="1850">
        <f t="shared" si="174"/>
        <v>0</v>
      </c>
      <c r="G683" s="1850">
        <f t="shared" si="174"/>
        <v>0</v>
      </c>
      <c r="H683" s="1850">
        <f t="shared" si="174"/>
        <v>0</v>
      </c>
      <c r="I683" s="2073" t="s">
        <v>5342</v>
      </c>
      <c r="J683" s="2053">
        <f>2588/44</f>
        <v>58.81818181818182</v>
      </c>
      <c r="K683" s="1794">
        <v>707</v>
      </c>
      <c r="L683" s="2010">
        <v>488</v>
      </c>
      <c r="M683" s="1794">
        <v>1630</v>
      </c>
      <c r="N683" s="1914">
        <v>1184</v>
      </c>
      <c r="O683" s="2010">
        <v>2006</v>
      </c>
      <c r="P683" s="2010">
        <f>3330*282772/1000000</f>
        <v>941.63076000000001</v>
      </c>
      <c r="Q683" s="2010">
        <v>948.74429124030848</v>
      </c>
      <c r="R683" s="2193"/>
      <c r="S683" s="2248" t="s">
        <v>8242</v>
      </c>
      <c r="T683" s="1992" t="s">
        <v>7781</v>
      </c>
      <c r="U683" s="1992" t="s">
        <v>8542</v>
      </c>
      <c r="V683" s="1984" t="s">
        <v>8032</v>
      </c>
      <c r="W683" s="1992" t="s">
        <v>8495</v>
      </c>
      <c r="X683" s="1992" t="s">
        <v>9088</v>
      </c>
    </row>
    <row r="684" spans="1:176" ht="96" customHeight="1">
      <c r="A684" s="1899"/>
      <c r="B684" s="1843" t="s">
        <v>727</v>
      </c>
      <c r="C684" s="1837">
        <v>1</v>
      </c>
      <c r="D684" s="1846">
        <v>1</v>
      </c>
      <c r="E684" s="1829">
        <v>1</v>
      </c>
      <c r="F684" s="1846">
        <v>1</v>
      </c>
      <c r="G684" s="1829">
        <v>0.5</v>
      </c>
      <c r="H684" s="1850">
        <v>1</v>
      </c>
      <c r="I684" s="2073" t="s">
        <v>38</v>
      </c>
      <c r="J684" s="2053">
        <v>1</v>
      </c>
      <c r="K684" s="1915" t="s">
        <v>811</v>
      </c>
      <c r="L684" s="1992">
        <v>1</v>
      </c>
      <c r="M684" s="1915">
        <v>1</v>
      </c>
      <c r="N684" s="1992" t="s">
        <v>5564</v>
      </c>
      <c r="O684" s="1992" t="s">
        <v>8955</v>
      </c>
      <c r="P684" s="1992"/>
      <c r="Q684" s="1992"/>
      <c r="R684" s="2193"/>
      <c r="S684" s="2248" t="s">
        <v>8243</v>
      </c>
      <c r="T684" s="1992" t="s">
        <v>7782</v>
      </c>
      <c r="U684" s="1992"/>
      <c r="V684" s="1984" t="s">
        <v>8033</v>
      </c>
      <c r="W684" s="1992"/>
      <c r="X684" s="1992" t="s">
        <v>8955</v>
      </c>
    </row>
    <row r="685" spans="1:176" ht="32.1" customHeight="1" thickBot="1">
      <c r="A685" s="2512"/>
      <c r="B685" s="2481"/>
      <c r="C685" s="2463"/>
      <c r="D685" s="2463"/>
      <c r="E685" s="2463"/>
      <c r="F685" s="2463"/>
      <c r="G685" s="2463"/>
      <c r="H685" s="2463"/>
      <c r="I685" s="2482"/>
      <c r="J685" s="2483"/>
      <c r="K685" s="2484"/>
      <c r="L685" s="2484"/>
      <c r="M685" s="2485"/>
      <c r="N685" s="2465"/>
      <c r="O685" s="2484"/>
      <c r="P685" s="2484"/>
      <c r="Q685" s="2484"/>
      <c r="R685" s="2486"/>
      <c r="S685" s="2487"/>
      <c r="T685" s="2484"/>
      <c r="U685" s="2484"/>
      <c r="V685" s="2485"/>
      <c r="W685" s="2484"/>
      <c r="X685" s="2484"/>
    </row>
    <row r="686" spans="1:176" s="1898" customFormat="1" ht="32.1" customHeight="1" thickBot="1">
      <c r="A686" s="2542">
        <v>3</v>
      </c>
      <c r="B686" s="2543" t="s">
        <v>435</v>
      </c>
      <c r="C686" s="2495">
        <f>AVERAGE(C687,C690,C747)</f>
        <v>0.76583411929937462</v>
      </c>
      <c r="D686" s="2495">
        <f t="shared" ref="D686:H686" si="175">AVERAGE(D687,D690,D747)</f>
        <v>0.56624000219969151</v>
      </c>
      <c r="E686" s="2495">
        <f t="shared" si="175"/>
        <v>0.78207367489202617</v>
      </c>
      <c r="F686" s="2495">
        <f t="shared" si="175"/>
        <v>0.57225949604182758</v>
      </c>
      <c r="G686" s="2495">
        <f t="shared" si="175"/>
        <v>0.72204787677051152</v>
      </c>
      <c r="H686" s="2495">
        <f t="shared" si="175"/>
        <v>0.78658421803859468</v>
      </c>
      <c r="I686" s="2544"/>
      <c r="J686" s="2545"/>
      <c r="K686" s="2546"/>
      <c r="L686" s="2546"/>
      <c r="M686" s="2546"/>
      <c r="N686" s="2546"/>
      <c r="O686" s="2546"/>
      <c r="P686" s="2496"/>
      <c r="Q686" s="2496"/>
      <c r="R686" s="2496"/>
      <c r="S686" s="2545"/>
      <c r="T686" s="2546"/>
      <c r="U686" s="2546"/>
      <c r="V686" s="2546"/>
      <c r="W686" s="2546"/>
      <c r="X686" s="2547"/>
      <c r="Y686" s="1818"/>
      <c r="Z686" s="1818"/>
      <c r="AA686" s="1818"/>
      <c r="AB686" s="1818"/>
      <c r="AC686" s="1818"/>
      <c r="AD686" s="1818"/>
      <c r="AE686" s="1818"/>
      <c r="AF686" s="1818"/>
      <c r="AG686" s="1818"/>
      <c r="AH686" s="1818"/>
      <c r="AI686" s="1818"/>
      <c r="AJ686" s="1818"/>
      <c r="AK686" s="1818"/>
      <c r="AL686" s="1818"/>
      <c r="AM686" s="1818"/>
      <c r="AN686" s="1818"/>
      <c r="AO686" s="1818"/>
      <c r="AP686" s="1818"/>
      <c r="AQ686" s="1818"/>
      <c r="AR686" s="1818"/>
      <c r="AS686" s="1818"/>
      <c r="AT686" s="1818"/>
      <c r="AU686" s="1818"/>
      <c r="AV686" s="1818"/>
      <c r="AW686" s="1818"/>
      <c r="AX686" s="1818"/>
      <c r="AY686" s="1818"/>
      <c r="AZ686" s="1818"/>
      <c r="BA686" s="1818"/>
      <c r="BB686" s="1818"/>
      <c r="BC686" s="1818"/>
      <c r="BD686" s="1818"/>
      <c r="BE686" s="1818"/>
      <c r="BF686" s="1818"/>
      <c r="BG686" s="1818"/>
      <c r="BH686" s="1818"/>
      <c r="BI686" s="1818"/>
      <c r="BJ686" s="1818"/>
      <c r="BK686" s="1818"/>
      <c r="BL686" s="1818"/>
      <c r="BM686" s="1818"/>
      <c r="BN686" s="1818"/>
      <c r="BO686" s="1818"/>
      <c r="BP686" s="1818"/>
      <c r="BQ686" s="1818"/>
      <c r="BR686" s="1818"/>
      <c r="BS686" s="1818"/>
      <c r="BT686" s="1818"/>
      <c r="BU686" s="1818"/>
      <c r="BV686" s="1818"/>
      <c r="BW686" s="1818"/>
      <c r="BX686" s="1818"/>
      <c r="BY686" s="1818"/>
      <c r="BZ686" s="1818"/>
    </row>
    <row r="687" spans="1:176" s="1898" customFormat="1" ht="32.1" customHeight="1">
      <c r="A687" s="2528">
        <v>3.1</v>
      </c>
      <c r="B687" s="2488" t="s">
        <v>5290</v>
      </c>
      <c r="C687" s="2489">
        <f t="shared" ref="C687:H687" si="176">AVERAGE(C688,C689)</f>
        <v>0.75</v>
      </c>
      <c r="D687" s="2489">
        <f t="shared" si="176"/>
        <v>0.5</v>
      </c>
      <c r="E687" s="2489">
        <f t="shared" si="176"/>
        <v>1</v>
      </c>
      <c r="F687" s="2489">
        <f t="shared" si="176"/>
        <v>0.25</v>
      </c>
      <c r="G687" s="2489">
        <f t="shared" si="176"/>
        <v>0.75</v>
      </c>
      <c r="H687" s="2489">
        <f t="shared" si="176"/>
        <v>1</v>
      </c>
      <c r="I687" s="2490"/>
      <c r="J687" s="2491"/>
      <c r="K687" s="2492"/>
      <c r="L687" s="2492"/>
      <c r="M687" s="2492"/>
      <c r="N687" s="2492"/>
      <c r="O687" s="2492"/>
      <c r="P687" s="2493"/>
      <c r="Q687" s="2493"/>
      <c r="R687" s="2494"/>
      <c r="S687" s="2491"/>
      <c r="T687" s="2492"/>
      <c r="U687" s="2492"/>
      <c r="V687" s="2492"/>
      <c r="W687" s="2492"/>
      <c r="X687" s="2492"/>
      <c r="Y687" s="1818"/>
      <c r="Z687" s="1818"/>
      <c r="AA687" s="1818"/>
      <c r="AB687" s="1818"/>
      <c r="AC687" s="1818"/>
      <c r="AD687" s="1818"/>
      <c r="AE687" s="1818"/>
      <c r="AF687" s="1818"/>
      <c r="AG687" s="1818"/>
      <c r="AH687" s="1818"/>
      <c r="AI687" s="1818"/>
      <c r="AJ687" s="1818"/>
      <c r="AK687" s="1818"/>
      <c r="AL687" s="1818"/>
      <c r="AM687" s="1818"/>
      <c r="AN687" s="1818"/>
      <c r="AO687" s="1818"/>
      <c r="AP687" s="1818"/>
      <c r="AQ687" s="1818"/>
      <c r="AR687" s="1818"/>
      <c r="AS687" s="1818"/>
      <c r="AT687" s="1818"/>
      <c r="AU687" s="1818"/>
      <c r="AV687" s="1818"/>
      <c r="AW687" s="1818"/>
      <c r="AX687" s="1818"/>
      <c r="AY687" s="1818"/>
      <c r="AZ687" s="1818"/>
      <c r="BA687" s="1818"/>
      <c r="BB687" s="1818"/>
      <c r="BC687" s="1818"/>
      <c r="BD687" s="1818"/>
      <c r="BE687" s="1818"/>
      <c r="BF687" s="1818"/>
      <c r="BG687" s="1818"/>
      <c r="BH687" s="1818"/>
      <c r="BI687" s="1818"/>
      <c r="BJ687" s="1818"/>
      <c r="BK687" s="1818"/>
      <c r="BL687" s="1818"/>
      <c r="BM687" s="1818"/>
      <c r="BN687" s="1818"/>
      <c r="BO687" s="1818"/>
      <c r="BP687" s="1818"/>
      <c r="BQ687" s="1818"/>
      <c r="BR687" s="1818"/>
      <c r="BS687" s="1818"/>
      <c r="BT687" s="1818"/>
      <c r="BU687" s="1818"/>
      <c r="BV687" s="1818"/>
      <c r="BW687" s="1818"/>
      <c r="BX687" s="1818"/>
      <c r="BY687" s="1818"/>
      <c r="BZ687" s="1818"/>
    </row>
    <row r="688" spans="1:176" s="1898" customFormat="1" ht="63.95" customHeight="1">
      <c r="A688" s="2529"/>
      <c r="B688" s="1843" t="s">
        <v>5291</v>
      </c>
      <c r="C688" s="1829">
        <v>0.5</v>
      </c>
      <c r="D688" s="1863">
        <v>0.5</v>
      </c>
      <c r="E688" s="1829">
        <v>1</v>
      </c>
      <c r="F688" s="1846">
        <v>0.5</v>
      </c>
      <c r="G688" s="1829">
        <v>0.5</v>
      </c>
      <c r="H688" s="1808">
        <v>1</v>
      </c>
      <c r="I688" s="1823" t="s">
        <v>91</v>
      </c>
      <c r="J688" s="1794">
        <v>0.5</v>
      </c>
      <c r="K688" s="1974" t="s">
        <v>2411</v>
      </c>
      <c r="L688" s="1794">
        <v>1</v>
      </c>
      <c r="M688" s="1794">
        <v>0.5</v>
      </c>
      <c r="N688" s="1794" t="s">
        <v>748</v>
      </c>
      <c r="O688" s="1794" t="s">
        <v>8956</v>
      </c>
      <c r="P688" s="2026">
        <v>1</v>
      </c>
      <c r="Q688" s="2027"/>
      <c r="R688" s="1970"/>
      <c r="S688" s="1939" t="s">
        <v>9002</v>
      </c>
      <c r="T688" s="1974" t="s">
        <v>7783</v>
      </c>
      <c r="U688" s="1794" t="s">
        <v>8543</v>
      </c>
      <c r="V688" s="1794" t="s">
        <v>8034</v>
      </c>
      <c r="W688" s="1794" t="s">
        <v>8496</v>
      </c>
      <c r="X688" s="1794" t="s">
        <v>8956</v>
      </c>
      <c r="Y688" s="1818"/>
      <c r="Z688" s="1818"/>
      <c r="AA688" s="1818"/>
      <c r="AB688" s="1818"/>
      <c r="AC688" s="1818"/>
      <c r="AD688" s="1818"/>
      <c r="AE688" s="1818"/>
      <c r="AF688" s="1818"/>
      <c r="AG688" s="1818"/>
      <c r="AH688" s="1818"/>
      <c r="AI688" s="1818"/>
      <c r="AJ688" s="1818"/>
      <c r="AK688" s="1818"/>
      <c r="AL688" s="1818"/>
      <c r="AM688" s="1818"/>
      <c r="AN688" s="1818"/>
      <c r="AO688" s="1818"/>
      <c r="AP688" s="1818"/>
      <c r="AQ688" s="1818"/>
      <c r="AR688" s="1818"/>
      <c r="AS688" s="1818"/>
      <c r="AT688" s="1818"/>
      <c r="AU688" s="1818"/>
      <c r="AV688" s="1818"/>
      <c r="AW688" s="1818"/>
      <c r="AX688" s="1818"/>
      <c r="AY688" s="1818"/>
      <c r="AZ688" s="1818"/>
      <c r="BA688" s="1818"/>
      <c r="BB688" s="1818"/>
      <c r="BC688" s="1818"/>
      <c r="BD688" s="1818"/>
      <c r="BE688" s="1818"/>
      <c r="BF688" s="1818"/>
      <c r="BG688" s="1818"/>
      <c r="BH688" s="1818"/>
      <c r="BI688" s="1818"/>
      <c r="BJ688" s="1818"/>
      <c r="BK688" s="1818"/>
      <c r="BL688" s="1818"/>
      <c r="BM688" s="1818"/>
      <c r="BN688" s="1818"/>
      <c r="BO688" s="1818"/>
      <c r="BP688" s="1818"/>
      <c r="BQ688" s="1818"/>
      <c r="BR688" s="1818"/>
      <c r="BS688" s="1818"/>
      <c r="BT688" s="1818"/>
      <c r="BU688" s="1818"/>
      <c r="BV688" s="1818"/>
      <c r="BW688" s="1818"/>
      <c r="BX688" s="1818"/>
      <c r="BY688" s="1818"/>
      <c r="BZ688" s="1818"/>
    </row>
    <row r="689" spans="1:78" s="1898" customFormat="1" ht="45" customHeight="1">
      <c r="A689" s="2529"/>
      <c r="B689" s="1843" t="s">
        <v>5292</v>
      </c>
      <c r="C689" s="1829">
        <v>1</v>
      </c>
      <c r="D689" s="1863">
        <v>0.5</v>
      </c>
      <c r="E689" s="1829">
        <v>1</v>
      </c>
      <c r="F689" s="1829">
        <v>0</v>
      </c>
      <c r="G689" s="1829">
        <v>1</v>
      </c>
      <c r="H689" s="1808">
        <v>1</v>
      </c>
      <c r="I689" s="1823" t="s">
        <v>91</v>
      </c>
      <c r="J689" s="1794">
        <v>1</v>
      </c>
      <c r="K689" s="1974" t="s">
        <v>4121</v>
      </c>
      <c r="L689" s="1794">
        <v>1</v>
      </c>
      <c r="M689" s="1794">
        <v>0</v>
      </c>
      <c r="N689" s="1794" t="s">
        <v>811</v>
      </c>
      <c r="O689" s="1794" t="s">
        <v>8957</v>
      </c>
      <c r="P689" s="2026">
        <v>1</v>
      </c>
      <c r="Q689" s="2027"/>
      <c r="R689" s="1970"/>
      <c r="S689" s="1939" t="s">
        <v>9003</v>
      </c>
      <c r="T689" s="1974" t="s">
        <v>7784</v>
      </c>
      <c r="U689" s="1794" t="s">
        <v>8544</v>
      </c>
      <c r="V689" s="1794" t="s">
        <v>8035</v>
      </c>
      <c r="W689" s="1794" t="s">
        <v>8497</v>
      </c>
      <c r="X689" s="1794" t="s">
        <v>8957</v>
      </c>
      <c r="Y689" s="1818"/>
      <c r="Z689" s="1818"/>
      <c r="AA689" s="1818"/>
      <c r="AB689" s="1818"/>
      <c r="AC689" s="1818"/>
      <c r="AD689" s="1818"/>
      <c r="AE689" s="1818"/>
      <c r="AF689" s="1818"/>
      <c r="AG689" s="1818"/>
      <c r="AH689" s="1818"/>
      <c r="AI689" s="1818"/>
      <c r="AJ689" s="1818"/>
      <c r="AK689" s="1818"/>
      <c r="AL689" s="1818"/>
      <c r="AM689" s="1818"/>
      <c r="AN689" s="1818"/>
      <c r="AO689" s="1818"/>
      <c r="AP689" s="1818"/>
      <c r="AQ689" s="1818"/>
      <c r="AR689" s="1818"/>
      <c r="AS689" s="1818"/>
      <c r="AT689" s="1818"/>
      <c r="AU689" s="1818"/>
      <c r="AV689" s="1818"/>
      <c r="AW689" s="1818"/>
      <c r="AX689" s="1818"/>
      <c r="AY689" s="1818"/>
      <c r="AZ689" s="1818"/>
      <c r="BA689" s="1818"/>
      <c r="BB689" s="1818"/>
      <c r="BC689" s="1818"/>
      <c r="BD689" s="1818"/>
      <c r="BE689" s="1818"/>
      <c r="BF689" s="1818"/>
      <c r="BG689" s="1818"/>
      <c r="BH689" s="1818"/>
      <c r="BI689" s="1818"/>
      <c r="BJ689" s="1818"/>
      <c r="BK689" s="1818"/>
      <c r="BL689" s="1818"/>
      <c r="BM689" s="1818"/>
      <c r="BN689" s="1818"/>
      <c r="BO689" s="1818"/>
      <c r="BP689" s="1818"/>
      <c r="BQ689" s="1818"/>
      <c r="BR689" s="1818"/>
      <c r="BS689" s="1818"/>
      <c r="BT689" s="1818"/>
      <c r="BU689" s="1818"/>
      <c r="BV689" s="1818"/>
      <c r="BW689" s="1818"/>
      <c r="BX689" s="1818"/>
      <c r="BY689" s="1818"/>
      <c r="BZ689" s="1818"/>
    </row>
    <row r="690" spans="1:78" s="1898" customFormat="1" ht="32.1" customHeight="1">
      <c r="A690" s="2530">
        <v>3.2</v>
      </c>
      <c r="B690" s="1825" t="s">
        <v>5293</v>
      </c>
      <c r="C690" s="1880">
        <f>AVERAGE(C691,C699,C705,C706,C709,C715,C723,C729,C733,C740)</f>
        <v>0.5808086452851674</v>
      </c>
      <c r="D690" s="1880">
        <f t="shared" ref="D690:H690" si="177">AVERAGE(D691,D699,D705,D706,D709,D715,D723,D729,D733,D740)</f>
        <v>0.45625309810982911</v>
      </c>
      <c r="E690" s="1880">
        <f>AVERAGE(E691,E699,E705,E706,E709,E715,E723,E729,E733,E740)</f>
        <v>0.75349320235203598</v>
      </c>
      <c r="F690" s="1880">
        <f t="shared" si="177"/>
        <v>0.57651343785184161</v>
      </c>
      <c r="G690" s="1880">
        <f t="shared" si="177"/>
        <v>0.58136254338268101</v>
      </c>
      <c r="H690" s="1880">
        <f t="shared" si="177"/>
        <v>0.57734524670837661</v>
      </c>
      <c r="I690" s="1824"/>
      <c r="J690" s="2024"/>
      <c r="K690" s="1796"/>
      <c r="L690" s="1796"/>
      <c r="M690" s="1796"/>
      <c r="N690" s="1796"/>
      <c r="O690" s="1796"/>
      <c r="P690" s="2025"/>
      <c r="Q690" s="2025"/>
      <c r="R690" s="1970"/>
      <c r="S690" s="2024"/>
      <c r="T690" s="1796"/>
      <c r="U690" s="1796"/>
      <c r="V690" s="1796"/>
      <c r="W690" s="1796"/>
      <c r="X690" s="1796"/>
      <c r="Y690" s="1818"/>
      <c r="Z690" s="1818"/>
      <c r="AA690" s="1818"/>
      <c r="AB690" s="1818"/>
      <c r="AC690" s="1818"/>
      <c r="AD690" s="1818"/>
      <c r="AE690" s="1818"/>
      <c r="AF690" s="1818"/>
      <c r="AG690" s="1818"/>
      <c r="AH690" s="1818"/>
      <c r="AI690" s="1818"/>
      <c r="AJ690" s="1818"/>
      <c r="AK690" s="1818"/>
      <c r="AL690" s="1818"/>
      <c r="AM690" s="1818"/>
      <c r="AN690" s="1818"/>
      <c r="AO690" s="1818"/>
      <c r="AP690" s="1818"/>
      <c r="AQ690" s="1818"/>
      <c r="AR690" s="1818"/>
      <c r="AS690" s="1818"/>
      <c r="AT690" s="1818"/>
      <c r="AU690" s="1818"/>
      <c r="AV690" s="1818"/>
      <c r="AW690" s="1818"/>
      <c r="AX690" s="1818"/>
      <c r="AY690" s="1818"/>
      <c r="AZ690" s="1818"/>
      <c r="BA690" s="1818"/>
      <c r="BB690" s="1818"/>
      <c r="BC690" s="1818"/>
      <c r="BD690" s="1818"/>
      <c r="BE690" s="1818"/>
      <c r="BF690" s="1818"/>
      <c r="BG690" s="1818"/>
      <c r="BH690" s="1818"/>
      <c r="BI690" s="1818"/>
      <c r="BJ690" s="1818"/>
      <c r="BK690" s="1818"/>
      <c r="BL690" s="1818"/>
      <c r="BM690" s="1818"/>
      <c r="BN690" s="1818"/>
      <c r="BO690" s="1818"/>
      <c r="BP690" s="1818"/>
      <c r="BQ690" s="1818"/>
      <c r="BR690" s="1818"/>
      <c r="BS690" s="1818"/>
      <c r="BT690" s="1818"/>
      <c r="BU690" s="1818"/>
      <c r="BV690" s="1818"/>
      <c r="BW690" s="1818"/>
      <c r="BX690" s="1818"/>
      <c r="BY690" s="1818"/>
      <c r="BZ690" s="1818"/>
    </row>
    <row r="691" spans="1:78" s="1898" customFormat="1" ht="49.5" customHeight="1">
      <c r="A691" s="1881" t="s">
        <v>649</v>
      </c>
      <c r="B691" s="1825" t="s">
        <v>5294</v>
      </c>
      <c r="C691" s="1880">
        <f>AVERAGE(C692:C698)</f>
        <v>0.66062127286476546</v>
      </c>
      <c r="D691" s="1880">
        <f t="shared" ref="D691:H691" si="178">AVERAGE(D692:D698)</f>
        <v>0.64584367800015063</v>
      </c>
      <c r="E691" s="1880">
        <f t="shared" si="178"/>
        <v>0.81221922731356699</v>
      </c>
      <c r="F691" s="1880">
        <f t="shared" si="178"/>
        <v>0.6076936371179642</v>
      </c>
      <c r="G691" s="1880">
        <f t="shared" si="178"/>
        <v>0.48966023297201416</v>
      </c>
      <c r="H691" s="1880">
        <f t="shared" si="178"/>
        <v>0.71643719634859948</v>
      </c>
      <c r="I691" s="1824"/>
      <c r="J691" s="2024"/>
      <c r="K691" s="1796"/>
      <c r="L691" s="1796"/>
      <c r="M691" s="1796"/>
      <c r="N691" s="1796"/>
      <c r="O691" s="1796"/>
      <c r="P691" s="2025"/>
      <c r="Q691" s="2025"/>
      <c r="R691" s="2363"/>
      <c r="S691" s="2024"/>
      <c r="T691" s="1796"/>
      <c r="U691" s="1796"/>
      <c r="V691" s="1796"/>
      <c r="W691" s="1796"/>
      <c r="X691" s="1796"/>
      <c r="Y691" s="1818"/>
      <c r="Z691" s="1818"/>
      <c r="AA691" s="1818"/>
      <c r="AB691" s="1818"/>
      <c r="AC691" s="1818"/>
      <c r="AD691" s="1818"/>
      <c r="AE691" s="1818"/>
      <c r="AF691" s="1818"/>
      <c r="AG691" s="1818"/>
      <c r="AH691" s="1818"/>
      <c r="AI691" s="1818"/>
      <c r="AJ691" s="1818"/>
      <c r="AK691" s="1818"/>
      <c r="AL691" s="1818"/>
      <c r="AM691" s="1818"/>
      <c r="AN691" s="1818"/>
      <c r="AO691" s="1818"/>
      <c r="AP691" s="1818"/>
      <c r="AQ691" s="1818"/>
      <c r="AR691" s="1818"/>
      <c r="AS691" s="1818"/>
      <c r="AT691" s="1818"/>
      <c r="AU691" s="1818"/>
      <c r="AV691" s="1818"/>
      <c r="AW691" s="1818"/>
      <c r="AX691" s="1818"/>
      <c r="AY691" s="1818"/>
      <c r="AZ691" s="1818"/>
      <c r="BA691" s="1818"/>
      <c r="BB691" s="1818"/>
      <c r="BC691" s="1818"/>
      <c r="BD691" s="1818"/>
      <c r="BE691" s="1818"/>
      <c r="BF691" s="1818"/>
      <c r="BG691" s="1818"/>
      <c r="BH691" s="1818"/>
      <c r="BI691" s="1818"/>
      <c r="BJ691" s="1818"/>
      <c r="BK691" s="1818"/>
      <c r="BL691" s="1818"/>
      <c r="BM691" s="1818"/>
      <c r="BN691" s="1818"/>
      <c r="BO691" s="1818"/>
      <c r="BP691" s="1818"/>
      <c r="BQ691" s="1818"/>
      <c r="BR691" s="1818"/>
      <c r="BS691" s="1818"/>
      <c r="BT691" s="1818"/>
      <c r="BU691" s="1818"/>
      <c r="BV691" s="1818"/>
      <c r="BW691" s="1818"/>
      <c r="BX691" s="1818"/>
      <c r="BY691" s="1818"/>
      <c r="BZ691" s="1818"/>
    </row>
    <row r="692" spans="1:78" s="1893" customFormat="1" ht="75">
      <c r="A692" s="2504" t="s">
        <v>8066</v>
      </c>
      <c r="B692" s="2057" t="s">
        <v>8065</v>
      </c>
      <c r="C692" s="2058">
        <f>IF(J692&lt;$P692,1,IF(J692&gt;$Q692,0,(J692-$Q692)/($P692-$Q692)))</f>
        <v>1</v>
      </c>
      <c r="D692" s="2058">
        <f t="shared" ref="D692:H696" si="179">IF(K692&lt;$P692,1,IF(K692&gt;$Q692,0,(K692-$Q692)/($P692-$Q692)))</f>
        <v>1</v>
      </c>
      <c r="E692" s="2058">
        <f t="shared" si="179"/>
        <v>1</v>
      </c>
      <c r="F692" s="2058">
        <f t="shared" si="179"/>
        <v>0.53947368421052633</v>
      </c>
      <c r="G692" s="2058">
        <f t="shared" si="179"/>
        <v>0.85526315789473695</v>
      </c>
      <c r="H692" s="2058">
        <f t="shared" si="179"/>
        <v>1</v>
      </c>
      <c r="I692" s="1823" t="s">
        <v>5295</v>
      </c>
      <c r="J692" s="2208">
        <v>0.1</v>
      </c>
      <c r="K692" s="2208">
        <v>0.2</v>
      </c>
      <c r="L692" s="2317">
        <v>0</v>
      </c>
      <c r="M692" s="2208">
        <v>4.2</v>
      </c>
      <c r="N692" s="2208">
        <v>1.8</v>
      </c>
      <c r="O692" s="2317">
        <v>0</v>
      </c>
      <c r="P692" s="2317">
        <v>0.7</v>
      </c>
      <c r="Q692" s="2317">
        <v>8.3000000000000007</v>
      </c>
      <c r="R692" s="2421"/>
      <c r="S692" s="2317"/>
      <c r="T692" s="2317"/>
      <c r="U692" s="2317"/>
      <c r="V692" s="2317"/>
      <c r="W692" s="2317"/>
      <c r="X692" s="2402"/>
      <c r="Y692" s="1818"/>
      <c r="Z692" s="1818"/>
      <c r="AA692" s="1818"/>
      <c r="AB692" s="1818"/>
      <c r="AC692" s="1818"/>
      <c r="AD692" s="1818"/>
      <c r="AE692" s="1818"/>
      <c r="AF692" s="1818"/>
      <c r="AG692" s="1818"/>
      <c r="AH692" s="1818"/>
      <c r="AI692" s="1818"/>
      <c r="AJ692" s="1818"/>
      <c r="AK692" s="1818"/>
      <c r="AL692" s="1818"/>
      <c r="AM692" s="1818"/>
      <c r="AN692" s="1818"/>
      <c r="AO692" s="1818"/>
      <c r="AP692" s="1818"/>
      <c r="AQ692" s="1818"/>
      <c r="AR692" s="1818"/>
      <c r="AS692" s="1818"/>
      <c r="AT692" s="1818"/>
      <c r="AU692" s="1818"/>
      <c r="AV692" s="1818"/>
      <c r="AW692" s="1818"/>
      <c r="AX692" s="1818"/>
      <c r="AY692" s="1818"/>
      <c r="AZ692" s="1818"/>
      <c r="BA692" s="1818"/>
      <c r="BB692" s="1818"/>
      <c r="BC692" s="1818"/>
      <c r="BD692" s="1818"/>
      <c r="BE692" s="1818"/>
      <c r="BF692" s="1818"/>
      <c r="BG692" s="1818"/>
      <c r="BH692" s="1818"/>
      <c r="BI692" s="1818"/>
      <c r="BJ692" s="1818"/>
      <c r="BK692" s="1818"/>
      <c r="BL692" s="1818"/>
      <c r="BM692" s="1818"/>
      <c r="BN692" s="1818"/>
      <c r="BO692" s="1818"/>
      <c r="BP692" s="1818"/>
      <c r="BQ692" s="1818"/>
      <c r="BR692" s="1818"/>
      <c r="BS692" s="1818"/>
      <c r="BT692" s="1818"/>
      <c r="BU692" s="1818"/>
      <c r="BV692" s="1818"/>
      <c r="BW692" s="1818"/>
      <c r="BX692" s="1818"/>
      <c r="BY692" s="1818"/>
      <c r="BZ692" s="1818"/>
    </row>
    <row r="693" spans="1:78" s="1893" customFormat="1" ht="75">
      <c r="A693" s="2504"/>
      <c r="B693" s="2057" t="s">
        <v>8068</v>
      </c>
      <c r="C693" s="2058">
        <f>IF(J693&lt;$P693,1,IF(J693&gt;$Q693,0,(J693-$Q693)/($P693-$Q693)))</f>
        <v>0.46153846153846156</v>
      </c>
      <c r="D693" s="2058">
        <f t="shared" si="179"/>
        <v>0.5</v>
      </c>
      <c r="E693" s="2058">
        <f t="shared" si="179"/>
        <v>1</v>
      </c>
      <c r="F693" s="2058">
        <f t="shared" si="179"/>
        <v>0</v>
      </c>
      <c r="G693" s="2058">
        <f t="shared" si="179"/>
        <v>0.42307692307692307</v>
      </c>
      <c r="H693" s="2058">
        <f t="shared" si="179"/>
        <v>0.42307692307692307</v>
      </c>
      <c r="I693" s="1823" t="s">
        <v>5295</v>
      </c>
      <c r="J693" s="2198">
        <v>24</v>
      </c>
      <c r="K693" s="2198">
        <v>23</v>
      </c>
      <c r="L693" s="2198">
        <v>4</v>
      </c>
      <c r="M693" s="2317">
        <v>36</v>
      </c>
      <c r="N693" s="2317">
        <v>25</v>
      </c>
      <c r="O693" s="2198">
        <v>25</v>
      </c>
      <c r="P693" s="2317">
        <v>10</v>
      </c>
      <c r="Q693" s="2317">
        <v>36</v>
      </c>
      <c r="R693" s="2421"/>
      <c r="S693" s="2317"/>
      <c r="T693" s="2317"/>
      <c r="U693" s="2317"/>
      <c r="V693" s="2317"/>
      <c r="W693" s="2317"/>
      <c r="X693" s="2204">
        <v>25</v>
      </c>
      <c r="Y693" s="1818"/>
      <c r="Z693" s="1818"/>
      <c r="AA693" s="1818"/>
      <c r="AB693" s="1818"/>
      <c r="AC693" s="1818"/>
      <c r="AD693" s="1818"/>
      <c r="AE693" s="1818"/>
      <c r="AF693" s="1818"/>
      <c r="AG693" s="1818"/>
      <c r="AH693" s="1818"/>
      <c r="AI693" s="1818"/>
      <c r="AJ693" s="1818"/>
      <c r="AK693" s="1818"/>
      <c r="AL693" s="1818"/>
      <c r="AM693" s="1818"/>
      <c r="AN693" s="1818"/>
      <c r="AO693" s="1818"/>
      <c r="AP693" s="1818"/>
      <c r="AQ693" s="1818"/>
      <c r="AR693" s="1818"/>
      <c r="AS693" s="1818"/>
      <c r="AT693" s="1818"/>
      <c r="AU693" s="1818"/>
      <c r="AV693" s="1818"/>
      <c r="AW693" s="1818"/>
      <c r="AX693" s="1818"/>
      <c r="AY693" s="1818"/>
      <c r="AZ693" s="1818"/>
      <c r="BA693" s="1818"/>
      <c r="BB693" s="1818"/>
      <c r="BC693" s="1818"/>
      <c r="BD693" s="1818"/>
      <c r="BE693" s="1818"/>
      <c r="BF693" s="1818"/>
      <c r="BG693" s="1818"/>
      <c r="BH693" s="1818"/>
      <c r="BI693" s="1818"/>
      <c r="BJ693" s="1818"/>
      <c r="BK693" s="1818"/>
      <c r="BL693" s="1818"/>
      <c r="BM693" s="1818"/>
      <c r="BN693" s="1818"/>
      <c r="BO693" s="1818"/>
      <c r="BP693" s="1818"/>
      <c r="BQ693" s="1818"/>
      <c r="BR693" s="1818"/>
      <c r="BS693" s="1818"/>
      <c r="BT693" s="1818"/>
      <c r="BU693" s="1818"/>
      <c r="BV693" s="1818"/>
      <c r="BW693" s="1818"/>
      <c r="BX693" s="1818"/>
      <c r="BY693" s="1818"/>
      <c r="BZ693" s="1818"/>
    </row>
    <row r="694" spans="1:78" s="1893" customFormat="1" ht="75">
      <c r="A694" s="2504"/>
      <c r="B694" s="2057" t="s">
        <v>9109</v>
      </c>
      <c r="C694" s="2058">
        <f>IF(J694&lt;$P694,1,IF(J694&gt;$Q694,0,(J694-$Q694)/($P694-$Q694)))</f>
        <v>0.83576642335766427</v>
      </c>
      <c r="D694" s="2058">
        <f t="shared" si="179"/>
        <v>0.59124087591240881</v>
      </c>
      <c r="E694" s="2058">
        <f t="shared" si="179"/>
        <v>1</v>
      </c>
      <c r="F694" s="2058">
        <f t="shared" si="179"/>
        <v>0.76277372262773724</v>
      </c>
      <c r="G694" s="2058">
        <f t="shared" si="179"/>
        <v>0.69708029197080301</v>
      </c>
      <c r="H694" s="2058">
        <f t="shared" si="179"/>
        <v>0.31751824817518248</v>
      </c>
      <c r="I694" s="1823" t="s">
        <v>5295</v>
      </c>
      <c r="J694" s="2403">
        <v>8.8000000000000007</v>
      </c>
      <c r="K694" s="2403">
        <v>15.5</v>
      </c>
      <c r="L694" s="2403">
        <v>3.7</v>
      </c>
      <c r="M694" s="2403">
        <v>10.8</v>
      </c>
      <c r="N694" s="2403">
        <v>12.6</v>
      </c>
      <c r="O694" s="2403">
        <v>23</v>
      </c>
      <c r="P694" s="2404">
        <v>4.3</v>
      </c>
      <c r="Q694" s="2317">
        <v>31.7</v>
      </c>
      <c r="R694" s="2421"/>
      <c r="S694" s="2317"/>
      <c r="T694" s="2317"/>
      <c r="U694" s="2317"/>
      <c r="V694" s="2317"/>
      <c r="W694" s="2317"/>
      <c r="X694" s="2204">
        <v>30.9</v>
      </c>
      <c r="Y694" s="1818"/>
      <c r="Z694" s="1818"/>
      <c r="AA694" s="1818"/>
      <c r="AB694" s="1818"/>
      <c r="AC694" s="1818"/>
      <c r="AD694" s="1818"/>
      <c r="AE694" s="1818"/>
      <c r="AF694" s="1818"/>
      <c r="AG694" s="1818"/>
      <c r="AH694" s="1818"/>
      <c r="AI694" s="1818"/>
      <c r="AJ694" s="1818"/>
      <c r="AK694" s="1818"/>
      <c r="AL694" s="1818"/>
      <c r="AM694" s="1818"/>
      <c r="AN694" s="1818"/>
      <c r="AO694" s="1818"/>
      <c r="AP694" s="1818"/>
      <c r="AQ694" s="1818"/>
      <c r="AR694" s="1818"/>
      <c r="AS694" s="1818"/>
      <c r="AT694" s="1818"/>
      <c r="AU694" s="1818"/>
      <c r="AV694" s="1818"/>
      <c r="AW694" s="1818"/>
      <c r="AX694" s="1818"/>
      <c r="AY694" s="1818"/>
      <c r="AZ694" s="1818"/>
      <c r="BA694" s="1818"/>
      <c r="BB694" s="1818"/>
      <c r="BC694" s="1818"/>
      <c r="BD694" s="1818"/>
      <c r="BE694" s="1818"/>
      <c r="BF694" s="1818"/>
      <c r="BG694" s="1818"/>
      <c r="BH694" s="1818"/>
      <c r="BI694" s="1818"/>
      <c r="BJ694" s="1818"/>
      <c r="BK694" s="1818"/>
      <c r="BL694" s="1818"/>
      <c r="BM694" s="1818"/>
      <c r="BN694" s="1818"/>
      <c r="BO694" s="1818"/>
      <c r="BP694" s="1818"/>
      <c r="BQ694" s="1818"/>
      <c r="BR694" s="1818"/>
      <c r="BS694" s="1818"/>
      <c r="BT694" s="1818"/>
      <c r="BU694" s="1818"/>
      <c r="BV694" s="1818"/>
      <c r="BW694" s="1818"/>
      <c r="BX694" s="1818"/>
      <c r="BY694" s="1818"/>
      <c r="BZ694" s="1818"/>
    </row>
    <row r="695" spans="1:78" s="1893" customFormat="1" ht="53.25" customHeight="1">
      <c r="A695" s="2504" t="s">
        <v>8066</v>
      </c>
      <c r="B695" s="2346" t="s">
        <v>8069</v>
      </c>
      <c r="C695" s="2058">
        <f>IF(J695&lt;$P695,1,IF(J695&gt;$Q695,0,(J695-$Q695)/($P695-$Q695)))</f>
        <v>1</v>
      </c>
      <c r="D695" s="2058">
        <f t="shared" si="179"/>
        <v>1</v>
      </c>
      <c r="E695" s="2058">
        <f t="shared" si="179"/>
        <v>1</v>
      </c>
      <c r="F695" s="2058">
        <f t="shared" si="179"/>
        <v>1</v>
      </c>
      <c r="G695" s="2058">
        <f t="shared" si="179"/>
        <v>1</v>
      </c>
      <c r="H695" s="2058">
        <f t="shared" si="179"/>
        <v>1</v>
      </c>
      <c r="I695" s="1823" t="s">
        <v>5295</v>
      </c>
      <c r="J695" s="2198">
        <v>22.4</v>
      </c>
      <c r="K695" s="2198">
        <v>15.9</v>
      </c>
      <c r="L695" s="2198">
        <v>26.2</v>
      </c>
      <c r="M695" s="2198">
        <v>8.1999999999999993</v>
      </c>
      <c r="N695" s="2198">
        <v>6.6</v>
      </c>
      <c r="O695" s="2198">
        <v>2.6</v>
      </c>
      <c r="P695" s="2199">
        <v>31.9</v>
      </c>
      <c r="Q695" s="2317">
        <v>22.8</v>
      </c>
      <c r="R695" s="2421"/>
      <c r="S695" s="2317"/>
      <c r="T695" s="2317"/>
      <c r="U695" s="2317"/>
      <c r="V695" s="2317"/>
      <c r="W695" s="2317"/>
      <c r="X695" s="2204">
        <v>2.6</v>
      </c>
      <c r="Y695" s="1818"/>
      <c r="Z695" s="1818"/>
      <c r="AA695" s="1818"/>
      <c r="AB695" s="1818"/>
      <c r="AC695" s="1818"/>
      <c r="AD695" s="1818"/>
      <c r="AE695" s="1818"/>
      <c r="AF695" s="1818"/>
      <c r="AG695" s="1818"/>
      <c r="AH695" s="1818"/>
      <c r="AI695" s="1818"/>
      <c r="AJ695" s="1818"/>
      <c r="AK695" s="1818"/>
      <c r="AL695" s="1818"/>
      <c r="AM695" s="1818"/>
      <c r="AN695" s="1818"/>
      <c r="AO695" s="1818"/>
      <c r="AP695" s="1818"/>
      <c r="AQ695" s="1818"/>
      <c r="AR695" s="1818"/>
      <c r="AS695" s="1818"/>
      <c r="AT695" s="1818"/>
      <c r="AU695" s="1818"/>
      <c r="AV695" s="1818"/>
      <c r="AW695" s="1818"/>
      <c r="AX695" s="1818"/>
      <c r="AY695" s="1818"/>
      <c r="AZ695" s="1818"/>
      <c r="BA695" s="1818"/>
      <c r="BB695" s="1818"/>
      <c r="BC695" s="1818"/>
      <c r="BD695" s="1818"/>
      <c r="BE695" s="1818"/>
      <c r="BF695" s="1818"/>
      <c r="BG695" s="1818"/>
      <c r="BH695" s="1818"/>
      <c r="BI695" s="1818"/>
      <c r="BJ695" s="1818"/>
      <c r="BK695" s="1818"/>
      <c r="BL695" s="1818"/>
      <c r="BM695" s="1818"/>
      <c r="BN695" s="1818"/>
      <c r="BO695" s="1818"/>
      <c r="BP695" s="1818"/>
      <c r="BQ695" s="1818"/>
      <c r="BR695" s="1818"/>
      <c r="BS695" s="1818"/>
      <c r="BT695" s="1818"/>
      <c r="BU695" s="1818"/>
      <c r="BV695" s="1818"/>
      <c r="BW695" s="1818"/>
      <c r="BX695" s="1818"/>
      <c r="BY695" s="1818"/>
      <c r="BZ695" s="1818"/>
    </row>
    <row r="696" spans="1:78" s="1903" customFormat="1" ht="75">
      <c r="A696" s="2354" t="s">
        <v>8067</v>
      </c>
      <c r="B696" s="2196" t="s">
        <v>8070</v>
      </c>
      <c r="C696" s="2058">
        <f>IF(J696&lt;$P696,1,IF(J696&gt;$Q696,0,(J696-$Q696)/($P696-$Q696)))</f>
        <v>1</v>
      </c>
      <c r="D696" s="2058">
        <f t="shared" si="179"/>
        <v>1</v>
      </c>
      <c r="E696" s="2058">
        <f t="shared" si="179"/>
        <v>1</v>
      </c>
      <c r="F696" s="2058">
        <f t="shared" si="179"/>
        <v>1</v>
      </c>
      <c r="G696" s="2058">
        <f t="shared" si="179"/>
        <v>0.10000000000000024</v>
      </c>
      <c r="H696" s="2058">
        <f t="shared" si="179"/>
        <v>1</v>
      </c>
      <c r="I696" s="1823" t="s">
        <v>5295</v>
      </c>
      <c r="J696" s="2198">
        <v>9.6999999999999993</v>
      </c>
      <c r="K696" s="2198">
        <v>10.7</v>
      </c>
      <c r="L696" s="2198">
        <v>12.6</v>
      </c>
      <c r="M696" s="2198">
        <v>11.6</v>
      </c>
      <c r="N696" s="2198">
        <v>15.7</v>
      </c>
      <c r="O696" s="2198">
        <v>10</v>
      </c>
      <c r="P696" s="2199">
        <v>13</v>
      </c>
      <c r="Q696" s="2317">
        <v>16</v>
      </c>
      <c r="R696" s="2421"/>
      <c r="S696" s="2317"/>
      <c r="T696" s="2317"/>
      <c r="U696" s="2317"/>
      <c r="V696" s="2317"/>
      <c r="W696" s="2317"/>
      <c r="X696" s="2204">
        <v>10</v>
      </c>
      <c r="Y696" s="1902"/>
      <c r="Z696" s="1902"/>
      <c r="AA696" s="1902"/>
      <c r="AB696" s="1902"/>
      <c r="AC696" s="1902"/>
      <c r="AD696" s="1902"/>
      <c r="AE696" s="1902"/>
      <c r="AF696" s="1902"/>
      <c r="AG696" s="1902"/>
      <c r="AH696" s="1902"/>
      <c r="AI696" s="1902"/>
      <c r="AJ696" s="1902"/>
      <c r="AK696" s="1902"/>
      <c r="AL696" s="1902"/>
      <c r="AM696" s="1902"/>
      <c r="AN696" s="1902"/>
      <c r="AO696" s="1902"/>
      <c r="AP696" s="1902"/>
      <c r="AQ696" s="1902"/>
      <c r="AR696" s="1902"/>
      <c r="AS696" s="1902"/>
      <c r="AT696" s="1902"/>
      <c r="AU696" s="1902"/>
      <c r="AV696" s="1902"/>
      <c r="AW696" s="1902"/>
      <c r="AX696" s="1902"/>
      <c r="AY696" s="1902"/>
      <c r="AZ696" s="1902"/>
      <c r="BA696" s="1902"/>
      <c r="BB696" s="1902"/>
      <c r="BC696" s="1902"/>
      <c r="BD696" s="1902"/>
      <c r="BE696" s="1902"/>
      <c r="BF696" s="1902"/>
      <c r="BG696" s="1902"/>
      <c r="BH696" s="1902"/>
      <c r="BI696" s="1902"/>
      <c r="BJ696" s="1902"/>
      <c r="BK696" s="1902"/>
      <c r="BL696" s="1902"/>
      <c r="BM696" s="1902"/>
      <c r="BN696" s="1902"/>
      <c r="BO696" s="1902"/>
      <c r="BP696" s="1902"/>
      <c r="BQ696" s="1902"/>
      <c r="BR696" s="1902"/>
      <c r="BS696" s="1902"/>
      <c r="BT696" s="1902"/>
      <c r="BU696" s="1902"/>
      <c r="BV696" s="1902"/>
      <c r="BW696" s="1902"/>
      <c r="BX696" s="1902"/>
      <c r="BY696" s="1902"/>
      <c r="BZ696" s="1902"/>
    </row>
    <row r="697" spans="1:78" s="1893" customFormat="1" ht="75">
      <c r="A697" s="2504"/>
      <c r="B697" s="2346" t="s">
        <v>5299</v>
      </c>
      <c r="C697" s="2058">
        <f>IF(J697&gt;$P697,1,IF(J697&lt;$Q697,0,(J697-$Q697)/($P697-$Q697)))</f>
        <v>0.32704402515723291</v>
      </c>
      <c r="D697" s="2058">
        <f t="shared" ref="D697:H697" si="180">IF(K697&gt;$P697,1,IF(K697&lt;$Q697,0,(K697-$Q697)/($P697-$Q697)))</f>
        <v>6.2893081761006336E-3</v>
      </c>
      <c r="E697" s="2058">
        <f t="shared" si="180"/>
        <v>0.68553459119496907</v>
      </c>
      <c r="F697" s="2058">
        <f t="shared" si="180"/>
        <v>0.50943396226415127</v>
      </c>
      <c r="G697" s="2058">
        <f t="shared" si="180"/>
        <v>0.35220125786163547</v>
      </c>
      <c r="H697" s="2058">
        <f t="shared" si="180"/>
        <v>0.36477987421383673</v>
      </c>
      <c r="I697" s="1823" t="s">
        <v>5295</v>
      </c>
      <c r="J697" s="2317">
        <v>0.751</v>
      </c>
      <c r="K697" s="2317">
        <v>0.7</v>
      </c>
      <c r="L697" s="2317">
        <v>0.80800000000000005</v>
      </c>
      <c r="M697" s="2317">
        <v>0.78</v>
      </c>
      <c r="N697" s="2317">
        <v>0.755</v>
      </c>
      <c r="O697" s="2317">
        <v>0.75700000000000001</v>
      </c>
      <c r="P697" s="2317">
        <v>0.85799999999999998</v>
      </c>
      <c r="Q697" s="2317">
        <v>0.69899999999999995</v>
      </c>
      <c r="R697" s="2421"/>
      <c r="S697" s="2317"/>
      <c r="T697" s="2317"/>
      <c r="U697" s="2317"/>
      <c r="V697" s="2317"/>
      <c r="W697" s="2317"/>
      <c r="X697" s="2402">
        <v>0.75900000000000001</v>
      </c>
      <c r="Y697" s="1818"/>
      <c r="Z697" s="1818"/>
      <c r="AA697" s="1818"/>
      <c r="AB697" s="1818"/>
      <c r="AC697" s="1818"/>
      <c r="AD697" s="1818"/>
      <c r="AE697" s="1818"/>
      <c r="AF697" s="1818"/>
      <c r="AG697" s="1818"/>
      <c r="AH697" s="1818"/>
      <c r="AI697" s="1818"/>
      <c r="AJ697" s="1818"/>
      <c r="AK697" s="1818"/>
      <c r="AL697" s="1818"/>
      <c r="AM697" s="1818"/>
      <c r="AN697" s="1818"/>
      <c r="AO697" s="1818"/>
      <c r="AP697" s="1818"/>
      <c r="AQ697" s="1818"/>
      <c r="AR697" s="1818"/>
      <c r="AS697" s="1818"/>
      <c r="AT697" s="1818"/>
      <c r="AU697" s="1818"/>
      <c r="AV697" s="1818"/>
      <c r="AW697" s="1818"/>
      <c r="AX697" s="1818"/>
      <c r="AY697" s="1818"/>
      <c r="AZ697" s="1818"/>
      <c r="BA697" s="1818"/>
      <c r="BB697" s="1818"/>
      <c r="BC697" s="1818"/>
      <c r="BD697" s="1818"/>
      <c r="BE697" s="1818"/>
      <c r="BF697" s="1818"/>
      <c r="BG697" s="1818"/>
      <c r="BH697" s="1818"/>
      <c r="BI697" s="1818"/>
      <c r="BJ697" s="1818"/>
      <c r="BK697" s="1818"/>
      <c r="BL697" s="1818"/>
      <c r="BM697" s="1818"/>
      <c r="BN697" s="1818"/>
      <c r="BO697" s="1818"/>
      <c r="BP697" s="1818"/>
      <c r="BQ697" s="1818"/>
      <c r="BR697" s="1818"/>
      <c r="BS697" s="1818"/>
      <c r="BT697" s="1818"/>
      <c r="BU697" s="1818"/>
      <c r="BV697" s="1818"/>
      <c r="BW697" s="1818"/>
      <c r="BX697" s="1818"/>
      <c r="BY697" s="1818"/>
      <c r="BZ697" s="1818"/>
    </row>
    <row r="698" spans="1:78" s="1893" customFormat="1" ht="90">
      <c r="A698" s="2504"/>
      <c r="B698" s="2344" t="s">
        <v>8071</v>
      </c>
      <c r="C698" s="2058">
        <f>IF(J698&gt;$P698,1,IF(J698&lt;$Q698,0,(J698-$Q698)/($P698-$Q698)))</f>
        <v>0</v>
      </c>
      <c r="D698" s="2058">
        <f t="shared" ref="D698:H698" si="181">IF(K698&gt;$P698,1,IF(K698&lt;$Q698,0,(K698-$Q698)/($P698-$Q698)))</f>
        <v>0.42337556191254599</v>
      </c>
      <c r="E698" s="2058">
        <f t="shared" si="181"/>
        <v>0</v>
      </c>
      <c r="F698" s="2058">
        <f t="shared" si="181"/>
        <v>0.44217409072333475</v>
      </c>
      <c r="G698" s="2058">
        <f t="shared" si="181"/>
        <v>0</v>
      </c>
      <c r="H698" s="2058">
        <f t="shared" si="181"/>
        <v>0.90968532897425414</v>
      </c>
      <c r="I698" s="1823" t="s">
        <v>5295</v>
      </c>
      <c r="J698" s="2317">
        <v>26.16</v>
      </c>
      <c r="K698" s="2317">
        <v>41.36</v>
      </c>
      <c r="L698" s="2317">
        <v>30.47</v>
      </c>
      <c r="M698" s="2317">
        <v>41.82</v>
      </c>
      <c r="N698" s="2317">
        <v>30.47</v>
      </c>
      <c r="O698" s="2317">
        <v>53.26</v>
      </c>
      <c r="P698" s="2317">
        <v>55.47</v>
      </c>
      <c r="Q698" s="2317">
        <v>31</v>
      </c>
      <c r="R698" s="2421"/>
      <c r="S698" s="2317"/>
      <c r="T698" s="2317"/>
      <c r="U698" s="2317"/>
      <c r="V698" s="2317"/>
      <c r="W698" s="2317"/>
      <c r="X698" s="2402">
        <v>53.26</v>
      </c>
      <c r="Y698" s="1818"/>
      <c r="Z698" s="1818"/>
      <c r="AA698" s="1818"/>
      <c r="AB698" s="1818"/>
      <c r="AC698" s="1818"/>
      <c r="AD698" s="1818"/>
      <c r="AE698" s="1818"/>
      <c r="AF698" s="1818"/>
      <c r="AG698" s="1818"/>
      <c r="AH698" s="1818"/>
      <c r="AI698" s="1818"/>
      <c r="AJ698" s="1818"/>
      <c r="AK698" s="1818"/>
      <c r="AL698" s="1818"/>
      <c r="AM698" s="1818"/>
      <c r="AN698" s="1818"/>
      <c r="AO698" s="1818"/>
      <c r="AP698" s="1818"/>
      <c r="AQ698" s="1818"/>
      <c r="AR698" s="1818"/>
      <c r="AS698" s="1818"/>
      <c r="AT698" s="1818"/>
      <c r="AU698" s="1818"/>
      <c r="AV698" s="1818"/>
      <c r="AW698" s="1818"/>
      <c r="AX698" s="1818"/>
      <c r="AY698" s="1818"/>
      <c r="AZ698" s="1818"/>
      <c r="BA698" s="1818"/>
      <c r="BB698" s="1818"/>
      <c r="BC698" s="1818"/>
      <c r="BD698" s="1818"/>
      <c r="BE698" s="1818"/>
      <c r="BF698" s="1818"/>
      <c r="BG698" s="1818"/>
      <c r="BH698" s="1818"/>
      <c r="BI698" s="1818"/>
      <c r="BJ698" s="1818"/>
      <c r="BK698" s="1818"/>
      <c r="BL698" s="1818"/>
      <c r="BM698" s="1818"/>
      <c r="BN698" s="1818"/>
      <c r="BO698" s="1818"/>
      <c r="BP698" s="1818"/>
      <c r="BQ698" s="1818"/>
      <c r="BR698" s="1818"/>
      <c r="BS698" s="1818"/>
      <c r="BT698" s="1818"/>
      <c r="BU698" s="1818"/>
      <c r="BV698" s="1818"/>
      <c r="BW698" s="1818"/>
      <c r="BX698" s="1818"/>
      <c r="BY698" s="1818"/>
      <c r="BZ698" s="1818"/>
    </row>
    <row r="699" spans="1:78" s="1898" customFormat="1" ht="32.1" customHeight="1">
      <c r="A699" s="2530" t="s">
        <v>6850</v>
      </c>
      <c r="B699" s="1825" t="s">
        <v>9311</v>
      </c>
      <c r="C699" s="1880">
        <f>AVERAGE(C701:C704)</f>
        <v>0.5</v>
      </c>
      <c r="D699" s="1880">
        <f>AVERAGE(D701:D704)</f>
        <v>0.5</v>
      </c>
      <c r="E699" s="1880">
        <f t="shared" ref="E699:H699" si="182">AVERAGE(E701:E704)</f>
        <v>0.625</v>
      </c>
      <c r="F699" s="1880">
        <f t="shared" si="182"/>
        <v>0.5</v>
      </c>
      <c r="G699" s="1880">
        <f t="shared" si="182"/>
        <v>0.5</v>
      </c>
      <c r="H699" s="1880">
        <f t="shared" si="182"/>
        <v>0.625</v>
      </c>
      <c r="I699" s="1824"/>
      <c r="J699" s="2024"/>
      <c r="K699" s="1796"/>
      <c r="L699" s="1796"/>
      <c r="M699" s="1796"/>
      <c r="N699" s="1796"/>
      <c r="O699" s="1796"/>
      <c r="P699" s="2025"/>
      <c r="Q699" s="2025"/>
      <c r="R699" s="2363"/>
      <c r="S699" s="2024"/>
      <c r="T699" s="1796"/>
      <c r="U699" s="1796"/>
      <c r="V699" s="1796"/>
      <c r="W699" s="1796"/>
      <c r="X699" s="1796"/>
      <c r="Y699" s="1818"/>
      <c r="Z699" s="1818"/>
      <c r="AA699" s="1818"/>
      <c r="AB699" s="1818"/>
      <c r="AC699" s="1818"/>
      <c r="AD699" s="1818"/>
      <c r="AE699" s="1818"/>
      <c r="AF699" s="1818"/>
      <c r="AG699" s="1818"/>
      <c r="AH699" s="1818"/>
      <c r="AI699" s="1818"/>
      <c r="AJ699" s="1818"/>
      <c r="AK699" s="1818"/>
      <c r="AL699" s="1818"/>
      <c r="AM699" s="1818"/>
      <c r="AN699" s="1818"/>
      <c r="AO699" s="1818"/>
      <c r="AP699" s="1818"/>
      <c r="AQ699" s="1818"/>
      <c r="AR699" s="1818"/>
      <c r="AS699" s="1818"/>
      <c r="AT699" s="1818"/>
    </row>
    <row r="700" spans="1:78" s="1818" customFormat="1" ht="48.95" customHeight="1">
      <c r="A700" s="1874"/>
      <c r="B700" s="1882" t="s">
        <v>5300</v>
      </c>
      <c r="C700" s="2335"/>
      <c r="D700" s="1829"/>
      <c r="E700" s="2335"/>
      <c r="F700" s="2335"/>
      <c r="G700" s="1846"/>
      <c r="H700" s="2154"/>
      <c r="I700" s="1841" t="s">
        <v>91</v>
      </c>
      <c r="J700" s="2005"/>
      <c r="K700" s="1974"/>
      <c r="L700" s="2005"/>
      <c r="M700" s="2005"/>
      <c r="N700" s="1794"/>
      <c r="O700" s="1914"/>
      <c r="P700" s="2028"/>
      <c r="Q700" s="2028"/>
      <c r="R700" s="2361"/>
      <c r="S700" s="2005"/>
      <c r="T700" s="1974"/>
      <c r="U700" s="2005"/>
      <c r="V700" s="1805" t="s">
        <v>8036</v>
      </c>
      <c r="W700" s="2005"/>
      <c r="X700" s="1795" t="s">
        <v>1068</v>
      </c>
    </row>
    <row r="701" spans="1:78" s="1818" customFormat="1" ht="32.1" customHeight="1">
      <c r="A701" s="1874"/>
      <c r="B701" s="1882" t="s">
        <v>5301</v>
      </c>
      <c r="C701" s="1829">
        <v>0.5</v>
      </c>
      <c r="D701" s="1829">
        <v>0.5</v>
      </c>
      <c r="E701" s="1846">
        <v>1</v>
      </c>
      <c r="F701" s="1846">
        <v>0.5</v>
      </c>
      <c r="G701" s="2307">
        <v>0.5</v>
      </c>
      <c r="H701" s="1808">
        <v>1</v>
      </c>
      <c r="I701" s="1883"/>
      <c r="J701" s="1799">
        <v>0.5</v>
      </c>
      <c r="K701" s="1974" t="s">
        <v>2454</v>
      </c>
      <c r="L701" s="1794">
        <v>1</v>
      </c>
      <c r="M701" s="1794">
        <v>0.5</v>
      </c>
      <c r="N701" s="1914" t="s">
        <v>2454</v>
      </c>
      <c r="O701" s="1794" t="s">
        <v>8958</v>
      </c>
      <c r="P701" s="2028">
        <v>0.5</v>
      </c>
      <c r="Q701" s="2028"/>
      <c r="R701" s="2361"/>
      <c r="S701" s="2029" t="s">
        <v>6682</v>
      </c>
      <c r="T701" s="1974" t="s">
        <v>6445</v>
      </c>
      <c r="U701" s="1795" t="s">
        <v>8545</v>
      </c>
      <c r="V701" s="2005" t="s">
        <v>8037</v>
      </c>
      <c r="W701" s="1794"/>
      <c r="X701" s="1794" t="s">
        <v>8958</v>
      </c>
    </row>
    <row r="702" spans="1:78" s="1818" customFormat="1" ht="123" customHeight="1">
      <c r="A702" s="1899"/>
      <c r="B702" s="1882" t="s">
        <v>5302</v>
      </c>
      <c r="C702" s="1829">
        <v>0.5</v>
      </c>
      <c r="D702" s="1829">
        <v>0.5</v>
      </c>
      <c r="E702" s="1846">
        <v>0.5</v>
      </c>
      <c r="F702" s="1846">
        <v>0.5</v>
      </c>
      <c r="G702" s="2307">
        <v>0.5</v>
      </c>
      <c r="H702" s="1808">
        <v>0.5</v>
      </c>
      <c r="I702" s="1883"/>
      <c r="J702" s="1799">
        <v>0.5</v>
      </c>
      <c r="K702" s="1974" t="s">
        <v>2454</v>
      </c>
      <c r="L702" s="1794">
        <v>0.5</v>
      </c>
      <c r="M702" s="1794">
        <v>0.5</v>
      </c>
      <c r="N702" s="1914" t="s">
        <v>2454</v>
      </c>
      <c r="O702" s="1794" t="s">
        <v>5739</v>
      </c>
      <c r="P702" s="2028">
        <v>0</v>
      </c>
      <c r="Q702" s="2028"/>
      <c r="R702" s="2361"/>
      <c r="S702" s="2029" t="s">
        <v>6683</v>
      </c>
      <c r="T702" s="1974" t="s">
        <v>7785</v>
      </c>
      <c r="U702" s="1794" t="s">
        <v>8546</v>
      </c>
      <c r="V702" s="1794"/>
      <c r="W702" s="1794"/>
      <c r="X702" s="1794" t="s">
        <v>5739</v>
      </c>
    </row>
    <row r="703" spans="1:78" s="1818" customFormat="1" ht="117" customHeight="1">
      <c r="A703" s="1899"/>
      <c r="B703" s="1882" t="s">
        <v>5303</v>
      </c>
      <c r="C703" s="1846">
        <v>0.5</v>
      </c>
      <c r="D703" s="1829">
        <v>0.5</v>
      </c>
      <c r="E703" s="1846">
        <v>1</v>
      </c>
      <c r="F703" s="1846">
        <v>0.5</v>
      </c>
      <c r="G703" s="1829">
        <v>0.5</v>
      </c>
      <c r="H703" s="1808">
        <v>0.5</v>
      </c>
      <c r="I703" s="1883"/>
      <c r="J703" s="1799">
        <v>0.5</v>
      </c>
      <c r="K703" s="1974" t="s">
        <v>2454</v>
      </c>
      <c r="L703" s="1794">
        <v>1</v>
      </c>
      <c r="M703" s="1794">
        <v>0.5</v>
      </c>
      <c r="N703" s="1794" t="s">
        <v>2454</v>
      </c>
      <c r="O703" s="1914" t="s">
        <v>8959</v>
      </c>
      <c r="P703" s="2028">
        <v>0</v>
      </c>
      <c r="Q703" s="2028"/>
      <c r="R703" s="2361"/>
      <c r="S703" s="2029" t="s">
        <v>6824</v>
      </c>
      <c r="T703" s="1974" t="s">
        <v>6447</v>
      </c>
      <c r="U703" s="1795" t="s">
        <v>8547</v>
      </c>
      <c r="V703" s="1794"/>
      <c r="W703" s="1794"/>
      <c r="X703" s="1795" t="s">
        <v>8959</v>
      </c>
    </row>
    <row r="704" spans="1:78" s="1818" customFormat="1" ht="131.1" customHeight="1">
      <c r="A704" s="1899"/>
      <c r="B704" s="1882" t="s">
        <v>5304</v>
      </c>
      <c r="C704" s="1829">
        <v>0.5</v>
      </c>
      <c r="D704" s="1829">
        <v>0.5</v>
      </c>
      <c r="E704" s="1846">
        <v>0</v>
      </c>
      <c r="F704" s="1846">
        <v>0.5</v>
      </c>
      <c r="G704" s="1829">
        <v>0.5</v>
      </c>
      <c r="H704" s="1808">
        <v>0.5</v>
      </c>
      <c r="I704" s="1883"/>
      <c r="J704" s="1799">
        <v>0.5</v>
      </c>
      <c r="K704" s="1974" t="s">
        <v>2454</v>
      </c>
      <c r="L704" s="1794">
        <v>1</v>
      </c>
      <c r="M704" s="1794">
        <v>0.5</v>
      </c>
      <c r="N704" s="1794" t="s">
        <v>2454</v>
      </c>
      <c r="O704" s="1794" t="s">
        <v>8960</v>
      </c>
      <c r="P704" s="2028">
        <v>0</v>
      </c>
      <c r="Q704" s="2028"/>
      <c r="R704" s="2361"/>
      <c r="S704" s="2029" t="s">
        <v>6825</v>
      </c>
      <c r="T704" s="1974" t="s">
        <v>7786</v>
      </c>
      <c r="U704" s="1795" t="s">
        <v>8548</v>
      </c>
      <c r="V704" s="1794"/>
      <c r="W704" s="1794"/>
      <c r="X704" s="1794" t="s">
        <v>8960</v>
      </c>
    </row>
    <row r="705" spans="1:78" s="1893" customFormat="1" ht="75">
      <c r="A705" s="2530" t="s">
        <v>6851</v>
      </c>
      <c r="B705" s="1878" t="s">
        <v>8072</v>
      </c>
      <c r="C705" s="1887">
        <f>IF(J705&lt;$P705,1,IF(J705&gt;$Q705,0,(J705-$Q705)/($P705-$Q705)))</f>
        <v>0.31932773109243706</v>
      </c>
      <c r="D705" s="1887">
        <f t="shared" ref="D705:H705" si="183">IF(K705&lt;$P705,1,IF(K705&gt;$Q705,0,(K705-$Q705)/($P705-$Q705)))</f>
        <v>0.41596638655462176</v>
      </c>
      <c r="E705" s="1887">
        <f t="shared" si="183"/>
        <v>0.97058823529411764</v>
      </c>
      <c r="F705" s="1887">
        <f t="shared" si="183"/>
        <v>4.6218487394958027E-2</v>
      </c>
      <c r="G705" s="1887">
        <f t="shared" si="183"/>
        <v>0.41596638655462176</v>
      </c>
      <c r="H705" s="1887">
        <f t="shared" si="183"/>
        <v>0.18067226890756297</v>
      </c>
      <c r="I705" s="1823" t="s">
        <v>5295</v>
      </c>
      <c r="J705" s="2030">
        <v>0.28499999999999998</v>
      </c>
      <c r="K705" s="1796">
        <v>0.26200000000000001</v>
      </c>
      <c r="L705" s="1796">
        <v>0.13</v>
      </c>
      <c r="M705" s="1796">
        <v>0.35</v>
      </c>
      <c r="N705" s="1796">
        <v>0.26200000000000001</v>
      </c>
      <c r="O705" s="1796">
        <v>0.318</v>
      </c>
      <c r="P705" s="2025">
        <v>0.123</v>
      </c>
      <c r="Q705" s="1796">
        <v>0.36099999999999999</v>
      </c>
      <c r="R705" s="2144"/>
      <c r="S705" s="2030"/>
      <c r="T705" s="1796"/>
      <c r="U705" s="1796"/>
      <c r="V705" s="1796"/>
      <c r="W705" s="1796"/>
      <c r="X705" s="1796">
        <v>0.32600000000000001</v>
      </c>
      <c r="Y705" s="1818"/>
      <c r="Z705" s="1818"/>
      <c r="AA705" s="1818"/>
      <c r="AB705" s="1818"/>
      <c r="AC705" s="1818"/>
      <c r="AD705" s="1818"/>
      <c r="AE705" s="1818"/>
      <c r="AF705" s="1818"/>
      <c r="AG705" s="1818"/>
      <c r="AH705" s="1818"/>
      <c r="AI705" s="1818"/>
      <c r="AJ705" s="1818"/>
      <c r="AK705" s="1818"/>
      <c r="AL705" s="1818"/>
      <c r="AM705" s="1818"/>
      <c r="AN705" s="1818"/>
      <c r="AO705" s="1818"/>
      <c r="AP705" s="1818"/>
      <c r="AQ705" s="1818"/>
      <c r="AR705" s="1818"/>
      <c r="AS705" s="1818"/>
      <c r="AT705" s="1818"/>
      <c r="AU705" s="1818"/>
      <c r="AV705" s="1818"/>
      <c r="AW705" s="1818"/>
      <c r="AX705" s="1818"/>
      <c r="AY705" s="1818"/>
      <c r="AZ705" s="1818"/>
      <c r="BA705" s="1818"/>
      <c r="BB705" s="1818"/>
      <c r="BC705" s="1818"/>
      <c r="BD705" s="1818"/>
      <c r="BE705" s="1818"/>
      <c r="BF705" s="1818"/>
      <c r="BG705" s="1818"/>
      <c r="BH705" s="1818"/>
      <c r="BI705" s="1818"/>
      <c r="BJ705" s="1818"/>
      <c r="BK705" s="1818"/>
      <c r="BL705" s="1818"/>
      <c r="BM705" s="1818"/>
      <c r="BN705" s="1818"/>
      <c r="BO705" s="1818"/>
      <c r="BP705" s="1818"/>
      <c r="BQ705" s="1818"/>
      <c r="BR705" s="1818"/>
      <c r="BS705" s="1818"/>
      <c r="BT705" s="1818"/>
      <c r="BU705" s="1818"/>
      <c r="BV705" s="1818"/>
      <c r="BW705" s="1818"/>
      <c r="BX705" s="1818"/>
      <c r="BY705" s="1818"/>
      <c r="BZ705" s="1818"/>
    </row>
    <row r="706" spans="1:78" s="1818" customFormat="1" ht="32.1" customHeight="1">
      <c r="A706" s="1881" t="s">
        <v>6852</v>
      </c>
      <c r="B706" s="1897" t="s">
        <v>7091</v>
      </c>
      <c r="C706" s="1887">
        <f t="shared" ref="C706:H706" si="184">AVERAGE(C707,C708)</f>
        <v>0.97916666666666707</v>
      </c>
      <c r="D706" s="1887">
        <f t="shared" si="184"/>
        <v>3.1249999999999722E-2</v>
      </c>
      <c r="E706" s="1887">
        <f t="shared" si="184"/>
        <v>1</v>
      </c>
      <c r="F706" s="1887">
        <f t="shared" si="184"/>
        <v>0.80937499999999973</v>
      </c>
      <c r="G706" s="1887">
        <f t="shared" si="184"/>
        <v>0.90937499999999982</v>
      </c>
      <c r="H706" s="1887">
        <f t="shared" si="184"/>
        <v>0.70000000000000007</v>
      </c>
      <c r="I706" s="1841" t="s">
        <v>5296</v>
      </c>
      <c r="J706" s="1796"/>
      <c r="K706" s="1796"/>
      <c r="L706" s="1796"/>
      <c r="M706" s="1796"/>
      <c r="N706" s="1796"/>
      <c r="O706" s="1796"/>
      <c r="P706" s="2025"/>
      <c r="Q706" s="2025"/>
      <c r="R706" s="2363"/>
      <c r="S706" s="1796"/>
      <c r="T706" s="1796"/>
      <c r="U706" s="1796"/>
      <c r="V706" s="1796"/>
      <c r="W706" s="1796"/>
      <c r="X706" s="1796"/>
    </row>
    <row r="707" spans="1:78" s="1818" customFormat="1" ht="32.1" customHeight="1">
      <c r="A707" s="2504"/>
      <c r="B707" s="2344" t="s">
        <v>5305</v>
      </c>
      <c r="C707" s="2343">
        <f>IF(J707&gt;$P707,1,IF(J707&lt;$Q707,0,(J707-$Q707)/($P707-$Q707)))</f>
        <v>0.95833333333333415</v>
      </c>
      <c r="D707" s="2343">
        <f t="shared" ref="D707:H707" si="185">IF(K707&gt;$P707,1,IF(K707&lt;$Q707,0,(K707-$Q707)/($P707-$Q707)))</f>
        <v>6.2499999999999445E-2</v>
      </c>
      <c r="E707" s="2343">
        <f t="shared" si="185"/>
        <v>1</v>
      </c>
      <c r="F707" s="2343">
        <f t="shared" si="185"/>
        <v>1</v>
      </c>
      <c r="G707" s="2343">
        <f t="shared" si="185"/>
        <v>1</v>
      </c>
      <c r="H707" s="2343">
        <f t="shared" si="185"/>
        <v>0.59375000000000067</v>
      </c>
      <c r="I707" s="1841" t="s">
        <v>5295</v>
      </c>
      <c r="J707" s="2345">
        <v>96.2</v>
      </c>
      <c r="K707" s="2345">
        <v>87.6</v>
      </c>
      <c r="L707" s="2345">
        <v>99.7</v>
      </c>
      <c r="M707" s="2345">
        <v>97</v>
      </c>
      <c r="N707" s="2345">
        <v>99.1</v>
      </c>
      <c r="O707" s="2345">
        <v>92.7</v>
      </c>
      <c r="P707" s="2345">
        <v>96.6</v>
      </c>
      <c r="Q707" s="2345">
        <v>87</v>
      </c>
      <c r="R707" s="2422"/>
      <c r="S707" s="2345"/>
      <c r="T707" s="2345"/>
      <c r="U707" s="2345"/>
      <c r="V707" s="2345"/>
      <c r="W707" s="2345"/>
      <c r="X707" s="2345"/>
    </row>
    <row r="708" spans="1:78" s="1818" customFormat="1" ht="32.1" customHeight="1">
      <c r="A708" s="2504"/>
      <c r="B708" s="2346" t="s">
        <v>5306</v>
      </c>
      <c r="C708" s="2343">
        <f>IF(J708&gt;$P708,1,IF(J708&lt;$Q708,0,(J708-$Q708)/($P708-$Q708)))</f>
        <v>1</v>
      </c>
      <c r="D708" s="2343">
        <f t="shared" ref="D708:H708" si="186">IF(K708&gt;$P708,1,IF(K708&lt;$Q708,0,(K708-$Q708)/($P708-$Q708)))</f>
        <v>0</v>
      </c>
      <c r="E708" s="2343">
        <f t="shared" si="186"/>
        <v>1</v>
      </c>
      <c r="F708" s="2343">
        <f t="shared" si="186"/>
        <v>0.61874999999999947</v>
      </c>
      <c r="G708" s="2343">
        <f t="shared" si="186"/>
        <v>0.81874999999999964</v>
      </c>
      <c r="H708" s="2343">
        <f t="shared" si="186"/>
        <v>0.80624999999999947</v>
      </c>
      <c r="I708" s="1841" t="s">
        <v>5295</v>
      </c>
      <c r="J708" s="2345">
        <v>95.9</v>
      </c>
      <c r="K708" s="2345">
        <v>76.400000000000006</v>
      </c>
      <c r="L708" s="2345">
        <v>94.3</v>
      </c>
      <c r="M708" s="2345">
        <v>86.3</v>
      </c>
      <c r="N708" s="2345">
        <v>89.5</v>
      </c>
      <c r="O708" s="2345">
        <v>89.3</v>
      </c>
      <c r="P708" s="2345">
        <v>92.4</v>
      </c>
      <c r="Q708" s="2345">
        <v>76.400000000000006</v>
      </c>
      <c r="R708" s="2422"/>
      <c r="S708" s="2345"/>
      <c r="T708" s="2345"/>
      <c r="U708" s="2345"/>
      <c r="V708" s="2345"/>
      <c r="W708" s="2345"/>
      <c r="X708" s="2345"/>
    </row>
    <row r="709" spans="1:78" s="1818" customFormat="1" ht="32.1" customHeight="1">
      <c r="A709" s="1881" t="s">
        <v>6853</v>
      </c>
      <c r="B709" s="2570" t="s">
        <v>5322</v>
      </c>
      <c r="C709" s="1887">
        <f t="shared" ref="C709:H709" si="187">AVERAGE(C710:C714)</f>
        <v>0.54054014598540145</v>
      </c>
      <c r="D709" s="1887">
        <f t="shared" si="187"/>
        <v>0.61777165385065769</v>
      </c>
      <c r="E709" s="1887">
        <f t="shared" si="187"/>
        <v>0.8</v>
      </c>
      <c r="F709" s="1887">
        <f t="shared" si="187"/>
        <v>0.8</v>
      </c>
      <c r="G709" s="1887">
        <f t="shared" si="187"/>
        <v>0.73433576642335763</v>
      </c>
      <c r="H709" s="1887">
        <f t="shared" si="187"/>
        <v>1</v>
      </c>
      <c r="I709" s="1841" t="s">
        <v>5296</v>
      </c>
      <c r="J709" s="2338"/>
      <c r="K709" s="2031"/>
      <c r="L709" s="2031"/>
      <c r="M709" s="2031"/>
      <c r="N709" s="2031"/>
      <c r="O709" s="2031"/>
      <c r="P709" s="2032"/>
      <c r="Q709" s="2025"/>
      <c r="R709" s="2363"/>
      <c r="S709" s="2339"/>
      <c r="T709" s="1796"/>
      <c r="U709" s="1796"/>
      <c r="V709" s="1796"/>
      <c r="W709" s="1796"/>
      <c r="X709" s="1796"/>
    </row>
    <row r="710" spans="1:78" s="1902" customFormat="1" ht="32.1" customHeight="1">
      <c r="A710" s="2354"/>
      <c r="B710" s="2196" t="s">
        <v>7092</v>
      </c>
      <c r="C710" s="2343">
        <f>IF(J710&lt;$P710,1,IF(J710&gt;$Q710,0,(J710-$Q710)/($P710-$Q710)))</f>
        <v>1</v>
      </c>
      <c r="D710" s="2343">
        <f>IF(K710&lt;$P710,1,IF(K710&gt;$Q710,0,(K710-$Q710)/($P710-$Q710)))</f>
        <v>1</v>
      </c>
      <c r="E710" s="2343">
        <f t="shared" ref="E710:H711" si="188">IF(L710&lt;$P710,1,IF(L710&gt;$Q710,0,(L710-$Q710)/($P710-$Q710)))</f>
        <v>0</v>
      </c>
      <c r="F710" s="2343">
        <f t="shared" si="188"/>
        <v>1</v>
      </c>
      <c r="G710" s="2343">
        <f t="shared" si="188"/>
        <v>1</v>
      </c>
      <c r="H710" s="2343">
        <f t="shared" si="188"/>
        <v>1</v>
      </c>
      <c r="I710" s="1841" t="s">
        <v>5295</v>
      </c>
      <c r="J710" s="2348">
        <v>12.5</v>
      </c>
      <c r="K710" s="2348">
        <v>7.68</v>
      </c>
      <c r="L710" s="2348">
        <v>17.489999999999998</v>
      </c>
      <c r="M710" s="2348">
        <v>6.77</v>
      </c>
      <c r="N710" s="2348">
        <v>11.09</v>
      </c>
      <c r="O710" s="2348">
        <v>9.17</v>
      </c>
      <c r="P710" s="2348">
        <v>15.3</v>
      </c>
      <c r="Q710" s="2348">
        <v>17.489999999999998</v>
      </c>
      <c r="R710" s="2423"/>
      <c r="S710" s="2348"/>
      <c r="T710" s="2348"/>
      <c r="U710" s="2348"/>
      <c r="V710" s="2348"/>
      <c r="W710" s="2348"/>
      <c r="X710" s="2348"/>
    </row>
    <row r="711" spans="1:78" s="1902" customFormat="1" ht="32.1" customHeight="1">
      <c r="A711" s="2354"/>
      <c r="B711" s="2349" t="s">
        <v>5307</v>
      </c>
      <c r="C711" s="2343">
        <f>IF(J711&lt;$P711,1,IF(J711&gt;$Q711,0,(J711-$Q711)/($P711-$Q711)))</f>
        <v>0</v>
      </c>
      <c r="D711" s="2343">
        <f t="shared" ref="D711" si="189">IF(K711&lt;$P711,1,IF(K711&gt;$Q711,0,(K711-$Q711)/($P711-$Q711)))</f>
        <v>4.8128342245989601E-2</v>
      </c>
      <c r="E711" s="2343">
        <f t="shared" si="188"/>
        <v>1</v>
      </c>
      <c r="F711" s="2343">
        <f t="shared" si="188"/>
        <v>1</v>
      </c>
      <c r="G711" s="2343">
        <f t="shared" si="188"/>
        <v>1</v>
      </c>
      <c r="H711" s="2343">
        <f t="shared" si="188"/>
        <v>1</v>
      </c>
      <c r="I711" s="1841" t="s">
        <v>5295</v>
      </c>
      <c r="J711" s="2348">
        <v>56.2</v>
      </c>
      <c r="K711" s="2348">
        <v>55.3</v>
      </c>
      <c r="L711" s="2348">
        <v>27.9</v>
      </c>
      <c r="M711" s="2348">
        <v>6.6</v>
      </c>
      <c r="N711" s="2348">
        <v>15.7</v>
      </c>
      <c r="O711" s="2348">
        <v>23.3</v>
      </c>
      <c r="P711" s="2348">
        <v>37.5</v>
      </c>
      <c r="Q711" s="2348">
        <v>56.2</v>
      </c>
      <c r="R711" s="2423"/>
      <c r="S711" s="2348"/>
      <c r="T711" s="2348"/>
      <c r="U711" s="2348"/>
      <c r="V711" s="2348"/>
      <c r="W711" s="2348"/>
      <c r="X711" s="2348"/>
    </row>
    <row r="712" spans="1:78" s="1902" customFormat="1" ht="32.1" customHeight="1">
      <c r="A712" s="2354"/>
      <c r="B712" s="2349" t="s">
        <v>7093</v>
      </c>
      <c r="C712" s="2343">
        <f>IF(J712&gt;$P712,1,IF(J712&lt;$Q712,0,(J712-$Q712)/($P712-$Q712)))</f>
        <v>1</v>
      </c>
      <c r="D712" s="2343">
        <f t="shared" ref="D712:H712" si="190">IF(K712&gt;$P712,1,IF(K712&lt;$Q712,0,(K712-$Q712)/($P712-$Q712)))</f>
        <v>1</v>
      </c>
      <c r="E712" s="2343">
        <f t="shared" si="190"/>
        <v>1</v>
      </c>
      <c r="F712" s="2343">
        <f t="shared" si="190"/>
        <v>1</v>
      </c>
      <c r="G712" s="2343">
        <f t="shared" si="190"/>
        <v>1</v>
      </c>
      <c r="H712" s="2343">
        <f t="shared" si="190"/>
        <v>1</v>
      </c>
      <c r="I712" s="1841" t="s">
        <v>5295</v>
      </c>
      <c r="J712" s="2348">
        <v>10.231</v>
      </c>
      <c r="K712" s="2348">
        <v>12.208</v>
      </c>
      <c r="L712" s="2348">
        <v>7.7709999999999999</v>
      </c>
      <c r="M712" s="2348">
        <v>7.0229999999999997</v>
      </c>
      <c r="N712" s="2348">
        <v>14.938000000000001</v>
      </c>
      <c r="O712" s="2348">
        <v>5.6310000000000002</v>
      </c>
      <c r="P712" s="2348">
        <v>3.09</v>
      </c>
      <c r="Q712" s="2350" t="s">
        <v>6902</v>
      </c>
      <c r="R712" s="2424"/>
      <c r="S712" s="2348"/>
      <c r="T712" s="2348"/>
      <c r="U712" s="2348"/>
      <c r="V712" s="2348"/>
      <c r="W712" s="2348"/>
      <c r="X712" s="2348"/>
    </row>
    <row r="713" spans="1:78" s="1902" customFormat="1" ht="32.1" customHeight="1">
      <c r="A713" s="2354"/>
      <c r="B713" s="2349" t="s">
        <v>5308</v>
      </c>
      <c r="C713" s="2343">
        <f>IF(J713&lt;$P713,1,IF(J713&gt;$Q713,0,(J713-$Q713)/($P713-$Q713)))</f>
        <v>3.9999999999999855E-2</v>
      </c>
      <c r="D713" s="2343">
        <f>IF(K713&lt;$P713,1,IF(K713&gt;$Q713,0,(K713-$Q713)/($P713-$Q713)))</f>
        <v>1</v>
      </c>
      <c r="E713" s="2343">
        <f t="shared" ref="E713:H713" si="191">IF(L713&lt;$P713,1,IF(L713&gt;$Q713,0,(L713-$Q713)/($P713-$Q713)))</f>
        <v>1</v>
      </c>
      <c r="F713" s="2343">
        <f t="shared" si="191"/>
        <v>0</v>
      </c>
      <c r="G713" s="2343">
        <f t="shared" si="191"/>
        <v>0</v>
      </c>
      <c r="H713" s="2343">
        <f t="shared" si="191"/>
        <v>1</v>
      </c>
      <c r="I713" s="1841" t="s">
        <v>5295</v>
      </c>
      <c r="J713" s="2348">
        <v>9.5</v>
      </c>
      <c r="K713" s="2348">
        <v>4.5</v>
      </c>
      <c r="L713" s="2348">
        <v>0.5</v>
      </c>
      <c r="M713" s="2348">
        <v>11.5</v>
      </c>
      <c r="N713" s="2348">
        <v>18.2</v>
      </c>
      <c r="O713" s="2348">
        <v>5</v>
      </c>
      <c r="P713" s="2348">
        <v>7.1</v>
      </c>
      <c r="Q713" s="2348">
        <v>9.6</v>
      </c>
      <c r="R713" s="2423"/>
      <c r="S713" s="2348"/>
      <c r="T713" s="2348"/>
      <c r="U713" s="2348"/>
      <c r="V713" s="2348"/>
      <c r="W713" s="2348"/>
      <c r="X713" s="2348"/>
    </row>
    <row r="714" spans="1:78" s="1902" customFormat="1" ht="32.1" customHeight="1">
      <c r="A714" s="2354"/>
      <c r="B714" s="2349" t="s">
        <v>5309</v>
      </c>
      <c r="C714" s="2343">
        <f>IF(J714&gt;$P714,1,IF(J714&lt;$Q714,0,(J714-$Q714)/($P714-$Q714)))</f>
        <v>0.66270072992700724</v>
      </c>
      <c r="D714" s="2343">
        <f t="shared" ref="D714:H714" si="192">IF(K714&gt;$P714,1,IF(K714&lt;$Q714,0,(K714-$Q714)/($P714-$Q714)))</f>
        <v>4.0729927007299251E-2</v>
      </c>
      <c r="E714" s="2343">
        <f t="shared" si="192"/>
        <v>1</v>
      </c>
      <c r="F714" s="2343">
        <f t="shared" si="192"/>
        <v>1</v>
      </c>
      <c r="G714" s="2343">
        <f t="shared" si="192"/>
        <v>0.67167883211678803</v>
      </c>
      <c r="H714" s="2343">
        <f t="shared" si="192"/>
        <v>1</v>
      </c>
      <c r="I714" s="1841" t="s">
        <v>5295</v>
      </c>
      <c r="J714" s="2348">
        <v>49.079000000000001</v>
      </c>
      <c r="K714" s="2348">
        <v>40.558</v>
      </c>
      <c r="L714" s="2348">
        <v>63.698999999999998</v>
      </c>
      <c r="M714" s="2348">
        <v>59.826999999999998</v>
      </c>
      <c r="N714" s="2348">
        <v>49.201999999999998</v>
      </c>
      <c r="O714" s="2348">
        <v>62.78</v>
      </c>
      <c r="P714" s="2348">
        <v>53.7</v>
      </c>
      <c r="Q714" s="2350">
        <v>40</v>
      </c>
      <c r="R714" s="2424"/>
      <c r="S714" s="2348"/>
      <c r="T714" s="2348"/>
      <c r="U714" s="2348"/>
      <c r="V714" s="2348"/>
      <c r="W714" s="2348"/>
      <c r="X714" s="2348"/>
    </row>
    <row r="715" spans="1:78" s="1818" customFormat="1" ht="32.1" customHeight="1">
      <c r="A715" s="1881" t="s">
        <v>6854</v>
      </c>
      <c r="B715" s="1897" t="s">
        <v>7094</v>
      </c>
      <c r="C715" s="1887">
        <f>AVERAGE(C716:C722)</f>
        <v>0.68355876167523666</v>
      </c>
      <c r="D715" s="1887">
        <f t="shared" ref="D715:H715" si="193">AVERAGE(D716:D722)</f>
        <v>0.45634363437599618</v>
      </c>
      <c r="E715" s="1887">
        <f t="shared" si="193"/>
        <v>0.62375783667720053</v>
      </c>
      <c r="F715" s="1887">
        <f t="shared" si="193"/>
        <v>0.58040498103678417</v>
      </c>
      <c r="G715" s="1887">
        <f t="shared" si="193"/>
        <v>0.48893118288840171</v>
      </c>
      <c r="H715" s="1887">
        <f t="shared" si="193"/>
        <v>0.413078384506956</v>
      </c>
      <c r="I715" s="1883"/>
      <c r="J715" s="2338"/>
      <c r="K715" s="2031"/>
      <c r="L715" s="2031"/>
      <c r="M715" s="2031"/>
      <c r="N715" s="2031"/>
      <c r="O715" s="2031"/>
      <c r="P715" s="2032"/>
      <c r="Q715" s="2025"/>
      <c r="R715" s="2363"/>
      <c r="S715" s="2339"/>
      <c r="T715" s="1796"/>
      <c r="U715" s="1796"/>
      <c r="V715" s="1796"/>
      <c r="W715" s="1796"/>
      <c r="X715" s="1796"/>
    </row>
    <row r="716" spans="1:78" s="1902" customFormat="1" ht="32.1" customHeight="1">
      <c r="A716" s="2354"/>
      <c r="B716" s="2196" t="s">
        <v>7095</v>
      </c>
      <c r="C716" s="2343">
        <f>IF(J716&gt;$P716,1,IF(J716&lt;$Q716,0,(J716-$Q716)/($P716-$Q716)))</f>
        <v>0.79924086145721596</v>
      </c>
      <c r="D716" s="2343">
        <f t="shared" ref="D716:H722" si="194">IF(K716&gt;$P716,1,IF(K716&lt;$Q716,0,(K716-$Q716)/($P716-$Q716)))</f>
        <v>0.29507385097780348</v>
      </c>
      <c r="E716" s="2343">
        <f t="shared" si="194"/>
        <v>1</v>
      </c>
      <c r="F716" s="2343">
        <f t="shared" si="194"/>
        <v>0.64048188794454997</v>
      </c>
      <c r="G716" s="2343">
        <f t="shared" si="194"/>
        <v>0.90692301344995463</v>
      </c>
      <c r="H716" s="2343">
        <f t="shared" si="194"/>
        <v>1</v>
      </c>
      <c r="I716" s="1841" t="s">
        <v>5295</v>
      </c>
      <c r="J716" s="2348">
        <v>23.986000000000001</v>
      </c>
      <c r="K716" s="2348">
        <v>17.876000000000001</v>
      </c>
      <c r="L716" s="2348">
        <v>32.128999999999998</v>
      </c>
      <c r="M716" s="2348">
        <v>22.062000000000001</v>
      </c>
      <c r="N716" s="2348">
        <v>25.291</v>
      </c>
      <c r="O716" s="2351">
        <v>49.582000000000001</v>
      </c>
      <c r="P716" s="2348">
        <v>26.419</v>
      </c>
      <c r="Q716" s="2348">
        <v>14.3</v>
      </c>
      <c r="R716" s="2423"/>
      <c r="S716" s="2348"/>
      <c r="T716" s="2348"/>
      <c r="U716" s="2348"/>
      <c r="V716" s="2348"/>
      <c r="W716" s="2348"/>
      <c r="X716" s="2351"/>
    </row>
    <row r="717" spans="1:78" s="1902" customFormat="1" ht="32.1" customHeight="1">
      <c r="A717" s="2354"/>
      <c r="B717" s="2196" t="s">
        <v>7096</v>
      </c>
      <c r="C717" s="2343">
        <f>IF(J717&gt;$P717,1,IF(J717&lt;$Q717,0,(J717-$Q717)/($P717-$Q717)))</f>
        <v>0.6575875486381324</v>
      </c>
      <c r="D717" s="2343">
        <f t="shared" si="194"/>
        <v>1</v>
      </c>
      <c r="E717" s="2343">
        <f t="shared" si="194"/>
        <v>0.5330739299610896</v>
      </c>
      <c r="F717" s="2343">
        <f t="shared" si="194"/>
        <v>0.89883268482490297</v>
      </c>
      <c r="G717" s="2343">
        <f t="shared" si="194"/>
        <v>0.48249027237354103</v>
      </c>
      <c r="H717" s="2343">
        <f t="shared" si="194"/>
        <v>0</v>
      </c>
      <c r="I717" s="1841" t="s">
        <v>5295</v>
      </c>
      <c r="J717" s="2352">
        <v>59.2</v>
      </c>
      <c r="K717" s="2352">
        <v>71.400000000000006</v>
      </c>
      <c r="L717" s="2352">
        <v>56</v>
      </c>
      <c r="M717" s="2352">
        <v>65.400000000000006</v>
      </c>
      <c r="N717" s="2352">
        <v>54.7</v>
      </c>
      <c r="O717" s="2352">
        <v>42.3</v>
      </c>
      <c r="P717" s="2352">
        <v>68</v>
      </c>
      <c r="Q717" s="2209">
        <v>42.3</v>
      </c>
      <c r="R717" s="2300"/>
      <c r="S717" s="2209"/>
      <c r="T717" s="2209"/>
      <c r="U717" s="2209"/>
      <c r="V717" s="2209"/>
      <c r="W717" s="2209"/>
      <c r="X717" s="2209"/>
    </row>
    <row r="718" spans="1:78" s="1902" customFormat="1" ht="32.1" customHeight="1">
      <c r="A718" s="2354"/>
      <c r="B718" s="2196" t="s">
        <v>5310</v>
      </c>
      <c r="C718" s="2343">
        <f>IF(J718&gt;$P718,1,IF(J718&lt;$Q718,0,(J718-$Q718)/($P718-$Q718)))</f>
        <v>0.55555555555555558</v>
      </c>
      <c r="D718" s="2343">
        <f t="shared" si="194"/>
        <v>0.33333333333333337</v>
      </c>
      <c r="E718" s="2343">
        <f t="shared" si="194"/>
        <v>0.66666666666666663</v>
      </c>
      <c r="F718" s="2343">
        <f t="shared" si="194"/>
        <v>0.22222222222222221</v>
      </c>
      <c r="G718" s="2343">
        <f t="shared" si="194"/>
        <v>0.22222222222222221</v>
      </c>
      <c r="H718" s="2343">
        <f t="shared" si="194"/>
        <v>0.11111111111111112</v>
      </c>
      <c r="I718" s="1841" t="s">
        <v>5295</v>
      </c>
      <c r="J718" s="2348">
        <v>0.6</v>
      </c>
      <c r="K718" s="2348">
        <v>0.4</v>
      </c>
      <c r="L718" s="2348">
        <v>0.7</v>
      </c>
      <c r="M718" s="2348">
        <v>0.3</v>
      </c>
      <c r="N718" s="2348">
        <v>0.3</v>
      </c>
      <c r="O718" s="2348">
        <v>0.2</v>
      </c>
      <c r="P718" s="2348">
        <v>1</v>
      </c>
      <c r="Q718" s="2348">
        <v>0.1</v>
      </c>
      <c r="R718" s="2423"/>
      <c r="S718" s="2348"/>
      <c r="T718" s="2348"/>
      <c r="U718" s="2348"/>
      <c r="V718" s="2348"/>
      <c r="W718" s="2348"/>
      <c r="X718" s="2348"/>
    </row>
    <row r="719" spans="1:78" s="1902" customFormat="1" ht="32.1" customHeight="1">
      <c r="A719" s="2354"/>
      <c r="B719" s="2196" t="s">
        <v>5311</v>
      </c>
      <c r="C719" s="2343">
        <f>IF(J719&gt;$P719,1,IF(J719&lt;$Q719,0,(J719-$Q719)/($P719-$Q719)))</f>
        <v>0.75675675675675658</v>
      </c>
      <c r="D719" s="2343">
        <f t="shared" si="194"/>
        <v>0.67567567567567555</v>
      </c>
      <c r="E719" s="2343">
        <f t="shared" si="194"/>
        <v>0</v>
      </c>
      <c r="F719" s="2343">
        <f t="shared" si="194"/>
        <v>0.44144144144144126</v>
      </c>
      <c r="G719" s="2343">
        <f t="shared" si="194"/>
        <v>0.24324324324324284</v>
      </c>
      <c r="H719" s="2343">
        <f t="shared" si="194"/>
        <v>9.0090090090088164E-3</v>
      </c>
      <c r="I719" s="1841" t="s">
        <v>5295</v>
      </c>
      <c r="J719" s="2348">
        <v>38.5</v>
      </c>
      <c r="K719" s="2348">
        <v>37.6</v>
      </c>
      <c r="L719" s="2348">
        <v>29.4</v>
      </c>
      <c r="M719" s="2348">
        <v>35</v>
      </c>
      <c r="N719" s="2348">
        <v>32.799999999999997</v>
      </c>
      <c r="O719" s="2348">
        <v>30.2</v>
      </c>
      <c r="P719" s="2348">
        <v>41.2</v>
      </c>
      <c r="Q719" s="2348">
        <v>30.1</v>
      </c>
      <c r="R719" s="2423"/>
      <c r="S719" s="2348"/>
      <c r="T719" s="2348"/>
      <c r="U719" s="2348"/>
      <c r="V719" s="2348"/>
      <c r="W719" s="2348"/>
      <c r="X719" s="2348"/>
    </row>
    <row r="720" spans="1:78" s="1818" customFormat="1" ht="32.1" customHeight="1">
      <c r="A720" s="2504"/>
      <c r="B720" s="2196" t="s">
        <v>7097</v>
      </c>
      <c r="C720" s="2343">
        <f t="shared" ref="C720:C722" si="195">IF(J720&gt;$P720,1,IF(J720&lt;$Q720,0,(J720-$Q720)/($P720-$Q720)))</f>
        <v>0.29354838709677417</v>
      </c>
      <c r="D720" s="2343">
        <f t="shared" si="194"/>
        <v>0.89032258064516112</v>
      </c>
      <c r="E720" s="2343">
        <f t="shared" si="194"/>
        <v>0.89354838709677387</v>
      </c>
      <c r="F720" s="2343">
        <f t="shared" si="194"/>
        <v>0.4709677419354838</v>
      </c>
      <c r="G720" s="2343">
        <f t="shared" si="194"/>
        <v>0.761290322580645</v>
      </c>
      <c r="H720" s="2343">
        <f t="shared" si="194"/>
        <v>1</v>
      </c>
      <c r="I720" s="1841" t="s">
        <v>5295</v>
      </c>
      <c r="J720" s="2348">
        <v>52.5</v>
      </c>
      <c r="K720" s="2348">
        <v>71</v>
      </c>
      <c r="L720" s="2348">
        <v>71.099999999999994</v>
      </c>
      <c r="M720" s="2348">
        <v>58</v>
      </c>
      <c r="N720" s="2348">
        <v>67</v>
      </c>
      <c r="O720" s="2351">
        <v>78.2</v>
      </c>
      <c r="P720" s="2348">
        <v>74.400000000000006</v>
      </c>
      <c r="Q720" s="2353">
        <v>43.4</v>
      </c>
      <c r="R720" s="2365"/>
      <c r="S720" s="2348"/>
      <c r="T720" s="2348"/>
      <c r="U720" s="2348"/>
      <c r="V720" s="2348"/>
      <c r="W720" s="2348"/>
      <c r="X720" s="2351"/>
    </row>
    <row r="721" spans="1:78" s="1818" customFormat="1" ht="77.099999999999994" customHeight="1">
      <c r="A721" s="2504"/>
      <c r="B721" s="2354" t="s">
        <v>6940</v>
      </c>
      <c r="C721" s="2343">
        <f t="shared" si="195"/>
        <v>0.72222222222222221</v>
      </c>
      <c r="D721" s="2343">
        <f t="shared" si="194"/>
        <v>0</v>
      </c>
      <c r="E721" s="2343">
        <f t="shared" si="194"/>
        <v>0.77777777777777801</v>
      </c>
      <c r="F721" s="2343">
        <f t="shared" si="194"/>
        <v>0.72222222222222221</v>
      </c>
      <c r="G721" s="2343">
        <f t="shared" si="194"/>
        <v>0.55555555555555558</v>
      </c>
      <c r="H721" s="2343">
        <f t="shared" si="194"/>
        <v>0.66666666666666685</v>
      </c>
      <c r="I721" s="1841" t="s">
        <v>5295</v>
      </c>
      <c r="J721" s="2348">
        <v>4.5999999999999996</v>
      </c>
      <c r="K721" s="2348">
        <v>3.3</v>
      </c>
      <c r="L721" s="2348">
        <v>4.7</v>
      </c>
      <c r="M721" s="2348">
        <v>4.5999999999999996</v>
      </c>
      <c r="N721" s="2348">
        <v>4.3</v>
      </c>
      <c r="O721" s="2348">
        <v>4.5</v>
      </c>
      <c r="P721" s="2348">
        <v>5.0999999999999996</v>
      </c>
      <c r="Q721" s="2353">
        <v>3.3</v>
      </c>
      <c r="R721" s="2365"/>
      <c r="S721" s="2348"/>
      <c r="T721" s="2348"/>
      <c r="U721" s="2348"/>
      <c r="V721" s="2348"/>
      <c r="W721" s="2348"/>
      <c r="X721" s="2348"/>
    </row>
    <row r="722" spans="1:78" s="1818" customFormat="1" ht="32.1" customHeight="1">
      <c r="A722" s="2504"/>
      <c r="B722" s="2354" t="s">
        <v>5312</v>
      </c>
      <c r="C722" s="2343">
        <f t="shared" si="195"/>
        <v>1</v>
      </c>
      <c r="D722" s="2343">
        <f t="shared" si="194"/>
        <v>0</v>
      </c>
      <c r="E722" s="2343">
        <f t="shared" si="194"/>
        <v>0.49523809523809503</v>
      </c>
      <c r="F722" s="2343">
        <f t="shared" si="194"/>
        <v>0.66666666666666663</v>
      </c>
      <c r="G722" s="2343">
        <f t="shared" si="194"/>
        <v>0.25079365079365096</v>
      </c>
      <c r="H722" s="2343">
        <f t="shared" si="194"/>
        <v>0.10476190476190467</v>
      </c>
      <c r="I722" s="1841" t="s">
        <v>5295</v>
      </c>
      <c r="J722" s="2351">
        <v>144</v>
      </c>
      <c r="K722" s="2351">
        <v>108</v>
      </c>
      <c r="L722" s="2348">
        <v>123.6</v>
      </c>
      <c r="M722" s="2351">
        <v>129</v>
      </c>
      <c r="N722" s="2348">
        <v>115.9</v>
      </c>
      <c r="O722" s="2348">
        <v>111.3</v>
      </c>
      <c r="P722" s="2348">
        <v>139.5</v>
      </c>
      <c r="Q722" s="2353">
        <v>108</v>
      </c>
      <c r="R722" s="2365"/>
      <c r="S722" s="2351"/>
      <c r="T722" s="2351"/>
      <c r="U722" s="2348"/>
      <c r="V722" s="2351"/>
      <c r="W722" s="2348"/>
      <c r="X722" s="2348"/>
    </row>
    <row r="723" spans="1:78" s="1818" customFormat="1" ht="62.1" customHeight="1">
      <c r="A723" s="1881" t="s">
        <v>6855</v>
      </c>
      <c r="B723" s="1897" t="s">
        <v>7098</v>
      </c>
      <c r="C723" s="2341">
        <f t="shared" ref="C723:H723" si="196">AVERAGE(C724,C725,C726)</f>
        <v>0.75</v>
      </c>
      <c r="D723" s="2341">
        <f t="shared" si="196"/>
        <v>0.625</v>
      </c>
      <c r="E723" s="2341">
        <f t="shared" si="196"/>
        <v>0.625</v>
      </c>
      <c r="F723" s="2341">
        <f t="shared" si="196"/>
        <v>0.5</v>
      </c>
      <c r="G723" s="2341">
        <f t="shared" si="196"/>
        <v>0.75</v>
      </c>
      <c r="H723" s="2341">
        <f t="shared" si="196"/>
        <v>0.75</v>
      </c>
      <c r="I723" s="1841" t="s">
        <v>495</v>
      </c>
      <c r="J723" s="2338"/>
      <c r="K723" s="2031"/>
      <c r="L723" s="2031"/>
      <c r="M723" s="2031"/>
      <c r="N723" s="2031"/>
      <c r="O723" s="2031"/>
      <c r="P723" s="2032"/>
      <c r="Q723" s="2025"/>
      <c r="R723" s="2363"/>
      <c r="S723" s="2339"/>
      <c r="T723" s="1796"/>
      <c r="U723" s="1796"/>
      <c r="V723" s="1796"/>
      <c r="W723" s="1796"/>
      <c r="X723" s="1796"/>
    </row>
    <row r="724" spans="1:78" s="1893" customFormat="1" ht="32.1" customHeight="1">
      <c r="A724" s="2354"/>
      <c r="B724" s="2349" t="s">
        <v>5313</v>
      </c>
      <c r="C724" s="2343">
        <f>IF(J724&lt;$P724,1,IF(J724&gt;$Q724,0,(J724-$Q724)/($P724-$Q724)))</f>
        <v>1</v>
      </c>
      <c r="D724" s="2343">
        <f>IF(K724&lt;$P724,1,IF(K724&gt;$Q724,0,(K724-$Q724)/($P724-$Q724)))</f>
        <v>1</v>
      </c>
      <c r="E724" s="2343">
        <f t="shared" ref="E724:H724" si="197">IF(L724&lt;$P724,1,IF(L724&gt;$Q724,0,(L724-$Q724)/($P724-$Q724)))</f>
        <v>1</v>
      </c>
      <c r="F724" s="2343">
        <f t="shared" si="197"/>
        <v>1</v>
      </c>
      <c r="G724" s="2343">
        <f t="shared" si="197"/>
        <v>1</v>
      </c>
      <c r="H724" s="2343">
        <f t="shared" si="197"/>
        <v>1</v>
      </c>
      <c r="I724" s="1823" t="s">
        <v>5295</v>
      </c>
      <c r="J724" s="2348">
        <v>12.03</v>
      </c>
      <c r="K724" s="2348">
        <v>1.02</v>
      </c>
      <c r="L724" s="2348">
        <v>0.1</v>
      </c>
      <c r="M724" s="2348">
        <v>9.1</v>
      </c>
      <c r="N724" s="2348">
        <v>8.2100000000000009</v>
      </c>
      <c r="O724" s="2348">
        <v>6.29</v>
      </c>
      <c r="P724" s="2348">
        <v>35.74</v>
      </c>
      <c r="Q724" s="2353">
        <v>7.01</v>
      </c>
      <c r="R724" s="2365"/>
      <c r="S724" s="2348"/>
      <c r="T724" s="2348"/>
      <c r="U724" s="2348"/>
      <c r="V724" s="2348"/>
      <c r="W724" s="2348"/>
      <c r="X724" s="2348"/>
      <c r="Y724" s="1818"/>
      <c r="Z724" s="1818"/>
      <c r="AA724" s="1818"/>
      <c r="AB724" s="1818"/>
      <c r="AC724" s="1818"/>
      <c r="AD724" s="1818"/>
      <c r="AE724" s="1818"/>
      <c r="AF724" s="1818"/>
      <c r="AG724" s="1818"/>
      <c r="AH724" s="1818"/>
      <c r="AI724" s="1818"/>
      <c r="AJ724" s="1818"/>
      <c r="AK724" s="1818"/>
      <c r="AL724" s="1818"/>
      <c r="AM724" s="1818"/>
      <c r="AN724" s="1818"/>
      <c r="AO724" s="1818"/>
      <c r="AP724" s="1818"/>
      <c r="AQ724" s="1818"/>
      <c r="AR724" s="1818"/>
      <c r="AS724" s="1818"/>
      <c r="AT724" s="1818"/>
      <c r="AU724" s="1818"/>
      <c r="AV724" s="1818"/>
      <c r="AW724" s="1818"/>
      <c r="AX724" s="1818"/>
      <c r="AY724" s="1818"/>
      <c r="AZ724" s="1818"/>
      <c r="BA724" s="1818"/>
      <c r="BB724" s="1818"/>
      <c r="BC724" s="1818"/>
      <c r="BD724" s="1818"/>
      <c r="BE724" s="1818"/>
      <c r="BF724" s="1818"/>
      <c r="BG724" s="1818"/>
      <c r="BH724" s="1818"/>
      <c r="BI724" s="1818"/>
      <c r="BJ724" s="1818"/>
      <c r="BK724" s="1818"/>
      <c r="BL724" s="1818"/>
      <c r="BM724" s="1818"/>
      <c r="BN724" s="1818"/>
      <c r="BO724" s="1818"/>
      <c r="BP724" s="1818"/>
      <c r="BQ724" s="1818"/>
      <c r="BR724" s="1818"/>
      <c r="BS724" s="1818"/>
      <c r="BT724" s="1818"/>
      <c r="BU724" s="1818"/>
      <c r="BV724" s="1818"/>
      <c r="BW724" s="1818"/>
      <c r="BX724" s="1818"/>
      <c r="BY724" s="1818"/>
      <c r="BZ724" s="1818"/>
    </row>
    <row r="725" spans="1:78" s="1893" customFormat="1" ht="32.1" customHeight="1">
      <c r="A725" s="2504"/>
      <c r="B725" s="2355" t="s">
        <v>5314</v>
      </c>
      <c r="C725" s="2153"/>
      <c r="D725" s="2153"/>
      <c r="E725" s="2153"/>
      <c r="F725" s="2153"/>
      <c r="G725" s="2153"/>
      <c r="H725" s="2153"/>
      <c r="I725" s="1823" t="s">
        <v>5295</v>
      </c>
      <c r="J725" s="2347"/>
      <c r="K725" s="2347"/>
      <c r="L725" s="2347"/>
      <c r="M725" s="2347"/>
      <c r="N725" s="2347"/>
      <c r="O725" s="2347"/>
      <c r="P725" s="2356"/>
      <c r="Q725" s="2356"/>
      <c r="R725" s="2361"/>
      <c r="S725" s="2347"/>
      <c r="T725" s="2347"/>
      <c r="U725" s="2347"/>
      <c r="V725" s="2347"/>
      <c r="W725" s="2347"/>
      <c r="X725" s="2347"/>
      <c r="Y725" s="1818"/>
      <c r="Z725" s="1818"/>
      <c r="AA725" s="1818"/>
      <c r="AB725" s="1818"/>
      <c r="AC725" s="1818"/>
      <c r="AD725" s="1818"/>
      <c r="AE725" s="1818"/>
      <c r="AF725" s="1818"/>
      <c r="AG725" s="1818"/>
      <c r="AH725" s="1818"/>
      <c r="AI725" s="1818"/>
      <c r="AJ725" s="1818"/>
      <c r="AK725" s="1818"/>
      <c r="AL725" s="1818"/>
      <c r="AM725" s="1818"/>
      <c r="AN725" s="1818"/>
      <c r="AO725" s="1818"/>
      <c r="AP725" s="1818"/>
      <c r="AQ725" s="1818"/>
      <c r="AR725" s="1818"/>
      <c r="AS725" s="1818"/>
      <c r="AT725" s="1818"/>
      <c r="AU725" s="1818"/>
      <c r="AV725" s="1818"/>
      <c r="AW725" s="1818"/>
      <c r="AX725" s="1818"/>
      <c r="AY725" s="1818"/>
      <c r="AZ725" s="1818"/>
      <c r="BA725" s="1818"/>
      <c r="BB725" s="1818"/>
      <c r="BC725" s="1818"/>
      <c r="BD725" s="1818"/>
      <c r="BE725" s="1818"/>
      <c r="BF725" s="1818"/>
      <c r="BG725" s="1818"/>
      <c r="BH725" s="1818"/>
      <c r="BI725" s="1818"/>
      <c r="BJ725" s="1818"/>
      <c r="BK725" s="1818"/>
      <c r="BL725" s="1818"/>
      <c r="BM725" s="1818"/>
      <c r="BN725" s="1818"/>
      <c r="BO725" s="1818"/>
      <c r="BP725" s="1818"/>
      <c r="BQ725" s="1818"/>
      <c r="BR725" s="1818"/>
      <c r="BS725" s="1818"/>
      <c r="BT725" s="1818"/>
      <c r="BU725" s="1818"/>
      <c r="BV725" s="1818"/>
      <c r="BW725" s="1818"/>
      <c r="BX725" s="1818"/>
      <c r="BY725" s="1818"/>
      <c r="BZ725" s="1818"/>
    </row>
    <row r="726" spans="1:78" s="1818" customFormat="1" ht="87" customHeight="1">
      <c r="A726" s="2500"/>
      <c r="B726" s="2438" t="s">
        <v>5315</v>
      </c>
      <c r="C726" s="2156">
        <f>AVERAGE(C727,C728)</f>
        <v>0.5</v>
      </c>
      <c r="D726" s="2156">
        <f t="shared" ref="D726:H726" si="198">AVERAGE(D727,D728)</f>
        <v>0.25</v>
      </c>
      <c r="E726" s="2156">
        <f>AVERAGE(E727,E728)</f>
        <v>0.25</v>
      </c>
      <c r="F726" s="2156">
        <f t="shared" si="198"/>
        <v>0</v>
      </c>
      <c r="G726" s="2156">
        <f t="shared" si="198"/>
        <v>0.5</v>
      </c>
      <c r="H726" s="2156">
        <f t="shared" si="198"/>
        <v>0.5</v>
      </c>
      <c r="I726" s="1841" t="s">
        <v>9181</v>
      </c>
      <c r="J726" s="1911"/>
      <c r="K726" s="1910"/>
      <c r="L726" s="1911"/>
      <c r="M726" s="1911"/>
      <c r="N726" s="1911"/>
      <c r="O726" s="1911" t="s">
        <v>8961</v>
      </c>
      <c r="P726" s="2439"/>
      <c r="Q726" s="2439"/>
      <c r="R726" s="2361"/>
      <c r="S726" s="2004"/>
      <c r="T726" s="1910"/>
      <c r="U726" s="1911"/>
      <c r="V726" s="1911"/>
      <c r="W726" s="1911"/>
      <c r="X726" s="1911" t="s">
        <v>8961</v>
      </c>
    </row>
    <row r="727" spans="1:78" s="1818" customFormat="1" ht="231.95" customHeight="1">
      <c r="A727" s="2357"/>
      <c r="B727" s="2272" t="s">
        <v>5316</v>
      </c>
      <c r="C727" s="1884">
        <v>0.5</v>
      </c>
      <c r="D727" s="2358">
        <v>0.5</v>
      </c>
      <c r="E727" s="1884">
        <v>0.5</v>
      </c>
      <c r="F727" s="1884">
        <v>0</v>
      </c>
      <c r="G727" s="2215">
        <v>0.5</v>
      </c>
      <c r="H727" s="2216">
        <v>0.5</v>
      </c>
      <c r="I727" s="1883"/>
      <c r="J727" s="2019">
        <v>0.5</v>
      </c>
      <c r="K727" s="2359" t="s">
        <v>2411</v>
      </c>
      <c r="L727" s="2019" t="s">
        <v>5533</v>
      </c>
      <c r="M727" s="2019">
        <v>0</v>
      </c>
      <c r="N727" s="2019" t="s">
        <v>748</v>
      </c>
      <c r="O727" s="2019" t="s">
        <v>8962</v>
      </c>
      <c r="P727" s="2033">
        <v>0.5</v>
      </c>
      <c r="Q727" s="2033">
        <v>0</v>
      </c>
      <c r="R727" s="2362"/>
      <c r="S727" s="2019"/>
      <c r="T727" s="1794" t="s">
        <v>7787</v>
      </c>
      <c r="U727" s="2034" t="s">
        <v>9021</v>
      </c>
      <c r="V727" s="2019"/>
      <c r="W727" s="2019" t="s">
        <v>8498</v>
      </c>
      <c r="X727" s="2019" t="s">
        <v>8962</v>
      </c>
    </row>
    <row r="728" spans="1:78" s="1818" customFormat="1" ht="32.1" customHeight="1">
      <c r="A728" s="1899"/>
      <c r="B728" s="2272" t="s">
        <v>5317</v>
      </c>
      <c r="C728" s="1884">
        <v>0.5</v>
      </c>
      <c r="D728" s="2358">
        <v>0</v>
      </c>
      <c r="E728" s="1884">
        <v>0</v>
      </c>
      <c r="F728" s="1884">
        <v>0</v>
      </c>
      <c r="G728" s="2215">
        <v>0.5</v>
      </c>
      <c r="H728" s="2216">
        <v>0.5</v>
      </c>
      <c r="I728" s="1883"/>
      <c r="J728" s="2019">
        <v>0.5</v>
      </c>
      <c r="K728" s="2359" t="s">
        <v>748</v>
      </c>
      <c r="L728" s="2019">
        <v>0</v>
      </c>
      <c r="M728" s="2019">
        <v>0</v>
      </c>
      <c r="N728" s="2019" t="s">
        <v>748</v>
      </c>
      <c r="O728" s="2019" t="s">
        <v>8963</v>
      </c>
      <c r="P728" s="2033">
        <v>0.5</v>
      </c>
      <c r="Q728" s="2033">
        <v>0</v>
      </c>
      <c r="R728" s="2362"/>
      <c r="S728" s="2019"/>
      <c r="T728" s="2360" t="s">
        <v>748</v>
      </c>
      <c r="U728" s="2034" t="s">
        <v>9022</v>
      </c>
      <c r="V728" s="2019"/>
      <c r="W728" s="2019" t="s">
        <v>8498</v>
      </c>
      <c r="X728" s="2019" t="s">
        <v>8963</v>
      </c>
    </row>
    <row r="729" spans="1:78" s="1818" customFormat="1" ht="32.1" customHeight="1">
      <c r="A729" s="2531" t="s">
        <v>6856</v>
      </c>
      <c r="B729" s="1842" t="s">
        <v>443</v>
      </c>
      <c r="C729" s="1880">
        <f>AVERAGE(C730:C732)</f>
        <v>0.30314949336152253</v>
      </c>
      <c r="D729" s="1880">
        <f t="shared" ref="D729:H729" si="199">AVERAGE(D730:D732)</f>
        <v>0.5194136485547004</v>
      </c>
      <c r="E729" s="1880">
        <f t="shared" si="199"/>
        <v>0.76935639069212736</v>
      </c>
      <c r="F729" s="1880">
        <f t="shared" si="199"/>
        <v>0.65756998748650397</v>
      </c>
      <c r="G729" s="1880">
        <f t="shared" si="199"/>
        <v>0.34663603796513393</v>
      </c>
      <c r="H729" s="1880">
        <f t="shared" si="199"/>
        <v>0.5</v>
      </c>
      <c r="I729" s="1883"/>
      <c r="J729" s="2366"/>
      <c r="K729" s="1793"/>
      <c r="L729" s="1793"/>
      <c r="M729" s="1793"/>
      <c r="N729" s="1793"/>
      <c r="O729" s="1793"/>
      <c r="P729" s="2363"/>
      <c r="Q729" s="2045"/>
      <c r="R729" s="2363"/>
      <c r="S729" s="2366"/>
      <c r="T729" s="1793"/>
      <c r="U729" s="1793"/>
      <c r="V729" s="1793"/>
      <c r="W729" s="1793"/>
      <c r="X729" s="1793"/>
    </row>
    <row r="730" spans="1:78" s="1818" customFormat="1" ht="32.1" customHeight="1">
      <c r="A730" s="1899" t="s">
        <v>8075</v>
      </c>
      <c r="B730" s="1807" t="s">
        <v>444</v>
      </c>
      <c r="C730" s="1808">
        <f>IF(J730&lt;$P730,1,IF(J730&gt;$Q730,0,(J730-$Q730)/($P730-$Q730)))</f>
        <v>0.84232283464566915</v>
      </c>
      <c r="D730" s="1808">
        <f t="shared" ref="D730:H731" si="200">IF(K730&lt;$P730,1,IF(K730&gt;$Q730,0,(K730-$Q730)/($P730-$Q730)))</f>
        <v>0.74015748031496065</v>
      </c>
      <c r="E730" s="1808">
        <f t="shared" si="200"/>
        <v>0.9724409448818897</v>
      </c>
      <c r="F730" s="1808">
        <f t="shared" si="200"/>
        <v>0.97047244094488194</v>
      </c>
      <c r="G730" s="1808">
        <f t="shared" si="200"/>
        <v>3.5433070866141815E-2</v>
      </c>
      <c r="H730" s="1808">
        <f t="shared" si="200"/>
        <v>0</v>
      </c>
      <c r="I730" s="1841" t="s">
        <v>5295</v>
      </c>
      <c r="J730" s="2035">
        <v>9.81</v>
      </c>
      <c r="K730" s="2036">
        <v>15</v>
      </c>
      <c r="L730" s="2035">
        <v>3.2</v>
      </c>
      <c r="M730" s="2035">
        <v>3.3</v>
      </c>
      <c r="N730" s="2035">
        <v>50.8</v>
      </c>
      <c r="O730" s="2035">
        <v>52.6</v>
      </c>
      <c r="P730" s="1884">
        <v>1.8</v>
      </c>
      <c r="Q730" s="2037">
        <v>52.6</v>
      </c>
      <c r="R730" s="2364"/>
      <c r="S730" s="2035"/>
      <c r="T730" s="2036"/>
      <c r="U730" s="2035"/>
      <c r="V730" s="2035" t="s">
        <v>8038</v>
      </c>
      <c r="W730" s="2035"/>
      <c r="X730" s="2035" t="s">
        <v>8964</v>
      </c>
    </row>
    <row r="731" spans="1:78" s="1818" customFormat="1" ht="32.1" customHeight="1">
      <c r="A731" s="1899"/>
      <c r="B731" s="1807" t="s">
        <v>9097</v>
      </c>
      <c r="C731" s="1808">
        <f>IF(J731&lt;$P731,1,IF(J731&gt;$Q731,0,(J731-$Q731)/($P731-$Q731)))</f>
        <v>0</v>
      </c>
      <c r="D731" s="1808">
        <f t="shared" si="200"/>
        <v>0.59433131388614591</v>
      </c>
      <c r="E731" s="1808">
        <f t="shared" si="200"/>
        <v>1</v>
      </c>
      <c r="F731" s="1808">
        <f t="shared" si="200"/>
        <v>1</v>
      </c>
      <c r="G731" s="1808">
        <f t="shared" si="200"/>
        <v>1</v>
      </c>
      <c r="H731" s="1808">
        <f t="shared" si="200"/>
        <v>1</v>
      </c>
      <c r="I731" s="1841" t="s">
        <v>5295</v>
      </c>
      <c r="J731" s="2053" t="s">
        <v>9004</v>
      </c>
      <c r="K731" s="2036">
        <v>600</v>
      </c>
      <c r="L731" s="2035">
        <v>408.7</v>
      </c>
      <c r="M731" s="2035">
        <v>257</v>
      </c>
      <c r="N731" s="2035">
        <v>164.5</v>
      </c>
      <c r="O731" s="2035">
        <v>163</v>
      </c>
      <c r="P731" s="1884">
        <v>448</v>
      </c>
      <c r="Q731" s="2038">
        <v>822.69</v>
      </c>
      <c r="R731" s="2365"/>
      <c r="S731" s="2035"/>
      <c r="T731" s="1798" t="s">
        <v>7788</v>
      </c>
      <c r="U731" s="2035"/>
      <c r="V731" s="2035" t="s">
        <v>8039</v>
      </c>
      <c r="W731" s="2035"/>
      <c r="X731" s="2035" t="s">
        <v>8965</v>
      </c>
    </row>
    <row r="732" spans="1:78" s="1818" customFormat="1" ht="102" customHeight="1">
      <c r="A732" s="1899"/>
      <c r="B732" s="1885" t="s">
        <v>9096</v>
      </c>
      <c r="C732" s="1808">
        <f>IF(J732&gt;$P732,1,IF(J732&lt;$Q732,0,(J732-$Q732)/($P732-$Q732)))</f>
        <v>6.7125645438898443E-2</v>
      </c>
      <c r="D732" s="1808">
        <f t="shared" ref="D732:F732" si="201">IF(K732&gt;$P732,1,IF(K732&lt;$Q732,0,(K732-$Q732)/($P732-$Q732)))</f>
        <v>0.22375215146299482</v>
      </c>
      <c r="E732" s="1808">
        <f t="shared" si="201"/>
        <v>0.33562822719449226</v>
      </c>
      <c r="F732" s="1808">
        <f t="shared" si="201"/>
        <v>2.2375215146299486E-3</v>
      </c>
      <c r="G732" s="1808">
        <f>IF(N732&gt;$P732,1,IF(N732&lt;$Q732,0,(N732-$Q732)/($P732-$Q732)))</f>
        <v>4.4750430292598972E-3</v>
      </c>
      <c r="H732" s="1808" t="s">
        <v>877</v>
      </c>
      <c r="I732" s="1841" t="s">
        <v>5295</v>
      </c>
      <c r="J732" s="2035">
        <v>3</v>
      </c>
      <c r="K732" s="2036">
        <v>10</v>
      </c>
      <c r="L732" s="2035">
        <v>15</v>
      </c>
      <c r="M732" s="2035">
        <v>0.1</v>
      </c>
      <c r="N732" s="2035">
        <v>0.2</v>
      </c>
      <c r="O732" s="2035" t="s">
        <v>877</v>
      </c>
      <c r="P732" s="2038">
        <v>44.692307692307693</v>
      </c>
      <c r="Q732" s="2038">
        <v>0</v>
      </c>
      <c r="R732" s="2365"/>
      <c r="S732" s="2035"/>
      <c r="T732" s="1798" t="s">
        <v>9322</v>
      </c>
      <c r="U732" s="2035"/>
      <c r="V732" s="2035" t="s">
        <v>8040</v>
      </c>
      <c r="W732" s="2035"/>
      <c r="X732" s="2035" t="s">
        <v>8966</v>
      </c>
    </row>
    <row r="733" spans="1:78" s="1818" customFormat="1" ht="32.1" customHeight="1">
      <c r="A733" s="2531" t="s">
        <v>6857</v>
      </c>
      <c r="B733" s="1842" t="s">
        <v>447</v>
      </c>
      <c r="C733" s="1880">
        <f>AVERAGE(C734:C739)</f>
        <v>0.60804290054989563</v>
      </c>
      <c r="D733" s="1880">
        <f t="shared" ref="D733:H733" si="202">AVERAGE(D734:D739)</f>
        <v>0.50094197976216492</v>
      </c>
      <c r="E733" s="1880">
        <f t="shared" si="202"/>
        <v>0.68996271449572777</v>
      </c>
      <c r="F733" s="1880">
        <f t="shared" si="202"/>
        <v>0.64879292040284109</v>
      </c>
      <c r="G733" s="1880">
        <f t="shared" si="202"/>
        <v>0.80338275131088832</v>
      </c>
      <c r="H733" s="2580">
        <f t="shared" si="202"/>
        <v>0.70572493478096465</v>
      </c>
      <c r="I733" s="1841"/>
      <c r="J733" s="2366"/>
      <c r="K733" s="1793"/>
      <c r="L733" s="1793"/>
      <c r="M733" s="1793"/>
      <c r="N733" s="1793"/>
      <c r="O733" s="1793"/>
      <c r="P733" s="2363"/>
      <c r="Q733" s="2045"/>
      <c r="R733" s="2363"/>
      <c r="S733" s="2366"/>
      <c r="T733" s="1793"/>
      <c r="U733" s="1793"/>
      <c r="V733" s="1793"/>
      <c r="W733" s="1793"/>
      <c r="X733" s="1793"/>
    </row>
    <row r="734" spans="1:78" s="1818" customFormat="1" ht="88.5" customHeight="1">
      <c r="A734" s="1899"/>
      <c r="B734" s="1807" t="s">
        <v>8076</v>
      </c>
      <c r="C734" s="1808">
        <f>IF(J734&lt;$P734,1,IF(J734&gt;$Q734,0,(J734-$Q734)/($P734-$Q734)))</f>
        <v>0</v>
      </c>
      <c r="D734" s="1808">
        <f t="shared" ref="D734:H734" si="203">IF(K734&lt;$P734,1,IF(K734&gt;$Q734,0,(K734-$Q734)/($P734-$Q734)))</f>
        <v>0.75339022234473652</v>
      </c>
      <c r="E734" s="1808">
        <f t="shared" si="203"/>
        <v>0.51367515159868415</v>
      </c>
      <c r="F734" s="1808">
        <f t="shared" si="203"/>
        <v>0.7990502358201752</v>
      </c>
      <c r="G734" s="2578">
        <f t="shared" si="203"/>
        <v>0.89322401361326731</v>
      </c>
      <c r="H734" s="1808">
        <f t="shared" si="203"/>
        <v>0.88466276108662256</v>
      </c>
      <c r="I734" s="2579" t="s">
        <v>5295</v>
      </c>
      <c r="J734" s="2035">
        <v>0.56999999999999995</v>
      </c>
      <c r="K734" s="2036">
        <v>0.27600000000000002</v>
      </c>
      <c r="L734" s="2035">
        <v>0.36</v>
      </c>
      <c r="M734" s="2039">
        <v>0.26</v>
      </c>
      <c r="N734" s="2035">
        <v>0.22700000000000001</v>
      </c>
      <c r="O734" s="2035">
        <v>0.23</v>
      </c>
      <c r="P734" s="2040">
        <v>0.18958398427528464</v>
      </c>
      <c r="Q734" s="2038">
        <v>0.54</v>
      </c>
      <c r="R734" s="2365"/>
      <c r="S734" s="2035"/>
      <c r="T734" s="2041" t="s">
        <v>7789</v>
      </c>
      <c r="U734" s="2035"/>
      <c r="V734" s="2035" t="s">
        <v>8041</v>
      </c>
      <c r="W734" s="2035" t="s">
        <v>8499</v>
      </c>
      <c r="X734" s="2035"/>
    </row>
    <row r="735" spans="1:78" s="1818" customFormat="1" ht="51.75" customHeight="1">
      <c r="A735" s="1899"/>
      <c r="B735" s="1807" t="s">
        <v>5319</v>
      </c>
      <c r="C735" s="1808">
        <f t="shared" ref="C735:C739" si="204">IF(J735&lt;$P735,1,IF(J735&gt;$Q735,0,(J735-$Q735)/($P735-$Q735)))</f>
        <v>1</v>
      </c>
      <c r="D735" s="1808">
        <f t="shared" ref="D735:H739" si="205">IF(K735&lt;$P735,1,IF(K735&gt;$Q735,0,(K735-$Q735)/($P735-$Q735)))</f>
        <v>0</v>
      </c>
      <c r="E735" s="1808">
        <f t="shared" si="205"/>
        <v>1</v>
      </c>
      <c r="F735" s="1808">
        <f t="shared" si="205"/>
        <v>0</v>
      </c>
      <c r="G735" s="2578">
        <f t="shared" si="205"/>
        <v>1</v>
      </c>
      <c r="H735" s="1808">
        <f t="shared" si="205"/>
        <v>1</v>
      </c>
      <c r="I735" s="2579" t="s">
        <v>5295</v>
      </c>
      <c r="J735" s="2035">
        <v>9.25</v>
      </c>
      <c r="K735" s="2036">
        <v>82.76</v>
      </c>
      <c r="L735" s="2035">
        <v>0.8</v>
      </c>
      <c r="M735" s="2035">
        <v>44</v>
      </c>
      <c r="N735" s="2035">
        <v>16.3</v>
      </c>
      <c r="O735" s="2035">
        <v>5.3</v>
      </c>
      <c r="P735" s="2040">
        <v>23.3</v>
      </c>
      <c r="Q735" s="2038">
        <v>34</v>
      </c>
      <c r="R735" s="2365"/>
      <c r="S735" s="2035"/>
      <c r="T735" s="2042" t="s">
        <v>7790</v>
      </c>
      <c r="U735" s="2035"/>
      <c r="V735" s="2035" t="s">
        <v>8042</v>
      </c>
      <c r="W735" s="2035"/>
      <c r="X735" s="2035" t="s">
        <v>8967</v>
      </c>
    </row>
    <row r="736" spans="1:78" s="1818" customFormat="1" ht="35.25" customHeight="1">
      <c r="A736" s="1899"/>
      <c r="B736" s="1885" t="s">
        <v>448</v>
      </c>
      <c r="C736" s="1808">
        <f t="shared" si="204"/>
        <v>0.20462483544968713</v>
      </c>
      <c r="D736" s="1808">
        <f t="shared" si="205"/>
        <v>1</v>
      </c>
      <c r="E736" s="1808">
        <f t="shared" si="205"/>
        <v>1</v>
      </c>
      <c r="F736" s="1808">
        <f t="shared" si="205"/>
        <v>1</v>
      </c>
      <c r="G736" s="2578">
        <f t="shared" si="205"/>
        <v>0.51823463760627253</v>
      </c>
      <c r="H736" s="1808">
        <f t="shared" si="205"/>
        <v>1</v>
      </c>
      <c r="I736" s="2579" t="s">
        <v>5295</v>
      </c>
      <c r="J736" s="2035">
        <v>17.13</v>
      </c>
      <c r="K736" s="2036">
        <v>1.18</v>
      </c>
      <c r="L736" s="2035">
        <v>5.6</v>
      </c>
      <c r="M736" s="2035">
        <v>3.54</v>
      </c>
      <c r="N736" s="2035">
        <v>12.9</v>
      </c>
      <c r="O736" s="1548">
        <v>0.4</v>
      </c>
      <c r="P736" s="2040">
        <v>6.4019011876804832</v>
      </c>
      <c r="Q736" s="2038">
        <v>19.89</v>
      </c>
      <c r="R736" s="2365"/>
      <c r="S736" s="2035"/>
      <c r="T736" s="2042" t="s">
        <v>7791</v>
      </c>
      <c r="U736" s="2035"/>
      <c r="V736" s="2367" t="s">
        <v>8043</v>
      </c>
      <c r="W736" s="2035"/>
      <c r="X736" s="2035" t="s">
        <v>8968</v>
      </c>
    </row>
    <row r="737" spans="1:24" s="1818" customFormat="1" ht="36" customHeight="1">
      <c r="A737" s="1899"/>
      <c r="B737" s="1885" t="s">
        <v>5320</v>
      </c>
      <c r="C737" s="1808">
        <f t="shared" si="204"/>
        <v>1</v>
      </c>
      <c r="D737" s="1808">
        <f t="shared" si="205"/>
        <v>1</v>
      </c>
      <c r="E737" s="1808">
        <f t="shared" si="205"/>
        <v>0.11523263044678225</v>
      </c>
      <c r="F737" s="1808">
        <f t="shared" si="205"/>
        <v>0.70226678555303013</v>
      </c>
      <c r="G737" s="2578">
        <f t="shared" si="205"/>
        <v>1</v>
      </c>
      <c r="H737" s="1808">
        <f t="shared" si="205"/>
        <v>1</v>
      </c>
      <c r="I737" s="2579" t="s">
        <v>5295</v>
      </c>
      <c r="J737" s="2035">
        <v>5.08</v>
      </c>
      <c r="K737" s="2036">
        <v>5.0999999999999996</v>
      </c>
      <c r="L737" s="2035">
        <v>14.2</v>
      </c>
      <c r="M737" s="2043">
        <v>11.5</v>
      </c>
      <c r="N737" s="2035">
        <v>5.35</v>
      </c>
      <c r="O737" s="1548">
        <v>2</v>
      </c>
      <c r="P737" s="2040">
        <v>10.13060833511242</v>
      </c>
      <c r="Q737" s="2038">
        <v>14.73</v>
      </c>
      <c r="R737" s="2365"/>
      <c r="S737" s="2035"/>
      <c r="T737" s="2042" t="s">
        <v>7792</v>
      </c>
      <c r="U737" s="2035"/>
      <c r="V737" s="2035" t="s">
        <v>8044</v>
      </c>
      <c r="W737" s="2035"/>
      <c r="X737" s="2035" t="s">
        <v>8969</v>
      </c>
    </row>
    <row r="738" spans="1:24" s="1818" customFormat="1" ht="39.75" customHeight="1">
      <c r="A738" s="1899"/>
      <c r="B738" s="1807" t="s">
        <v>452</v>
      </c>
      <c r="C738" s="1808">
        <f t="shared" si="204"/>
        <v>0.44363256784968685</v>
      </c>
      <c r="D738" s="1808">
        <f t="shared" si="205"/>
        <v>0.25226165622825331</v>
      </c>
      <c r="E738" s="1808">
        <f t="shared" si="205"/>
        <v>0.52540013917884487</v>
      </c>
      <c r="F738" s="1808">
        <f t="shared" si="205"/>
        <v>0.39144050104384137</v>
      </c>
      <c r="G738" s="1808">
        <f t="shared" si="205"/>
        <v>0.40883785664578987</v>
      </c>
      <c r="H738" s="2581">
        <f t="shared" si="205"/>
        <v>0.34968684759916496</v>
      </c>
      <c r="I738" s="1841" t="s">
        <v>5295</v>
      </c>
      <c r="J738" s="1806">
        <v>32</v>
      </c>
      <c r="K738" s="2036">
        <v>43</v>
      </c>
      <c r="L738" s="2036">
        <v>27.3</v>
      </c>
      <c r="M738" s="2036">
        <v>35</v>
      </c>
      <c r="N738" s="2036">
        <v>34</v>
      </c>
      <c r="O738" s="2036">
        <v>37.4</v>
      </c>
      <c r="P738" s="2040">
        <v>0.02</v>
      </c>
      <c r="Q738" s="2044">
        <v>57.5</v>
      </c>
      <c r="R738" s="2365"/>
      <c r="S738" s="2035"/>
      <c r="T738" s="2042" t="s">
        <v>7793</v>
      </c>
      <c r="U738" s="2035"/>
      <c r="V738" s="2035"/>
      <c r="W738" s="2035"/>
      <c r="X738" s="2035" t="s">
        <v>8970</v>
      </c>
    </row>
    <row r="739" spans="1:24" s="1818" customFormat="1" ht="32.1" customHeight="1">
      <c r="A739" s="1807"/>
      <c r="B739" s="1807" t="s">
        <v>453</v>
      </c>
      <c r="C739" s="1808">
        <f t="shared" si="204"/>
        <v>1</v>
      </c>
      <c r="D739" s="1808">
        <f t="shared" si="205"/>
        <v>0</v>
      </c>
      <c r="E739" s="1808">
        <f t="shared" si="205"/>
        <v>0.98546836575005592</v>
      </c>
      <c r="F739" s="1808">
        <f t="shared" si="205"/>
        <v>1</v>
      </c>
      <c r="G739" s="1808">
        <f t="shared" si="205"/>
        <v>1</v>
      </c>
      <c r="H739" s="1808">
        <f t="shared" si="205"/>
        <v>0</v>
      </c>
      <c r="I739" s="1841" t="s">
        <v>5295</v>
      </c>
      <c r="J739" s="2035">
        <v>1</v>
      </c>
      <c r="K739" s="2036">
        <v>49.9</v>
      </c>
      <c r="L739" s="2035">
        <v>1.72</v>
      </c>
      <c r="M739" s="2035">
        <v>0.98</v>
      </c>
      <c r="N739" s="2035">
        <v>0.96</v>
      </c>
      <c r="O739" s="2035" t="s">
        <v>877</v>
      </c>
      <c r="P739" s="2040">
        <v>1.07</v>
      </c>
      <c r="Q739" s="2038">
        <v>45.8</v>
      </c>
      <c r="R739" s="2365"/>
      <c r="S739" s="2035"/>
      <c r="T739" s="2042" t="s">
        <v>7794</v>
      </c>
      <c r="U739" s="2035"/>
      <c r="V739" s="2035" t="s">
        <v>8045</v>
      </c>
      <c r="W739" s="2035"/>
      <c r="X739" s="2035" t="s">
        <v>8971</v>
      </c>
    </row>
    <row r="740" spans="1:24" s="1818" customFormat="1" ht="32.1" customHeight="1">
      <c r="A740" s="1881" t="s">
        <v>6858</v>
      </c>
      <c r="B740" s="1897" t="s">
        <v>5325</v>
      </c>
      <c r="C740" s="1887">
        <f t="shared" ref="C740:G740" si="206">AVERAGE(C741,C744)</f>
        <v>0.46367948065574804</v>
      </c>
      <c r="D740" s="1887">
        <f t="shared" si="206"/>
        <v>0.25</v>
      </c>
      <c r="E740" s="1887">
        <f t="shared" si="206"/>
        <v>0.61904761904761907</v>
      </c>
      <c r="F740" s="1887">
        <f t="shared" si="206"/>
        <v>0.61507936507936511</v>
      </c>
      <c r="G740" s="1887">
        <f t="shared" si="206"/>
        <v>0.37533807571239231</v>
      </c>
      <c r="H740" s="1887">
        <f>AVERAGE(H741,H744)</f>
        <v>0.18253968253968256</v>
      </c>
      <c r="I740" s="1841"/>
      <c r="J740" s="2339"/>
      <c r="K740" s="1796"/>
      <c r="L740" s="1796"/>
      <c r="M740" s="1796"/>
      <c r="N740" s="1796"/>
      <c r="O740" s="1796"/>
      <c r="P740" s="2025"/>
      <c r="Q740" s="2025"/>
      <c r="R740" s="2363"/>
      <c r="S740" s="2339"/>
      <c r="T740" s="1796"/>
      <c r="U740" s="1796"/>
      <c r="V740" s="1796"/>
      <c r="W740" s="1796"/>
      <c r="X740" s="1796"/>
    </row>
    <row r="741" spans="1:24" s="1902" customFormat="1" ht="32.1" customHeight="1">
      <c r="A741" s="2340" t="s">
        <v>6903</v>
      </c>
      <c r="B741" s="1886" t="s">
        <v>6905</v>
      </c>
      <c r="C741" s="1887">
        <f t="shared" ref="C741:G741" si="207">AVERAGE(C742,C743)</f>
        <v>0.35593038988292469</v>
      </c>
      <c r="D741" s="1887">
        <f t="shared" si="207"/>
        <v>0.25</v>
      </c>
      <c r="E741" s="1887">
        <f t="shared" si="207"/>
        <v>1</v>
      </c>
      <c r="F741" s="1887">
        <f t="shared" si="207"/>
        <v>0.5</v>
      </c>
      <c r="G741" s="1887">
        <f t="shared" si="207"/>
        <v>0.25067615142478467</v>
      </c>
      <c r="H741" s="1887">
        <f>AVERAGE(H742,H743)</f>
        <v>0</v>
      </c>
      <c r="I741" s="1841" t="s">
        <v>5295</v>
      </c>
      <c r="J741" s="2046"/>
      <c r="K741" s="2046"/>
      <c r="L741" s="2047"/>
      <c r="M741" s="2046"/>
      <c r="N741" s="2046"/>
      <c r="O741" s="2046"/>
      <c r="P741" s="2240"/>
      <c r="Q741" s="2048"/>
      <c r="R741" s="2425"/>
      <c r="S741" s="2046"/>
      <c r="T741" s="2046"/>
      <c r="U741" s="2047"/>
      <c r="V741" s="2046"/>
      <c r="W741" s="2046"/>
      <c r="X741" s="2046"/>
    </row>
    <row r="742" spans="1:24" s="1902" customFormat="1" ht="32.1" customHeight="1">
      <c r="A742" s="2336"/>
      <c r="B742" s="1885" t="s">
        <v>8077</v>
      </c>
      <c r="C742" s="1808">
        <f>IF(J742&gt;$P742,1,IF(J742&lt;$Q742,0,(J742-$Q742)/($P742-$Q742)))</f>
        <v>0.21186077976584941</v>
      </c>
      <c r="D742" s="1808">
        <f t="shared" ref="D742:H742" si="208">IF(K742&gt;$P742,1,IF(K742&lt;$Q742,0,(K742-$Q742)/($P742-$Q742)))</f>
        <v>0</v>
      </c>
      <c r="E742" s="1808">
        <f t="shared" si="208"/>
        <v>1</v>
      </c>
      <c r="F742" s="1808">
        <f t="shared" si="208"/>
        <v>1</v>
      </c>
      <c r="G742" s="1808">
        <f t="shared" si="208"/>
        <v>1.3523028495693024E-3</v>
      </c>
      <c r="H742" s="1808">
        <f t="shared" si="208"/>
        <v>0</v>
      </c>
      <c r="I742" s="1841" t="s">
        <v>5295</v>
      </c>
      <c r="J742" s="2035">
        <v>15.9</v>
      </c>
      <c r="K742" s="2036">
        <v>11.2</v>
      </c>
      <c r="L742" s="2019">
        <v>40.299999999999997</v>
      </c>
      <c r="M742" s="2039">
        <v>38.6</v>
      </c>
      <c r="N742" s="2035">
        <v>11.23</v>
      </c>
      <c r="O742" s="2035">
        <v>10</v>
      </c>
      <c r="P742" s="2054">
        <v>33.384379785604899</v>
      </c>
      <c r="Q742" s="2033">
        <v>11.2</v>
      </c>
      <c r="R742" s="2425"/>
      <c r="S742" s="2035"/>
      <c r="T742" s="2042" t="s">
        <v>7795</v>
      </c>
      <c r="U742" s="2019"/>
      <c r="V742" s="2035"/>
      <c r="W742" s="2035"/>
      <c r="X742" s="2035" t="s">
        <v>8972</v>
      </c>
    </row>
    <row r="743" spans="1:24" s="1902" customFormat="1" ht="87.95" customHeight="1">
      <c r="A743" s="2336"/>
      <c r="B743" s="1885" t="s">
        <v>7099</v>
      </c>
      <c r="C743" s="1808">
        <v>0.5</v>
      </c>
      <c r="D743" s="1808">
        <v>0.5</v>
      </c>
      <c r="E743" s="1808">
        <v>1</v>
      </c>
      <c r="F743" s="1808">
        <v>0</v>
      </c>
      <c r="G743" s="1808">
        <v>0.5</v>
      </c>
      <c r="H743" s="1808">
        <v>0</v>
      </c>
      <c r="I743" s="2575" t="s">
        <v>9323</v>
      </c>
      <c r="J743" s="2576">
        <v>0</v>
      </c>
      <c r="K743" s="2577">
        <f>(K742/11.2)-1</f>
        <v>0</v>
      </c>
      <c r="L743" s="2576">
        <f>L742-39.9</f>
        <v>0.39999999999999858</v>
      </c>
      <c r="M743" s="2576">
        <f>M742-40.5</f>
        <v>-1.8999999999999986</v>
      </c>
      <c r="N743" s="2576">
        <v>0</v>
      </c>
      <c r="O743" s="2576">
        <f>O742-11.8</f>
        <v>-1.8000000000000007</v>
      </c>
      <c r="P743" s="2054"/>
      <c r="Q743" s="2369"/>
      <c r="R743" s="2426"/>
      <c r="S743" s="2241"/>
      <c r="T743" s="2370">
        <v>0</v>
      </c>
      <c r="U743" s="2241"/>
      <c r="V743" s="2241" t="s">
        <v>8046</v>
      </c>
      <c r="W743" s="2241" t="s">
        <v>8503</v>
      </c>
      <c r="X743" s="2241"/>
    </row>
    <row r="744" spans="1:24" s="1902" customFormat="1" ht="32.1" customHeight="1">
      <c r="A744" s="2340" t="s">
        <v>6904</v>
      </c>
      <c r="B744" s="1886" t="s">
        <v>451</v>
      </c>
      <c r="C744" s="1887">
        <f t="shared" ref="C744:H744" si="209">AVERAGE(C745,C746)</f>
        <v>0.5714285714285714</v>
      </c>
      <c r="D744" s="1887">
        <f t="shared" si="209"/>
        <v>0.25</v>
      </c>
      <c r="E744" s="1887">
        <f t="shared" si="209"/>
        <v>0.23809523809523803</v>
      </c>
      <c r="F744" s="1887">
        <f t="shared" si="209"/>
        <v>0.73015873015873012</v>
      </c>
      <c r="G744" s="1887">
        <f t="shared" si="209"/>
        <v>0.5</v>
      </c>
      <c r="H744" s="1887">
        <f t="shared" si="209"/>
        <v>0.36507936507936511</v>
      </c>
      <c r="I744" s="1841" t="s">
        <v>5295</v>
      </c>
      <c r="J744" s="2046"/>
      <c r="K744" s="2046"/>
      <c r="L744" s="2047"/>
      <c r="M744" s="2046"/>
      <c r="N744" s="2046"/>
      <c r="O744" s="2046"/>
      <c r="P744" s="2242"/>
      <c r="Q744" s="2049"/>
      <c r="R744" s="2365"/>
      <c r="S744" s="2046"/>
      <c r="T744" s="2046"/>
      <c r="U744" s="2047"/>
      <c r="V744" s="2046"/>
      <c r="W744" s="2046"/>
      <c r="X744" s="2046"/>
    </row>
    <row r="745" spans="1:24" s="1902" customFormat="1" ht="183.95" customHeight="1">
      <c r="A745" s="2336"/>
      <c r="B745" s="1885" t="s">
        <v>6908</v>
      </c>
      <c r="C745" s="1808">
        <f>IF(J745&gt;$P745,1,IF(J745&lt;$Q745,0,(J745-$Q745)/($P745-$Q745)))</f>
        <v>0.14285714285714277</v>
      </c>
      <c r="D745" s="1808">
        <f t="shared" ref="D745:H745" si="210">IF(K745&gt;$P745,1,IF(K745&lt;$Q745,0,(K745-$Q745)/($P745-$Q745)))</f>
        <v>0</v>
      </c>
      <c r="E745" s="1808">
        <f t="shared" si="210"/>
        <v>0.47619047619047605</v>
      </c>
      <c r="F745" s="1808">
        <f t="shared" si="210"/>
        <v>0.46031746031746024</v>
      </c>
      <c r="G745" s="1808">
        <f t="shared" si="210"/>
        <v>1</v>
      </c>
      <c r="H745" s="1808">
        <f t="shared" si="210"/>
        <v>0.73015873015873023</v>
      </c>
      <c r="I745" s="1841" t="s">
        <v>5295</v>
      </c>
      <c r="J745" s="2035">
        <v>6.6</v>
      </c>
      <c r="K745" s="2036">
        <v>5.7</v>
      </c>
      <c r="L745" s="2019">
        <v>8.6999999999999993</v>
      </c>
      <c r="M745" s="2035">
        <v>8.6</v>
      </c>
      <c r="N745" s="2035">
        <v>13</v>
      </c>
      <c r="O745" s="2035">
        <v>10.3</v>
      </c>
      <c r="P745" s="2054">
        <v>12</v>
      </c>
      <c r="Q745" s="2038">
        <v>5.7</v>
      </c>
      <c r="R745" s="2365"/>
      <c r="S745" s="2035"/>
      <c r="T745" s="2042" t="s">
        <v>7796</v>
      </c>
      <c r="U745" s="2019"/>
      <c r="V745" s="2035"/>
      <c r="W745" s="2035"/>
      <c r="X745" s="2035" t="s">
        <v>8973</v>
      </c>
    </row>
    <row r="746" spans="1:24" s="1902" customFormat="1" ht="32.1" customHeight="1">
      <c r="A746" s="2336"/>
      <c r="B746" s="1885" t="s">
        <v>7100</v>
      </c>
      <c r="C746" s="1808">
        <v>1</v>
      </c>
      <c r="D746" s="1808">
        <v>0.5</v>
      </c>
      <c r="E746" s="1808">
        <v>0</v>
      </c>
      <c r="F746" s="1808">
        <v>1</v>
      </c>
      <c r="G746" s="1808">
        <v>0</v>
      </c>
      <c r="H746" s="1808">
        <v>0</v>
      </c>
      <c r="I746" s="1841" t="s">
        <v>6906</v>
      </c>
      <c r="J746" s="2241">
        <v>4.5999999999999999E-2</v>
      </c>
      <c r="K746" s="2368">
        <f>(K745/5.7)-1</f>
        <v>0</v>
      </c>
      <c r="L746" s="2241" t="s">
        <v>8549</v>
      </c>
      <c r="M746" s="2241" t="s">
        <v>8063</v>
      </c>
      <c r="N746" s="2241">
        <v>0</v>
      </c>
      <c r="O746" s="2241">
        <v>0</v>
      </c>
      <c r="P746" s="2038"/>
      <c r="Q746" s="2038"/>
      <c r="R746" s="2365"/>
      <c r="S746" s="2241"/>
      <c r="T746" s="2368">
        <v>0</v>
      </c>
      <c r="U746" s="2241"/>
      <c r="V746" s="2241" t="s">
        <v>8047</v>
      </c>
      <c r="W746" s="2241"/>
      <c r="X746" s="2371" t="s">
        <v>9014</v>
      </c>
    </row>
    <row r="747" spans="1:24" s="1818" customFormat="1" ht="32.1" customHeight="1">
      <c r="A747" s="1881">
        <v>3.3</v>
      </c>
      <c r="B747" s="1897" t="s">
        <v>7101</v>
      </c>
      <c r="C747" s="2341">
        <f>AVERAGE(C748,C766,C771)</f>
        <v>0.96669371261295656</v>
      </c>
      <c r="D747" s="2341">
        <f t="shared" ref="D747:H747" si="211">AVERAGE(D748,D766,D771)</f>
        <v>0.74246690848924535</v>
      </c>
      <c r="E747" s="2341">
        <f t="shared" si="211"/>
        <v>0.59272782232404231</v>
      </c>
      <c r="F747" s="2341">
        <f t="shared" si="211"/>
        <v>0.89026505027364122</v>
      </c>
      <c r="G747" s="2341">
        <f t="shared" si="211"/>
        <v>0.83478108692885333</v>
      </c>
      <c r="H747" s="2341">
        <f t="shared" si="211"/>
        <v>0.78240740740740744</v>
      </c>
      <c r="I747" s="1883"/>
      <c r="J747" s="2339"/>
      <c r="K747" s="2339"/>
      <c r="L747" s="2339"/>
      <c r="M747" s="2339"/>
      <c r="N747" s="2339"/>
      <c r="O747" s="2339"/>
      <c r="P747" s="2342"/>
      <c r="Q747" s="2342"/>
      <c r="R747" s="2361"/>
      <c r="S747" s="2339"/>
      <c r="T747" s="2339"/>
      <c r="U747" s="2339"/>
      <c r="V747" s="2339"/>
      <c r="W747" s="2339"/>
      <c r="X747" s="2339"/>
    </row>
    <row r="748" spans="1:24" s="1818" customFormat="1" ht="32.1" customHeight="1">
      <c r="A748" s="1881" t="s">
        <v>689</v>
      </c>
      <c r="B748" s="1897" t="s">
        <v>7102</v>
      </c>
      <c r="C748" s="2376">
        <f>AVERAGE(C749,C750,C751,C754,C757,C762,C763,C764,C765)</f>
        <v>0.90008113783886989</v>
      </c>
      <c r="D748" s="2376">
        <f t="shared" ref="D748:H748" si="212">AVERAGE(D749,D750,D751,D754,D757,D762,D763,D764,D765)</f>
        <v>0.85240072546773571</v>
      </c>
      <c r="E748" s="2376">
        <f t="shared" si="212"/>
        <v>0.27818346697212681</v>
      </c>
      <c r="F748" s="2376">
        <f t="shared" si="212"/>
        <v>0.920795150820924</v>
      </c>
      <c r="G748" s="2376">
        <f t="shared" si="212"/>
        <v>0.75434326078655978</v>
      </c>
      <c r="H748" s="2376">
        <f t="shared" si="212"/>
        <v>0.72222222222222221</v>
      </c>
      <c r="I748" s="1841"/>
      <c r="J748" s="1796"/>
      <c r="K748" s="1796"/>
      <c r="L748" s="1796"/>
      <c r="M748" s="1796"/>
      <c r="N748" s="1796"/>
      <c r="O748" s="1796"/>
      <c r="P748" s="1796"/>
      <c r="Q748" s="1796"/>
      <c r="R748" s="2144"/>
      <c r="S748" s="1796"/>
      <c r="T748" s="1796"/>
      <c r="U748" s="1796"/>
      <c r="V748" s="1796"/>
      <c r="W748" s="1796"/>
      <c r="X748" s="1796"/>
    </row>
    <row r="749" spans="1:24" s="1818" customFormat="1" ht="32.1" customHeight="1">
      <c r="A749" s="1899"/>
      <c r="B749" s="1807" t="s">
        <v>456</v>
      </c>
      <c r="C749" s="1837">
        <v>1</v>
      </c>
      <c r="D749" s="1837">
        <v>1</v>
      </c>
      <c r="E749" s="1829">
        <v>0</v>
      </c>
      <c r="F749" s="1829">
        <v>1</v>
      </c>
      <c r="G749" s="1829">
        <v>1</v>
      </c>
      <c r="H749" s="1850">
        <v>0</v>
      </c>
      <c r="I749" s="1841" t="s">
        <v>457</v>
      </c>
      <c r="J749" s="2217">
        <v>1</v>
      </c>
      <c r="K749" s="1802" t="s">
        <v>811</v>
      </c>
      <c r="L749" s="1949">
        <v>0</v>
      </c>
      <c r="M749" s="1949">
        <v>1</v>
      </c>
      <c r="N749" s="1949" t="s">
        <v>811</v>
      </c>
      <c r="O749" s="1802" t="s">
        <v>8974</v>
      </c>
      <c r="P749" s="1794">
        <v>1</v>
      </c>
      <c r="Q749" s="1794">
        <v>0</v>
      </c>
      <c r="R749" s="2144"/>
      <c r="S749" s="2248" t="s">
        <v>8244</v>
      </c>
      <c r="T749" s="1802" t="s">
        <v>7797</v>
      </c>
      <c r="U749" s="2372" t="s">
        <v>7354</v>
      </c>
      <c r="V749" s="1949"/>
      <c r="W749" s="1949" t="s">
        <v>8504</v>
      </c>
      <c r="X749" s="1802" t="s">
        <v>8974</v>
      </c>
    </row>
    <row r="750" spans="1:24" s="1818" customFormat="1" ht="50.1" customHeight="1">
      <c r="A750" s="1899"/>
      <c r="B750" s="1807" t="s">
        <v>458</v>
      </c>
      <c r="C750" s="1837">
        <v>1</v>
      </c>
      <c r="D750" s="1837">
        <v>1</v>
      </c>
      <c r="E750" s="1829">
        <v>0</v>
      </c>
      <c r="F750" s="1829">
        <v>1</v>
      </c>
      <c r="G750" s="1837">
        <v>1</v>
      </c>
      <c r="H750" s="1850">
        <v>1</v>
      </c>
      <c r="I750" s="2337" t="s">
        <v>459</v>
      </c>
      <c r="J750" s="2217">
        <v>1</v>
      </c>
      <c r="K750" s="1802" t="s">
        <v>960</v>
      </c>
      <c r="L750" s="1794">
        <v>0</v>
      </c>
      <c r="M750" s="1949">
        <v>1</v>
      </c>
      <c r="N750" s="1802" t="s">
        <v>8500</v>
      </c>
      <c r="O750" s="1949" t="s">
        <v>8975</v>
      </c>
      <c r="P750" s="1794">
        <v>1</v>
      </c>
      <c r="Q750" s="1794">
        <v>0</v>
      </c>
      <c r="R750" s="1913"/>
      <c r="S750" s="2248" t="s">
        <v>8245</v>
      </c>
      <c r="T750" s="1802" t="s">
        <v>7798</v>
      </c>
      <c r="U750" s="2225" t="s">
        <v>7355</v>
      </c>
      <c r="V750" s="1949"/>
      <c r="W750" s="1802" t="s">
        <v>5504</v>
      </c>
      <c r="X750" s="1949" t="s">
        <v>8975</v>
      </c>
    </row>
    <row r="751" spans="1:24" s="1818" customFormat="1" ht="32.1" customHeight="1">
      <c r="A751" s="2500"/>
      <c r="B751" s="2059" t="s">
        <v>460</v>
      </c>
      <c r="C751" s="2060">
        <f>AVERAGE(C752:C753)</f>
        <v>1</v>
      </c>
      <c r="D751" s="2060">
        <f t="shared" ref="D751:H751" si="213">AVERAGE(D752:D753)</f>
        <v>1</v>
      </c>
      <c r="E751" s="2060">
        <f t="shared" si="213"/>
        <v>0</v>
      </c>
      <c r="F751" s="2060">
        <f t="shared" si="213"/>
        <v>1</v>
      </c>
      <c r="G751" s="2060">
        <f t="shared" si="213"/>
        <v>1</v>
      </c>
      <c r="H751" s="2060">
        <f t="shared" si="213"/>
        <v>1</v>
      </c>
      <c r="I751" s="2337"/>
      <c r="J751" s="2239"/>
      <c r="K751" s="1911"/>
      <c r="L751" s="1911"/>
      <c r="M751" s="1966"/>
      <c r="N751" s="1966"/>
      <c r="O751" s="1966"/>
      <c r="P751" s="1911"/>
      <c r="Q751" s="1911"/>
      <c r="R751" s="1913"/>
      <c r="S751" s="2280"/>
      <c r="T751" s="1911"/>
      <c r="U751" s="2230"/>
      <c r="V751" s="1966"/>
      <c r="W751" s="1966"/>
      <c r="X751" s="1966"/>
    </row>
    <row r="752" spans="1:24" s="1818" customFormat="1" ht="32.1" customHeight="1">
      <c r="A752" s="1899"/>
      <c r="B752" s="1805" t="s">
        <v>461</v>
      </c>
      <c r="C752" s="1837">
        <v>1</v>
      </c>
      <c r="D752" s="1837">
        <v>1</v>
      </c>
      <c r="E752" s="1829">
        <v>0</v>
      </c>
      <c r="F752" s="1829">
        <v>1</v>
      </c>
      <c r="G752" s="1829">
        <v>1</v>
      </c>
      <c r="H752" s="1850">
        <v>1</v>
      </c>
      <c r="I752" s="2337" t="s">
        <v>462</v>
      </c>
      <c r="J752" s="2053">
        <v>1</v>
      </c>
      <c r="K752" s="1802" t="s">
        <v>7376</v>
      </c>
      <c r="L752" s="1794">
        <v>0</v>
      </c>
      <c r="M752" s="1949">
        <v>1</v>
      </c>
      <c r="N752" s="1949" t="s">
        <v>811</v>
      </c>
      <c r="O752" s="1802" t="s">
        <v>8976</v>
      </c>
      <c r="P752" s="1794">
        <v>1</v>
      </c>
      <c r="Q752" s="1794">
        <v>0</v>
      </c>
      <c r="R752" s="1913"/>
      <c r="S752" s="2248" t="s">
        <v>8246</v>
      </c>
      <c r="T752" s="1802" t="s">
        <v>7799</v>
      </c>
      <c r="U752" s="2225" t="s">
        <v>7356</v>
      </c>
      <c r="V752" s="1949"/>
      <c r="W752" s="1949" t="s">
        <v>8505</v>
      </c>
      <c r="X752" s="1802" t="s">
        <v>8976</v>
      </c>
    </row>
    <row r="753" spans="1:176" s="1818" customFormat="1" ht="32.1" customHeight="1">
      <c r="A753" s="1899"/>
      <c r="B753" s="1805" t="s">
        <v>463</v>
      </c>
      <c r="C753" s="1837">
        <v>1</v>
      </c>
      <c r="D753" s="1837">
        <v>1</v>
      </c>
      <c r="E753" s="1829">
        <v>0</v>
      </c>
      <c r="F753" s="1829">
        <v>1</v>
      </c>
      <c r="G753" s="1837">
        <v>1</v>
      </c>
      <c r="H753" s="1850">
        <v>1</v>
      </c>
      <c r="I753" s="2337" t="s">
        <v>462</v>
      </c>
      <c r="J753" s="2217">
        <v>1</v>
      </c>
      <c r="K753" s="1802" t="s">
        <v>811</v>
      </c>
      <c r="L753" s="1949">
        <v>0</v>
      </c>
      <c r="M753" s="1949">
        <v>1</v>
      </c>
      <c r="N753" s="1802" t="s">
        <v>811</v>
      </c>
      <c r="O753" s="1802" t="s">
        <v>8977</v>
      </c>
      <c r="P753" s="1794">
        <v>1</v>
      </c>
      <c r="Q753" s="1794">
        <v>0</v>
      </c>
      <c r="R753" s="1913"/>
      <c r="S753" s="2248" t="s">
        <v>8247</v>
      </c>
      <c r="T753" s="1802" t="s">
        <v>7800</v>
      </c>
      <c r="U753" s="2373" t="s">
        <v>7357</v>
      </c>
      <c r="V753" s="1949" t="s">
        <v>8048</v>
      </c>
      <c r="W753" s="1802" t="s">
        <v>2535</v>
      </c>
      <c r="X753" s="1802" t="s">
        <v>8977</v>
      </c>
    </row>
    <row r="754" spans="1:176" s="1818" customFormat="1" ht="32.1" customHeight="1">
      <c r="A754" s="2500"/>
      <c r="B754" s="2059" t="s">
        <v>464</v>
      </c>
      <c r="C754" s="2060">
        <f t="shared" ref="C754:H754" si="214">AVERAGE(C755:C756)</f>
        <v>1</v>
      </c>
      <c r="D754" s="2060">
        <f t="shared" si="214"/>
        <v>1</v>
      </c>
      <c r="E754" s="2060">
        <f t="shared" si="214"/>
        <v>0.25</v>
      </c>
      <c r="F754" s="2060">
        <f t="shared" si="214"/>
        <v>1</v>
      </c>
      <c r="G754" s="2060">
        <f t="shared" si="214"/>
        <v>0.75</v>
      </c>
      <c r="H754" s="2060">
        <f t="shared" si="214"/>
        <v>1</v>
      </c>
      <c r="I754" s="2337"/>
      <c r="J754" s="2239"/>
      <c r="K754" s="1966"/>
      <c r="L754" s="1966"/>
      <c r="M754" s="1966">
        <v>1</v>
      </c>
      <c r="N754" s="1966"/>
      <c r="O754" s="1966"/>
      <c r="P754" s="1911"/>
      <c r="Q754" s="1911"/>
      <c r="R754" s="1913"/>
      <c r="S754" s="2280"/>
      <c r="T754" s="1966"/>
      <c r="U754" s="2440"/>
      <c r="V754" s="1966" t="s">
        <v>8049</v>
      </c>
      <c r="W754" s="1966"/>
      <c r="X754" s="1966"/>
    </row>
    <row r="755" spans="1:176" s="1818" customFormat="1" ht="32.1" customHeight="1">
      <c r="A755" s="1899"/>
      <c r="B755" s="1805" t="s">
        <v>465</v>
      </c>
      <c r="C755" s="1837">
        <v>1</v>
      </c>
      <c r="D755" s="1837">
        <v>1</v>
      </c>
      <c r="E755" s="1829">
        <v>0</v>
      </c>
      <c r="F755" s="1829">
        <v>1</v>
      </c>
      <c r="G755" s="1837">
        <v>1</v>
      </c>
      <c r="H755" s="1850">
        <v>1</v>
      </c>
      <c r="I755" s="2337" t="s">
        <v>466</v>
      </c>
      <c r="J755" s="2053">
        <v>1</v>
      </c>
      <c r="K755" s="1802" t="s">
        <v>811</v>
      </c>
      <c r="L755" s="1949">
        <v>0</v>
      </c>
      <c r="M755" s="1949">
        <v>1</v>
      </c>
      <c r="N755" s="1802" t="s">
        <v>811</v>
      </c>
      <c r="O755" s="1802" t="s">
        <v>8978</v>
      </c>
      <c r="P755" s="1794">
        <v>1</v>
      </c>
      <c r="Q755" s="1794">
        <v>0</v>
      </c>
      <c r="R755" s="1913"/>
      <c r="S755" s="2248" t="s">
        <v>8248</v>
      </c>
      <c r="T755" s="1802" t="s">
        <v>7801</v>
      </c>
      <c r="U755" s="2373" t="s">
        <v>7358</v>
      </c>
      <c r="V755" s="1949" t="s">
        <v>8050</v>
      </c>
      <c r="W755" s="1802" t="s">
        <v>8506</v>
      </c>
      <c r="X755" s="1802" t="s">
        <v>8978</v>
      </c>
    </row>
    <row r="756" spans="1:176" s="1818" customFormat="1" ht="68.099999999999994" customHeight="1">
      <c r="A756" s="1899"/>
      <c r="B756" s="1805" t="s">
        <v>467</v>
      </c>
      <c r="C756" s="1837">
        <v>1</v>
      </c>
      <c r="D756" s="1829">
        <v>1</v>
      </c>
      <c r="E756" s="1829">
        <v>0.5</v>
      </c>
      <c r="F756" s="1829">
        <v>1</v>
      </c>
      <c r="G756" s="1829">
        <v>0.5</v>
      </c>
      <c r="H756" s="1808">
        <v>1</v>
      </c>
      <c r="I756" s="2337" t="s">
        <v>466</v>
      </c>
      <c r="J756" s="2217">
        <v>1</v>
      </c>
      <c r="K756" s="1949" t="s">
        <v>7802</v>
      </c>
      <c r="L756" s="1949" t="s">
        <v>2546</v>
      </c>
      <c r="M756" s="1949" t="s">
        <v>6753</v>
      </c>
      <c r="N756" s="1949"/>
      <c r="O756" s="2053" t="s">
        <v>8979</v>
      </c>
      <c r="P756" s="1794">
        <v>1</v>
      </c>
      <c r="Q756" s="1794">
        <v>0</v>
      </c>
      <c r="R756" s="1913"/>
      <c r="S756" s="2248" t="s">
        <v>8249</v>
      </c>
      <c r="T756" s="1949" t="s">
        <v>7802</v>
      </c>
      <c r="U756" s="2373"/>
      <c r="V756" s="1949" t="s">
        <v>6753</v>
      </c>
      <c r="W756" s="1949" t="s">
        <v>2546</v>
      </c>
      <c r="X756" s="2053" t="s">
        <v>8979</v>
      </c>
    </row>
    <row r="757" spans="1:176" s="1818" customFormat="1" ht="32.1" customHeight="1">
      <c r="A757" s="2500"/>
      <c r="B757" s="2059" t="s">
        <v>468</v>
      </c>
      <c r="C757" s="2060">
        <f t="shared" ref="C757:H757" si="215">AVERAGE(C758:C761)</f>
        <v>0.875</v>
      </c>
      <c r="D757" s="2060">
        <f t="shared" si="215"/>
        <v>0.375</v>
      </c>
      <c r="E757" s="2060">
        <f t="shared" si="215"/>
        <v>0</v>
      </c>
      <c r="F757" s="2060">
        <f t="shared" si="215"/>
        <v>0.75</v>
      </c>
      <c r="G757" s="2060">
        <f t="shared" si="215"/>
        <v>0.25</v>
      </c>
      <c r="H757" s="2060">
        <f t="shared" si="215"/>
        <v>0.5</v>
      </c>
      <c r="I757" s="2337"/>
      <c r="J757" s="1910"/>
      <c r="K757" s="1966"/>
      <c r="L757" s="1966"/>
      <c r="M757" s="1966"/>
      <c r="N757" s="1966"/>
      <c r="O757" s="1966" t="s">
        <v>2148</v>
      </c>
      <c r="P757" s="1911"/>
      <c r="Q757" s="1911"/>
      <c r="R757" s="1913"/>
      <c r="S757" s="2250"/>
      <c r="T757" s="1966" t="s">
        <v>8562</v>
      </c>
      <c r="U757" s="2440"/>
      <c r="V757" s="1966" t="s">
        <v>8051</v>
      </c>
      <c r="W757" s="1911"/>
      <c r="X757" s="1966" t="s">
        <v>2148</v>
      </c>
    </row>
    <row r="758" spans="1:176" s="1818" customFormat="1" ht="32.1" customHeight="1">
      <c r="A758" s="1899"/>
      <c r="B758" s="1805" t="s">
        <v>469</v>
      </c>
      <c r="C758" s="1837">
        <v>1</v>
      </c>
      <c r="D758" s="1829">
        <v>0</v>
      </c>
      <c r="E758" s="1829">
        <v>0</v>
      </c>
      <c r="F758" s="1829">
        <v>1</v>
      </c>
      <c r="G758" s="1837">
        <v>0</v>
      </c>
      <c r="H758" s="1850">
        <v>0.5</v>
      </c>
      <c r="I758" s="2337"/>
      <c r="J758" s="2217">
        <v>1</v>
      </c>
      <c r="K758" s="1794"/>
      <c r="L758" s="1794">
        <v>0</v>
      </c>
      <c r="M758" s="1949">
        <v>1</v>
      </c>
      <c r="N758" s="2053" t="s">
        <v>8501</v>
      </c>
      <c r="O758" s="1802" t="s">
        <v>8980</v>
      </c>
      <c r="P758" s="1794">
        <v>1</v>
      </c>
      <c r="Q758" s="1794">
        <v>0</v>
      </c>
      <c r="R758" s="2144"/>
      <c r="S758" s="2248" t="s">
        <v>8250</v>
      </c>
      <c r="T758" s="1794" t="s">
        <v>7803</v>
      </c>
      <c r="U758" s="2225" t="s">
        <v>7359</v>
      </c>
      <c r="V758" s="1949" t="s">
        <v>6773</v>
      </c>
      <c r="W758" s="2053" t="s">
        <v>8501</v>
      </c>
      <c r="X758" s="1802" t="s">
        <v>8980</v>
      </c>
    </row>
    <row r="759" spans="1:176" s="1818" customFormat="1" ht="32.1" customHeight="1">
      <c r="A759" s="1899"/>
      <c r="B759" s="1805" t="s">
        <v>470</v>
      </c>
      <c r="C759" s="1837">
        <v>1</v>
      </c>
      <c r="D759" s="1829">
        <v>0.5</v>
      </c>
      <c r="E759" s="1829">
        <v>0</v>
      </c>
      <c r="F759" s="1829">
        <v>0.5</v>
      </c>
      <c r="G759" s="1837">
        <v>0</v>
      </c>
      <c r="H759" s="1850">
        <v>0.5</v>
      </c>
      <c r="I759" s="2337"/>
      <c r="J759" s="2217">
        <v>1</v>
      </c>
      <c r="K759" s="1794"/>
      <c r="L759" s="1794">
        <v>0</v>
      </c>
      <c r="M759" s="1794">
        <v>0.9</v>
      </c>
      <c r="N759" s="2053" t="s">
        <v>8502</v>
      </c>
      <c r="O759" s="1802" t="s">
        <v>5747</v>
      </c>
      <c r="P759" s="1794">
        <v>1</v>
      </c>
      <c r="Q759" s="1794">
        <v>0</v>
      </c>
      <c r="R759" s="2144"/>
      <c r="S759" s="2248" t="s">
        <v>8251</v>
      </c>
      <c r="T759" s="1794" t="s">
        <v>7804</v>
      </c>
      <c r="U759" s="2225" t="s">
        <v>7360</v>
      </c>
      <c r="V759" s="1794" t="s">
        <v>8052</v>
      </c>
      <c r="W759" s="2053" t="s">
        <v>8502</v>
      </c>
      <c r="X759" s="1802" t="s">
        <v>5747</v>
      </c>
    </row>
    <row r="760" spans="1:176" s="1818" customFormat="1" ht="90" customHeight="1">
      <c r="A760" s="1899"/>
      <c r="B760" s="1805" t="s">
        <v>471</v>
      </c>
      <c r="C760" s="1837">
        <v>0.5</v>
      </c>
      <c r="D760" s="1829">
        <v>0.5</v>
      </c>
      <c r="E760" s="1829">
        <v>0</v>
      </c>
      <c r="F760" s="1829">
        <v>0.5</v>
      </c>
      <c r="G760" s="1837">
        <v>0.5</v>
      </c>
      <c r="H760" s="1850">
        <v>0.5</v>
      </c>
      <c r="I760" s="1841"/>
      <c r="J760" s="2217">
        <v>0.5</v>
      </c>
      <c r="K760" s="1794"/>
      <c r="L760" s="1794">
        <v>0</v>
      </c>
      <c r="M760" s="1949">
        <v>0.5</v>
      </c>
      <c r="N760" s="2053" t="s">
        <v>2564</v>
      </c>
      <c r="O760" s="1802" t="s">
        <v>8981</v>
      </c>
      <c r="P760" s="1794">
        <v>1</v>
      </c>
      <c r="Q760" s="1794">
        <v>0</v>
      </c>
      <c r="R760" s="2144"/>
      <c r="S760" s="2248" t="s">
        <v>8252</v>
      </c>
      <c r="T760" s="1794" t="s">
        <v>7805</v>
      </c>
      <c r="U760" s="2225" t="s">
        <v>7361</v>
      </c>
      <c r="V760" s="1949" t="s">
        <v>8053</v>
      </c>
      <c r="W760" s="2053" t="s">
        <v>2564</v>
      </c>
      <c r="X760" s="1802" t="s">
        <v>8981</v>
      </c>
    </row>
    <row r="761" spans="1:176" s="1818" customFormat="1" ht="32.1" customHeight="1">
      <c r="A761" s="1899"/>
      <c r="B761" s="1805" t="s">
        <v>472</v>
      </c>
      <c r="C761" s="1837">
        <v>1</v>
      </c>
      <c r="D761" s="1829">
        <v>0.5</v>
      </c>
      <c r="E761" s="1829">
        <v>0</v>
      </c>
      <c r="F761" s="1829">
        <v>1</v>
      </c>
      <c r="G761" s="1837">
        <v>0.5</v>
      </c>
      <c r="H761" s="1850">
        <v>0.5</v>
      </c>
      <c r="I761" s="1841"/>
      <c r="J761" s="2217">
        <v>1</v>
      </c>
      <c r="K761" s="1794"/>
      <c r="L761" s="1794">
        <v>0</v>
      </c>
      <c r="M761" s="1949">
        <v>1</v>
      </c>
      <c r="N761" s="2053" t="s">
        <v>5509</v>
      </c>
      <c r="O761" s="1802" t="s">
        <v>8982</v>
      </c>
      <c r="P761" s="1794">
        <v>1</v>
      </c>
      <c r="Q761" s="1794">
        <v>0</v>
      </c>
      <c r="R761" s="2144"/>
      <c r="S761" s="2248" t="s">
        <v>8253</v>
      </c>
      <c r="T761" s="1794" t="s">
        <v>7806</v>
      </c>
      <c r="U761" s="2225" t="s">
        <v>7362</v>
      </c>
      <c r="V761" s="1794" t="s">
        <v>8054</v>
      </c>
      <c r="W761" s="2053" t="s">
        <v>5509</v>
      </c>
      <c r="X761" s="1802" t="s">
        <v>8982</v>
      </c>
    </row>
    <row r="762" spans="1:176" s="1818" customFormat="1" ht="210" customHeight="1">
      <c r="A762" s="1899"/>
      <c r="B762" s="1807" t="s">
        <v>473</v>
      </c>
      <c r="C762" s="1837">
        <v>1</v>
      </c>
      <c r="D762" s="1829">
        <v>1</v>
      </c>
      <c r="E762" s="1829">
        <v>1</v>
      </c>
      <c r="F762" s="1829">
        <v>1</v>
      </c>
      <c r="G762" s="1837">
        <v>0.5</v>
      </c>
      <c r="H762" s="1850">
        <v>1</v>
      </c>
      <c r="I762" s="2417" t="s">
        <v>474</v>
      </c>
      <c r="J762" s="2217">
        <v>1</v>
      </c>
      <c r="K762" s="1794" t="s">
        <v>7807</v>
      </c>
      <c r="L762" s="2225" t="s">
        <v>7363</v>
      </c>
      <c r="M762" s="1794">
        <v>1</v>
      </c>
      <c r="N762" s="2053" t="s">
        <v>2576</v>
      </c>
      <c r="O762" s="1805" t="s">
        <v>9164</v>
      </c>
      <c r="P762" s="1794">
        <v>1</v>
      </c>
      <c r="Q762" s="1794">
        <v>0</v>
      </c>
      <c r="R762" s="2144"/>
      <c r="S762" s="2248" t="s">
        <v>8254</v>
      </c>
      <c r="T762" s="1794" t="s">
        <v>7807</v>
      </c>
      <c r="U762" s="2225" t="s">
        <v>7363</v>
      </c>
      <c r="V762" s="1805" t="s">
        <v>8055</v>
      </c>
      <c r="W762" s="2053" t="s">
        <v>2576</v>
      </c>
      <c r="X762" s="2374"/>
    </row>
    <row r="763" spans="1:176" s="1818" customFormat="1" ht="32.1" customHeight="1">
      <c r="A763" s="1899"/>
      <c r="B763" s="1807" t="s">
        <v>7133</v>
      </c>
      <c r="C763" s="1808">
        <f>IF(J763&gt;$J763,1,IF(J763&lt;Q763,0,(J763-Q763)/(P763-Q763)))</f>
        <v>0.22573024054982818</v>
      </c>
      <c r="D763" s="1808">
        <f>IF(K763&gt;$K763,1,IF(K763&lt;Q763,0,(K763-Q763)/(P763-Q763)))</f>
        <v>0.29660652920962199</v>
      </c>
      <c r="E763" s="1808">
        <f>IF(L763&gt;$L763,1,IF(L763&lt;Q763,0,(L763-Q763)/(P763-Q763)))</f>
        <v>0.25365120274914099</v>
      </c>
      <c r="F763" s="1808">
        <f>IF(M763&gt;$M763,1,IF(M763&lt;Q763,0,(M763-Q763)/(P763-Q763)))</f>
        <v>0.53715635738831602</v>
      </c>
      <c r="G763" s="1808">
        <f>IF(N763&gt;$N763,1,IF(N763&lt;Q763,0,(N763-Q763)/(P763-Q763)))</f>
        <v>0.28908934707903777</v>
      </c>
      <c r="H763" s="1808">
        <f>IF(O763&gt;$O763,1,IF(O763&lt;Q763,0,(O763-Q763)/(P763-Q763)))</f>
        <v>0</v>
      </c>
      <c r="I763" s="1841" t="s">
        <v>476</v>
      </c>
      <c r="J763" s="1802">
        <v>4.3</v>
      </c>
      <c r="K763" s="2375">
        <v>4.96</v>
      </c>
      <c r="L763" s="1794">
        <v>4.5600000000000005</v>
      </c>
      <c r="M763" s="1794">
        <v>7.1999999999999993</v>
      </c>
      <c r="N763" s="1794">
        <v>4.8899999999999997</v>
      </c>
      <c r="O763" s="1794">
        <v>2.1</v>
      </c>
      <c r="P763" s="1794">
        <v>11.51</v>
      </c>
      <c r="Q763" s="1794">
        <v>2.198</v>
      </c>
      <c r="R763" s="2144"/>
      <c r="S763" s="2248" t="s">
        <v>8255</v>
      </c>
      <c r="T763" s="1794" t="s">
        <v>7808</v>
      </c>
      <c r="U763" s="2373" t="s">
        <v>7364</v>
      </c>
      <c r="V763" s="1949" t="s">
        <v>9007</v>
      </c>
      <c r="W763" s="1794" t="s">
        <v>8507</v>
      </c>
      <c r="X763" s="1794" t="s">
        <v>8983</v>
      </c>
    </row>
    <row r="764" spans="1:176" s="1818" customFormat="1" ht="32.1" customHeight="1">
      <c r="A764" s="1899"/>
      <c r="B764" s="1807" t="s">
        <v>477</v>
      </c>
      <c r="C764" s="1837">
        <v>1</v>
      </c>
      <c r="D764" s="1829">
        <v>1</v>
      </c>
      <c r="E764" s="1829">
        <v>0.5</v>
      </c>
      <c r="F764" s="1829">
        <v>1</v>
      </c>
      <c r="G764" s="1837">
        <v>1</v>
      </c>
      <c r="H764" s="1850">
        <v>1</v>
      </c>
      <c r="I764" s="1841" t="s">
        <v>462</v>
      </c>
      <c r="J764" s="2217">
        <v>1</v>
      </c>
      <c r="K764" s="1949" t="s">
        <v>7401</v>
      </c>
      <c r="L764" s="1794">
        <v>0.5</v>
      </c>
      <c r="M764" s="1794">
        <v>1</v>
      </c>
      <c r="N764" s="2053" t="s">
        <v>2589</v>
      </c>
      <c r="O764" s="1949" t="s">
        <v>8984</v>
      </c>
      <c r="P764" s="1794">
        <v>1</v>
      </c>
      <c r="Q764" s="1794">
        <v>0</v>
      </c>
      <c r="R764" s="2144"/>
      <c r="S764" s="2248" t="s">
        <v>8256</v>
      </c>
      <c r="T764" s="1949" t="s">
        <v>7809</v>
      </c>
      <c r="U764" s="2225" t="s">
        <v>7365</v>
      </c>
      <c r="V764" s="1794" t="s">
        <v>8056</v>
      </c>
      <c r="W764" s="2053" t="s">
        <v>2589</v>
      </c>
      <c r="X764" s="1949" t="s">
        <v>8984</v>
      </c>
    </row>
    <row r="765" spans="1:176" s="1818" customFormat="1" ht="32.1" customHeight="1">
      <c r="A765" s="1899"/>
      <c r="B765" s="1807" t="s">
        <v>478</v>
      </c>
      <c r="C765" s="1837">
        <v>1</v>
      </c>
      <c r="D765" s="1829">
        <v>1</v>
      </c>
      <c r="E765" s="1829">
        <v>0.5</v>
      </c>
      <c r="F765" s="1829">
        <v>1</v>
      </c>
      <c r="G765" s="1837">
        <v>1</v>
      </c>
      <c r="H765" s="1850">
        <v>1</v>
      </c>
      <c r="I765" s="1841" t="s">
        <v>462</v>
      </c>
      <c r="J765" s="2217">
        <v>1</v>
      </c>
      <c r="K765" s="1949" t="s">
        <v>960</v>
      </c>
      <c r="L765" s="1949">
        <v>0.5</v>
      </c>
      <c r="M765" s="1794">
        <v>1</v>
      </c>
      <c r="N765" s="2053" t="s">
        <v>811</v>
      </c>
      <c r="O765" s="1949" t="s">
        <v>8985</v>
      </c>
      <c r="P765" s="1794">
        <v>1</v>
      </c>
      <c r="Q765" s="1794">
        <v>0</v>
      </c>
      <c r="R765" s="2144"/>
      <c r="S765" s="2248" t="s">
        <v>8257</v>
      </c>
      <c r="T765" s="1949" t="s">
        <v>7810</v>
      </c>
      <c r="U765" s="2373" t="s">
        <v>7366</v>
      </c>
      <c r="V765" s="1794" t="s">
        <v>8999</v>
      </c>
      <c r="W765" s="2053" t="s">
        <v>8508</v>
      </c>
      <c r="X765" s="1949" t="s">
        <v>8985</v>
      </c>
    </row>
    <row r="766" spans="1:176" s="1818" customFormat="1" ht="32.1" customHeight="1">
      <c r="A766" s="1897" t="s">
        <v>702</v>
      </c>
      <c r="B766" s="1897" t="s">
        <v>479</v>
      </c>
      <c r="C766" s="2314">
        <f t="shared" ref="C766:H766" si="216">AVERAGE(C767,C768,C769,C770)</f>
        <v>1</v>
      </c>
      <c r="D766" s="2314">
        <f t="shared" si="216"/>
        <v>0.75</v>
      </c>
      <c r="E766" s="2314">
        <f t="shared" si="216"/>
        <v>0.5</v>
      </c>
      <c r="F766" s="2314">
        <f t="shared" si="216"/>
        <v>0.875</v>
      </c>
      <c r="G766" s="2314">
        <f t="shared" si="216"/>
        <v>0.75</v>
      </c>
      <c r="H766" s="2314">
        <f t="shared" si="216"/>
        <v>0.875</v>
      </c>
      <c r="I766" s="1841"/>
      <c r="J766" s="1796"/>
      <c r="K766" s="2339"/>
      <c r="L766" s="2339"/>
      <c r="M766" s="2339"/>
      <c r="N766" s="2339"/>
      <c r="O766" s="2339"/>
      <c r="P766" s="2339"/>
      <c r="Q766" s="2339"/>
      <c r="R766" s="2427"/>
      <c r="S766" s="1796"/>
      <c r="T766" s="2339"/>
      <c r="U766" s="2339"/>
      <c r="V766" s="2339"/>
      <c r="W766" s="2339"/>
      <c r="X766" s="2339"/>
    </row>
    <row r="767" spans="1:176" s="1818" customFormat="1" ht="32.1" customHeight="1">
      <c r="A767" s="1874"/>
      <c r="B767" s="1820" t="s">
        <v>480</v>
      </c>
      <c r="C767" s="1856">
        <v>1</v>
      </c>
      <c r="D767" s="1828">
        <v>1</v>
      </c>
      <c r="E767" s="1846">
        <v>1</v>
      </c>
      <c r="F767" s="1829">
        <v>1</v>
      </c>
      <c r="G767" s="1833">
        <v>1</v>
      </c>
      <c r="H767" s="1856">
        <v>1</v>
      </c>
      <c r="I767" s="1823" t="s">
        <v>481</v>
      </c>
      <c r="J767" s="1889">
        <v>1</v>
      </c>
      <c r="K767" s="1925" t="s">
        <v>1134</v>
      </c>
      <c r="L767" s="1794">
        <v>1</v>
      </c>
      <c r="M767" s="1794">
        <v>1</v>
      </c>
      <c r="N767" s="1914" t="s">
        <v>811</v>
      </c>
      <c r="O767" s="1914" t="s">
        <v>8986</v>
      </c>
      <c r="P767" s="1915">
        <v>1</v>
      </c>
      <c r="Q767" s="1915">
        <v>0</v>
      </c>
      <c r="R767" s="2144"/>
      <c r="S767" s="1949" t="s">
        <v>9110</v>
      </c>
      <c r="T767" s="1925" t="s">
        <v>7811</v>
      </c>
      <c r="U767" s="1794" t="s">
        <v>7367</v>
      </c>
      <c r="V767" s="1794" t="s">
        <v>8057</v>
      </c>
      <c r="W767" s="1914" t="s">
        <v>2599</v>
      </c>
      <c r="X767" s="1914" t="s">
        <v>8986</v>
      </c>
      <c r="CA767" s="1890"/>
      <c r="CB767" s="1890"/>
      <c r="CC767" s="1890"/>
      <c r="CD767" s="1890"/>
      <c r="CE767" s="1890"/>
      <c r="CF767" s="1890"/>
      <c r="CG767" s="1890"/>
      <c r="CH767" s="1890"/>
      <c r="CI767" s="1890"/>
      <c r="CJ767" s="1890"/>
      <c r="CK767" s="1890"/>
      <c r="CL767" s="1890"/>
      <c r="CM767" s="1890"/>
      <c r="CN767" s="1890"/>
      <c r="CO767" s="1890"/>
      <c r="CP767" s="1890"/>
      <c r="CQ767" s="1890"/>
      <c r="CR767" s="1890"/>
      <c r="CS767" s="1890"/>
      <c r="CT767" s="1890"/>
      <c r="CU767" s="1890"/>
      <c r="CV767" s="1890"/>
      <c r="CW767" s="1890"/>
      <c r="CX767" s="1890"/>
      <c r="CY767" s="1890"/>
      <c r="CZ767" s="1890"/>
      <c r="DA767" s="1890"/>
      <c r="DB767" s="1890"/>
      <c r="DC767" s="1890"/>
      <c r="DD767" s="1890"/>
      <c r="DE767" s="1890"/>
      <c r="DF767" s="1890"/>
      <c r="DG767" s="1890"/>
      <c r="DH767" s="1890"/>
      <c r="DI767" s="1890"/>
      <c r="DJ767" s="1890"/>
      <c r="DK767" s="1890"/>
      <c r="DL767" s="1890"/>
      <c r="DM767" s="1890"/>
      <c r="DN767" s="1890"/>
      <c r="DO767" s="1890"/>
      <c r="DP767" s="1890"/>
      <c r="DQ767" s="1890"/>
      <c r="DR767" s="1890"/>
      <c r="DS767" s="1890"/>
      <c r="DT767" s="1890"/>
      <c r="DU767" s="1890"/>
      <c r="DV767" s="1890"/>
      <c r="DW767" s="1890"/>
      <c r="DX767" s="1890"/>
      <c r="DY767" s="1890"/>
      <c r="DZ767" s="1890"/>
      <c r="EA767" s="1890"/>
      <c r="EB767" s="1890"/>
      <c r="EC767" s="1890"/>
      <c r="ED767" s="1890"/>
      <c r="EE767" s="1890"/>
      <c r="EF767" s="1890"/>
      <c r="EG767" s="1890"/>
      <c r="EH767" s="1890"/>
      <c r="EI767" s="1890"/>
      <c r="EJ767" s="1890"/>
      <c r="EK767" s="1890"/>
      <c r="EL767" s="1890"/>
      <c r="EM767" s="1890"/>
      <c r="EN767" s="1890"/>
      <c r="EO767" s="1890"/>
      <c r="EP767" s="1890"/>
      <c r="EQ767" s="1890"/>
      <c r="ER767" s="1890"/>
      <c r="ES767" s="1890"/>
      <c r="ET767" s="1890"/>
      <c r="EU767" s="1890"/>
      <c r="EV767" s="1890"/>
      <c r="EW767" s="1890"/>
      <c r="EX767" s="1890"/>
      <c r="EY767" s="1890"/>
      <c r="EZ767" s="1890"/>
      <c r="FA767" s="1890"/>
      <c r="FB767" s="1890"/>
      <c r="FC767" s="1890"/>
      <c r="FD767" s="1890"/>
      <c r="FE767" s="1890"/>
      <c r="FF767" s="1890"/>
      <c r="FG767" s="1890"/>
      <c r="FH767" s="1890"/>
      <c r="FI767" s="1890"/>
      <c r="FJ767" s="1890"/>
      <c r="FK767" s="1890"/>
      <c r="FL767" s="1890"/>
      <c r="FM767" s="1890"/>
      <c r="FN767" s="1890"/>
      <c r="FO767" s="1890"/>
      <c r="FP767" s="1890"/>
      <c r="FQ767" s="1890"/>
      <c r="FR767" s="1890"/>
      <c r="FS767" s="1890"/>
      <c r="FT767" s="1890"/>
    </row>
    <row r="768" spans="1:176" s="1818" customFormat="1" ht="32.1" customHeight="1">
      <c r="A768" s="1874"/>
      <c r="B768" s="1820" t="s">
        <v>482</v>
      </c>
      <c r="C768" s="1856">
        <v>1</v>
      </c>
      <c r="D768" s="1828">
        <v>1</v>
      </c>
      <c r="E768" s="1846">
        <v>0</v>
      </c>
      <c r="F768" s="1830">
        <v>0.5</v>
      </c>
      <c r="G768" s="1833">
        <v>1</v>
      </c>
      <c r="H768" s="1856">
        <v>1</v>
      </c>
      <c r="I768" s="1823" t="s">
        <v>123</v>
      </c>
      <c r="J768" s="1889">
        <v>1</v>
      </c>
      <c r="K768" s="1925" t="s">
        <v>948</v>
      </c>
      <c r="L768" s="1794">
        <v>0</v>
      </c>
      <c r="M768" s="1916" t="s">
        <v>6225</v>
      </c>
      <c r="N768" s="1914" t="s">
        <v>811</v>
      </c>
      <c r="O768" s="1915" t="s">
        <v>8987</v>
      </c>
      <c r="P768" s="1915">
        <v>1</v>
      </c>
      <c r="Q768" s="1915">
        <v>0</v>
      </c>
      <c r="R768" s="2144"/>
      <c r="S768" s="1794" t="s">
        <v>9111</v>
      </c>
      <c r="T768" s="1925" t="s">
        <v>7812</v>
      </c>
      <c r="U768" s="1794" t="s">
        <v>2602</v>
      </c>
      <c r="V768" s="1916" t="s">
        <v>8058</v>
      </c>
      <c r="W768" s="1914" t="s">
        <v>2603</v>
      </c>
      <c r="X768" s="1915" t="s">
        <v>8987</v>
      </c>
      <c r="CA768" s="1890"/>
      <c r="CB768" s="1890"/>
      <c r="CC768" s="1890"/>
      <c r="CD768" s="1890"/>
      <c r="CE768" s="1890"/>
      <c r="CF768" s="1890"/>
      <c r="CG768" s="1890"/>
      <c r="CH768" s="1890"/>
      <c r="CI768" s="1890"/>
      <c r="CJ768" s="1890"/>
      <c r="CK768" s="1890"/>
      <c r="CL768" s="1890"/>
      <c r="CM768" s="1890"/>
      <c r="CN768" s="1890"/>
      <c r="CO768" s="1890"/>
      <c r="CP768" s="1890"/>
      <c r="CQ768" s="1890"/>
      <c r="CR768" s="1890"/>
      <c r="CS768" s="1890"/>
      <c r="CT768" s="1890"/>
      <c r="CU768" s="1890"/>
      <c r="CV768" s="1890"/>
      <c r="CW768" s="1890"/>
      <c r="CX768" s="1890"/>
      <c r="CY768" s="1890"/>
      <c r="CZ768" s="1890"/>
      <c r="DA768" s="1890"/>
      <c r="DB768" s="1890"/>
      <c r="DC768" s="1890"/>
      <c r="DD768" s="1890"/>
      <c r="DE768" s="1890"/>
      <c r="DF768" s="1890"/>
      <c r="DG768" s="1890"/>
      <c r="DH768" s="1890"/>
      <c r="DI768" s="1890"/>
      <c r="DJ768" s="1890"/>
      <c r="DK768" s="1890"/>
      <c r="DL768" s="1890"/>
      <c r="DM768" s="1890"/>
      <c r="DN768" s="1890"/>
      <c r="DO768" s="1890"/>
      <c r="DP768" s="1890"/>
      <c r="DQ768" s="1890"/>
      <c r="DR768" s="1890"/>
      <c r="DS768" s="1890"/>
      <c r="DT768" s="1890"/>
      <c r="DU768" s="1890"/>
      <c r="DV768" s="1890"/>
      <c r="DW768" s="1890"/>
      <c r="DX768" s="1890"/>
      <c r="DY768" s="1890"/>
      <c r="DZ768" s="1890"/>
      <c r="EA768" s="1890"/>
      <c r="EB768" s="1890"/>
      <c r="EC768" s="1890"/>
      <c r="ED768" s="1890"/>
      <c r="EE768" s="1890"/>
      <c r="EF768" s="1890"/>
      <c r="EG768" s="1890"/>
      <c r="EH768" s="1890"/>
      <c r="EI768" s="1890"/>
      <c r="EJ768" s="1890"/>
      <c r="EK768" s="1890"/>
      <c r="EL768" s="1890"/>
      <c r="EM768" s="1890"/>
      <c r="EN768" s="1890"/>
      <c r="EO768" s="1890"/>
      <c r="EP768" s="1890"/>
      <c r="EQ768" s="1890"/>
      <c r="ER768" s="1890"/>
      <c r="ES768" s="1890"/>
      <c r="ET768" s="1890"/>
      <c r="EU768" s="1890"/>
      <c r="EV768" s="1890"/>
      <c r="EW768" s="1890"/>
      <c r="EX768" s="1890"/>
      <c r="EY768" s="1890"/>
      <c r="EZ768" s="1890"/>
      <c r="FA768" s="1890"/>
      <c r="FB768" s="1890"/>
      <c r="FC768" s="1890"/>
      <c r="FD768" s="1890"/>
      <c r="FE768" s="1890"/>
      <c r="FF768" s="1890"/>
      <c r="FG768" s="1890"/>
      <c r="FH768" s="1890"/>
      <c r="FI768" s="1890"/>
      <c r="FJ768" s="1890"/>
      <c r="FK768" s="1890"/>
      <c r="FL768" s="1890"/>
      <c r="FM768" s="1890"/>
      <c r="FN768" s="1890"/>
      <c r="FO768" s="1890"/>
      <c r="FP768" s="1890"/>
      <c r="FQ768" s="1890"/>
      <c r="FR768" s="1890"/>
      <c r="FS768" s="1890"/>
      <c r="FT768" s="1890"/>
    </row>
    <row r="769" spans="1:176" s="1818" customFormat="1" ht="32.1" customHeight="1">
      <c r="A769" s="1874"/>
      <c r="B769" s="1820" t="s">
        <v>483</v>
      </c>
      <c r="C769" s="1856">
        <v>1</v>
      </c>
      <c r="D769" s="1828">
        <v>1</v>
      </c>
      <c r="E769" s="1846">
        <v>1</v>
      </c>
      <c r="F769" s="1830">
        <v>1</v>
      </c>
      <c r="G769" s="1833">
        <v>1</v>
      </c>
      <c r="H769" s="1856">
        <v>0.5</v>
      </c>
      <c r="I769" s="1823" t="s">
        <v>484</v>
      </c>
      <c r="J769" s="1889">
        <v>1</v>
      </c>
      <c r="K769" s="1915" t="s">
        <v>1134</v>
      </c>
      <c r="L769" s="1794">
        <v>1</v>
      </c>
      <c r="M769" s="1916">
        <v>1</v>
      </c>
      <c r="N769" s="1914" t="s">
        <v>811</v>
      </c>
      <c r="O769" s="1914" t="s">
        <v>8988</v>
      </c>
      <c r="P769" s="1915">
        <v>1</v>
      </c>
      <c r="Q769" s="1915">
        <v>0</v>
      </c>
      <c r="R769" s="2144"/>
      <c r="S769" s="1794" t="s">
        <v>9112</v>
      </c>
      <c r="T769" s="1915" t="s">
        <v>7813</v>
      </c>
      <c r="U769" s="1794" t="s">
        <v>2605</v>
      </c>
      <c r="V769" s="1916" t="s">
        <v>8059</v>
      </c>
      <c r="W769" s="1914" t="s">
        <v>2607</v>
      </c>
      <c r="X769" s="1914" t="s">
        <v>8988</v>
      </c>
      <c r="CA769" s="1890"/>
      <c r="CB769" s="1890"/>
      <c r="CC769" s="1890"/>
      <c r="CD769" s="1890"/>
      <c r="CE769" s="1890"/>
      <c r="CF769" s="1890"/>
      <c r="CG769" s="1890"/>
      <c r="CH769" s="1890"/>
      <c r="CI769" s="1890"/>
      <c r="CJ769" s="1890"/>
      <c r="CK769" s="1890"/>
      <c r="CL769" s="1890"/>
      <c r="CM769" s="1890"/>
      <c r="CN769" s="1890"/>
      <c r="CO769" s="1890"/>
      <c r="CP769" s="1890"/>
      <c r="CQ769" s="1890"/>
      <c r="CR769" s="1890"/>
      <c r="CS769" s="1890"/>
      <c r="CT769" s="1890"/>
      <c r="CU769" s="1890"/>
      <c r="CV769" s="1890"/>
      <c r="CW769" s="1890"/>
      <c r="CX769" s="1890"/>
      <c r="CY769" s="1890"/>
      <c r="CZ769" s="1890"/>
      <c r="DA769" s="1890"/>
      <c r="DB769" s="1890"/>
      <c r="DC769" s="1890"/>
      <c r="DD769" s="1890"/>
      <c r="DE769" s="1890"/>
      <c r="DF769" s="1890"/>
      <c r="DG769" s="1890"/>
      <c r="DH769" s="1890"/>
      <c r="DI769" s="1890"/>
      <c r="DJ769" s="1890"/>
      <c r="DK769" s="1890"/>
      <c r="DL769" s="1890"/>
      <c r="DM769" s="1890"/>
      <c r="DN769" s="1890"/>
      <c r="DO769" s="1890"/>
      <c r="DP769" s="1890"/>
      <c r="DQ769" s="1890"/>
      <c r="DR769" s="1890"/>
      <c r="DS769" s="1890"/>
      <c r="DT769" s="1890"/>
      <c r="DU769" s="1890"/>
      <c r="DV769" s="1890"/>
      <c r="DW769" s="1890"/>
      <c r="DX769" s="1890"/>
      <c r="DY769" s="1890"/>
      <c r="DZ769" s="1890"/>
      <c r="EA769" s="1890"/>
      <c r="EB769" s="1890"/>
      <c r="EC769" s="1890"/>
      <c r="ED769" s="1890"/>
      <c r="EE769" s="1890"/>
      <c r="EF769" s="1890"/>
      <c r="EG769" s="1890"/>
      <c r="EH769" s="1890"/>
      <c r="EI769" s="1890"/>
      <c r="EJ769" s="1890"/>
      <c r="EK769" s="1890"/>
      <c r="EL769" s="1890"/>
      <c r="EM769" s="1890"/>
      <c r="EN769" s="1890"/>
      <c r="EO769" s="1890"/>
      <c r="EP769" s="1890"/>
      <c r="EQ769" s="1890"/>
      <c r="ER769" s="1890"/>
      <c r="ES769" s="1890"/>
      <c r="ET769" s="1890"/>
      <c r="EU769" s="1890"/>
      <c r="EV769" s="1890"/>
      <c r="EW769" s="1890"/>
      <c r="EX769" s="1890"/>
      <c r="EY769" s="1890"/>
      <c r="EZ769" s="1890"/>
      <c r="FA769" s="1890"/>
      <c r="FB769" s="1890"/>
      <c r="FC769" s="1890"/>
      <c r="FD769" s="1890"/>
      <c r="FE769" s="1890"/>
      <c r="FF769" s="1890"/>
      <c r="FG769" s="1890"/>
      <c r="FH769" s="1890"/>
      <c r="FI769" s="1890"/>
      <c r="FJ769" s="1890"/>
      <c r="FK769" s="1890"/>
      <c r="FL769" s="1890"/>
      <c r="FM769" s="1890"/>
      <c r="FN769" s="1890"/>
      <c r="FO769" s="1890"/>
      <c r="FP769" s="1890"/>
      <c r="FQ769" s="1890"/>
      <c r="FR769" s="1890"/>
      <c r="FS769" s="1890"/>
      <c r="FT769" s="1890"/>
    </row>
    <row r="770" spans="1:176" s="1818" customFormat="1" ht="32.1" customHeight="1">
      <c r="A770" s="1874"/>
      <c r="B770" s="1820" t="s">
        <v>485</v>
      </c>
      <c r="C770" s="1856">
        <v>1</v>
      </c>
      <c r="D770" s="1828">
        <v>0</v>
      </c>
      <c r="E770" s="1846">
        <v>0</v>
      </c>
      <c r="F770" s="1830">
        <v>1</v>
      </c>
      <c r="G770" s="1833">
        <v>0</v>
      </c>
      <c r="H770" s="1856">
        <v>1</v>
      </c>
      <c r="I770" s="1823" t="s">
        <v>123</v>
      </c>
      <c r="J770" s="1889">
        <v>1</v>
      </c>
      <c r="K770" s="1925" t="s">
        <v>7402</v>
      </c>
      <c r="L770" s="1794">
        <v>0</v>
      </c>
      <c r="M770" s="1916">
        <v>1</v>
      </c>
      <c r="N770" s="1914" t="s">
        <v>748</v>
      </c>
      <c r="O770" s="1915" t="s">
        <v>8989</v>
      </c>
      <c r="P770" s="1915">
        <v>1</v>
      </c>
      <c r="Q770" s="1915">
        <v>0</v>
      </c>
      <c r="R770" s="2144"/>
      <c r="S770" s="1794" t="s">
        <v>9113</v>
      </c>
      <c r="T770" s="1925" t="s">
        <v>7814</v>
      </c>
      <c r="U770" s="1794" t="s">
        <v>748</v>
      </c>
      <c r="V770" s="1916"/>
      <c r="W770" s="1914" t="s">
        <v>748</v>
      </c>
      <c r="X770" s="1915" t="s">
        <v>8989</v>
      </c>
      <c r="CA770" s="1890"/>
      <c r="CB770" s="1890"/>
      <c r="CC770" s="1890"/>
      <c r="CD770" s="1890"/>
      <c r="CE770" s="1890"/>
      <c r="CF770" s="1890"/>
      <c r="CG770" s="1890"/>
      <c r="CH770" s="1890"/>
      <c r="CI770" s="1890"/>
      <c r="CJ770" s="1890"/>
      <c r="CK770" s="1890"/>
      <c r="CL770" s="1890"/>
      <c r="CM770" s="1890"/>
      <c r="CN770" s="1890"/>
      <c r="CO770" s="1890"/>
      <c r="CP770" s="1890"/>
      <c r="CQ770" s="1890"/>
      <c r="CR770" s="1890"/>
      <c r="CS770" s="1890"/>
      <c r="CT770" s="1890"/>
      <c r="CU770" s="1890"/>
      <c r="CV770" s="1890"/>
      <c r="CW770" s="1890"/>
      <c r="CX770" s="1890"/>
      <c r="CY770" s="1890"/>
      <c r="CZ770" s="1890"/>
      <c r="DA770" s="1890"/>
      <c r="DB770" s="1890"/>
      <c r="DC770" s="1890"/>
      <c r="DD770" s="1890"/>
      <c r="DE770" s="1890"/>
      <c r="DF770" s="1890"/>
      <c r="DG770" s="1890"/>
      <c r="DH770" s="1890"/>
      <c r="DI770" s="1890"/>
      <c r="DJ770" s="1890"/>
      <c r="DK770" s="1890"/>
      <c r="DL770" s="1890"/>
      <c r="DM770" s="1890"/>
      <c r="DN770" s="1890"/>
      <c r="DO770" s="1890"/>
      <c r="DP770" s="1890"/>
      <c r="DQ770" s="1890"/>
      <c r="DR770" s="1890"/>
      <c r="DS770" s="1890"/>
      <c r="DT770" s="1890"/>
      <c r="DU770" s="1890"/>
      <c r="DV770" s="1890"/>
      <c r="DW770" s="1890"/>
      <c r="DX770" s="1890"/>
      <c r="DY770" s="1890"/>
      <c r="DZ770" s="1890"/>
      <c r="EA770" s="1890"/>
      <c r="EB770" s="1890"/>
      <c r="EC770" s="1890"/>
      <c r="ED770" s="1890"/>
      <c r="EE770" s="1890"/>
      <c r="EF770" s="1890"/>
      <c r="EG770" s="1890"/>
      <c r="EH770" s="1890"/>
      <c r="EI770" s="1890"/>
      <c r="EJ770" s="1890"/>
      <c r="EK770" s="1890"/>
      <c r="EL770" s="1890"/>
      <c r="EM770" s="1890"/>
      <c r="EN770" s="1890"/>
      <c r="EO770" s="1890"/>
      <c r="EP770" s="1890"/>
      <c r="EQ770" s="1890"/>
      <c r="ER770" s="1890"/>
      <c r="ES770" s="1890"/>
      <c r="ET770" s="1890"/>
      <c r="EU770" s="1890"/>
      <c r="EV770" s="1890"/>
      <c r="EW770" s="1890"/>
      <c r="EX770" s="1890"/>
      <c r="EY770" s="1890"/>
      <c r="EZ770" s="1890"/>
      <c r="FA770" s="1890"/>
      <c r="FB770" s="1890"/>
      <c r="FC770" s="1890"/>
      <c r="FD770" s="1890"/>
      <c r="FE770" s="1890"/>
      <c r="FF770" s="1890"/>
      <c r="FG770" s="1890"/>
      <c r="FH770" s="1890"/>
      <c r="FI770" s="1890"/>
      <c r="FJ770" s="1890"/>
      <c r="FK770" s="1890"/>
      <c r="FL770" s="1890"/>
      <c r="FM770" s="1890"/>
      <c r="FN770" s="1890"/>
      <c r="FO770" s="1890"/>
      <c r="FP770" s="1890"/>
      <c r="FQ770" s="1890"/>
      <c r="FR770" s="1890"/>
      <c r="FS770" s="1890"/>
      <c r="FT770" s="1890"/>
    </row>
    <row r="771" spans="1:176" s="1818" customFormat="1" ht="32.1" customHeight="1">
      <c r="A771" s="1878" t="s">
        <v>6859</v>
      </c>
      <c r="B771" s="1825" t="s">
        <v>486</v>
      </c>
      <c r="C771" s="1836">
        <f t="shared" ref="C771:H771" si="217">AVERAGE(C772,C773,C774,C775)</f>
        <v>1</v>
      </c>
      <c r="D771" s="1836">
        <f t="shared" si="217"/>
        <v>0.625</v>
      </c>
      <c r="E771" s="1836">
        <f t="shared" si="217"/>
        <v>1</v>
      </c>
      <c r="F771" s="1836">
        <f t="shared" si="217"/>
        <v>0.875</v>
      </c>
      <c r="G771" s="1836">
        <f t="shared" si="217"/>
        <v>1</v>
      </c>
      <c r="H771" s="1836">
        <f t="shared" si="217"/>
        <v>0.75</v>
      </c>
      <c r="I771" s="1823"/>
      <c r="J771" s="1888"/>
      <c r="K771" s="1946"/>
      <c r="L771" s="1909"/>
      <c r="M771" s="1946"/>
      <c r="N771" s="1946"/>
      <c r="O771" s="1946"/>
      <c r="P771" s="1946"/>
      <c r="Q771" s="1946"/>
      <c r="R771" s="2428"/>
      <c r="S771" s="1793"/>
      <c r="T771" s="1946"/>
      <c r="U771" s="1909"/>
      <c r="V771" s="1946"/>
      <c r="W771" s="1946"/>
      <c r="X771" s="1946"/>
      <c r="CA771" s="1890"/>
      <c r="CB771" s="1890"/>
      <c r="CC771" s="1890"/>
      <c r="CD771" s="1890"/>
      <c r="CE771" s="1890"/>
      <c r="CF771" s="1890"/>
      <c r="CG771" s="1890"/>
      <c r="CH771" s="1890"/>
      <c r="CI771" s="1890"/>
      <c r="CJ771" s="1890"/>
      <c r="CK771" s="1890"/>
      <c r="CL771" s="1890"/>
      <c r="CM771" s="1890"/>
      <c r="CN771" s="1890"/>
      <c r="CO771" s="1890"/>
      <c r="CP771" s="1890"/>
      <c r="CQ771" s="1890"/>
      <c r="CR771" s="1890"/>
      <c r="CS771" s="1890"/>
      <c r="CT771" s="1890"/>
      <c r="CU771" s="1890"/>
      <c r="CV771" s="1890"/>
      <c r="CW771" s="1890"/>
      <c r="CX771" s="1890"/>
      <c r="CY771" s="1890"/>
      <c r="CZ771" s="1890"/>
      <c r="DA771" s="1890"/>
      <c r="DB771" s="1890"/>
      <c r="DC771" s="1890"/>
      <c r="DD771" s="1890"/>
      <c r="DE771" s="1890"/>
      <c r="DF771" s="1890"/>
      <c r="DG771" s="1890"/>
      <c r="DH771" s="1890"/>
      <c r="DI771" s="1890"/>
      <c r="DJ771" s="1890"/>
      <c r="DK771" s="1890"/>
      <c r="DL771" s="1890"/>
      <c r="DM771" s="1890"/>
      <c r="DN771" s="1890"/>
      <c r="DO771" s="1890"/>
      <c r="DP771" s="1890"/>
      <c r="DQ771" s="1890"/>
      <c r="DR771" s="1890"/>
      <c r="DS771" s="1890"/>
      <c r="DT771" s="1890"/>
      <c r="DU771" s="1890"/>
      <c r="DV771" s="1890"/>
      <c r="DW771" s="1890"/>
      <c r="DX771" s="1890"/>
      <c r="DY771" s="1890"/>
      <c r="DZ771" s="1890"/>
      <c r="EA771" s="1890"/>
      <c r="EB771" s="1890"/>
      <c r="EC771" s="1890"/>
      <c r="ED771" s="1890"/>
      <c r="EE771" s="1890"/>
      <c r="EF771" s="1890"/>
      <c r="EG771" s="1890"/>
      <c r="EH771" s="1890"/>
      <c r="EI771" s="1890"/>
      <c r="EJ771" s="1890"/>
      <c r="EK771" s="1890"/>
      <c r="EL771" s="1890"/>
      <c r="EM771" s="1890"/>
      <c r="EN771" s="1890"/>
      <c r="EO771" s="1890"/>
      <c r="EP771" s="1890"/>
      <c r="EQ771" s="1890"/>
      <c r="ER771" s="1890"/>
      <c r="ES771" s="1890"/>
      <c r="ET771" s="1890"/>
      <c r="EU771" s="1890"/>
      <c r="EV771" s="1890"/>
      <c r="EW771" s="1890"/>
      <c r="EX771" s="1890"/>
      <c r="EY771" s="1890"/>
      <c r="EZ771" s="1890"/>
      <c r="FA771" s="1890"/>
      <c r="FB771" s="1890"/>
      <c r="FC771" s="1890"/>
      <c r="FD771" s="1890"/>
      <c r="FE771" s="1890"/>
      <c r="FF771" s="1890"/>
      <c r="FG771" s="1890"/>
      <c r="FH771" s="1890"/>
      <c r="FI771" s="1890"/>
      <c r="FJ771" s="1890"/>
      <c r="FK771" s="1890"/>
      <c r="FL771" s="1890"/>
      <c r="FM771" s="1890"/>
      <c r="FN771" s="1890"/>
      <c r="FO771" s="1890"/>
      <c r="FP771" s="1890"/>
      <c r="FQ771" s="1890"/>
      <c r="FR771" s="1890"/>
      <c r="FS771" s="1890"/>
      <c r="FT771" s="1890"/>
    </row>
    <row r="772" spans="1:176" s="1818" customFormat="1" ht="32.1" customHeight="1">
      <c r="A772" s="1874"/>
      <c r="B772" s="1820" t="s">
        <v>487</v>
      </c>
      <c r="C772" s="1856">
        <v>1</v>
      </c>
      <c r="D772" s="1829">
        <v>1</v>
      </c>
      <c r="E772" s="1829">
        <v>1</v>
      </c>
      <c r="F772" s="1828">
        <v>1</v>
      </c>
      <c r="G772" s="1833">
        <v>1</v>
      </c>
      <c r="H772" s="1856">
        <v>1</v>
      </c>
      <c r="I772" s="1823" t="s">
        <v>481</v>
      </c>
      <c r="J772" s="1889">
        <v>1</v>
      </c>
      <c r="K772" s="1794" t="s">
        <v>1134</v>
      </c>
      <c r="L772" s="1794">
        <v>1</v>
      </c>
      <c r="M772" s="1915">
        <v>1</v>
      </c>
      <c r="N772" s="1914" t="s">
        <v>811</v>
      </c>
      <c r="O772" s="1915" t="s">
        <v>8990</v>
      </c>
      <c r="P772" s="1915">
        <v>1</v>
      </c>
      <c r="Q772" s="1915">
        <v>0</v>
      </c>
      <c r="R772" s="2144"/>
      <c r="S772" s="1794" t="s">
        <v>9114</v>
      </c>
      <c r="T772" s="1915" t="s">
        <v>7815</v>
      </c>
      <c r="U772" s="1794" t="s">
        <v>7368</v>
      </c>
      <c r="V772" s="1915"/>
      <c r="W772" s="1914" t="s">
        <v>8509</v>
      </c>
      <c r="X772" s="1915" t="s">
        <v>8990</v>
      </c>
      <c r="CA772" s="1890"/>
      <c r="CB772" s="1890"/>
      <c r="CC772" s="1890"/>
      <c r="CD772" s="1890"/>
      <c r="CE772" s="1890"/>
      <c r="CF772" s="1890"/>
      <c r="CG772" s="1890"/>
      <c r="CH772" s="1890"/>
      <c r="CI772" s="1890"/>
      <c r="CJ772" s="1890"/>
      <c r="CK772" s="1890"/>
      <c r="CL772" s="1890"/>
      <c r="CM772" s="1890"/>
      <c r="CN772" s="1890"/>
      <c r="CO772" s="1890"/>
      <c r="CP772" s="1890"/>
      <c r="CQ772" s="1890"/>
      <c r="CR772" s="1890"/>
      <c r="CS772" s="1890"/>
      <c r="CT772" s="1890"/>
      <c r="CU772" s="1890"/>
      <c r="CV772" s="1890"/>
      <c r="CW772" s="1890"/>
      <c r="CX772" s="1890"/>
      <c r="CY772" s="1890"/>
      <c r="CZ772" s="1890"/>
      <c r="DA772" s="1890"/>
      <c r="DB772" s="1890"/>
      <c r="DC772" s="1890"/>
      <c r="DD772" s="1890"/>
      <c r="DE772" s="1890"/>
      <c r="DF772" s="1890"/>
      <c r="DG772" s="1890"/>
      <c r="DH772" s="1890"/>
      <c r="DI772" s="1890"/>
      <c r="DJ772" s="1890"/>
      <c r="DK772" s="1890"/>
      <c r="DL772" s="1890"/>
      <c r="DM772" s="1890"/>
      <c r="DN772" s="1890"/>
      <c r="DO772" s="1890"/>
      <c r="DP772" s="1890"/>
      <c r="DQ772" s="1890"/>
      <c r="DR772" s="1890"/>
      <c r="DS772" s="1890"/>
      <c r="DT772" s="1890"/>
      <c r="DU772" s="1890"/>
      <c r="DV772" s="1890"/>
      <c r="DW772" s="1890"/>
      <c r="DX772" s="1890"/>
      <c r="DY772" s="1890"/>
      <c r="DZ772" s="1890"/>
      <c r="EA772" s="1890"/>
      <c r="EB772" s="1890"/>
      <c r="EC772" s="1890"/>
      <c r="ED772" s="1890"/>
      <c r="EE772" s="1890"/>
      <c r="EF772" s="1890"/>
      <c r="EG772" s="1890"/>
      <c r="EH772" s="1890"/>
      <c r="EI772" s="1890"/>
      <c r="EJ772" s="1890"/>
      <c r="EK772" s="1890"/>
      <c r="EL772" s="1890"/>
      <c r="EM772" s="1890"/>
      <c r="EN772" s="1890"/>
      <c r="EO772" s="1890"/>
      <c r="EP772" s="1890"/>
      <c r="EQ772" s="1890"/>
      <c r="ER772" s="1890"/>
      <c r="ES772" s="1890"/>
      <c r="ET772" s="1890"/>
      <c r="EU772" s="1890"/>
      <c r="EV772" s="1890"/>
      <c r="EW772" s="1890"/>
      <c r="EX772" s="1890"/>
      <c r="EY772" s="1890"/>
      <c r="EZ772" s="1890"/>
      <c r="FA772" s="1890"/>
      <c r="FB772" s="1890"/>
      <c r="FC772" s="1890"/>
      <c r="FD772" s="1890"/>
      <c r="FE772" s="1890"/>
      <c r="FF772" s="1890"/>
      <c r="FG772" s="1890"/>
      <c r="FH772" s="1890"/>
      <c r="FI772" s="1890"/>
      <c r="FJ772" s="1890"/>
      <c r="FK772" s="1890"/>
      <c r="FL772" s="1890"/>
      <c r="FM772" s="1890"/>
      <c r="FN772" s="1890"/>
      <c r="FO772" s="1890"/>
      <c r="FP772" s="1890"/>
      <c r="FQ772" s="1890"/>
      <c r="FR772" s="1890"/>
      <c r="FS772" s="1890"/>
      <c r="FT772" s="1890"/>
    </row>
    <row r="773" spans="1:176" s="1818" customFormat="1" ht="32.1" customHeight="1">
      <c r="A773" s="1874"/>
      <c r="B773" s="1820" t="s">
        <v>488</v>
      </c>
      <c r="C773" s="1856">
        <v>1</v>
      </c>
      <c r="D773" s="1829">
        <v>0</v>
      </c>
      <c r="E773" s="1829">
        <v>1</v>
      </c>
      <c r="F773" s="1828">
        <v>1</v>
      </c>
      <c r="G773" s="1833">
        <v>1</v>
      </c>
      <c r="H773" s="1856">
        <v>0</v>
      </c>
      <c r="I773" s="1823" t="s">
        <v>123</v>
      </c>
      <c r="J773" s="1889">
        <v>1</v>
      </c>
      <c r="K773" s="1794" t="s">
        <v>968</v>
      </c>
      <c r="L773" s="1794">
        <v>1</v>
      </c>
      <c r="M773" s="1915">
        <v>1</v>
      </c>
      <c r="N773" s="1914" t="s">
        <v>811</v>
      </c>
      <c r="O773" s="1915" t="s">
        <v>8991</v>
      </c>
      <c r="P773" s="1915">
        <v>1</v>
      </c>
      <c r="Q773" s="1915">
        <v>0</v>
      </c>
      <c r="R773" s="2144"/>
      <c r="S773" s="1794" t="s">
        <v>9115</v>
      </c>
      <c r="T773" s="1915" t="s">
        <v>7816</v>
      </c>
      <c r="U773" s="1794" t="s">
        <v>7369</v>
      </c>
      <c r="V773" s="1915"/>
      <c r="W773" s="1914" t="s">
        <v>8510</v>
      </c>
      <c r="X773" s="1915" t="s">
        <v>8991</v>
      </c>
      <c r="CA773" s="1890"/>
      <c r="CB773" s="1890"/>
      <c r="CC773" s="1890"/>
      <c r="CD773" s="1890"/>
      <c r="CE773" s="1890"/>
      <c r="CF773" s="1890"/>
      <c r="CG773" s="1890"/>
      <c r="CH773" s="1890"/>
      <c r="CI773" s="1890"/>
      <c r="CJ773" s="1890"/>
      <c r="CK773" s="1890"/>
      <c r="CL773" s="1890"/>
      <c r="CM773" s="1890"/>
      <c r="CN773" s="1890"/>
      <c r="CO773" s="1890"/>
      <c r="CP773" s="1890"/>
      <c r="CQ773" s="1890"/>
      <c r="CR773" s="1890"/>
      <c r="CS773" s="1890"/>
      <c r="CT773" s="1890"/>
      <c r="CU773" s="1890"/>
      <c r="CV773" s="1890"/>
      <c r="CW773" s="1890"/>
      <c r="CX773" s="1890"/>
      <c r="CY773" s="1890"/>
      <c r="CZ773" s="1890"/>
      <c r="DA773" s="1890"/>
      <c r="DB773" s="1890"/>
      <c r="DC773" s="1890"/>
      <c r="DD773" s="1890"/>
      <c r="DE773" s="1890"/>
      <c r="DF773" s="1890"/>
      <c r="DG773" s="1890"/>
      <c r="DH773" s="1890"/>
      <c r="DI773" s="1890"/>
      <c r="DJ773" s="1890"/>
      <c r="DK773" s="1890"/>
      <c r="DL773" s="1890"/>
      <c r="DM773" s="1890"/>
      <c r="DN773" s="1890"/>
      <c r="DO773" s="1890"/>
      <c r="DP773" s="1890"/>
      <c r="DQ773" s="1890"/>
      <c r="DR773" s="1890"/>
      <c r="DS773" s="1890"/>
      <c r="DT773" s="1890"/>
      <c r="DU773" s="1890"/>
      <c r="DV773" s="1890"/>
      <c r="DW773" s="1890"/>
      <c r="DX773" s="1890"/>
      <c r="DY773" s="1890"/>
      <c r="DZ773" s="1890"/>
      <c r="EA773" s="1890"/>
      <c r="EB773" s="1890"/>
      <c r="EC773" s="1890"/>
      <c r="ED773" s="1890"/>
      <c r="EE773" s="1890"/>
      <c r="EF773" s="1890"/>
      <c r="EG773" s="1890"/>
      <c r="EH773" s="1890"/>
      <c r="EI773" s="1890"/>
      <c r="EJ773" s="1890"/>
      <c r="EK773" s="1890"/>
      <c r="EL773" s="1890"/>
      <c r="EM773" s="1890"/>
      <c r="EN773" s="1890"/>
      <c r="EO773" s="1890"/>
      <c r="EP773" s="1890"/>
      <c r="EQ773" s="1890"/>
      <c r="ER773" s="1890"/>
      <c r="ES773" s="1890"/>
      <c r="ET773" s="1890"/>
      <c r="EU773" s="1890"/>
      <c r="EV773" s="1890"/>
      <c r="EW773" s="1890"/>
      <c r="EX773" s="1890"/>
      <c r="EY773" s="1890"/>
      <c r="EZ773" s="1890"/>
      <c r="FA773" s="1890"/>
      <c r="FB773" s="1890"/>
      <c r="FC773" s="1890"/>
      <c r="FD773" s="1890"/>
      <c r="FE773" s="1890"/>
      <c r="FF773" s="1890"/>
      <c r="FG773" s="1890"/>
      <c r="FH773" s="1890"/>
      <c r="FI773" s="1890"/>
      <c r="FJ773" s="1890"/>
      <c r="FK773" s="1890"/>
      <c r="FL773" s="1890"/>
      <c r="FM773" s="1890"/>
      <c r="FN773" s="1890"/>
      <c r="FO773" s="1890"/>
      <c r="FP773" s="1890"/>
      <c r="FQ773" s="1890"/>
      <c r="FR773" s="1890"/>
      <c r="FS773" s="1890"/>
      <c r="FT773" s="1890"/>
    </row>
    <row r="774" spans="1:176" s="1818" customFormat="1" ht="32.1" customHeight="1">
      <c r="A774" s="1874"/>
      <c r="B774" s="1820" t="s">
        <v>489</v>
      </c>
      <c r="C774" s="1856">
        <v>1</v>
      </c>
      <c r="D774" s="1829">
        <v>1</v>
      </c>
      <c r="E774" s="1829">
        <v>1</v>
      </c>
      <c r="F774" s="1828">
        <v>1</v>
      </c>
      <c r="G774" s="1833">
        <v>1</v>
      </c>
      <c r="H774" s="1856">
        <v>1</v>
      </c>
      <c r="I774" s="1823" t="s">
        <v>481</v>
      </c>
      <c r="J774" s="1889">
        <v>1</v>
      </c>
      <c r="K774" s="1794" t="s">
        <v>1134</v>
      </c>
      <c r="L774" s="1794">
        <v>1</v>
      </c>
      <c r="M774" s="1915">
        <v>1</v>
      </c>
      <c r="N774" s="1914" t="s">
        <v>811</v>
      </c>
      <c r="O774" s="1914" t="s">
        <v>8992</v>
      </c>
      <c r="P774" s="1915">
        <v>1</v>
      </c>
      <c r="Q774" s="1915">
        <v>0</v>
      </c>
      <c r="R774" s="2144"/>
      <c r="S774" s="1794" t="s">
        <v>9116</v>
      </c>
      <c r="T774" s="1916" t="s">
        <v>7817</v>
      </c>
      <c r="U774" s="1795" t="s">
        <v>7370</v>
      </c>
      <c r="V774" s="1915"/>
      <c r="W774" s="1914" t="s">
        <v>8511</v>
      </c>
      <c r="X774" s="1914" t="s">
        <v>8992</v>
      </c>
      <c r="CA774" s="1890"/>
      <c r="CB774" s="1890"/>
      <c r="CC774" s="1890"/>
      <c r="CD774" s="1890"/>
      <c r="CE774" s="1890"/>
      <c r="CF774" s="1890"/>
      <c r="CG774" s="1890"/>
      <c r="CH774" s="1890"/>
      <c r="CI774" s="1890"/>
      <c r="CJ774" s="1890"/>
      <c r="CK774" s="1890"/>
      <c r="CL774" s="1890"/>
      <c r="CM774" s="1890"/>
      <c r="CN774" s="1890"/>
      <c r="CO774" s="1890"/>
      <c r="CP774" s="1890"/>
      <c r="CQ774" s="1890"/>
      <c r="CR774" s="1890"/>
      <c r="CS774" s="1890"/>
      <c r="CT774" s="1890"/>
      <c r="CU774" s="1890"/>
      <c r="CV774" s="1890"/>
      <c r="CW774" s="1890"/>
      <c r="CX774" s="1890"/>
      <c r="CY774" s="1890"/>
      <c r="CZ774" s="1890"/>
      <c r="DA774" s="1890"/>
      <c r="DB774" s="1890"/>
      <c r="DC774" s="1890"/>
      <c r="DD774" s="1890"/>
      <c r="DE774" s="1890"/>
      <c r="DF774" s="1890"/>
      <c r="DG774" s="1890"/>
      <c r="DH774" s="1890"/>
      <c r="DI774" s="1890"/>
      <c r="DJ774" s="1890"/>
      <c r="DK774" s="1890"/>
      <c r="DL774" s="1890"/>
      <c r="DM774" s="1890"/>
      <c r="DN774" s="1890"/>
      <c r="DO774" s="1890"/>
      <c r="DP774" s="1890"/>
      <c r="DQ774" s="1890"/>
      <c r="DR774" s="1890"/>
      <c r="DS774" s="1890"/>
      <c r="DT774" s="1890"/>
      <c r="DU774" s="1890"/>
      <c r="DV774" s="1890"/>
      <c r="DW774" s="1890"/>
      <c r="DX774" s="1890"/>
      <c r="DY774" s="1890"/>
      <c r="DZ774" s="1890"/>
      <c r="EA774" s="1890"/>
      <c r="EB774" s="1890"/>
      <c r="EC774" s="1890"/>
      <c r="ED774" s="1890"/>
      <c r="EE774" s="1890"/>
      <c r="EF774" s="1890"/>
      <c r="EG774" s="1890"/>
      <c r="EH774" s="1890"/>
      <c r="EI774" s="1890"/>
      <c r="EJ774" s="1890"/>
      <c r="EK774" s="1890"/>
      <c r="EL774" s="1890"/>
      <c r="EM774" s="1890"/>
      <c r="EN774" s="1890"/>
      <c r="EO774" s="1890"/>
      <c r="EP774" s="1890"/>
      <c r="EQ774" s="1890"/>
      <c r="ER774" s="1890"/>
      <c r="ES774" s="1890"/>
      <c r="ET774" s="1890"/>
      <c r="EU774" s="1890"/>
      <c r="EV774" s="1890"/>
      <c r="EW774" s="1890"/>
      <c r="EX774" s="1890"/>
      <c r="EY774" s="1890"/>
      <c r="EZ774" s="1890"/>
      <c r="FA774" s="1890"/>
      <c r="FB774" s="1890"/>
      <c r="FC774" s="1890"/>
      <c r="FD774" s="1890"/>
      <c r="FE774" s="1890"/>
      <c r="FF774" s="1890"/>
      <c r="FG774" s="1890"/>
      <c r="FH774" s="1890"/>
      <c r="FI774" s="1890"/>
      <c r="FJ774" s="1890"/>
      <c r="FK774" s="1890"/>
      <c r="FL774" s="1890"/>
      <c r="FM774" s="1890"/>
      <c r="FN774" s="1890"/>
      <c r="FO774" s="1890"/>
      <c r="FP774" s="1890"/>
      <c r="FQ774" s="1890"/>
      <c r="FR774" s="1890"/>
      <c r="FS774" s="1890"/>
      <c r="FT774" s="1890"/>
    </row>
    <row r="775" spans="1:176" s="1818" customFormat="1" ht="32.1" customHeight="1">
      <c r="A775" s="1874"/>
      <c r="B775" s="1820" t="s">
        <v>490</v>
      </c>
      <c r="C775" s="1856">
        <v>1</v>
      </c>
      <c r="D775" s="1829">
        <v>0.5</v>
      </c>
      <c r="E775" s="1829">
        <v>1</v>
      </c>
      <c r="F775" s="1830">
        <v>0.5</v>
      </c>
      <c r="G775" s="1833">
        <v>1</v>
      </c>
      <c r="H775" s="1856">
        <v>1</v>
      </c>
      <c r="I775" s="1823" t="s">
        <v>123</v>
      </c>
      <c r="J775" s="1889">
        <v>1</v>
      </c>
      <c r="K775" s="1794" t="s">
        <v>7403</v>
      </c>
      <c r="L775" s="1794">
        <v>1</v>
      </c>
      <c r="M775" s="1916" t="s">
        <v>6706</v>
      </c>
      <c r="N775" s="1914" t="s">
        <v>811</v>
      </c>
      <c r="O775" s="1915" t="s">
        <v>8993</v>
      </c>
      <c r="P775" s="1915">
        <v>1</v>
      </c>
      <c r="Q775" s="1915">
        <v>0</v>
      </c>
      <c r="R775" s="2144"/>
      <c r="S775" s="1794" t="s">
        <v>9117</v>
      </c>
      <c r="T775" s="1916" t="s">
        <v>7818</v>
      </c>
      <c r="U775" s="1794" t="s">
        <v>7371</v>
      </c>
      <c r="V775" s="1916" t="s">
        <v>6470</v>
      </c>
      <c r="W775" s="1914" t="s">
        <v>8512</v>
      </c>
      <c r="X775" s="1915" t="s">
        <v>8993</v>
      </c>
      <c r="CA775" s="1890"/>
      <c r="CB775" s="1890"/>
      <c r="CC775" s="1890"/>
      <c r="CD775" s="1890"/>
      <c r="CE775" s="1890"/>
      <c r="CF775" s="1890"/>
      <c r="CG775" s="1890"/>
      <c r="CH775" s="1890"/>
      <c r="CI775" s="1890"/>
      <c r="CJ775" s="1890"/>
      <c r="CK775" s="1890"/>
      <c r="CL775" s="1890"/>
      <c r="CM775" s="1890"/>
      <c r="CN775" s="1890"/>
      <c r="CO775" s="1890"/>
      <c r="CP775" s="1890"/>
      <c r="CQ775" s="1890"/>
      <c r="CR775" s="1890"/>
      <c r="CS775" s="1890"/>
      <c r="CT775" s="1890"/>
      <c r="CU775" s="1890"/>
      <c r="CV775" s="1890"/>
      <c r="CW775" s="1890"/>
      <c r="CX775" s="1890"/>
      <c r="CY775" s="1890"/>
      <c r="CZ775" s="1890"/>
      <c r="DA775" s="1890"/>
      <c r="DB775" s="1890"/>
      <c r="DC775" s="1890"/>
      <c r="DD775" s="1890"/>
      <c r="DE775" s="1890"/>
      <c r="DF775" s="1890"/>
      <c r="DG775" s="1890"/>
      <c r="DH775" s="1890"/>
      <c r="DI775" s="1890"/>
      <c r="DJ775" s="1890"/>
      <c r="DK775" s="1890"/>
      <c r="DL775" s="1890"/>
      <c r="DM775" s="1890"/>
      <c r="DN775" s="1890"/>
      <c r="DO775" s="1890"/>
      <c r="DP775" s="1890"/>
      <c r="DQ775" s="1890"/>
      <c r="DR775" s="1890"/>
      <c r="DS775" s="1890"/>
      <c r="DT775" s="1890"/>
      <c r="DU775" s="1890"/>
      <c r="DV775" s="1890"/>
      <c r="DW775" s="1890"/>
      <c r="DX775" s="1890"/>
      <c r="DY775" s="1890"/>
      <c r="DZ775" s="1890"/>
      <c r="EA775" s="1890"/>
      <c r="EB775" s="1890"/>
      <c r="EC775" s="1890"/>
      <c r="ED775" s="1890"/>
      <c r="EE775" s="1890"/>
      <c r="EF775" s="1890"/>
      <c r="EG775" s="1890"/>
      <c r="EH775" s="1890"/>
      <c r="EI775" s="1890"/>
      <c r="EJ775" s="1890"/>
      <c r="EK775" s="1890"/>
      <c r="EL775" s="1890"/>
      <c r="EM775" s="1890"/>
      <c r="EN775" s="1890"/>
      <c r="EO775" s="1890"/>
      <c r="EP775" s="1890"/>
      <c r="EQ775" s="1890"/>
      <c r="ER775" s="1890"/>
      <c r="ES775" s="1890"/>
      <c r="ET775" s="1890"/>
      <c r="EU775" s="1890"/>
      <c r="EV775" s="1890"/>
      <c r="EW775" s="1890"/>
      <c r="EX775" s="1890"/>
      <c r="EY775" s="1890"/>
      <c r="EZ775" s="1890"/>
      <c r="FA775" s="1890"/>
      <c r="FB775" s="1890"/>
      <c r="FC775" s="1890"/>
      <c r="FD775" s="1890"/>
      <c r="FE775" s="1890"/>
      <c r="FF775" s="1890"/>
      <c r="FG775" s="1890"/>
      <c r="FH775" s="1890"/>
      <c r="FI775" s="1890"/>
      <c r="FJ775" s="1890"/>
      <c r="FK775" s="1890"/>
      <c r="FL775" s="1890"/>
      <c r="FM775" s="1890"/>
      <c r="FN775" s="1890"/>
      <c r="FO775" s="1890"/>
      <c r="FP775" s="1890"/>
      <c r="FQ775" s="1890"/>
      <c r="FR775" s="1890"/>
      <c r="FS775" s="1890"/>
      <c r="FT775" s="1890"/>
    </row>
    <row r="776" spans="1:176" ht="32.1" customHeight="1">
      <c r="A776" s="2501"/>
      <c r="B776" s="1843"/>
      <c r="C776" s="1831"/>
      <c r="D776" s="1831"/>
      <c r="E776" s="1831"/>
      <c r="F776" s="1831"/>
      <c r="G776" s="1831"/>
      <c r="H776" s="1831"/>
      <c r="I776" s="1900"/>
      <c r="J776" s="1992"/>
      <c r="K776" s="1992"/>
      <c r="L776" s="1992"/>
      <c r="M776" s="1984"/>
      <c r="N776" s="1992"/>
      <c r="O776" s="2243"/>
      <c r="P776" s="2243"/>
      <c r="Q776" s="2243"/>
      <c r="R776" s="2429"/>
      <c r="S776" s="1992"/>
      <c r="T776" s="1992"/>
      <c r="U776" s="1992"/>
      <c r="V776" s="1984"/>
      <c r="W776" s="1992"/>
      <c r="X776" s="1992"/>
    </row>
    <row r="777" spans="1:176" s="1901" customFormat="1" ht="32.1" customHeight="1">
      <c r="A777" s="2504" t="s">
        <v>6762</v>
      </c>
      <c r="B777" s="2195"/>
      <c r="C777" s="2405"/>
      <c r="D777" s="2405"/>
      <c r="E777" s="2405"/>
      <c r="F777" s="2405"/>
      <c r="G777" s="2405"/>
      <c r="H777" s="2405"/>
      <c r="I777" s="2418"/>
      <c r="J777" s="2406" t="s">
        <v>2</v>
      </c>
      <c r="K777" s="2406" t="s">
        <v>3</v>
      </c>
      <c r="L777" s="2406" t="s">
        <v>4</v>
      </c>
      <c r="M777" s="2406" t="s">
        <v>5</v>
      </c>
      <c r="N777" s="2406" t="s">
        <v>6</v>
      </c>
      <c r="O777" s="2406" t="s">
        <v>7</v>
      </c>
      <c r="P777" s="2406" t="s">
        <v>6768</v>
      </c>
      <c r="Q777" s="2406"/>
      <c r="R777" s="2430"/>
      <c r="S777" s="2406"/>
      <c r="T777" s="2406"/>
      <c r="U777" s="2406"/>
      <c r="V777" s="2406"/>
      <c r="W777" s="2406"/>
      <c r="X777" s="2406"/>
      <c r="Y777" s="1904"/>
      <c r="Z777" s="1904"/>
      <c r="AA777" s="1904"/>
      <c r="AB777" s="1904"/>
      <c r="AC777" s="1904"/>
      <c r="AD777" s="1904"/>
      <c r="AE777" s="1904"/>
      <c r="AF777" s="1904"/>
      <c r="AG777" s="1904"/>
      <c r="AH777" s="1904"/>
      <c r="AI777" s="1904"/>
      <c r="AJ777" s="1904"/>
      <c r="AK777" s="1904"/>
      <c r="AL777" s="1904"/>
      <c r="AM777" s="1904"/>
      <c r="AN777" s="1904"/>
      <c r="AO777" s="1904"/>
      <c r="AP777" s="1904"/>
      <c r="AQ777" s="1904"/>
      <c r="AR777" s="1904"/>
      <c r="AS777" s="1904"/>
      <c r="AT777" s="1904"/>
      <c r="AU777" s="1904"/>
      <c r="AV777" s="1904"/>
      <c r="AW777" s="1904"/>
      <c r="AX777" s="1904"/>
      <c r="AY777" s="1904"/>
      <c r="AZ777" s="1904"/>
      <c r="BA777" s="1904"/>
      <c r="BB777" s="1904"/>
      <c r="BC777" s="1904"/>
      <c r="BD777" s="1904"/>
      <c r="BE777" s="1904"/>
      <c r="BF777" s="1904"/>
      <c r="BG777" s="1904"/>
      <c r="BH777" s="1904"/>
      <c r="BI777" s="1904"/>
      <c r="BJ777" s="1904"/>
      <c r="BK777" s="1904"/>
      <c r="BL777" s="1904"/>
      <c r="BM777" s="1904"/>
      <c r="BN777" s="1904"/>
      <c r="BO777" s="1904"/>
      <c r="BP777" s="1904"/>
      <c r="BQ777" s="1904"/>
      <c r="BR777" s="1904"/>
      <c r="BS777" s="1904"/>
      <c r="BT777" s="1904"/>
      <c r="BU777" s="1904"/>
      <c r="BV777" s="1904"/>
      <c r="BW777" s="1904"/>
      <c r="BX777" s="1904"/>
      <c r="BY777" s="1904"/>
      <c r="BZ777" s="1904"/>
      <c r="CA777" s="1904"/>
      <c r="CB777" s="1904"/>
      <c r="CC777" s="1904"/>
      <c r="CD777" s="1904"/>
      <c r="CE777" s="1904"/>
      <c r="CF777" s="1904"/>
      <c r="CG777" s="1904"/>
      <c r="CH777" s="1904"/>
      <c r="CI777" s="1904"/>
      <c r="CJ777" s="1904"/>
      <c r="CK777" s="1904"/>
      <c r="CL777" s="1904"/>
      <c r="CM777" s="1904"/>
      <c r="CN777" s="1904"/>
      <c r="CO777" s="1904"/>
      <c r="CP777" s="1904"/>
      <c r="CQ777" s="1904"/>
      <c r="CR777" s="1904"/>
      <c r="CS777" s="1904"/>
      <c r="CT777" s="1904"/>
      <c r="CU777" s="1904"/>
      <c r="CV777" s="1904"/>
      <c r="CW777" s="1904"/>
      <c r="CX777" s="1904"/>
      <c r="CY777" s="1904"/>
      <c r="CZ777" s="1904"/>
      <c r="DA777" s="1904"/>
      <c r="DB777" s="1904"/>
      <c r="DC777" s="1904"/>
      <c r="DD777" s="1904"/>
      <c r="DE777" s="1904"/>
      <c r="DF777" s="1904"/>
      <c r="DG777" s="1904"/>
      <c r="DH777" s="1904"/>
      <c r="DI777" s="1904"/>
      <c r="DJ777" s="1904"/>
      <c r="DK777" s="1904"/>
      <c r="DL777" s="1904"/>
      <c r="DM777" s="1904"/>
      <c r="DN777" s="1904"/>
      <c r="DO777" s="1904"/>
      <c r="DP777" s="1904"/>
      <c r="DQ777" s="1904"/>
      <c r="DR777" s="1904"/>
      <c r="DS777" s="1904"/>
      <c r="DT777" s="1904"/>
      <c r="DU777" s="1904"/>
      <c r="DV777" s="1904"/>
      <c r="DW777" s="1904"/>
      <c r="DX777" s="1904"/>
      <c r="DY777" s="1904"/>
      <c r="DZ777" s="1904"/>
      <c r="EA777" s="1904"/>
      <c r="EB777" s="1904"/>
      <c r="EC777" s="1904"/>
      <c r="ED777" s="1904"/>
      <c r="EE777" s="1904"/>
      <c r="EF777" s="1904"/>
      <c r="EG777" s="1904"/>
      <c r="EH777" s="1904"/>
      <c r="EI777" s="1904"/>
      <c r="EJ777" s="1904"/>
      <c r="EK777" s="1904"/>
      <c r="EL777" s="1904"/>
      <c r="EM777" s="1904"/>
      <c r="EN777" s="1904"/>
      <c r="EO777" s="1904"/>
      <c r="EP777" s="1904"/>
      <c r="EQ777" s="1904"/>
      <c r="ER777" s="1904"/>
      <c r="ES777" s="1904"/>
      <c r="ET777" s="1904"/>
      <c r="EU777" s="1904"/>
      <c r="EV777" s="1904"/>
      <c r="EW777" s="1904"/>
      <c r="EX777" s="1904"/>
      <c r="EY777" s="1904"/>
      <c r="EZ777" s="1904"/>
      <c r="FA777" s="1904"/>
      <c r="FB777" s="1904"/>
      <c r="FC777" s="1904"/>
      <c r="FD777" s="1904"/>
      <c r="FE777" s="1904"/>
      <c r="FF777" s="1904"/>
      <c r="FG777" s="1904"/>
      <c r="FH777" s="1904"/>
      <c r="FI777" s="1904"/>
      <c r="FJ777" s="1904"/>
      <c r="FK777" s="1904"/>
      <c r="FL777" s="1904"/>
      <c r="FM777" s="1904"/>
      <c r="FN777" s="1904"/>
      <c r="FO777" s="1904"/>
      <c r="FP777" s="1904"/>
      <c r="FQ777" s="1904"/>
      <c r="FR777" s="1904"/>
      <c r="FS777" s="1904"/>
      <c r="FT777" s="1904"/>
    </row>
    <row r="778" spans="1:176" s="1901" customFormat="1" ht="32.1" customHeight="1">
      <c r="A778" s="2532"/>
      <c r="B778" s="2407" t="s">
        <v>7134</v>
      </c>
      <c r="C778" s="2408"/>
      <c r="D778" s="2408"/>
      <c r="E778" s="2408"/>
      <c r="F778" s="2408"/>
      <c r="G778" s="2408"/>
      <c r="H778" s="2408"/>
      <c r="I778" s="2419"/>
      <c r="J778" s="2208">
        <v>44.831159</v>
      </c>
      <c r="K778" s="2208">
        <v>3.54975</v>
      </c>
      <c r="L778" s="2208">
        <v>9.5078750000000003</v>
      </c>
      <c r="M778" s="2208">
        <v>3.7170999999999998</v>
      </c>
      <c r="N778" s="2208">
        <v>2.93045</v>
      </c>
      <c r="O778" s="2208">
        <v>9.8624290000000006</v>
      </c>
      <c r="P778" s="2409">
        <v>2.8277209999999999</v>
      </c>
      <c r="Q778" s="2409"/>
      <c r="R778" s="2431"/>
      <c r="S778" s="2208"/>
      <c r="T778" s="2208"/>
      <c r="U778" s="2208"/>
      <c r="V778" s="2208"/>
      <c r="W778" s="2208"/>
      <c r="X778" s="2208"/>
      <c r="Y778" s="1904"/>
      <c r="Z778" s="1904"/>
      <c r="AA778" s="1904"/>
      <c r="AB778" s="1904"/>
      <c r="AC778" s="1904"/>
      <c r="AD778" s="1904"/>
      <c r="AE778" s="1904"/>
      <c r="AF778" s="1904"/>
      <c r="AG778" s="1904"/>
      <c r="AH778" s="1904"/>
      <c r="AI778" s="1904"/>
      <c r="AJ778" s="1904"/>
      <c r="AK778" s="1904"/>
      <c r="AL778" s="1904"/>
      <c r="AM778" s="1904"/>
      <c r="AN778" s="1904"/>
      <c r="AO778" s="1904"/>
      <c r="AP778" s="1904"/>
      <c r="AQ778" s="1904"/>
      <c r="AR778" s="1904"/>
      <c r="AS778" s="1904"/>
      <c r="AT778" s="1904"/>
      <c r="AU778" s="1904"/>
      <c r="AV778" s="1904"/>
      <c r="AW778" s="1904"/>
      <c r="AX778" s="1904"/>
      <c r="AY778" s="1904"/>
      <c r="AZ778" s="1904"/>
      <c r="BA778" s="1904"/>
      <c r="BB778" s="1904"/>
      <c r="BC778" s="1904"/>
      <c r="BD778" s="1904"/>
      <c r="BE778" s="1904"/>
      <c r="BF778" s="1904"/>
      <c r="BG778" s="1904"/>
      <c r="BH778" s="1904"/>
      <c r="BI778" s="1904"/>
      <c r="BJ778" s="1904"/>
      <c r="BK778" s="1904"/>
      <c r="BL778" s="1904"/>
      <c r="BM778" s="1904"/>
      <c r="BN778" s="1904"/>
      <c r="BO778" s="1904"/>
      <c r="BP778" s="1904"/>
      <c r="BQ778" s="1904"/>
      <c r="BR778" s="1904"/>
      <c r="BS778" s="1904"/>
      <c r="BT778" s="1904"/>
      <c r="BU778" s="1904"/>
      <c r="BV778" s="1904"/>
      <c r="BW778" s="1904"/>
      <c r="BX778" s="1904"/>
      <c r="BY778" s="1904"/>
      <c r="BZ778" s="1904"/>
      <c r="CA778" s="1904"/>
      <c r="CB778" s="1904"/>
      <c r="CC778" s="1904"/>
      <c r="CD778" s="1904"/>
      <c r="CE778" s="1904"/>
      <c r="CF778" s="1904"/>
      <c r="CG778" s="1904"/>
      <c r="CH778" s="1904"/>
      <c r="CI778" s="1904"/>
      <c r="CJ778" s="1904"/>
      <c r="CK778" s="1904"/>
      <c r="CL778" s="1904"/>
      <c r="CM778" s="1904"/>
      <c r="CN778" s="1904"/>
      <c r="CO778" s="1904"/>
      <c r="CP778" s="1904"/>
      <c r="CQ778" s="1904"/>
      <c r="CR778" s="1904"/>
      <c r="CS778" s="1904"/>
      <c r="CT778" s="1904"/>
      <c r="CU778" s="1904"/>
      <c r="CV778" s="1904"/>
      <c r="CW778" s="1904"/>
      <c r="CX778" s="1904"/>
      <c r="CY778" s="1904"/>
      <c r="CZ778" s="1904"/>
      <c r="DA778" s="1904"/>
      <c r="DB778" s="1904"/>
      <c r="DC778" s="1904"/>
      <c r="DD778" s="1904"/>
      <c r="DE778" s="1904"/>
      <c r="DF778" s="1904"/>
      <c r="DG778" s="1904"/>
      <c r="DH778" s="1904"/>
      <c r="DI778" s="1904"/>
      <c r="DJ778" s="1904"/>
      <c r="DK778" s="1904"/>
      <c r="DL778" s="1904"/>
      <c r="DM778" s="1904"/>
      <c r="DN778" s="1904"/>
      <c r="DO778" s="1904"/>
      <c r="DP778" s="1904"/>
      <c r="DQ778" s="1904"/>
      <c r="DR778" s="1904"/>
      <c r="DS778" s="1904"/>
      <c r="DT778" s="1904"/>
      <c r="DU778" s="1904"/>
      <c r="DV778" s="1904"/>
      <c r="DW778" s="1904"/>
      <c r="DX778" s="1904"/>
      <c r="DY778" s="1904"/>
      <c r="DZ778" s="1904"/>
      <c r="EA778" s="1904"/>
      <c r="EB778" s="1904"/>
      <c r="EC778" s="1904"/>
      <c r="ED778" s="1904"/>
      <c r="EE778" s="1904"/>
      <c r="EF778" s="1904"/>
      <c r="EG778" s="1904"/>
      <c r="EH778" s="1904"/>
      <c r="EI778" s="1904"/>
      <c r="EJ778" s="1904"/>
      <c r="EK778" s="1904"/>
      <c r="EL778" s="1904"/>
      <c r="EM778" s="1904"/>
      <c r="EN778" s="1904"/>
      <c r="EO778" s="1904"/>
      <c r="EP778" s="1904"/>
      <c r="EQ778" s="1904"/>
      <c r="ER778" s="1904"/>
      <c r="ES778" s="1904"/>
      <c r="ET778" s="1904"/>
      <c r="EU778" s="1904"/>
      <c r="EV778" s="1904"/>
      <c r="EW778" s="1904"/>
      <c r="EX778" s="1904"/>
      <c r="EY778" s="1904"/>
      <c r="EZ778" s="1904"/>
      <c r="FA778" s="1904"/>
      <c r="FB778" s="1904"/>
      <c r="FC778" s="1904"/>
      <c r="FD778" s="1904"/>
      <c r="FE778" s="1904"/>
      <c r="FF778" s="1904"/>
      <c r="FG778" s="1904"/>
      <c r="FH778" s="1904"/>
      <c r="FI778" s="1904"/>
      <c r="FJ778" s="1904"/>
      <c r="FK778" s="1904"/>
      <c r="FL778" s="1904"/>
      <c r="FM778" s="1904"/>
      <c r="FN778" s="1904"/>
      <c r="FO778" s="1904"/>
      <c r="FP778" s="1904"/>
      <c r="FQ778" s="1904"/>
      <c r="FR778" s="1904"/>
      <c r="FS778" s="1904"/>
      <c r="FT778" s="1904"/>
    </row>
    <row r="779" spans="1:176" s="1901" customFormat="1" ht="32.1" customHeight="1">
      <c r="A779" s="2533"/>
      <c r="B779" s="2410" t="s">
        <v>7135</v>
      </c>
      <c r="C779" s="2411"/>
      <c r="D779" s="2411"/>
      <c r="E779" s="2411"/>
      <c r="F779" s="2411"/>
      <c r="G779" s="2411"/>
      <c r="H779" s="2411"/>
      <c r="I779" s="2420"/>
      <c r="J779" s="2412">
        <v>112154.185121406</v>
      </c>
      <c r="K779" s="2412">
        <v>8128.49343207741</v>
      </c>
      <c r="L779" s="2412">
        <v>54442.374372509403</v>
      </c>
      <c r="M779" s="2412">
        <v>15159.281211396699</v>
      </c>
      <c r="N779" s="2412">
        <v>11536.5906358267</v>
      </c>
      <c r="O779" s="2412">
        <v>40747.792237973503</v>
      </c>
      <c r="P779" s="2223">
        <v>47168.3037441329</v>
      </c>
      <c r="Q779" s="2413"/>
      <c r="R779" s="2432"/>
      <c r="S779" s="2198"/>
      <c r="T779" s="2412"/>
      <c r="U779" s="2198"/>
      <c r="V779" s="2412"/>
      <c r="W779" s="2412"/>
      <c r="X779" s="2412"/>
      <c r="Y779" s="1904"/>
      <c r="Z779" s="1904"/>
      <c r="AA779" s="1904"/>
      <c r="AB779" s="1904"/>
      <c r="AC779" s="1904"/>
      <c r="AD779" s="1904"/>
      <c r="AE779" s="1904"/>
      <c r="AF779" s="1904"/>
      <c r="AG779" s="1904"/>
      <c r="AH779" s="1904"/>
      <c r="AI779" s="1904"/>
      <c r="AJ779" s="1904"/>
      <c r="AK779" s="1904"/>
      <c r="AL779" s="1904"/>
      <c r="AM779" s="1904"/>
      <c r="AN779" s="1904"/>
      <c r="AO779" s="1904"/>
      <c r="AP779" s="1904"/>
      <c r="AQ779" s="1904"/>
      <c r="AR779" s="1904"/>
      <c r="AS779" s="1904"/>
      <c r="AT779" s="1904"/>
      <c r="AU779" s="1904"/>
      <c r="AV779" s="1904"/>
      <c r="AW779" s="1904"/>
      <c r="AX779" s="1904"/>
      <c r="AY779" s="1904"/>
      <c r="AZ779" s="1904"/>
      <c r="BA779" s="1904"/>
      <c r="BB779" s="1904"/>
      <c r="BC779" s="1904"/>
      <c r="BD779" s="1904"/>
      <c r="BE779" s="1904"/>
      <c r="BF779" s="1904"/>
      <c r="BG779" s="1904"/>
      <c r="BH779" s="1904"/>
      <c r="BI779" s="1904"/>
      <c r="BJ779" s="1904"/>
      <c r="BK779" s="1904"/>
      <c r="BL779" s="1904"/>
      <c r="BM779" s="1904"/>
      <c r="BN779" s="1904"/>
      <c r="BO779" s="1904"/>
      <c r="BP779" s="1904"/>
      <c r="BQ779" s="1904"/>
      <c r="BR779" s="1904"/>
      <c r="BS779" s="1904"/>
      <c r="BT779" s="1904"/>
      <c r="BU779" s="1904"/>
      <c r="BV779" s="1904"/>
      <c r="BW779" s="1904"/>
      <c r="BX779" s="1904"/>
      <c r="BY779" s="1904"/>
      <c r="BZ779" s="1904"/>
      <c r="CA779" s="1904"/>
      <c r="CB779" s="1904"/>
      <c r="CC779" s="1904"/>
      <c r="CD779" s="1904"/>
      <c r="CE779" s="1904"/>
      <c r="CF779" s="1904"/>
      <c r="CG779" s="1904"/>
      <c r="CH779" s="1904"/>
      <c r="CI779" s="1904"/>
      <c r="CJ779" s="1904"/>
      <c r="CK779" s="1904"/>
      <c r="CL779" s="1904"/>
      <c r="CM779" s="1904"/>
      <c r="CN779" s="1904"/>
      <c r="CO779" s="1904"/>
      <c r="CP779" s="1904"/>
      <c r="CQ779" s="1904"/>
      <c r="CR779" s="1904"/>
      <c r="CS779" s="1904"/>
      <c r="CT779" s="1904"/>
      <c r="CU779" s="1904"/>
      <c r="CV779" s="1904"/>
      <c r="CW779" s="1904"/>
      <c r="CX779" s="1904"/>
      <c r="CY779" s="1904"/>
      <c r="CZ779" s="1904"/>
      <c r="DA779" s="1904"/>
      <c r="DB779" s="1904"/>
      <c r="DC779" s="1904"/>
      <c r="DD779" s="1904"/>
      <c r="DE779" s="1904"/>
      <c r="DF779" s="1904"/>
      <c r="DG779" s="1904"/>
      <c r="DH779" s="1904"/>
      <c r="DI779" s="1904"/>
      <c r="DJ779" s="1904"/>
      <c r="DK779" s="1904"/>
      <c r="DL779" s="1904"/>
      <c r="DM779" s="1904"/>
      <c r="DN779" s="1904"/>
      <c r="DO779" s="1904"/>
      <c r="DP779" s="1904"/>
      <c r="DQ779" s="1904"/>
      <c r="DR779" s="1904"/>
      <c r="DS779" s="1904"/>
      <c r="DT779" s="1904"/>
      <c r="DU779" s="1904"/>
      <c r="DV779" s="1904"/>
      <c r="DW779" s="1904"/>
      <c r="DX779" s="1904"/>
      <c r="DY779" s="1904"/>
      <c r="DZ779" s="1904"/>
      <c r="EA779" s="1904"/>
      <c r="EB779" s="1904"/>
      <c r="EC779" s="1904"/>
      <c r="ED779" s="1904"/>
      <c r="EE779" s="1904"/>
      <c r="EF779" s="1904"/>
      <c r="EG779" s="1904"/>
      <c r="EH779" s="1904"/>
      <c r="EI779" s="1904"/>
      <c r="EJ779" s="1904"/>
      <c r="EK779" s="1904"/>
      <c r="EL779" s="1904"/>
      <c r="EM779" s="1904"/>
      <c r="EN779" s="1904"/>
      <c r="EO779" s="1904"/>
      <c r="EP779" s="1904"/>
      <c r="EQ779" s="1904"/>
      <c r="ER779" s="1904"/>
      <c r="ES779" s="1904"/>
      <c r="ET779" s="1904"/>
      <c r="EU779" s="1904"/>
      <c r="EV779" s="1904"/>
      <c r="EW779" s="1904"/>
      <c r="EX779" s="1904"/>
      <c r="EY779" s="1904"/>
      <c r="EZ779" s="1904"/>
      <c r="FA779" s="1904"/>
      <c r="FB779" s="1904"/>
      <c r="FC779" s="1904"/>
      <c r="FD779" s="1904"/>
      <c r="FE779" s="1904"/>
      <c r="FF779" s="1904"/>
      <c r="FG779" s="1904"/>
      <c r="FH779" s="1904"/>
      <c r="FI779" s="1904"/>
      <c r="FJ779" s="1904"/>
      <c r="FK779" s="1904"/>
      <c r="FL779" s="1904"/>
      <c r="FM779" s="1904"/>
      <c r="FN779" s="1904"/>
      <c r="FO779" s="1904"/>
      <c r="FP779" s="1904"/>
      <c r="FQ779" s="1904"/>
      <c r="FR779" s="1904"/>
      <c r="FS779" s="1904"/>
      <c r="FT779" s="1904"/>
    </row>
    <row r="780" spans="1:176" s="1901" customFormat="1" ht="32.1" customHeight="1">
      <c r="A780" s="2533"/>
      <c r="B780" s="2410" t="s">
        <v>6765</v>
      </c>
      <c r="C780" s="2411"/>
      <c r="D780" s="2411"/>
      <c r="E780" s="2411"/>
      <c r="F780" s="2411"/>
      <c r="G780" s="2411"/>
      <c r="H780" s="2411"/>
      <c r="I780" s="2420"/>
      <c r="J780" s="2412">
        <f>J779/1.2065</f>
        <v>92958.296826693753</v>
      </c>
      <c r="K780" s="2412">
        <f t="shared" ref="K780:P780" si="218">K779/1.2065</f>
        <v>6737.2510833629594</v>
      </c>
      <c r="L780" s="2412">
        <f t="shared" si="218"/>
        <v>45124.22243888057</v>
      </c>
      <c r="M780" s="2412">
        <f t="shared" si="218"/>
        <v>12564.675682881641</v>
      </c>
      <c r="N780" s="2412">
        <f t="shared" si="218"/>
        <v>9562.0311942202243</v>
      </c>
      <c r="O780" s="2412">
        <f t="shared" si="218"/>
        <v>33773.553450454623</v>
      </c>
      <c r="P780" s="2412">
        <f t="shared" si="218"/>
        <v>39095.154367287942</v>
      </c>
      <c r="Q780" s="2414"/>
      <c r="R780" s="2433"/>
      <c r="S780" s="2415"/>
      <c r="T780" s="2415" t="s">
        <v>7819</v>
      </c>
      <c r="U780" s="2415"/>
      <c r="V780" s="2415"/>
      <c r="W780" s="2415"/>
      <c r="X780" s="2415"/>
      <c r="Y780" s="1904"/>
      <c r="Z780" s="1904"/>
      <c r="AA780" s="1904"/>
      <c r="AB780" s="1904"/>
      <c r="AC780" s="1904"/>
      <c r="AD780" s="1904"/>
      <c r="AE780" s="1904"/>
      <c r="AF780" s="1904"/>
      <c r="AG780" s="1904"/>
      <c r="AH780" s="1904"/>
      <c r="AI780" s="1904"/>
      <c r="AJ780" s="1904"/>
      <c r="AK780" s="1904"/>
      <c r="AL780" s="1904"/>
      <c r="AM780" s="1904"/>
      <c r="AN780" s="1904"/>
      <c r="AO780" s="1904"/>
      <c r="AP780" s="1904"/>
      <c r="AQ780" s="1904"/>
      <c r="AR780" s="1904"/>
      <c r="AS780" s="1904"/>
      <c r="AT780" s="1904"/>
      <c r="AU780" s="1904"/>
      <c r="AV780" s="1904"/>
      <c r="AW780" s="1904"/>
      <c r="AX780" s="1904"/>
      <c r="AY780" s="1904"/>
      <c r="AZ780" s="1904"/>
      <c r="BA780" s="1904"/>
      <c r="BB780" s="1904"/>
      <c r="BC780" s="1904"/>
      <c r="BD780" s="1904"/>
      <c r="BE780" s="1904"/>
      <c r="BF780" s="1904"/>
      <c r="BG780" s="1904"/>
      <c r="BH780" s="1904"/>
      <c r="BI780" s="1904"/>
      <c r="BJ780" s="1904"/>
      <c r="BK780" s="1904"/>
      <c r="BL780" s="1904"/>
      <c r="BM780" s="1904"/>
      <c r="BN780" s="1904"/>
      <c r="BO780" s="1904"/>
      <c r="BP780" s="1904"/>
      <c r="BQ780" s="1904"/>
      <c r="BR780" s="1904"/>
      <c r="BS780" s="1904"/>
      <c r="BT780" s="1904"/>
      <c r="BU780" s="1904"/>
      <c r="BV780" s="1904"/>
      <c r="BW780" s="1904"/>
      <c r="BX780" s="1904"/>
      <c r="BY780" s="1904"/>
      <c r="BZ780" s="1904"/>
      <c r="CA780" s="1904"/>
      <c r="CB780" s="1904"/>
      <c r="CC780" s="1904"/>
      <c r="CD780" s="1904"/>
      <c r="CE780" s="1904"/>
      <c r="CF780" s="1904"/>
      <c r="CG780" s="1904"/>
      <c r="CH780" s="1904"/>
      <c r="CI780" s="1904"/>
      <c r="CJ780" s="1904"/>
      <c r="CK780" s="1904"/>
      <c r="CL780" s="1904"/>
      <c r="CM780" s="1904"/>
      <c r="CN780" s="1904"/>
      <c r="CO780" s="1904"/>
      <c r="CP780" s="1904"/>
      <c r="CQ780" s="1904"/>
      <c r="CR780" s="1904"/>
      <c r="CS780" s="1904"/>
      <c r="CT780" s="1904"/>
      <c r="CU780" s="1904"/>
      <c r="CV780" s="1904"/>
      <c r="CW780" s="1904"/>
      <c r="CX780" s="1904"/>
      <c r="CY780" s="1904"/>
      <c r="CZ780" s="1904"/>
      <c r="DA780" s="1904"/>
      <c r="DB780" s="1904"/>
      <c r="DC780" s="1904"/>
      <c r="DD780" s="1904"/>
      <c r="DE780" s="1904"/>
      <c r="DF780" s="1904"/>
      <c r="DG780" s="1904"/>
      <c r="DH780" s="1904"/>
      <c r="DI780" s="1904"/>
      <c r="DJ780" s="1904"/>
      <c r="DK780" s="1904"/>
      <c r="DL780" s="1904"/>
      <c r="DM780" s="1904"/>
      <c r="DN780" s="1904"/>
      <c r="DO780" s="1904"/>
      <c r="DP780" s="1904"/>
      <c r="DQ780" s="1904"/>
      <c r="DR780" s="1904"/>
      <c r="DS780" s="1904"/>
      <c r="DT780" s="1904"/>
      <c r="DU780" s="1904"/>
      <c r="DV780" s="1904"/>
      <c r="DW780" s="1904"/>
      <c r="DX780" s="1904"/>
      <c r="DY780" s="1904"/>
      <c r="DZ780" s="1904"/>
      <c r="EA780" s="1904"/>
      <c r="EB780" s="1904"/>
      <c r="EC780" s="1904"/>
      <c r="ED780" s="1904"/>
      <c r="EE780" s="1904"/>
      <c r="EF780" s="1904"/>
      <c r="EG780" s="1904"/>
      <c r="EH780" s="1904"/>
      <c r="EI780" s="1904"/>
      <c r="EJ780" s="1904"/>
      <c r="EK780" s="1904"/>
      <c r="EL780" s="1904"/>
      <c r="EM780" s="1904"/>
      <c r="EN780" s="1904"/>
      <c r="EO780" s="1904"/>
      <c r="EP780" s="1904"/>
      <c r="EQ780" s="1904"/>
      <c r="ER780" s="1904"/>
      <c r="ES780" s="1904"/>
      <c r="ET780" s="1904"/>
      <c r="EU780" s="1904"/>
      <c r="EV780" s="1904"/>
      <c r="EW780" s="1904"/>
      <c r="EX780" s="1904"/>
      <c r="EY780" s="1904"/>
      <c r="EZ780" s="1904"/>
      <c r="FA780" s="1904"/>
      <c r="FB780" s="1904"/>
      <c r="FC780" s="1904"/>
      <c r="FD780" s="1904"/>
      <c r="FE780" s="1904"/>
      <c r="FF780" s="1904"/>
      <c r="FG780" s="1904"/>
      <c r="FH780" s="1904"/>
      <c r="FI780" s="1904"/>
      <c r="FJ780" s="1904"/>
      <c r="FK780" s="1904"/>
      <c r="FL780" s="1904"/>
      <c r="FM780" s="1904"/>
      <c r="FN780" s="1904"/>
      <c r="FO780" s="1904"/>
      <c r="FP780" s="1904"/>
      <c r="FQ780" s="1904"/>
      <c r="FR780" s="1904"/>
      <c r="FS780" s="1904"/>
      <c r="FT780" s="1904"/>
    </row>
    <row r="781" spans="1:176" s="1901" customFormat="1" ht="32.1" customHeight="1">
      <c r="A781" s="2534"/>
      <c r="B781" s="2410" t="s">
        <v>7136</v>
      </c>
      <c r="C781" s="2411"/>
      <c r="D781" s="2411"/>
      <c r="E781" s="2411"/>
      <c r="F781" s="2411"/>
      <c r="G781" s="2411"/>
      <c r="H781" s="2411"/>
      <c r="I781" s="2418"/>
      <c r="J781" s="2223">
        <f>J780/J778</f>
        <v>2073.5198219321915</v>
      </c>
      <c r="K781" s="2223">
        <f t="shared" ref="K781:O781" si="219">K780/K778</f>
        <v>1897.9508650927417</v>
      </c>
      <c r="L781" s="2223">
        <f t="shared" si="219"/>
        <v>4745.9839805298834</v>
      </c>
      <c r="M781" s="2223">
        <f t="shared" si="219"/>
        <v>3380.2361203308069</v>
      </c>
      <c r="N781" s="2223">
        <f t="shared" si="219"/>
        <v>3262.9907332389989</v>
      </c>
      <c r="O781" s="2223">
        <f t="shared" si="219"/>
        <v>3424.4660671782399</v>
      </c>
      <c r="P781" s="2416">
        <f>P780/P778</f>
        <v>13825.676001022712</v>
      </c>
      <c r="Q781" s="2414"/>
      <c r="R781" s="2433"/>
      <c r="S781" s="2198"/>
      <c r="T781" s="2412"/>
      <c r="U781" s="2412"/>
      <c r="V781" s="2412"/>
      <c r="W781" s="2412"/>
      <c r="X781" s="2412"/>
      <c r="Y781" s="1904"/>
      <c r="Z781" s="1904"/>
      <c r="AA781" s="1904"/>
      <c r="AB781" s="1904"/>
      <c r="AC781" s="1904"/>
      <c r="AD781" s="1904"/>
      <c r="AE781" s="1904"/>
      <c r="AF781" s="1904"/>
      <c r="AG781" s="1904"/>
      <c r="AH781" s="1904"/>
      <c r="AI781" s="1904"/>
      <c r="AJ781" s="1904"/>
      <c r="AK781" s="1904"/>
      <c r="AL781" s="1904"/>
      <c r="AM781" s="1904"/>
      <c r="AN781" s="1904"/>
      <c r="AO781" s="1904"/>
      <c r="AP781" s="1904"/>
      <c r="AQ781" s="1904"/>
      <c r="AR781" s="1904"/>
      <c r="AS781" s="1904"/>
      <c r="AT781" s="1904"/>
      <c r="AU781" s="1904"/>
      <c r="AV781" s="1904"/>
      <c r="AW781" s="1904"/>
      <c r="AX781" s="1904"/>
      <c r="AY781" s="1904"/>
      <c r="AZ781" s="1904"/>
      <c r="BA781" s="1904"/>
      <c r="BB781" s="1904"/>
      <c r="BC781" s="1904"/>
      <c r="BD781" s="1904"/>
      <c r="BE781" s="1904"/>
      <c r="BF781" s="1904"/>
      <c r="BG781" s="1904"/>
      <c r="BH781" s="1904"/>
      <c r="BI781" s="1904"/>
      <c r="BJ781" s="1904"/>
      <c r="BK781" s="1904"/>
      <c r="BL781" s="1904"/>
      <c r="BM781" s="1904"/>
      <c r="BN781" s="1904"/>
      <c r="BO781" s="1904"/>
      <c r="BP781" s="1904"/>
      <c r="BQ781" s="1904"/>
      <c r="BR781" s="1904"/>
      <c r="BS781" s="1904"/>
      <c r="BT781" s="1904"/>
      <c r="BU781" s="1904"/>
      <c r="BV781" s="1904"/>
      <c r="BW781" s="1904"/>
      <c r="BX781" s="1904"/>
      <c r="BY781" s="1904"/>
      <c r="BZ781" s="1904"/>
      <c r="CA781" s="1904"/>
      <c r="CB781" s="1904"/>
      <c r="CC781" s="1904"/>
      <c r="CD781" s="1904"/>
      <c r="CE781" s="1904"/>
      <c r="CF781" s="1904"/>
      <c r="CG781" s="1904"/>
      <c r="CH781" s="1904"/>
      <c r="CI781" s="1904"/>
      <c r="CJ781" s="1904"/>
      <c r="CK781" s="1904"/>
      <c r="CL781" s="1904"/>
      <c r="CM781" s="1904"/>
      <c r="CN781" s="1904"/>
      <c r="CO781" s="1904"/>
      <c r="CP781" s="1904"/>
      <c r="CQ781" s="1904"/>
      <c r="CR781" s="1904"/>
      <c r="CS781" s="1904"/>
      <c r="CT781" s="1904"/>
      <c r="CU781" s="1904"/>
      <c r="CV781" s="1904"/>
      <c r="CW781" s="1904"/>
      <c r="CX781" s="1904"/>
      <c r="CY781" s="1904"/>
      <c r="CZ781" s="1904"/>
      <c r="DA781" s="1904"/>
      <c r="DB781" s="1904"/>
      <c r="DC781" s="1904"/>
      <c r="DD781" s="1904"/>
      <c r="DE781" s="1904"/>
      <c r="DF781" s="1904"/>
      <c r="DG781" s="1904"/>
      <c r="DH781" s="1904"/>
      <c r="DI781" s="1904"/>
      <c r="DJ781" s="1904"/>
      <c r="DK781" s="1904"/>
      <c r="DL781" s="1904"/>
      <c r="DM781" s="1904"/>
      <c r="DN781" s="1904"/>
      <c r="DO781" s="1904"/>
      <c r="DP781" s="1904"/>
      <c r="DQ781" s="1904"/>
      <c r="DR781" s="1904"/>
      <c r="DS781" s="1904"/>
      <c r="DT781" s="1904"/>
      <c r="DU781" s="1904"/>
      <c r="DV781" s="1904"/>
      <c r="DW781" s="1904"/>
      <c r="DX781" s="1904"/>
      <c r="DY781" s="1904"/>
      <c r="DZ781" s="1904"/>
      <c r="EA781" s="1904"/>
      <c r="EB781" s="1904"/>
      <c r="EC781" s="1904"/>
      <c r="ED781" s="1904"/>
      <c r="EE781" s="1904"/>
      <c r="EF781" s="1904"/>
      <c r="EG781" s="1904"/>
      <c r="EH781" s="1904"/>
      <c r="EI781" s="1904"/>
      <c r="EJ781" s="1904"/>
      <c r="EK781" s="1904"/>
      <c r="EL781" s="1904"/>
      <c r="EM781" s="1904"/>
      <c r="EN781" s="1904"/>
      <c r="EO781" s="1904"/>
      <c r="EP781" s="1904"/>
      <c r="EQ781" s="1904"/>
      <c r="ER781" s="1904"/>
      <c r="ES781" s="1904"/>
      <c r="ET781" s="1904"/>
      <c r="EU781" s="1904"/>
      <c r="EV781" s="1904"/>
      <c r="EW781" s="1904"/>
      <c r="EX781" s="1904"/>
      <c r="EY781" s="1904"/>
      <c r="EZ781" s="1904"/>
      <c r="FA781" s="1904"/>
      <c r="FB781" s="1904"/>
      <c r="FC781" s="1904"/>
      <c r="FD781" s="1904"/>
      <c r="FE781" s="1904"/>
      <c r="FF781" s="1904"/>
      <c r="FG781" s="1904"/>
      <c r="FH781" s="1904"/>
      <c r="FI781" s="1904"/>
      <c r="FJ781" s="1904"/>
      <c r="FK781" s="1904"/>
      <c r="FL781" s="1904"/>
      <c r="FM781" s="1904"/>
      <c r="FN781" s="1904"/>
      <c r="FO781" s="1904"/>
      <c r="FP781" s="1904"/>
      <c r="FQ781" s="1904"/>
      <c r="FR781" s="1904"/>
      <c r="FS781" s="1904"/>
      <c r="FT781" s="1904"/>
    </row>
    <row r="782" spans="1:176" s="1901" customFormat="1" ht="32.1" customHeight="1">
      <c r="A782" s="2534"/>
      <c r="B782" s="2410" t="s">
        <v>6767</v>
      </c>
      <c r="C782" s="2411"/>
      <c r="D782" s="2411"/>
      <c r="E782" s="2411"/>
      <c r="F782" s="2411"/>
      <c r="G782" s="2411"/>
      <c r="H782" s="2411"/>
      <c r="I782" s="2418"/>
      <c r="J782" s="2412">
        <v>368217.19869857101</v>
      </c>
      <c r="K782" s="2412">
        <v>20225.889376628402</v>
      </c>
      <c r="L782" s="2412">
        <v>179203.79940871199</v>
      </c>
      <c r="M782" s="2412">
        <v>39768.066663464801</v>
      </c>
      <c r="N782" s="2412">
        <v>28271.475680470201</v>
      </c>
      <c r="O782" s="2412">
        <v>171588.152876187</v>
      </c>
      <c r="P782" s="2416">
        <v>90748.628812191295</v>
      </c>
      <c r="Q782" s="2414"/>
      <c r="R782" s="2433"/>
      <c r="S782" s="2415"/>
      <c r="T782" s="2415"/>
      <c r="U782" s="2415"/>
      <c r="V782" s="2415"/>
      <c r="W782" s="2415"/>
      <c r="X782" s="2415"/>
      <c r="Y782" s="1904"/>
      <c r="Z782" s="1904"/>
      <c r="AA782" s="1904"/>
      <c r="AB782" s="1904"/>
      <c r="AC782" s="1904"/>
      <c r="AD782" s="1904"/>
      <c r="AE782" s="1904"/>
      <c r="AF782" s="1904"/>
      <c r="AG782" s="1904"/>
      <c r="AH782" s="1904"/>
      <c r="AI782" s="1904"/>
      <c r="AJ782" s="1904"/>
      <c r="AK782" s="1904"/>
      <c r="AL782" s="1904"/>
      <c r="AM782" s="1904"/>
      <c r="AN782" s="1904"/>
      <c r="AO782" s="1904"/>
      <c r="AP782" s="1904"/>
      <c r="AQ782" s="1904"/>
      <c r="AR782" s="1904"/>
      <c r="AS782" s="1904"/>
      <c r="AT782" s="1904"/>
      <c r="AU782" s="1904"/>
      <c r="AV782" s="1904"/>
      <c r="AW782" s="1904"/>
      <c r="AX782" s="1904"/>
      <c r="AY782" s="1904"/>
      <c r="AZ782" s="1904"/>
      <c r="BA782" s="1904"/>
      <c r="BB782" s="1904"/>
      <c r="BC782" s="1904"/>
      <c r="BD782" s="1904"/>
      <c r="BE782" s="1904"/>
      <c r="BF782" s="1904"/>
      <c r="BG782" s="1904"/>
      <c r="BH782" s="1904"/>
      <c r="BI782" s="1904"/>
      <c r="BJ782" s="1904"/>
      <c r="BK782" s="1904"/>
      <c r="BL782" s="1904"/>
      <c r="BM782" s="1904"/>
      <c r="BN782" s="1904"/>
      <c r="BO782" s="1904"/>
      <c r="BP782" s="1904"/>
      <c r="BQ782" s="1904"/>
      <c r="BR782" s="1904"/>
      <c r="BS782" s="1904"/>
      <c r="BT782" s="1904"/>
      <c r="BU782" s="1904"/>
      <c r="BV782" s="1904"/>
      <c r="BW782" s="1904"/>
      <c r="BX782" s="1904"/>
      <c r="BY782" s="1904"/>
      <c r="BZ782" s="1904"/>
      <c r="CA782" s="1904"/>
      <c r="CB782" s="1904"/>
      <c r="CC782" s="1904"/>
      <c r="CD782" s="1904"/>
      <c r="CE782" s="1904"/>
      <c r="CF782" s="1904"/>
      <c r="CG782" s="1904"/>
      <c r="CH782" s="1904"/>
      <c r="CI782" s="1904"/>
      <c r="CJ782" s="1904"/>
      <c r="CK782" s="1904"/>
      <c r="CL782" s="1904"/>
      <c r="CM782" s="1904"/>
      <c r="CN782" s="1904"/>
      <c r="CO782" s="1904"/>
      <c r="CP782" s="1904"/>
      <c r="CQ782" s="1904"/>
      <c r="CR782" s="1904"/>
      <c r="CS782" s="1904"/>
      <c r="CT782" s="1904"/>
      <c r="CU782" s="1904"/>
      <c r="CV782" s="1904"/>
      <c r="CW782" s="1904"/>
      <c r="CX782" s="1904"/>
      <c r="CY782" s="1904"/>
      <c r="CZ782" s="1904"/>
      <c r="DA782" s="1904"/>
      <c r="DB782" s="1904"/>
      <c r="DC782" s="1904"/>
      <c r="DD782" s="1904"/>
      <c r="DE782" s="1904"/>
      <c r="DF782" s="1904"/>
      <c r="DG782" s="1904"/>
      <c r="DH782" s="1904"/>
      <c r="DI782" s="1904"/>
      <c r="DJ782" s="1904"/>
      <c r="DK782" s="1904"/>
      <c r="DL782" s="1904"/>
      <c r="DM782" s="1904"/>
      <c r="DN782" s="1904"/>
      <c r="DO782" s="1904"/>
      <c r="DP782" s="1904"/>
      <c r="DQ782" s="1904"/>
      <c r="DR782" s="1904"/>
      <c r="DS782" s="1904"/>
      <c r="DT782" s="1904"/>
      <c r="DU782" s="1904"/>
      <c r="DV782" s="1904"/>
      <c r="DW782" s="1904"/>
      <c r="DX782" s="1904"/>
      <c r="DY782" s="1904"/>
      <c r="DZ782" s="1904"/>
      <c r="EA782" s="1904"/>
      <c r="EB782" s="1904"/>
      <c r="EC782" s="1904"/>
      <c r="ED782" s="1904"/>
      <c r="EE782" s="1904"/>
      <c r="EF782" s="1904"/>
      <c r="EG782" s="1904"/>
      <c r="EH782" s="1904"/>
      <c r="EI782" s="1904"/>
      <c r="EJ782" s="1904"/>
      <c r="EK782" s="1904"/>
      <c r="EL782" s="1904"/>
      <c r="EM782" s="1904"/>
      <c r="EN782" s="1904"/>
      <c r="EO782" s="1904"/>
      <c r="EP782" s="1904"/>
      <c r="EQ782" s="1904"/>
      <c r="ER782" s="1904"/>
      <c r="ES782" s="1904"/>
      <c r="ET782" s="1904"/>
      <c r="EU782" s="1904"/>
      <c r="EV782" s="1904"/>
      <c r="EW782" s="1904"/>
      <c r="EX782" s="1904"/>
      <c r="EY782" s="1904"/>
      <c r="EZ782" s="1904"/>
      <c r="FA782" s="1904"/>
      <c r="FB782" s="1904"/>
      <c r="FC782" s="1904"/>
      <c r="FD782" s="1904"/>
      <c r="FE782" s="1904"/>
      <c r="FF782" s="1904"/>
      <c r="FG782" s="1904"/>
      <c r="FH782" s="1904"/>
      <c r="FI782" s="1904"/>
      <c r="FJ782" s="1904"/>
      <c r="FK782" s="1904"/>
      <c r="FL782" s="1904"/>
      <c r="FM782" s="1904"/>
      <c r="FN782" s="1904"/>
      <c r="FO782" s="1904"/>
      <c r="FP782" s="1904"/>
      <c r="FQ782" s="1904"/>
      <c r="FR782" s="1904"/>
      <c r="FS782" s="1904"/>
      <c r="FT782" s="1904"/>
    </row>
    <row r="783" spans="1:176" s="1818" customFormat="1" ht="32.1" customHeight="1">
      <c r="A783" s="2535"/>
      <c r="B783" s="1819"/>
      <c r="C783" s="1813"/>
      <c r="D783" s="1813"/>
      <c r="E783" s="1813"/>
      <c r="F783" s="1813"/>
      <c r="G783" s="1813"/>
      <c r="H783" s="1813"/>
      <c r="I783" s="2434"/>
      <c r="J783" s="2244"/>
      <c r="K783" s="2244"/>
      <c r="L783" s="2244"/>
      <c r="M783" s="2244"/>
      <c r="N783" s="2244"/>
      <c r="O783" s="2244"/>
      <c r="P783" s="2245"/>
      <c r="Q783" s="2245"/>
      <c r="R783" s="1965"/>
      <c r="S783" s="2244"/>
      <c r="T783" s="2244"/>
      <c r="U783" s="2244"/>
      <c r="V783" s="2244"/>
      <c r="W783" s="2244"/>
      <c r="X783" s="2244"/>
    </row>
    <row r="784" spans="1:176" s="1818" customFormat="1" ht="32.1" customHeight="1">
      <c r="A784" s="2535"/>
      <c r="B784" s="1819"/>
      <c r="C784" s="1813"/>
      <c r="D784" s="1813"/>
      <c r="E784" s="1813"/>
      <c r="F784" s="1813"/>
      <c r="G784" s="1813"/>
      <c r="H784" s="1813"/>
      <c r="I784" s="2434"/>
      <c r="J784" s="2244"/>
      <c r="K784" s="2244"/>
      <c r="L784" s="2244"/>
      <c r="M784" s="2244"/>
      <c r="N784" s="2244"/>
      <c r="O784" s="2244"/>
      <c r="P784" s="2245"/>
      <c r="Q784" s="2245"/>
      <c r="R784" s="1965"/>
      <c r="S784" s="2244"/>
      <c r="T784" s="2244"/>
      <c r="U784" s="2244"/>
      <c r="V784" s="2244"/>
      <c r="W784" s="2244"/>
      <c r="X784" s="2244"/>
    </row>
    <row r="785" spans="1:176" s="1818" customFormat="1" ht="32.1" customHeight="1">
      <c r="A785" s="2535"/>
      <c r="B785" s="1819"/>
      <c r="C785" s="1813"/>
      <c r="D785" s="1813"/>
      <c r="E785" s="1813"/>
      <c r="F785" s="1813"/>
      <c r="G785" s="1813"/>
      <c r="H785" s="1813"/>
      <c r="I785" s="2434"/>
      <c r="J785" s="2244"/>
      <c r="K785" s="2244"/>
      <c r="L785" s="2244"/>
      <c r="M785" s="2244"/>
      <c r="N785" s="2244"/>
      <c r="O785" s="2244"/>
      <c r="P785" s="2245"/>
      <c r="Q785" s="2245"/>
      <c r="R785" s="1965"/>
      <c r="S785" s="2244"/>
      <c r="T785" s="2244"/>
      <c r="U785" s="2244"/>
      <c r="V785" s="2244"/>
      <c r="W785" s="2244"/>
      <c r="X785" s="2244"/>
    </row>
    <row r="786" spans="1:176" s="1818" customFormat="1" ht="32.1" customHeight="1">
      <c r="A786" s="2535"/>
      <c r="B786" s="1819"/>
      <c r="C786" s="1813"/>
      <c r="D786" s="1813"/>
      <c r="E786" s="1813"/>
      <c r="F786" s="1813"/>
      <c r="G786" s="1813"/>
      <c r="H786" s="1813"/>
      <c r="I786" s="2434"/>
      <c r="J786" s="2244"/>
      <c r="K786" s="2244"/>
      <c r="L786" s="2244"/>
      <c r="M786" s="2244"/>
      <c r="N786" s="2244"/>
      <c r="O786" s="2244"/>
      <c r="P786" s="2245"/>
      <c r="Q786" s="2245"/>
      <c r="R786" s="1965"/>
      <c r="S786" s="2244"/>
      <c r="T786" s="2244"/>
      <c r="U786" s="2244"/>
      <c r="V786" s="2244"/>
      <c r="W786" s="2244"/>
      <c r="X786" s="2244"/>
    </row>
    <row r="787" spans="1:176" s="1818" customFormat="1" ht="32.1" customHeight="1">
      <c r="A787" s="2535"/>
      <c r="B787" s="1819"/>
      <c r="C787" s="1813"/>
      <c r="D787" s="1813"/>
      <c r="E787" s="1813"/>
      <c r="F787" s="1813"/>
      <c r="G787" s="1813"/>
      <c r="H787" s="1813"/>
      <c r="I787" s="2434"/>
      <c r="J787" s="2244"/>
      <c r="K787" s="2244"/>
      <c r="L787" s="2244"/>
      <c r="M787" s="2244"/>
      <c r="N787" s="2244"/>
      <c r="O787" s="2244"/>
      <c r="P787" s="2245"/>
      <c r="Q787" s="2245"/>
      <c r="R787" s="1965"/>
      <c r="S787" s="2244"/>
      <c r="T787" s="2244"/>
      <c r="U787" s="2244"/>
      <c r="V787" s="2244"/>
      <c r="W787" s="2244"/>
      <c r="X787" s="2244"/>
    </row>
    <row r="788" spans="1:176" s="1818" customFormat="1" ht="32.1" customHeight="1">
      <c r="A788" s="2535"/>
      <c r="B788" s="1819"/>
      <c r="C788" s="1813"/>
      <c r="D788" s="1813"/>
      <c r="E788" s="1813"/>
      <c r="F788" s="1813"/>
      <c r="G788" s="1813"/>
      <c r="H788" s="1813"/>
      <c r="I788" s="2434"/>
      <c r="J788" s="2244"/>
      <c r="K788" s="2244"/>
      <c r="L788" s="2244"/>
      <c r="M788" s="2244"/>
      <c r="N788" s="2244"/>
      <c r="O788" s="2244"/>
      <c r="P788" s="2245"/>
      <c r="Q788" s="2245"/>
      <c r="R788" s="1965"/>
      <c r="S788" s="2244"/>
      <c r="T788" s="2244"/>
      <c r="U788" s="2244"/>
      <c r="V788" s="2244"/>
      <c r="W788" s="2244"/>
      <c r="X788" s="2244"/>
    </row>
    <row r="789" spans="1:176" s="1818" customFormat="1" ht="32.1" customHeight="1">
      <c r="A789" s="2535"/>
      <c r="B789" s="1819"/>
      <c r="C789" s="1813"/>
      <c r="D789" s="1813"/>
      <c r="E789" s="1813"/>
      <c r="F789" s="1813"/>
      <c r="G789" s="1813"/>
      <c r="H789" s="1813"/>
      <c r="I789" s="2434"/>
      <c r="J789" s="2244"/>
      <c r="K789" s="2244"/>
      <c r="L789" s="2244"/>
      <c r="M789" s="2244"/>
      <c r="N789" s="2244"/>
      <c r="O789" s="2244"/>
      <c r="P789" s="2245"/>
      <c r="Q789" s="2245"/>
      <c r="R789" s="1965"/>
      <c r="S789" s="2244"/>
      <c r="T789" s="2244"/>
      <c r="U789" s="2244"/>
      <c r="V789" s="2244"/>
      <c r="W789" s="2244"/>
      <c r="X789" s="2244"/>
    </row>
    <row r="790" spans="1:176" s="1818" customFormat="1" ht="32.1" customHeight="1">
      <c r="A790" s="2535"/>
      <c r="B790" s="1819"/>
      <c r="C790" s="1813"/>
      <c r="D790" s="1813"/>
      <c r="E790" s="1813"/>
      <c r="F790" s="1813"/>
      <c r="G790" s="1813"/>
      <c r="H790" s="1813"/>
      <c r="I790" s="2434"/>
      <c r="J790" s="2244"/>
      <c r="K790" s="2244"/>
      <c r="L790" s="2244"/>
      <c r="M790" s="2244"/>
      <c r="N790" s="2244"/>
      <c r="O790" s="2244"/>
      <c r="P790" s="2245"/>
      <c r="Q790" s="2245"/>
      <c r="R790" s="1965"/>
      <c r="S790" s="2244"/>
      <c r="T790" s="2244"/>
      <c r="U790" s="2244"/>
      <c r="V790" s="2244"/>
      <c r="W790" s="2244"/>
      <c r="X790" s="2244"/>
    </row>
    <row r="791" spans="1:176" s="1818" customFormat="1" ht="32.1" customHeight="1">
      <c r="A791" s="2535"/>
      <c r="B791" s="1819"/>
      <c r="C791" s="1813"/>
      <c r="D791" s="1813"/>
      <c r="E791" s="1813"/>
      <c r="F791" s="1813"/>
      <c r="G791" s="1813"/>
      <c r="H791" s="1813"/>
      <c r="I791" s="2434"/>
      <c r="J791" s="2244"/>
      <c r="K791" s="2244"/>
      <c r="L791" s="2244"/>
      <c r="M791" s="2244"/>
      <c r="N791" s="2244"/>
      <c r="O791" s="2244"/>
      <c r="P791" s="2245"/>
      <c r="Q791" s="2245"/>
      <c r="R791" s="1965"/>
      <c r="S791" s="2244"/>
      <c r="T791" s="2244"/>
      <c r="U791" s="2244"/>
      <c r="V791" s="2244"/>
      <c r="W791" s="2244"/>
      <c r="X791" s="2244"/>
    </row>
    <row r="792" spans="1:176" s="1965" customFormat="1" ht="32.1" customHeight="1">
      <c r="A792" s="2535"/>
      <c r="B792" s="1819"/>
      <c r="C792" s="1813"/>
      <c r="D792" s="1813"/>
      <c r="E792" s="1813"/>
      <c r="F792" s="1813"/>
      <c r="G792" s="1813"/>
      <c r="H792" s="1813"/>
      <c r="I792" s="2434"/>
      <c r="J792" s="2244"/>
      <c r="K792" s="2244"/>
      <c r="L792" s="2244"/>
      <c r="M792" s="2244"/>
      <c r="N792" s="2244"/>
      <c r="O792" s="2244"/>
      <c r="P792" s="2245"/>
      <c r="Q792" s="2245"/>
      <c r="S792" s="2244"/>
      <c r="T792" s="2244"/>
      <c r="U792" s="2244"/>
      <c r="V792" s="2244"/>
      <c r="W792" s="2244"/>
      <c r="X792" s="2244"/>
      <c r="Y792" s="1818"/>
      <c r="Z792" s="1818"/>
      <c r="AA792" s="1818"/>
      <c r="AB792" s="1818"/>
      <c r="AC792" s="1818"/>
      <c r="AD792" s="1818"/>
      <c r="AE792" s="1818"/>
      <c r="AF792" s="1818"/>
      <c r="AG792" s="1818"/>
      <c r="AH792" s="1818"/>
      <c r="AI792" s="1818"/>
      <c r="AJ792" s="1818"/>
      <c r="AK792" s="1818"/>
      <c r="AL792" s="1818"/>
      <c r="AM792" s="1818"/>
      <c r="AN792" s="1818"/>
      <c r="AO792" s="1818"/>
      <c r="AP792" s="1818"/>
      <c r="AQ792" s="1818"/>
      <c r="AR792" s="1818"/>
      <c r="AS792" s="1818"/>
      <c r="AT792" s="1818"/>
      <c r="AU792" s="1818"/>
      <c r="AV792" s="1818"/>
      <c r="AW792" s="1818"/>
      <c r="AX792" s="1818"/>
      <c r="AY792" s="1818"/>
      <c r="AZ792" s="1818"/>
      <c r="BA792" s="1818"/>
      <c r="BB792" s="1818"/>
      <c r="BC792" s="1818"/>
      <c r="BD792" s="1818"/>
      <c r="BE792" s="1818"/>
      <c r="BF792" s="1818"/>
      <c r="BG792" s="1818"/>
      <c r="BH792" s="1818"/>
      <c r="BI792" s="1818"/>
      <c r="BJ792" s="1818"/>
      <c r="BK792" s="1818"/>
      <c r="BL792" s="1818"/>
      <c r="BM792" s="1818"/>
      <c r="BN792" s="1818"/>
      <c r="BO792" s="1818"/>
      <c r="BP792" s="1818"/>
      <c r="BQ792" s="1818"/>
      <c r="BR792" s="1818"/>
      <c r="BS792" s="1818"/>
      <c r="BT792" s="1818"/>
      <c r="BU792" s="1818"/>
      <c r="BV792" s="1818"/>
      <c r="BW792" s="1818"/>
      <c r="BX792" s="1818"/>
      <c r="BY792" s="1818"/>
      <c r="BZ792" s="1818"/>
      <c r="CA792" s="1818"/>
      <c r="CB792" s="1818"/>
      <c r="CC792" s="1818"/>
      <c r="CD792" s="1818"/>
      <c r="CE792" s="1818"/>
      <c r="CF792" s="1818"/>
      <c r="CG792" s="1818"/>
      <c r="CH792" s="1818"/>
      <c r="CI792" s="1818"/>
      <c r="CJ792" s="1818"/>
      <c r="CK792" s="1818"/>
      <c r="CL792" s="1818"/>
      <c r="CM792" s="1818"/>
      <c r="CN792" s="1818"/>
      <c r="CO792" s="1818"/>
      <c r="CP792" s="1818"/>
      <c r="CQ792" s="1818"/>
      <c r="CR792" s="1818"/>
      <c r="CS792" s="1818"/>
      <c r="CT792" s="1818"/>
      <c r="CU792" s="1818"/>
      <c r="CV792" s="1818"/>
      <c r="CW792" s="1818"/>
      <c r="CX792" s="1818"/>
      <c r="CY792" s="1818"/>
      <c r="CZ792" s="1818"/>
      <c r="DA792" s="1818"/>
      <c r="DB792" s="1818"/>
      <c r="DC792" s="1818"/>
      <c r="DD792" s="1818"/>
      <c r="DE792" s="1818"/>
      <c r="DF792" s="1818"/>
      <c r="DG792" s="1818"/>
      <c r="DH792" s="1818"/>
      <c r="DI792" s="1818"/>
      <c r="DJ792" s="1818"/>
      <c r="DK792" s="1818"/>
      <c r="DL792" s="1818"/>
      <c r="DM792" s="1818"/>
      <c r="DN792" s="1818"/>
      <c r="DO792" s="1818"/>
      <c r="DP792" s="1818"/>
      <c r="DQ792" s="1818"/>
      <c r="DR792" s="1818"/>
      <c r="DS792" s="1818"/>
      <c r="DT792" s="1818"/>
      <c r="DU792" s="1818"/>
      <c r="DV792" s="1818"/>
      <c r="DW792" s="1818"/>
      <c r="DX792" s="1818"/>
      <c r="DY792" s="1818"/>
      <c r="DZ792" s="1818"/>
      <c r="EA792" s="1818"/>
      <c r="EB792" s="1818"/>
      <c r="EC792" s="1818"/>
      <c r="ED792" s="1818"/>
      <c r="EE792" s="1818"/>
      <c r="EF792" s="1818"/>
      <c r="EG792" s="1818"/>
      <c r="EH792" s="1818"/>
      <c r="EI792" s="1818"/>
      <c r="EJ792" s="1818"/>
      <c r="EK792" s="1818"/>
      <c r="EL792" s="1818"/>
      <c r="EM792" s="1818"/>
      <c r="EN792" s="1818"/>
      <c r="EO792" s="1818"/>
      <c r="EP792" s="1818"/>
      <c r="EQ792" s="1818"/>
      <c r="ER792" s="1818"/>
      <c r="ES792" s="1818"/>
      <c r="ET792" s="1818"/>
      <c r="EU792" s="1818"/>
      <c r="EV792" s="1818"/>
      <c r="EW792" s="1818"/>
      <c r="EX792" s="1818"/>
      <c r="EY792" s="1818"/>
      <c r="EZ792" s="1818"/>
      <c r="FA792" s="1818"/>
      <c r="FB792" s="1818"/>
      <c r="FC792" s="1818"/>
      <c r="FD792" s="1818"/>
      <c r="FE792" s="1818"/>
      <c r="FF792" s="1818"/>
      <c r="FG792" s="1818"/>
      <c r="FH792" s="1818"/>
      <c r="FI792" s="1818"/>
      <c r="FJ792" s="1818"/>
      <c r="FK792" s="1818"/>
      <c r="FL792" s="1818"/>
      <c r="FM792" s="1818"/>
      <c r="FN792" s="1818"/>
      <c r="FO792" s="1818"/>
      <c r="FP792" s="1818"/>
      <c r="FQ792" s="1818"/>
      <c r="FR792" s="1818"/>
      <c r="FS792" s="1818"/>
      <c r="FT792" s="1818"/>
    </row>
    <row r="793" spans="1:176" s="1965" customFormat="1" ht="32.1" customHeight="1">
      <c r="A793" s="2535"/>
      <c r="B793" s="1819"/>
      <c r="C793" s="1813"/>
      <c r="D793" s="1813"/>
      <c r="E793" s="1813"/>
      <c r="F793" s="1813"/>
      <c r="G793" s="1813"/>
      <c r="H793" s="1813"/>
      <c r="I793" s="2434"/>
      <c r="J793" s="2244"/>
      <c r="K793" s="2244"/>
      <c r="L793" s="2244"/>
      <c r="M793" s="2244"/>
      <c r="N793" s="2244"/>
      <c r="O793" s="2244"/>
      <c r="P793" s="2245"/>
      <c r="Q793" s="2245"/>
      <c r="S793" s="2244"/>
      <c r="T793" s="2244"/>
      <c r="U793" s="2244"/>
      <c r="V793" s="2244"/>
      <c r="W793" s="2244"/>
      <c r="X793" s="2244"/>
      <c r="Y793" s="1818"/>
      <c r="Z793" s="1818"/>
      <c r="AA793" s="1818"/>
      <c r="AB793" s="1818"/>
      <c r="AC793" s="1818"/>
      <c r="AD793" s="1818"/>
      <c r="AE793" s="1818"/>
      <c r="AF793" s="1818"/>
      <c r="AG793" s="1818"/>
      <c r="AH793" s="1818"/>
      <c r="AI793" s="1818"/>
      <c r="AJ793" s="1818"/>
      <c r="AK793" s="1818"/>
      <c r="AL793" s="1818"/>
      <c r="AM793" s="1818"/>
      <c r="AN793" s="1818"/>
      <c r="AO793" s="1818"/>
      <c r="AP793" s="1818"/>
      <c r="AQ793" s="1818"/>
      <c r="AR793" s="1818"/>
      <c r="AS793" s="1818"/>
      <c r="AT793" s="1818"/>
      <c r="AU793" s="1818"/>
      <c r="AV793" s="1818"/>
      <c r="AW793" s="1818"/>
      <c r="AX793" s="1818"/>
      <c r="AY793" s="1818"/>
      <c r="AZ793" s="1818"/>
      <c r="BA793" s="1818"/>
      <c r="BB793" s="1818"/>
      <c r="BC793" s="1818"/>
      <c r="BD793" s="1818"/>
      <c r="BE793" s="1818"/>
      <c r="BF793" s="1818"/>
      <c r="BG793" s="1818"/>
      <c r="BH793" s="1818"/>
      <c r="BI793" s="1818"/>
      <c r="BJ793" s="1818"/>
      <c r="BK793" s="1818"/>
      <c r="BL793" s="1818"/>
      <c r="BM793" s="1818"/>
      <c r="BN793" s="1818"/>
      <c r="BO793" s="1818"/>
      <c r="BP793" s="1818"/>
      <c r="BQ793" s="1818"/>
      <c r="BR793" s="1818"/>
      <c r="BS793" s="1818"/>
      <c r="BT793" s="1818"/>
      <c r="BU793" s="1818"/>
      <c r="BV793" s="1818"/>
      <c r="BW793" s="1818"/>
      <c r="BX793" s="1818"/>
      <c r="BY793" s="1818"/>
      <c r="BZ793" s="1818"/>
      <c r="CA793" s="1818"/>
      <c r="CB793" s="1818"/>
      <c r="CC793" s="1818"/>
      <c r="CD793" s="1818"/>
      <c r="CE793" s="1818"/>
      <c r="CF793" s="1818"/>
      <c r="CG793" s="1818"/>
      <c r="CH793" s="1818"/>
      <c r="CI793" s="1818"/>
      <c r="CJ793" s="1818"/>
      <c r="CK793" s="1818"/>
      <c r="CL793" s="1818"/>
      <c r="CM793" s="1818"/>
      <c r="CN793" s="1818"/>
      <c r="CO793" s="1818"/>
      <c r="CP793" s="1818"/>
      <c r="CQ793" s="1818"/>
      <c r="CR793" s="1818"/>
      <c r="CS793" s="1818"/>
      <c r="CT793" s="1818"/>
      <c r="CU793" s="1818"/>
      <c r="CV793" s="1818"/>
      <c r="CW793" s="1818"/>
      <c r="CX793" s="1818"/>
      <c r="CY793" s="1818"/>
      <c r="CZ793" s="1818"/>
      <c r="DA793" s="1818"/>
      <c r="DB793" s="1818"/>
      <c r="DC793" s="1818"/>
      <c r="DD793" s="1818"/>
      <c r="DE793" s="1818"/>
      <c r="DF793" s="1818"/>
      <c r="DG793" s="1818"/>
      <c r="DH793" s="1818"/>
      <c r="DI793" s="1818"/>
      <c r="DJ793" s="1818"/>
      <c r="DK793" s="1818"/>
      <c r="DL793" s="1818"/>
      <c r="DM793" s="1818"/>
      <c r="DN793" s="1818"/>
      <c r="DO793" s="1818"/>
      <c r="DP793" s="1818"/>
      <c r="DQ793" s="1818"/>
      <c r="DR793" s="1818"/>
      <c r="DS793" s="1818"/>
      <c r="DT793" s="1818"/>
      <c r="DU793" s="1818"/>
      <c r="DV793" s="1818"/>
      <c r="DW793" s="1818"/>
      <c r="DX793" s="1818"/>
      <c r="DY793" s="1818"/>
      <c r="DZ793" s="1818"/>
      <c r="EA793" s="1818"/>
      <c r="EB793" s="1818"/>
      <c r="EC793" s="1818"/>
      <c r="ED793" s="1818"/>
      <c r="EE793" s="1818"/>
      <c r="EF793" s="1818"/>
      <c r="EG793" s="1818"/>
      <c r="EH793" s="1818"/>
      <c r="EI793" s="1818"/>
      <c r="EJ793" s="1818"/>
      <c r="EK793" s="1818"/>
      <c r="EL793" s="1818"/>
      <c r="EM793" s="1818"/>
      <c r="EN793" s="1818"/>
      <c r="EO793" s="1818"/>
      <c r="EP793" s="1818"/>
      <c r="EQ793" s="1818"/>
      <c r="ER793" s="1818"/>
      <c r="ES793" s="1818"/>
      <c r="ET793" s="1818"/>
      <c r="EU793" s="1818"/>
      <c r="EV793" s="1818"/>
      <c r="EW793" s="1818"/>
      <c r="EX793" s="1818"/>
      <c r="EY793" s="1818"/>
      <c r="EZ793" s="1818"/>
      <c r="FA793" s="1818"/>
      <c r="FB793" s="1818"/>
      <c r="FC793" s="1818"/>
      <c r="FD793" s="1818"/>
      <c r="FE793" s="1818"/>
      <c r="FF793" s="1818"/>
      <c r="FG793" s="1818"/>
      <c r="FH793" s="1818"/>
      <c r="FI793" s="1818"/>
      <c r="FJ793" s="1818"/>
      <c r="FK793" s="1818"/>
      <c r="FL793" s="1818"/>
      <c r="FM793" s="1818"/>
      <c r="FN793" s="1818"/>
      <c r="FO793" s="1818"/>
      <c r="FP793" s="1818"/>
      <c r="FQ793" s="1818"/>
      <c r="FR793" s="1818"/>
      <c r="FS793" s="1818"/>
      <c r="FT793" s="1818"/>
    </row>
    <row r="794" spans="1:176" s="1965" customFormat="1" ht="32.1" customHeight="1">
      <c r="A794" s="2535"/>
      <c r="B794" s="1819"/>
      <c r="C794" s="1813"/>
      <c r="D794" s="1813"/>
      <c r="E794" s="1813"/>
      <c r="F794" s="1813"/>
      <c r="G794" s="1813"/>
      <c r="H794" s="1813"/>
      <c r="I794" s="2434"/>
      <c r="J794" s="2244"/>
      <c r="K794" s="2244"/>
      <c r="L794" s="2244"/>
      <c r="M794" s="2244"/>
      <c r="N794" s="2244"/>
      <c r="O794" s="2244"/>
      <c r="P794" s="2245"/>
      <c r="Q794" s="2245"/>
      <c r="S794" s="2244"/>
      <c r="T794" s="2244"/>
      <c r="U794" s="2244"/>
      <c r="V794" s="2244"/>
      <c r="W794" s="2244"/>
      <c r="X794" s="2244"/>
      <c r="Y794" s="1818"/>
      <c r="Z794" s="1818"/>
      <c r="AA794" s="1818"/>
      <c r="AB794" s="1818"/>
      <c r="AC794" s="1818"/>
      <c r="AD794" s="1818"/>
      <c r="AE794" s="1818"/>
      <c r="AF794" s="1818"/>
      <c r="AG794" s="1818"/>
      <c r="AH794" s="1818"/>
      <c r="AI794" s="1818"/>
      <c r="AJ794" s="1818"/>
      <c r="AK794" s="1818"/>
      <c r="AL794" s="1818"/>
      <c r="AM794" s="1818"/>
      <c r="AN794" s="1818"/>
      <c r="AO794" s="1818"/>
      <c r="AP794" s="1818"/>
      <c r="AQ794" s="1818"/>
      <c r="AR794" s="1818"/>
      <c r="AS794" s="1818"/>
      <c r="AT794" s="1818"/>
      <c r="AU794" s="1818"/>
      <c r="AV794" s="1818"/>
      <c r="AW794" s="1818"/>
      <c r="AX794" s="1818"/>
      <c r="AY794" s="1818"/>
      <c r="AZ794" s="1818"/>
      <c r="BA794" s="1818"/>
      <c r="BB794" s="1818"/>
      <c r="BC794" s="1818"/>
      <c r="BD794" s="1818"/>
      <c r="BE794" s="1818"/>
      <c r="BF794" s="1818"/>
      <c r="BG794" s="1818"/>
      <c r="BH794" s="1818"/>
      <c r="BI794" s="1818"/>
      <c r="BJ794" s="1818"/>
      <c r="BK794" s="1818"/>
      <c r="BL794" s="1818"/>
      <c r="BM794" s="1818"/>
      <c r="BN794" s="1818"/>
      <c r="BO794" s="1818"/>
      <c r="BP794" s="1818"/>
      <c r="BQ794" s="1818"/>
      <c r="BR794" s="1818"/>
      <c r="BS794" s="1818"/>
      <c r="BT794" s="1818"/>
      <c r="BU794" s="1818"/>
      <c r="BV794" s="1818"/>
      <c r="BW794" s="1818"/>
      <c r="BX794" s="1818"/>
      <c r="BY794" s="1818"/>
      <c r="BZ794" s="1818"/>
      <c r="CA794" s="1818"/>
      <c r="CB794" s="1818"/>
      <c r="CC794" s="1818"/>
      <c r="CD794" s="1818"/>
      <c r="CE794" s="1818"/>
      <c r="CF794" s="1818"/>
      <c r="CG794" s="1818"/>
      <c r="CH794" s="1818"/>
      <c r="CI794" s="1818"/>
      <c r="CJ794" s="1818"/>
      <c r="CK794" s="1818"/>
      <c r="CL794" s="1818"/>
      <c r="CM794" s="1818"/>
      <c r="CN794" s="1818"/>
      <c r="CO794" s="1818"/>
      <c r="CP794" s="1818"/>
      <c r="CQ794" s="1818"/>
      <c r="CR794" s="1818"/>
      <c r="CS794" s="1818"/>
      <c r="CT794" s="1818"/>
      <c r="CU794" s="1818"/>
      <c r="CV794" s="1818"/>
      <c r="CW794" s="1818"/>
      <c r="CX794" s="1818"/>
      <c r="CY794" s="1818"/>
      <c r="CZ794" s="1818"/>
      <c r="DA794" s="1818"/>
      <c r="DB794" s="1818"/>
      <c r="DC794" s="1818"/>
      <c r="DD794" s="1818"/>
      <c r="DE794" s="1818"/>
      <c r="DF794" s="1818"/>
      <c r="DG794" s="1818"/>
      <c r="DH794" s="1818"/>
      <c r="DI794" s="1818"/>
      <c r="DJ794" s="1818"/>
      <c r="DK794" s="1818"/>
      <c r="DL794" s="1818"/>
      <c r="DM794" s="1818"/>
      <c r="DN794" s="1818"/>
      <c r="DO794" s="1818"/>
      <c r="DP794" s="1818"/>
      <c r="DQ794" s="1818"/>
      <c r="DR794" s="1818"/>
      <c r="DS794" s="1818"/>
      <c r="DT794" s="1818"/>
      <c r="DU794" s="1818"/>
      <c r="DV794" s="1818"/>
      <c r="DW794" s="1818"/>
      <c r="DX794" s="1818"/>
      <c r="DY794" s="1818"/>
      <c r="DZ794" s="1818"/>
      <c r="EA794" s="1818"/>
      <c r="EB794" s="1818"/>
      <c r="EC794" s="1818"/>
      <c r="ED794" s="1818"/>
      <c r="EE794" s="1818"/>
      <c r="EF794" s="1818"/>
      <c r="EG794" s="1818"/>
      <c r="EH794" s="1818"/>
      <c r="EI794" s="1818"/>
      <c r="EJ794" s="1818"/>
      <c r="EK794" s="1818"/>
      <c r="EL794" s="1818"/>
      <c r="EM794" s="1818"/>
      <c r="EN794" s="1818"/>
      <c r="EO794" s="1818"/>
      <c r="EP794" s="1818"/>
      <c r="EQ794" s="1818"/>
      <c r="ER794" s="1818"/>
      <c r="ES794" s="1818"/>
      <c r="ET794" s="1818"/>
      <c r="EU794" s="1818"/>
      <c r="EV794" s="1818"/>
      <c r="EW794" s="1818"/>
      <c r="EX794" s="1818"/>
      <c r="EY794" s="1818"/>
      <c r="EZ794" s="1818"/>
      <c r="FA794" s="1818"/>
      <c r="FB794" s="1818"/>
      <c r="FC794" s="1818"/>
      <c r="FD794" s="1818"/>
      <c r="FE794" s="1818"/>
      <c r="FF794" s="1818"/>
      <c r="FG794" s="1818"/>
      <c r="FH794" s="1818"/>
      <c r="FI794" s="1818"/>
      <c r="FJ794" s="1818"/>
      <c r="FK794" s="1818"/>
      <c r="FL794" s="1818"/>
      <c r="FM794" s="1818"/>
      <c r="FN794" s="1818"/>
      <c r="FO794" s="1818"/>
      <c r="FP794" s="1818"/>
      <c r="FQ794" s="1818"/>
      <c r="FR794" s="1818"/>
      <c r="FS794" s="1818"/>
      <c r="FT794" s="1818"/>
    </row>
    <row r="795" spans="1:176" s="1965" customFormat="1" ht="32.1" customHeight="1">
      <c r="A795" s="2535"/>
      <c r="B795" s="1819"/>
      <c r="C795" s="1813"/>
      <c r="D795" s="1813"/>
      <c r="E795" s="1813"/>
      <c r="F795" s="1813"/>
      <c r="G795" s="1813"/>
      <c r="H795" s="1813"/>
      <c r="I795" s="2434"/>
      <c r="J795" s="2244"/>
      <c r="K795" s="2244"/>
      <c r="L795" s="2244"/>
      <c r="M795" s="2244"/>
      <c r="N795" s="2244"/>
      <c r="O795" s="2244"/>
      <c r="P795" s="2245"/>
      <c r="Q795" s="2245"/>
      <c r="S795" s="2244"/>
      <c r="T795" s="2244"/>
      <c r="U795" s="2244"/>
      <c r="V795" s="2244"/>
      <c r="W795" s="2244"/>
      <c r="X795" s="2244"/>
      <c r="Y795" s="1818"/>
      <c r="Z795" s="1818"/>
      <c r="AA795" s="1818"/>
      <c r="AB795" s="1818"/>
      <c r="AC795" s="1818"/>
      <c r="AD795" s="1818"/>
      <c r="AE795" s="1818"/>
      <c r="AF795" s="1818"/>
      <c r="AG795" s="1818"/>
      <c r="AH795" s="1818"/>
      <c r="AI795" s="1818"/>
      <c r="AJ795" s="1818"/>
      <c r="AK795" s="1818"/>
      <c r="AL795" s="1818"/>
      <c r="AM795" s="1818"/>
      <c r="AN795" s="1818"/>
      <c r="AO795" s="1818"/>
      <c r="AP795" s="1818"/>
      <c r="AQ795" s="1818"/>
      <c r="AR795" s="1818"/>
      <c r="AS795" s="1818"/>
      <c r="AT795" s="1818"/>
      <c r="AU795" s="1818"/>
      <c r="AV795" s="1818"/>
      <c r="AW795" s="1818"/>
      <c r="AX795" s="1818"/>
      <c r="AY795" s="1818"/>
      <c r="AZ795" s="1818"/>
      <c r="BA795" s="1818"/>
      <c r="BB795" s="1818"/>
      <c r="BC795" s="1818"/>
      <c r="BD795" s="1818"/>
      <c r="BE795" s="1818"/>
      <c r="BF795" s="1818"/>
      <c r="BG795" s="1818"/>
      <c r="BH795" s="1818"/>
      <c r="BI795" s="1818"/>
      <c r="BJ795" s="1818"/>
      <c r="BK795" s="1818"/>
      <c r="BL795" s="1818"/>
      <c r="BM795" s="1818"/>
      <c r="BN795" s="1818"/>
      <c r="BO795" s="1818"/>
      <c r="BP795" s="1818"/>
      <c r="BQ795" s="1818"/>
      <c r="BR795" s="1818"/>
      <c r="BS795" s="1818"/>
      <c r="BT795" s="1818"/>
      <c r="BU795" s="1818"/>
      <c r="BV795" s="1818"/>
      <c r="BW795" s="1818"/>
      <c r="BX795" s="1818"/>
      <c r="BY795" s="1818"/>
      <c r="BZ795" s="1818"/>
      <c r="CA795" s="1818"/>
      <c r="CB795" s="1818"/>
      <c r="CC795" s="1818"/>
      <c r="CD795" s="1818"/>
      <c r="CE795" s="1818"/>
      <c r="CF795" s="1818"/>
      <c r="CG795" s="1818"/>
      <c r="CH795" s="1818"/>
      <c r="CI795" s="1818"/>
      <c r="CJ795" s="1818"/>
      <c r="CK795" s="1818"/>
      <c r="CL795" s="1818"/>
      <c r="CM795" s="1818"/>
      <c r="CN795" s="1818"/>
      <c r="CO795" s="1818"/>
      <c r="CP795" s="1818"/>
      <c r="CQ795" s="1818"/>
      <c r="CR795" s="1818"/>
      <c r="CS795" s="1818"/>
      <c r="CT795" s="1818"/>
      <c r="CU795" s="1818"/>
      <c r="CV795" s="1818"/>
      <c r="CW795" s="1818"/>
      <c r="CX795" s="1818"/>
      <c r="CY795" s="1818"/>
      <c r="CZ795" s="1818"/>
      <c r="DA795" s="1818"/>
      <c r="DB795" s="1818"/>
      <c r="DC795" s="1818"/>
      <c r="DD795" s="1818"/>
      <c r="DE795" s="1818"/>
      <c r="DF795" s="1818"/>
      <c r="DG795" s="1818"/>
      <c r="DH795" s="1818"/>
      <c r="DI795" s="1818"/>
      <c r="DJ795" s="1818"/>
      <c r="DK795" s="1818"/>
      <c r="DL795" s="1818"/>
      <c r="DM795" s="1818"/>
      <c r="DN795" s="1818"/>
      <c r="DO795" s="1818"/>
      <c r="DP795" s="1818"/>
      <c r="DQ795" s="1818"/>
      <c r="DR795" s="1818"/>
      <c r="DS795" s="1818"/>
      <c r="DT795" s="1818"/>
      <c r="DU795" s="1818"/>
      <c r="DV795" s="1818"/>
      <c r="DW795" s="1818"/>
      <c r="DX795" s="1818"/>
      <c r="DY795" s="1818"/>
      <c r="DZ795" s="1818"/>
      <c r="EA795" s="1818"/>
      <c r="EB795" s="1818"/>
      <c r="EC795" s="1818"/>
      <c r="ED795" s="1818"/>
      <c r="EE795" s="1818"/>
      <c r="EF795" s="1818"/>
      <c r="EG795" s="1818"/>
      <c r="EH795" s="1818"/>
      <c r="EI795" s="1818"/>
      <c r="EJ795" s="1818"/>
      <c r="EK795" s="1818"/>
      <c r="EL795" s="1818"/>
      <c r="EM795" s="1818"/>
      <c r="EN795" s="1818"/>
      <c r="EO795" s="1818"/>
      <c r="EP795" s="1818"/>
      <c r="EQ795" s="1818"/>
      <c r="ER795" s="1818"/>
      <c r="ES795" s="1818"/>
      <c r="ET795" s="1818"/>
      <c r="EU795" s="1818"/>
      <c r="EV795" s="1818"/>
      <c r="EW795" s="1818"/>
      <c r="EX795" s="1818"/>
      <c r="EY795" s="1818"/>
      <c r="EZ795" s="1818"/>
      <c r="FA795" s="1818"/>
      <c r="FB795" s="1818"/>
      <c r="FC795" s="1818"/>
      <c r="FD795" s="1818"/>
      <c r="FE795" s="1818"/>
      <c r="FF795" s="1818"/>
      <c r="FG795" s="1818"/>
      <c r="FH795" s="1818"/>
      <c r="FI795" s="1818"/>
      <c r="FJ795" s="1818"/>
      <c r="FK795" s="1818"/>
      <c r="FL795" s="1818"/>
      <c r="FM795" s="1818"/>
      <c r="FN795" s="1818"/>
      <c r="FO795" s="1818"/>
      <c r="FP795" s="1818"/>
      <c r="FQ795" s="1818"/>
      <c r="FR795" s="1818"/>
      <c r="FS795" s="1818"/>
      <c r="FT795" s="1818"/>
    </row>
    <row r="796" spans="1:176" s="1965" customFormat="1" ht="32.1" customHeight="1">
      <c r="A796" s="2535"/>
      <c r="B796" s="1819"/>
      <c r="C796" s="1813"/>
      <c r="D796" s="1813"/>
      <c r="E796" s="1813"/>
      <c r="F796" s="1813"/>
      <c r="G796" s="1813"/>
      <c r="H796" s="1813"/>
      <c r="I796" s="2434"/>
      <c r="J796" s="2244"/>
      <c r="K796" s="2244"/>
      <c r="L796" s="2244"/>
      <c r="M796" s="2244"/>
      <c r="N796" s="2244"/>
      <c r="O796" s="2244"/>
      <c r="P796" s="2245"/>
      <c r="Q796" s="2245"/>
      <c r="S796" s="2244"/>
      <c r="T796" s="2244"/>
      <c r="U796" s="2244"/>
      <c r="V796" s="2244"/>
      <c r="W796" s="2244"/>
      <c r="X796" s="2244"/>
      <c r="Y796" s="1818"/>
      <c r="Z796" s="1818"/>
      <c r="AA796" s="1818"/>
      <c r="AB796" s="1818"/>
      <c r="AC796" s="1818"/>
      <c r="AD796" s="1818"/>
      <c r="AE796" s="1818"/>
      <c r="AF796" s="1818"/>
      <c r="AG796" s="1818"/>
      <c r="AH796" s="1818"/>
      <c r="AI796" s="1818"/>
      <c r="AJ796" s="1818"/>
      <c r="AK796" s="1818"/>
      <c r="AL796" s="1818"/>
      <c r="AM796" s="1818"/>
      <c r="AN796" s="1818"/>
      <c r="AO796" s="1818"/>
      <c r="AP796" s="1818"/>
      <c r="AQ796" s="1818"/>
      <c r="AR796" s="1818"/>
      <c r="AS796" s="1818"/>
      <c r="AT796" s="1818"/>
      <c r="AU796" s="1818"/>
      <c r="AV796" s="1818"/>
      <c r="AW796" s="1818"/>
      <c r="AX796" s="1818"/>
      <c r="AY796" s="1818"/>
      <c r="AZ796" s="1818"/>
      <c r="BA796" s="1818"/>
      <c r="BB796" s="1818"/>
      <c r="BC796" s="1818"/>
      <c r="BD796" s="1818"/>
      <c r="BE796" s="1818"/>
      <c r="BF796" s="1818"/>
      <c r="BG796" s="1818"/>
      <c r="BH796" s="1818"/>
      <c r="BI796" s="1818"/>
      <c r="BJ796" s="1818"/>
      <c r="BK796" s="1818"/>
      <c r="BL796" s="1818"/>
      <c r="BM796" s="1818"/>
      <c r="BN796" s="1818"/>
      <c r="BO796" s="1818"/>
      <c r="BP796" s="1818"/>
      <c r="BQ796" s="1818"/>
      <c r="BR796" s="1818"/>
      <c r="BS796" s="1818"/>
      <c r="BT796" s="1818"/>
      <c r="BU796" s="1818"/>
      <c r="BV796" s="1818"/>
      <c r="BW796" s="1818"/>
      <c r="BX796" s="1818"/>
      <c r="BY796" s="1818"/>
      <c r="BZ796" s="1818"/>
      <c r="CA796" s="1818"/>
      <c r="CB796" s="1818"/>
      <c r="CC796" s="1818"/>
      <c r="CD796" s="1818"/>
      <c r="CE796" s="1818"/>
      <c r="CF796" s="1818"/>
      <c r="CG796" s="1818"/>
      <c r="CH796" s="1818"/>
      <c r="CI796" s="1818"/>
      <c r="CJ796" s="1818"/>
      <c r="CK796" s="1818"/>
      <c r="CL796" s="1818"/>
      <c r="CM796" s="1818"/>
      <c r="CN796" s="1818"/>
      <c r="CO796" s="1818"/>
      <c r="CP796" s="1818"/>
      <c r="CQ796" s="1818"/>
      <c r="CR796" s="1818"/>
      <c r="CS796" s="1818"/>
      <c r="CT796" s="1818"/>
      <c r="CU796" s="1818"/>
      <c r="CV796" s="1818"/>
      <c r="CW796" s="1818"/>
      <c r="CX796" s="1818"/>
      <c r="CY796" s="1818"/>
      <c r="CZ796" s="1818"/>
      <c r="DA796" s="1818"/>
      <c r="DB796" s="1818"/>
      <c r="DC796" s="1818"/>
      <c r="DD796" s="1818"/>
      <c r="DE796" s="1818"/>
      <c r="DF796" s="1818"/>
      <c r="DG796" s="1818"/>
      <c r="DH796" s="1818"/>
      <c r="DI796" s="1818"/>
      <c r="DJ796" s="1818"/>
      <c r="DK796" s="1818"/>
      <c r="DL796" s="1818"/>
      <c r="DM796" s="1818"/>
      <c r="DN796" s="1818"/>
      <c r="DO796" s="1818"/>
      <c r="DP796" s="1818"/>
      <c r="DQ796" s="1818"/>
      <c r="DR796" s="1818"/>
      <c r="DS796" s="1818"/>
      <c r="DT796" s="1818"/>
      <c r="DU796" s="1818"/>
      <c r="DV796" s="1818"/>
      <c r="DW796" s="1818"/>
      <c r="DX796" s="1818"/>
      <c r="DY796" s="1818"/>
      <c r="DZ796" s="1818"/>
      <c r="EA796" s="1818"/>
      <c r="EB796" s="1818"/>
      <c r="EC796" s="1818"/>
      <c r="ED796" s="1818"/>
      <c r="EE796" s="1818"/>
      <c r="EF796" s="1818"/>
      <c r="EG796" s="1818"/>
      <c r="EH796" s="1818"/>
      <c r="EI796" s="1818"/>
      <c r="EJ796" s="1818"/>
      <c r="EK796" s="1818"/>
      <c r="EL796" s="1818"/>
      <c r="EM796" s="1818"/>
      <c r="EN796" s="1818"/>
      <c r="EO796" s="1818"/>
      <c r="EP796" s="1818"/>
      <c r="EQ796" s="1818"/>
      <c r="ER796" s="1818"/>
      <c r="ES796" s="1818"/>
      <c r="ET796" s="1818"/>
      <c r="EU796" s="1818"/>
      <c r="EV796" s="1818"/>
      <c r="EW796" s="1818"/>
      <c r="EX796" s="1818"/>
      <c r="EY796" s="1818"/>
      <c r="EZ796" s="1818"/>
      <c r="FA796" s="1818"/>
      <c r="FB796" s="1818"/>
      <c r="FC796" s="1818"/>
      <c r="FD796" s="1818"/>
      <c r="FE796" s="1818"/>
      <c r="FF796" s="1818"/>
      <c r="FG796" s="1818"/>
      <c r="FH796" s="1818"/>
      <c r="FI796" s="1818"/>
      <c r="FJ796" s="1818"/>
      <c r="FK796" s="1818"/>
      <c r="FL796" s="1818"/>
      <c r="FM796" s="1818"/>
      <c r="FN796" s="1818"/>
      <c r="FO796" s="1818"/>
      <c r="FP796" s="1818"/>
      <c r="FQ796" s="1818"/>
      <c r="FR796" s="1818"/>
      <c r="FS796" s="1818"/>
      <c r="FT796" s="1818"/>
    </row>
    <row r="797" spans="1:176" s="1965" customFormat="1" ht="32.1" customHeight="1">
      <c r="A797" s="2535"/>
      <c r="B797" s="1819"/>
      <c r="C797" s="1813"/>
      <c r="D797" s="1813"/>
      <c r="E797" s="1813"/>
      <c r="F797" s="1813"/>
      <c r="G797" s="1813"/>
      <c r="H797" s="1813"/>
      <c r="I797" s="2434"/>
      <c r="J797" s="2244"/>
      <c r="K797" s="2244"/>
      <c r="L797" s="2244"/>
      <c r="M797" s="2244"/>
      <c r="N797" s="2244"/>
      <c r="O797" s="2244"/>
      <c r="P797" s="2245"/>
      <c r="Q797" s="2245"/>
      <c r="S797" s="2244"/>
      <c r="T797" s="2244"/>
      <c r="U797" s="2244"/>
      <c r="V797" s="2244"/>
      <c r="W797" s="2244"/>
      <c r="X797" s="2244"/>
      <c r="Y797" s="1818"/>
      <c r="Z797" s="1818"/>
      <c r="AA797" s="1818"/>
      <c r="AB797" s="1818"/>
      <c r="AC797" s="1818"/>
      <c r="AD797" s="1818"/>
      <c r="AE797" s="1818"/>
      <c r="AF797" s="1818"/>
      <c r="AG797" s="1818"/>
      <c r="AH797" s="1818"/>
      <c r="AI797" s="1818"/>
      <c r="AJ797" s="1818"/>
      <c r="AK797" s="1818"/>
      <c r="AL797" s="1818"/>
      <c r="AM797" s="1818"/>
      <c r="AN797" s="1818"/>
      <c r="AO797" s="1818"/>
      <c r="AP797" s="1818"/>
      <c r="AQ797" s="1818"/>
      <c r="AR797" s="1818"/>
      <c r="AS797" s="1818"/>
      <c r="AT797" s="1818"/>
      <c r="AU797" s="1818"/>
      <c r="AV797" s="1818"/>
      <c r="AW797" s="1818"/>
      <c r="AX797" s="1818"/>
      <c r="AY797" s="1818"/>
      <c r="AZ797" s="1818"/>
      <c r="BA797" s="1818"/>
      <c r="BB797" s="1818"/>
      <c r="BC797" s="1818"/>
      <c r="BD797" s="1818"/>
      <c r="BE797" s="1818"/>
      <c r="BF797" s="1818"/>
      <c r="BG797" s="1818"/>
      <c r="BH797" s="1818"/>
      <c r="BI797" s="1818"/>
      <c r="BJ797" s="1818"/>
      <c r="BK797" s="1818"/>
      <c r="BL797" s="1818"/>
      <c r="BM797" s="1818"/>
      <c r="BN797" s="1818"/>
      <c r="BO797" s="1818"/>
      <c r="BP797" s="1818"/>
      <c r="BQ797" s="1818"/>
      <c r="BR797" s="1818"/>
      <c r="BS797" s="1818"/>
      <c r="BT797" s="1818"/>
      <c r="BU797" s="1818"/>
      <c r="BV797" s="1818"/>
      <c r="BW797" s="1818"/>
      <c r="BX797" s="1818"/>
      <c r="BY797" s="1818"/>
      <c r="BZ797" s="1818"/>
      <c r="CA797" s="1818"/>
      <c r="CB797" s="1818"/>
      <c r="CC797" s="1818"/>
      <c r="CD797" s="1818"/>
      <c r="CE797" s="1818"/>
      <c r="CF797" s="1818"/>
      <c r="CG797" s="1818"/>
      <c r="CH797" s="1818"/>
      <c r="CI797" s="1818"/>
      <c r="CJ797" s="1818"/>
      <c r="CK797" s="1818"/>
      <c r="CL797" s="1818"/>
      <c r="CM797" s="1818"/>
      <c r="CN797" s="1818"/>
      <c r="CO797" s="1818"/>
      <c r="CP797" s="1818"/>
      <c r="CQ797" s="1818"/>
      <c r="CR797" s="1818"/>
      <c r="CS797" s="1818"/>
      <c r="CT797" s="1818"/>
      <c r="CU797" s="1818"/>
      <c r="CV797" s="1818"/>
      <c r="CW797" s="1818"/>
      <c r="CX797" s="1818"/>
      <c r="CY797" s="1818"/>
      <c r="CZ797" s="1818"/>
      <c r="DA797" s="1818"/>
      <c r="DB797" s="1818"/>
      <c r="DC797" s="1818"/>
      <c r="DD797" s="1818"/>
      <c r="DE797" s="1818"/>
      <c r="DF797" s="1818"/>
      <c r="DG797" s="1818"/>
      <c r="DH797" s="1818"/>
      <c r="DI797" s="1818"/>
      <c r="DJ797" s="1818"/>
      <c r="DK797" s="1818"/>
      <c r="DL797" s="1818"/>
      <c r="DM797" s="1818"/>
      <c r="DN797" s="1818"/>
      <c r="DO797" s="1818"/>
      <c r="DP797" s="1818"/>
      <c r="DQ797" s="1818"/>
      <c r="DR797" s="1818"/>
      <c r="DS797" s="1818"/>
      <c r="DT797" s="1818"/>
      <c r="DU797" s="1818"/>
      <c r="DV797" s="1818"/>
      <c r="DW797" s="1818"/>
      <c r="DX797" s="1818"/>
      <c r="DY797" s="1818"/>
      <c r="DZ797" s="1818"/>
      <c r="EA797" s="1818"/>
      <c r="EB797" s="1818"/>
      <c r="EC797" s="1818"/>
      <c r="ED797" s="1818"/>
      <c r="EE797" s="1818"/>
      <c r="EF797" s="1818"/>
      <c r="EG797" s="1818"/>
      <c r="EH797" s="1818"/>
      <c r="EI797" s="1818"/>
      <c r="EJ797" s="1818"/>
      <c r="EK797" s="1818"/>
      <c r="EL797" s="1818"/>
      <c r="EM797" s="1818"/>
      <c r="EN797" s="1818"/>
      <c r="EO797" s="1818"/>
      <c r="EP797" s="1818"/>
      <c r="EQ797" s="1818"/>
      <c r="ER797" s="1818"/>
      <c r="ES797" s="1818"/>
      <c r="ET797" s="1818"/>
      <c r="EU797" s="1818"/>
      <c r="EV797" s="1818"/>
      <c r="EW797" s="1818"/>
      <c r="EX797" s="1818"/>
      <c r="EY797" s="1818"/>
      <c r="EZ797" s="1818"/>
      <c r="FA797" s="1818"/>
      <c r="FB797" s="1818"/>
      <c r="FC797" s="1818"/>
      <c r="FD797" s="1818"/>
      <c r="FE797" s="1818"/>
      <c r="FF797" s="1818"/>
      <c r="FG797" s="1818"/>
      <c r="FH797" s="1818"/>
      <c r="FI797" s="1818"/>
      <c r="FJ797" s="1818"/>
      <c r="FK797" s="1818"/>
      <c r="FL797" s="1818"/>
      <c r="FM797" s="1818"/>
      <c r="FN797" s="1818"/>
      <c r="FO797" s="1818"/>
      <c r="FP797" s="1818"/>
      <c r="FQ797" s="1818"/>
      <c r="FR797" s="1818"/>
      <c r="FS797" s="1818"/>
      <c r="FT797" s="1818"/>
    </row>
    <row r="798" spans="1:176" s="1965" customFormat="1" ht="32.1" customHeight="1">
      <c r="A798" s="2535"/>
      <c r="B798" s="1819"/>
      <c r="C798" s="1813"/>
      <c r="D798" s="1813"/>
      <c r="E798" s="1813"/>
      <c r="F798" s="1813"/>
      <c r="G798" s="1813"/>
      <c r="H798" s="1813"/>
      <c r="I798" s="2434"/>
      <c r="J798" s="2244"/>
      <c r="K798" s="2244"/>
      <c r="L798" s="2244"/>
      <c r="M798" s="2244"/>
      <c r="N798" s="2244"/>
      <c r="O798" s="2244"/>
      <c r="P798" s="2245"/>
      <c r="Q798" s="2245"/>
      <c r="S798" s="2244"/>
      <c r="T798" s="2244"/>
      <c r="U798" s="2244"/>
      <c r="V798" s="2244"/>
      <c r="W798" s="2244"/>
      <c r="X798" s="2244"/>
      <c r="Y798" s="1818"/>
      <c r="Z798" s="1818"/>
      <c r="AA798" s="1818"/>
      <c r="AB798" s="1818"/>
      <c r="AC798" s="1818"/>
      <c r="AD798" s="1818"/>
      <c r="AE798" s="1818"/>
      <c r="AF798" s="1818"/>
      <c r="AG798" s="1818"/>
      <c r="AH798" s="1818"/>
      <c r="AI798" s="1818"/>
      <c r="AJ798" s="1818"/>
      <c r="AK798" s="1818"/>
      <c r="AL798" s="1818"/>
      <c r="AM798" s="1818"/>
      <c r="AN798" s="1818"/>
      <c r="AO798" s="1818"/>
      <c r="AP798" s="1818"/>
      <c r="AQ798" s="1818"/>
      <c r="AR798" s="1818"/>
      <c r="AS798" s="1818"/>
      <c r="AT798" s="1818"/>
      <c r="AU798" s="1818"/>
      <c r="AV798" s="1818"/>
      <c r="AW798" s="1818"/>
      <c r="AX798" s="1818"/>
      <c r="AY798" s="1818"/>
      <c r="AZ798" s="1818"/>
      <c r="BA798" s="1818"/>
      <c r="BB798" s="1818"/>
      <c r="BC798" s="1818"/>
      <c r="BD798" s="1818"/>
      <c r="BE798" s="1818"/>
      <c r="BF798" s="1818"/>
      <c r="BG798" s="1818"/>
      <c r="BH798" s="1818"/>
      <c r="BI798" s="1818"/>
      <c r="BJ798" s="1818"/>
      <c r="BK798" s="1818"/>
      <c r="BL798" s="1818"/>
      <c r="BM798" s="1818"/>
      <c r="BN798" s="1818"/>
      <c r="BO798" s="1818"/>
      <c r="BP798" s="1818"/>
      <c r="BQ798" s="1818"/>
      <c r="BR798" s="1818"/>
      <c r="BS798" s="1818"/>
      <c r="BT798" s="1818"/>
      <c r="BU798" s="1818"/>
      <c r="BV798" s="1818"/>
      <c r="BW798" s="1818"/>
      <c r="BX798" s="1818"/>
      <c r="BY798" s="1818"/>
      <c r="BZ798" s="1818"/>
      <c r="CA798" s="1818"/>
      <c r="CB798" s="1818"/>
      <c r="CC798" s="1818"/>
      <c r="CD798" s="1818"/>
      <c r="CE798" s="1818"/>
      <c r="CF798" s="1818"/>
      <c r="CG798" s="1818"/>
      <c r="CH798" s="1818"/>
      <c r="CI798" s="1818"/>
      <c r="CJ798" s="1818"/>
      <c r="CK798" s="1818"/>
      <c r="CL798" s="1818"/>
      <c r="CM798" s="1818"/>
      <c r="CN798" s="1818"/>
      <c r="CO798" s="1818"/>
      <c r="CP798" s="1818"/>
      <c r="CQ798" s="1818"/>
      <c r="CR798" s="1818"/>
      <c r="CS798" s="1818"/>
      <c r="CT798" s="1818"/>
      <c r="CU798" s="1818"/>
      <c r="CV798" s="1818"/>
      <c r="CW798" s="1818"/>
      <c r="CX798" s="1818"/>
      <c r="CY798" s="1818"/>
      <c r="CZ798" s="1818"/>
      <c r="DA798" s="1818"/>
      <c r="DB798" s="1818"/>
      <c r="DC798" s="1818"/>
      <c r="DD798" s="1818"/>
      <c r="DE798" s="1818"/>
      <c r="DF798" s="1818"/>
      <c r="DG798" s="1818"/>
      <c r="DH798" s="1818"/>
      <c r="DI798" s="1818"/>
      <c r="DJ798" s="1818"/>
      <c r="DK798" s="1818"/>
      <c r="DL798" s="1818"/>
      <c r="DM798" s="1818"/>
      <c r="DN798" s="1818"/>
      <c r="DO798" s="1818"/>
      <c r="DP798" s="1818"/>
      <c r="DQ798" s="1818"/>
      <c r="DR798" s="1818"/>
      <c r="DS798" s="1818"/>
      <c r="DT798" s="1818"/>
      <c r="DU798" s="1818"/>
      <c r="DV798" s="1818"/>
      <c r="DW798" s="1818"/>
      <c r="DX798" s="1818"/>
      <c r="DY798" s="1818"/>
      <c r="DZ798" s="1818"/>
      <c r="EA798" s="1818"/>
      <c r="EB798" s="1818"/>
      <c r="EC798" s="1818"/>
      <c r="ED798" s="1818"/>
      <c r="EE798" s="1818"/>
      <c r="EF798" s="1818"/>
      <c r="EG798" s="1818"/>
      <c r="EH798" s="1818"/>
      <c r="EI798" s="1818"/>
      <c r="EJ798" s="1818"/>
      <c r="EK798" s="1818"/>
      <c r="EL798" s="1818"/>
      <c r="EM798" s="1818"/>
      <c r="EN798" s="1818"/>
      <c r="EO798" s="1818"/>
      <c r="EP798" s="1818"/>
      <c r="EQ798" s="1818"/>
      <c r="ER798" s="1818"/>
      <c r="ES798" s="1818"/>
      <c r="ET798" s="1818"/>
      <c r="EU798" s="1818"/>
      <c r="EV798" s="1818"/>
      <c r="EW798" s="1818"/>
      <c r="EX798" s="1818"/>
      <c r="EY798" s="1818"/>
      <c r="EZ798" s="1818"/>
      <c r="FA798" s="1818"/>
      <c r="FB798" s="1818"/>
      <c r="FC798" s="1818"/>
      <c r="FD798" s="1818"/>
      <c r="FE798" s="1818"/>
      <c r="FF798" s="1818"/>
      <c r="FG798" s="1818"/>
      <c r="FH798" s="1818"/>
      <c r="FI798" s="1818"/>
      <c r="FJ798" s="1818"/>
      <c r="FK798" s="1818"/>
      <c r="FL798" s="1818"/>
      <c r="FM798" s="1818"/>
      <c r="FN798" s="1818"/>
      <c r="FO798" s="1818"/>
      <c r="FP798" s="1818"/>
      <c r="FQ798" s="1818"/>
      <c r="FR798" s="1818"/>
      <c r="FS798" s="1818"/>
      <c r="FT798" s="1818"/>
    </row>
    <row r="799" spans="1:176" s="1965" customFormat="1" ht="32.1" customHeight="1">
      <c r="A799" s="2535"/>
      <c r="B799" s="1819"/>
      <c r="C799" s="1813"/>
      <c r="D799" s="1813"/>
      <c r="E799" s="1813"/>
      <c r="F799" s="1813"/>
      <c r="G799" s="1813"/>
      <c r="H799" s="1813"/>
      <c r="I799" s="2434"/>
      <c r="J799" s="2244"/>
      <c r="K799" s="2244"/>
      <c r="L799" s="2244"/>
      <c r="M799" s="2244"/>
      <c r="N799" s="2244"/>
      <c r="O799" s="2244"/>
      <c r="P799" s="2245"/>
      <c r="Q799" s="2245"/>
      <c r="S799" s="2244"/>
      <c r="T799" s="2244"/>
      <c r="U799" s="2244"/>
      <c r="V799" s="2244"/>
      <c r="W799" s="2244"/>
      <c r="X799" s="2244"/>
      <c r="Y799" s="1818"/>
      <c r="Z799" s="1818"/>
      <c r="AA799" s="1818"/>
      <c r="AB799" s="1818"/>
      <c r="AC799" s="1818"/>
      <c r="AD799" s="1818"/>
      <c r="AE799" s="1818"/>
      <c r="AF799" s="1818"/>
      <c r="AG799" s="1818"/>
      <c r="AH799" s="1818"/>
      <c r="AI799" s="1818"/>
      <c r="AJ799" s="1818"/>
      <c r="AK799" s="1818"/>
      <c r="AL799" s="1818"/>
      <c r="AM799" s="1818"/>
      <c r="AN799" s="1818"/>
      <c r="AO799" s="1818"/>
      <c r="AP799" s="1818"/>
      <c r="AQ799" s="1818"/>
      <c r="AR799" s="1818"/>
      <c r="AS799" s="1818"/>
      <c r="AT799" s="1818"/>
      <c r="AU799" s="1818"/>
      <c r="AV799" s="1818"/>
      <c r="AW799" s="1818"/>
      <c r="AX799" s="1818"/>
      <c r="AY799" s="1818"/>
      <c r="AZ799" s="1818"/>
      <c r="BA799" s="1818"/>
      <c r="BB799" s="1818"/>
      <c r="BC799" s="1818"/>
      <c r="BD799" s="1818"/>
      <c r="BE799" s="1818"/>
      <c r="BF799" s="1818"/>
      <c r="BG799" s="1818"/>
      <c r="BH799" s="1818"/>
      <c r="BI799" s="1818"/>
      <c r="BJ799" s="1818"/>
      <c r="BK799" s="1818"/>
      <c r="BL799" s="1818"/>
      <c r="BM799" s="1818"/>
      <c r="BN799" s="1818"/>
      <c r="BO799" s="1818"/>
      <c r="BP799" s="1818"/>
      <c r="BQ799" s="1818"/>
      <c r="BR799" s="1818"/>
      <c r="BS799" s="1818"/>
      <c r="BT799" s="1818"/>
      <c r="BU799" s="1818"/>
      <c r="BV799" s="1818"/>
      <c r="BW799" s="1818"/>
      <c r="BX799" s="1818"/>
      <c r="BY799" s="1818"/>
      <c r="BZ799" s="1818"/>
      <c r="CA799" s="1818"/>
      <c r="CB799" s="1818"/>
      <c r="CC799" s="1818"/>
      <c r="CD799" s="1818"/>
      <c r="CE799" s="1818"/>
      <c r="CF799" s="1818"/>
      <c r="CG799" s="1818"/>
      <c r="CH799" s="1818"/>
      <c r="CI799" s="1818"/>
      <c r="CJ799" s="1818"/>
      <c r="CK799" s="1818"/>
      <c r="CL799" s="1818"/>
      <c r="CM799" s="1818"/>
      <c r="CN799" s="1818"/>
      <c r="CO799" s="1818"/>
      <c r="CP799" s="1818"/>
      <c r="CQ799" s="1818"/>
      <c r="CR799" s="1818"/>
      <c r="CS799" s="1818"/>
      <c r="CT799" s="1818"/>
      <c r="CU799" s="1818"/>
      <c r="CV799" s="1818"/>
      <c r="CW799" s="1818"/>
      <c r="CX799" s="1818"/>
      <c r="CY799" s="1818"/>
      <c r="CZ799" s="1818"/>
      <c r="DA799" s="1818"/>
      <c r="DB799" s="1818"/>
      <c r="DC799" s="1818"/>
      <c r="DD799" s="1818"/>
      <c r="DE799" s="1818"/>
      <c r="DF799" s="1818"/>
      <c r="DG799" s="1818"/>
      <c r="DH799" s="1818"/>
      <c r="DI799" s="1818"/>
      <c r="DJ799" s="1818"/>
      <c r="DK799" s="1818"/>
      <c r="DL799" s="1818"/>
      <c r="DM799" s="1818"/>
      <c r="DN799" s="1818"/>
      <c r="DO799" s="1818"/>
      <c r="DP799" s="1818"/>
      <c r="DQ799" s="1818"/>
      <c r="DR799" s="1818"/>
      <c r="DS799" s="1818"/>
      <c r="DT799" s="1818"/>
      <c r="DU799" s="1818"/>
      <c r="DV799" s="1818"/>
      <c r="DW799" s="1818"/>
      <c r="DX799" s="1818"/>
      <c r="DY799" s="1818"/>
      <c r="DZ799" s="1818"/>
      <c r="EA799" s="1818"/>
      <c r="EB799" s="1818"/>
      <c r="EC799" s="1818"/>
      <c r="ED799" s="1818"/>
      <c r="EE799" s="1818"/>
      <c r="EF799" s="1818"/>
      <c r="EG799" s="1818"/>
      <c r="EH799" s="1818"/>
      <c r="EI799" s="1818"/>
      <c r="EJ799" s="1818"/>
      <c r="EK799" s="1818"/>
      <c r="EL799" s="1818"/>
      <c r="EM799" s="1818"/>
      <c r="EN799" s="1818"/>
      <c r="EO799" s="1818"/>
      <c r="EP799" s="1818"/>
      <c r="EQ799" s="1818"/>
      <c r="ER799" s="1818"/>
      <c r="ES799" s="1818"/>
      <c r="ET799" s="1818"/>
      <c r="EU799" s="1818"/>
      <c r="EV799" s="1818"/>
      <c r="EW799" s="1818"/>
      <c r="EX799" s="1818"/>
      <c r="EY799" s="1818"/>
      <c r="EZ799" s="1818"/>
      <c r="FA799" s="1818"/>
      <c r="FB799" s="1818"/>
      <c r="FC799" s="1818"/>
      <c r="FD799" s="1818"/>
      <c r="FE799" s="1818"/>
      <c r="FF799" s="1818"/>
      <c r="FG799" s="1818"/>
      <c r="FH799" s="1818"/>
      <c r="FI799" s="1818"/>
      <c r="FJ799" s="1818"/>
      <c r="FK799" s="1818"/>
      <c r="FL799" s="1818"/>
      <c r="FM799" s="1818"/>
      <c r="FN799" s="1818"/>
      <c r="FO799" s="1818"/>
      <c r="FP799" s="1818"/>
      <c r="FQ799" s="1818"/>
      <c r="FR799" s="1818"/>
      <c r="FS799" s="1818"/>
      <c r="FT799" s="1818"/>
    </row>
    <row r="800" spans="1:176" s="1965" customFormat="1" ht="32.1" customHeight="1">
      <c r="A800" s="2535"/>
      <c r="B800" s="1819"/>
      <c r="C800" s="1813"/>
      <c r="D800" s="1813"/>
      <c r="E800" s="1813"/>
      <c r="F800" s="1813"/>
      <c r="G800" s="1813"/>
      <c r="H800" s="1813"/>
      <c r="I800" s="2434"/>
      <c r="J800" s="2244"/>
      <c r="K800" s="2244"/>
      <c r="L800" s="2244"/>
      <c r="M800" s="2244"/>
      <c r="N800" s="2244"/>
      <c r="O800" s="2244"/>
      <c r="P800" s="2245"/>
      <c r="Q800" s="2245"/>
      <c r="S800" s="2244"/>
      <c r="T800" s="2244"/>
      <c r="U800" s="2244"/>
      <c r="V800" s="2244"/>
      <c r="W800" s="2244"/>
      <c r="X800" s="2244"/>
      <c r="Y800" s="1818"/>
      <c r="Z800" s="1818"/>
      <c r="AA800" s="1818"/>
      <c r="AB800" s="1818"/>
      <c r="AC800" s="1818"/>
      <c r="AD800" s="1818"/>
      <c r="AE800" s="1818"/>
      <c r="AF800" s="1818"/>
      <c r="AG800" s="1818"/>
      <c r="AH800" s="1818"/>
      <c r="AI800" s="1818"/>
      <c r="AJ800" s="1818"/>
      <c r="AK800" s="1818"/>
      <c r="AL800" s="1818"/>
      <c r="AM800" s="1818"/>
      <c r="AN800" s="1818"/>
      <c r="AO800" s="1818"/>
      <c r="AP800" s="1818"/>
      <c r="AQ800" s="1818"/>
      <c r="AR800" s="1818"/>
      <c r="AS800" s="1818"/>
      <c r="AT800" s="1818"/>
      <c r="AU800" s="1818"/>
      <c r="AV800" s="1818"/>
      <c r="AW800" s="1818"/>
      <c r="AX800" s="1818"/>
      <c r="AY800" s="1818"/>
      <c r="AZ800" s="1818"/>
      <c r="BA800" s="1818"/>
      <c r="BB800" s="1818"/>
      <c r="BC800" s="1818"/>
      <c r="BD800" s="1818"/>
      <c r="BE800" s="1818"/>
      <c r="BF800" s="1818"/>
      <c r="BG800" s="1818"/>
      <c r="BH800" s="1818"/>
      <c r="BI800" s="1818"/>
      <c r="BJ800" s="1818"/>
      <c r="BK800" s="1818"/>
      <c r="BL800" s="1818"/>
      <c r="BM800" s="1818"/>
      <c r="BN800" s="1818"/>
      <c r="BO800" s="1818"/>
      <c r="BP800" s="1818"/>
      <c r="BQ800" s="1818"/>
      <c r="BR800" s="1818"/>
      <c r="BS800" s="1818"/>
      <c r="BT800" s="1818"/>
      <c r="BU800" s="1818"/>
      <c r="BV800" s="1818"/>
      <c r="BW800" s="1818"/>
      <c r="BX800" s="1818"/>
      <c r="BY800" s="1818"/>
      <c r="BZ800" s="1818"/>
      <c r="CA800" s="1818"/>
      <c r="CB800" s="1818"/>
      <c r="CC800" s="1818"/>
      <c r="CD800" s="1818"/>
      <c r="CE800" s="1818"/>
      <c r="CF800" s="1818"/>
      <c r="CG800" s="1818"/>
      <c r="CH800" s="1818"/>
      <c r="CI800" s="1818"/>
      <c r="CJ800" s="1818"/>
      <c r="CK800" s="1818"/>
      <c r="CL800" s="1818"/>
      <c r="CM800" s="1818"/>
      <c r="CN800" s="1818"/>
      <c r="CO800" s="1818"/>
      <c r="CP800" s="1818"/>
      <c r="CQ800" s="1818"/>
      <c r="CR800" s="1818"/>
      <c r="CS800" s="1818"/>
      <c r="CT800" s="1818"/>
      <c r="CU800" s="1818"/>
      <c r="CV800" s="1818"/>
      <c r="CW800" s="1818"/>
      <c r="CX800" s="1818"/>
      <c r="CY800" s="1818"/>
      <c r="CZ800" s="1818"/>
      <c r="DA800" s="1818"/>
      <c r="DB800" s="1818"/>
      <c r="DC800" s="1818"/>
      <c r="DD800" s="1818"/>
      <c r="DE800" s="1818"/>
      <c r="DF800" s="1818"/>
      <c r="DG800" s="1818"/>
      <c r="DH800" s="1818"/>
      <c r="DI800" s="1818"/>
      <c r="DJ800" s="1818"/>
      <c r="DK800" s="1818"/>
      <c r="DL800" s="1818"/>
      <c r="DM800" s="1818"/>
      <c r="DN800" s="1818"/>
      <c r="DO800" s="1818"/>
      <c r="DP800" s="1818"/>
      <c r="DQ800" s="1818"/>
      <c r="DR800" s="1818"/>
      <c r="DS800" s="1818"/>
      <c r="DT800" s="1818"/>
      <c r="DU800" s="1818"/>
      <c r="DV800" s="1818"/>
      <c r="DW800" s="1818"/>
      <c r="DX800" s="1818"/>
      <c r="DY800" s="1818"/>
      <c r="DZ800" s="1818"/>
      <c r="EA800" s="1818"/>
      <c r="EB800" s="1818"/>
      <c r="EC800" s="1818"/>
      <c r="ED800" s="1818"/>
      <c r="EE800" s="1818"/>
      <c r="EF800" s="1818"/>
      <c r="EG800" s="1818"/>
      <c r="EH800" s="1818"/>
      <c r="EI800" s="1818"/>
      <c r="EJ800" s="1818"/>
      <c r="EK800" s="1818"/>
      <c r="EL800" s="1818"/>
      <c r="EM800" s="1818"/>
      <c r="EN800" s="1818"/>
      <c r="EO800" s="1818"/>
      <c r="EP800" s="1818"/>
      <c r="EQ800" s="1818"/>
      <c r="ER800" s="1818"/>
      <c r="ES800" s="1818"/>
      <c r="ET800" s="1818"/>
      <c r="EU800" s="1818"/>
      <c r="EV800" s="1818"/>
      <c r="EW800" s="1818"/>
      <c r="EX800" s="1818"/>
      <c r="EY800" s="1818"/>
      <c r="EZ800" s="1818"/>
      <c r="FA800" s="1818"/>
      <c r="FB800" s="1818"/>
      <c r="FC800" s="1818"/>
      <c r="FD800" s="1818"/>
      <c r="FE800" s="1818"/>
      <c r="FF800" s="1818"/>
      <c r="FG800" s="1818"/>
      <c r="FH800" s="1818"/>
      <c r="FI800" s="1818"/>
      <c r="FJ800" s="1818"/>
      <c r="FK800" s="1818"/>
      <c r="FL800" s="1818"/>
      <c r="FM800" s="1818"/>
      <c r="FN800" s="1818"/>
      <c r="FO800" s="1818"/>
      <c r="FP800" s="1818"/>
      <c r="FQ800" s="1818"/>
      <c r="FR800" s="1818"/>
      <c r="FS800" s="1818"/>
      <c r="FT800" s="1818"/>
    </row>
    <row r="801" spans="1:176" s="1965" customFormat="1" ht="32.1" customHeight="1">
      <c r="A801" s="2535"/>
      <c r="B801" s="1819"/>
      <c r="C801" s="1813"/>
      <c r="D801" s="1813"/>
      <c r="E801" s="1813"/>
      <c r="F801" s="1813"/>
      <c r="G801" s="1813"/>
      <c r="H801" s="1813"/>
      <c r="I801" s="2434"/>
      <c r="J801" s="2244"/>
      <c r="K801" s="2244"/>
      <c r="L801" s="2244"/>
      <c r="M801" s="2244"/>
      <c r="N801" s="2244"/>
      <c r="O801" s="2244"/>
      <c r="P801" s="2245"/>
      <c r="Q801" s="2245"/>
      <c r="S801" s="2244"/>
      <c r="T801" s="2244"/>
      <c r="U801" s="2244"/>
      <c r="V801" s="2244"/>
      <c r="W801" s="2244"/>
      <c r="X801" s="2244"/>
      <c r="Y801" s="1818"/>
      <c r="Z801" s="1818"/>
      <c r="AA801" s="1818"/>
      <c r="AB801" s="1818"/>
      <c r="AC801" s="1818"/>
      <c r="AD801" s="1818"/>
      <c r="AE801" s="1818"/>
      <c r="AF801" s="1818"/>
      <c r="AG801" s="1818"/>
      <c r="AH801" s="1818"/>
      <c r="AI801" s="1818"/>
      <c r="AJ801" s="1818"/>
      <c r="AK801" s="1818"/>
      <c r="AL801" s="1818"/>
      <c r="AM801" s="1818"/>
      <c r="AN801" s="1818"/>
      <c r="AO801" s="1818"/>
      <c r="AP801" s="1818"/>
      <c r="AQ801" s="1818"/>
      <c r="AR801" s="1818"/>
      <c r="AS801" s="1818"/>
      <c r="AT801" s="1818"/>
      <c r="AU801" s="1818"/>
      <c r="AV801" s="1818"/>
      <c r="AW801" s="1818"/>
      <c r="AX801" s="1818"/>
      <c r="AY801" s="1818"/>
      <c r="AZ801" s="1818"/>
      <c r="BA801" s="1818"/>
      <c r="BB801" s="1818"/>
      <c r="BC801" s="1818"/>
      <c r="BD801" s="1818"/>
      <c r="BE801" s="1818"/>
      <c r="BF801" s="1818"/>
      <c r="BG801" s="1818"/>
      <c r="BH801" s="1818"/>
      <c r="BI801" s="1818"/>
      <c r="BJ801" s="1818"/>
      <c r="BK801" s="1818"/>
      <c r="BL801" s="1818"/>
      <c r="BM801" s="1818"/>
      <c r="BN801" s="1818"/>
      <c r="BO801" s="1818"/>
      <c r="BP801" s="1818"/>
      <c r="BQ801" s="1818"/>
      <c r="BR801" s="1818"/>
      <c r="BS801" s="1818"/>
      <c r="BT801" s="1818"/>
      <c r="BU801" s="1818"/>
      <c r="BV801" s="1818"/>
      <c r="BW801" s="1818"/>
      <c r="BX801" s="1818"/>
      <c r="BY801" s="1818"/>
      <c r="BZ801" s="1818"/>
      <c r="CA801" s="1818"/>
      <c r="CB801" s="1818"/>
      <c r="CC801" s="1818"/>
      <c r="CD801" s="1818"/>
      <c r="CE801" s="1818"/>
      <c r="CF801" s="1818"/>
      <c r="CG801" s="1818"/>
      <c r="CH801" s="1818"/>
      <c r="CI801" s="1818"/>
      <c r="CJ801" s="1818"/>
      <c r="CK801" s="1818"/>
      <c r="CL801" s="1818"/>
      <c r="CM801" s="1818"/>
      <c r="CN801" s="1818"/>
      <c r="CO801" s="1818"/>
      <c r="CP801" s="1818"/>
      <c r="CQ801" s="1818"/>
      <c r="CR801" s="1818"/>
      <c r="CS801" s="1818"/>
      <c r="CT801" s="1818"/>
      <c r="CU801" s="1818"/>
      <c r="CV801" s="1818"/>
      <c r="CW801" s="1818"/>
      <c r="CX801" s="1818"/>
      <c r="CY801" s="1818"/>
      <c r="CZ801" s="1818"/>
      <c r="DA801" s="1818"/>
      <c r="DB801" s="1818"/>
      <c r="DC801" s="1818"/>
      <c r="DD801" s="1818"/>
      <c r="DE801" s="1818"/>
      <c r="DF801" s="1818"/>
      <c r="DG801" s="1818"/>
      <c r="DH801" s="1818"/>
      <c r="DI801" s="1818"/>
      <c r="DJ801" s="1818"/>
      <c r="DK801" s="1818"/>
      <c r="DL801" s="1818"/>
      <c r="DM801" s="1818"/>
      <c r="DN801" s="1818"/>
      <c r="DO801" s="1818"/>
      <c r="DP801" s="1818"/>
      <c r="DQ801" s="1818"/>
      <c r="DR801" s="1818"/>
      <c r="DS801" s="1818"/>
      <c r="DT801" s="1818"/>
      <c r="DU801" s="1818"/>
      <c r="DV801" s="1818"/>
      <c r="DW801" s="1818"/>
      <c r="DX801" s="1818"/>
      <c r="DY801" s="1818"/>
      <c r="DZ801" s="1818"/>
      <c r="EA801" s="1818"/>
      <c r="EB801" s="1818"/>
      <c r="EC801" s="1818"/>
      <c r="ED801" s="1818"/>
      <c r="EE801" s="1818"/>
      <c r="EF801" s="1818"/>
      <c r="EG801" s="1818"/>
      <c r="EH801" s="1818"/>
      <c r="EI801" s="1818"/>
      <c r="EJ801" s="1818"/>
      <c r="EK801" s="1818"/>
      <c r="EL801" s="1818"/>
      <c r="EM801" s="1818"/>
      <c r="EN801" s="1818"/>
      <c r="EO801" s="1818"/>
      <c r="EP801" s="1818"/>
      <c r="EQ801" s="1818"/>
      <c r="ER801" s="1818"/>
      <c r="ES801" s="1818"/>
      <c r="ET801" s="1818"/>
      <c r="EU801" s="1818"/>
      <c r="EV801" s="1818"/>
      <c r="EW801" s="1818"/>
      <c r="EX801" s="1818"/>
      <c r="EY801" s="1818"/>
      <c r="EZ801" s="1818"/>
      <c r="FA801" s="1818"/>
      <c r="FB801" s="1818"/>
      <c r="FC801" s="1818"/>
      <c r="FD801" s="1818"/>
      <c r="FE801" s="1818"/>
      <c r="FF801" s="1818"/>
      <c r="FG801" s="1818"/>
      <c r="FH801" s="1818"/>
      <c r="FI801" s="1818"/>
      <c r="FJ801" s="1818"/>
      <c r="FK801" s="1818"/>
      <c r="FL801" s="1818"/>
      <c r="FM801" s="1818"/>
      <c r="FN801" s="1818"/>
      <c r="FO801" s="1818"/>
      <c r="FP801" s="1818"/>
      <c r="FQ801" s="1818"/>
      <c r="FR801" s="1818"/>
      <c r="FS801" s="1818"/>
      <c r="FT801" s="1818"/>
    </row>
    <row r="802" spans="1:176" s="1965" customFormat="1" ht="32.1" customHeight="1">
      <c r="A802" s="2535"/>
      <c r="B802" s="1819"/>
      <c r="C802" s="1813"/>
      <c r="D802" s="1813"/>
      <c r="E802" s="1813"/>
      <c r="F802" s="1813"/>
      <c r="G802" s="1813"/>
      <c r="H802" s="1813"/>
      <c r="I802" s="2434"/>
      <c r="J802" s="2244"/>
      <c r="K802" s="2244"/>
      <c r="L802" s="2244"/>
      <c r="M802" s="2244"/>
      <c r="N802" s="2244"/>
      <c r="O802" s="2244"/>
      <c r="P802" s="2245"/>
      <c r="Q802" s="2245"/>
      <c r="S802" s="2244"/>
      <c r="T802" s="2244"/>
      <c r="U802" s="2244"/>
      <c r="V802" s="2244"/>
      <c r="W802" s="2244"/>
      <c r="X802" s="2244"/>
      <c r="Y802" s="1818"/>
      <c r="Z802" s="1818"/>
      <c r="AA802" s="1818"/>
      <c r="AB802" s="1818"/>
      <c r="AC802" s="1818"/>
      <c r="AD802" s="1818"/>
      <c r="AE802" s="1818"/>
      <c r="AF802" s="1818"/>
      <c r="AG802" s="1818"/>
      <c r="AH802" s="1818"/>
      <c r="AI802" s="1818"/>
      <c r="AJ802" s="1818"/>
      <c r="AK802" s="1818"/>
      <c r="AL802" s="1818"/>
      <c r="AM802" s="1818"/>
      <c r="AN802" s="1818"/>
      <c r="AO802" s="1818"/>
      <c r="AP802" s="1818"/>
      <c r="AQ802" s="1818"/>
      <c r="AR802" s="1818"/>
      <c r="AS802" s="1818"/>
      <c r="AT802" s="1818"/>
      <c r="AU802" s="1818"/>
      <c r="AV802" s="1818"/>
      <c r="AW802" s="1818"/>
      <c r="AX802" s="1818"/>
      <c r="AY802" s="1818"/>
      <c r="AZ802" s="1818"/>
      <c r="BA802" s="1818"/>
      <c r="BB802" s="1818"/>
      <c r="BC802" s="1818"/>
      <c r="BD802" s="1818"/>
      <c r="BE802" s="1818"/>
      <c r="BF802" s="1818"/>
      <c r="BG802" s="1818"/>
      <c r="BH802" s="1818"/>
      <c r="BI802" s="1818"/>
      <c r="BJ802" s="1818"/>
      <c r="BK802" s="1818"/>
      <c r="BL802" s="1818"/>
      <c r="BM802" s="1818"/>
      <c r="BN802" s="1818"/>
      <c r="BO802" s="1818"/>
      <c r="BP802" s="1818"/>
      <c r="BQ802" s="1818"/>
      <c r="BR802" s="1818"/>
      <c r="BS802" s="1818"/>
      <c r="BT802" s="1818"/>
      <c r="BU802" s="1818"/>
      <c r="BV802" s="1818"/>
      <c r="BW802" s="1818"/>
      <c r="BX802" s="1818"/>
      <c r="BY802" s="1818"/>
      <c r="BZ802" s="1818"/>
      <c r="CA802" s="1818"/>
      <c r="CB802" s="1818"/>
      <c r="CC802" s="1818"/>
      <c r="CD802" s="1818"/>
      <c r="CE802" s="1818"/>
      <c r="CF802" s="1818"/>
      <c r="CG802" s="1818"/>
      <c r="CH802" s="1818"/>
      <c r="CI802" s="1818"/>
      <c r="CJ802" s="1818"/>
      <c r="CK802" s="1818"/>
      <c r="CL802" s="1818"/>
      <c r="CM802" s="1818"/>
      <c r="CN802" s="1818"/>
      <c r="CO802" s="1818"/>
      <c r="CP802" s="1818"/>
      <c r="CQ802" s="1818"/>
      <c r="CR802" s="1818"/>
      <c r="CS802" s="1818"/>
      <c r="CT802" s="1818"/>
      <c r="CU802" s="1818"/>
      <c r="CV802" s="1818"/>
      <c r="CW802" s="1818"/>
      <c r="CX802" s="1818"/>
      <c r="CY802" s="1818"/>
      <c r="CZ802" s="1818"/>
      <c r="DA802" s="1818"/>
      <c r="DB802" s="1818"/>
      <c r="DC802" s="1818"/>
      <c r="DD802" s="1818"/>
      <c r="DE802" s="1818"/>
      <c r="DF802" s="1818"/>
      <c r="DG802" s="1818"/>
      <c r="DH802" s="1818"/>
      <c r="DI802" s="1818"/>
      <c r="DJ802" s="1818"/>
      <c r="DK802" s="1818"/>
      <c r="DL802" s="1818"/>
      <c r="DM802" s="1818"/>
      <c r="DN802" s="1818"/>
      <c r="DO802" s="1818"/>
      <c r="DP802" s="1818"/>
      <c r="DQ802" s="1818"/>
      <c r="DR802" s="1818"/>
      <c r="DS802" s="1818"/>
      <c r="DT802" s="1818"/>
      <c r="DU802" s="1818"/>
      <c r="DV802" s="1818"/>
      <c r="DW802" s="1818"/>
      <c r="DX802" s="1818"/>
      <c r="DY802" s="1818"/>
      <c r="DZ802" s="1818"/>
      <c r="EA802" s="1818"/>
      <c r="EB802" s="1818"/>
      <c r="EC802" s="1818"/>
      <c r="ED802" s="1818"/>
      <c r="EE802" s="1818"/>
      <c r="EF802" s="1818"/>
      <c r="EG802" s="1818"/>
      <c r="EH802" s="1818"/>
      <c r="EI802" s="1818"/>
      <c r="EJ802" s="1818"/>
      <c r="EK802" s="1818"/>
      <c r="EL802" s="1818"/>
      <c r="EM802" s="1818"/>
      <c r="EN802" s="1818"/>
      <c r="EO802" s="1818"/>
      <c r="EP802" s="1818"/>
      <c r="EQ802" s="1818"/>
      <c r="ER802" s="1818"/>
      <c r="ES802" s="1818"/>
      <c r="ET802" s="1818"/>
      <c r="EU802" s="1818"/>
      <c r="EV802" s="1818"/>
      <c r="EW802" s="1818"/>
      <c r="EX802" s="1818"/>
      <c r="EY802" s="1818"/>
      <c r="EZ802" s="1818"/>
      <c r="FA802" s="1818"/>
      <c r="FB802" s="1818"/>
      <c r="FC802" s="1818"/>
      <c r="FD802" s="1818"/>
      <c r="FE802" s="1818"/>
      <c r="FF802" s="1818"/>
      <c r="FG802" s="1818"/>
      <c r="FH802" s="1818"/>
      <c r="FI802" s="1818"/>
      <c r="FJ802" s="1818"/>
      <c r="FK802" s="1818"/>
      <c r="FL802" s="1818"/>
      <c r="FM802" s="1818"/>
      <c r="FN802" s="1818"/>
      <c r="FO802" s="1818"/>
      <c r="FP802" s="1818"/>
      <c r="FQ802" s="1818"/>
      <c r="FR802" s="1818"/>
      <c r="FS802" s="1818"/>
      <c r="FT802" s="1818"/>
    </row>
    <row r="803" spans="1:176" s="1965" customFormat="1" ht="32.1" customHeight="1">
      <c r="A803" s="2535"/>
      <c r="B803" s="1819"/>
      <c r="C803" s="1813"/>
      <c r="D803" s="1813"/>
      <c r="E803" s="1813"/>
      <c r="F803" s="1813"/>
      <c r="G803" s="1813"/>
      <c r="H803" s="1813"/>
      <c r="I803" s="2434"/>
      <c r="J803" s="2244"/>
      <c r="K803" s="2244"/>
      <c r="L803" s="2244"/>
      <c r="M803" s="2244"/>
      <c r="N803" s="2244"/>
      <c r="O803" s="2244"/>
      <c r="P803" s="2245"/>
      <c r="Q803" s="2245"/>
      <c r="S803" s="2244"/>
      <c r="T803" s="2244"/>
      <c r="U803" s="2244"/>
      <c r="V803" s="2244"/>
      <c r="W803" s="2244"/>
      <c r="X803" s="2244"/>
      <c r="Y803" s="1818"/>
      <c r="Z803" s="1818"/>
      <c r="AA803" s="1818"/>
      <c r="AB803" s="1818"/>
      <c r="AC803" s="1818"/>
      <c r="AD803" s="1818"/>
      <c r="AE803" s="1818"/>
      <c r="AF803" s="1818"/>
      <c r="AG803" s="1818"/>
      <c r="AH803" s="1818"/>
      <c r="AI803" s="1818"/>
      <c r="AJ803" s="1818"/>
      <c r="AK803" s="1818"/>
      <c r="AL803" s="1818"/>
      <c r="AM803" s="1818"/>
      <c r="AN803" s="1818"/>
      <c r="AO803" s="1818"/>
      <c r="AP803" s="1818"/>
      <c r="AQ803" s="1818"/>
      <c r="AR803" s="1818"/>
      <c r="AS803" s="1818"/>
      <c r="AT803" s="1818"/>
      <c r="AU803" s="1818"/>
      <c r="AV803" s="1818"/>
      <c r="AW803" s="1818"/>
      <c r="AX803" s="1818"/>
      <c r="AY803" s="1818"/>
      <c r="AZ803" s="1818"/>
      <c r="BA803" s="1818"/>
      <c r="BB803" s="1818"/>
      <c r="BC803" s="1818"/>
      <c r="BD803" s="1818"/>
      <c r="BE803" s="1818"/>
      <c r="BF803" s="1818"/>
      <c r="BG803" s="1818"/>
      <c r="BH803" s="1818"/>
      <c r="BI803" s="1818"/>
      <c r="BJ803" s="1818"/>
      <c r="BK803" s="1818"/>
      <c r="BL803" s="1818"/>
      <c r="BM803" s="1818"/>
      <c r="BN803" s="1818"/>
      <c r="BO803" s="1818"/>
      <c r="BP803" s="1818"/>
      <c r="BQ803" s="1818"/>
      <c r="BR803" s="1818"/>
      <c r="BS803" s="1818"/>
      <c r="BT803" s="1818"/>
      <c r="BU803" s="1818"/>
      <c r="BV803" s="1818"/>
      <c r="BW803" s="1818"/>
      <c r="BX803" s="1818"/>
      <c r="BY803" s="1818"/>
      <c r="BZ803" s="1818"/>
      <c r="CA803" s="1818"/>
      <c r="CB803" s="1818"/>
      <c r="CC803" s="1818"/>
      <c r="CD803" s="1818"/>
      <c r="CE803" s="1818"/>
      <c r="CF803" s="1818"/>
      <c r="CG803" s="1818"/>
      <c r="CH803" s="1818"/>
      <c r="CI803" s="1818"/>
      <c r="CJ803" s="1818"/>
      <c r="CK803" s="1818"/>
      <c r="CL803" s="1818"/>
      <c r="CM803" s="1818"/>
      <c r="CN803" s="1818"/>
      <c r="CO803" s="1818"/>
      <c r="CP803" s="1818"/>
      <c r="CQ803" s="1818"/>
      <c r="CR803" s="1818"/>
      <c r="CS803" s="1818"/>
      <c r="CT803" s="1818"/>
      <c r="CU803" s="1818"/>
      <c r="CV803" s="1818"/>
      <c r="CW803" s="1818"/>
      <c r="CX803" s="1818"/>
      <c r="CY803" s="1818"/>
      <c r="CZ803" s="1818"/>
      <c r="DA803" s="1818"/>
      <c r="DB803" s="1818"/>
      <c r="DC803" s="1818"/>
      <c r="DD803" s="1818"/>
      <c r="DE803" s="1818"/>
      <c r="DF803" s="1818"/>
      <c r="DG803" s="1818"/>
      <c r="DH803" s="1818"/>
      <c r="DI803" s="1818"/>
      <c r="DJ803" s="1818"/>
      <c r="DK803" s="1818"/>
      <c r="DL803" s="1818"/>
      <c r="DM803" s="1818"/>
      <c r="DN803" s="1818"/>
      <c r="DO803" s="1818"/>
      <c r="DP803" s="1818"/>
      <c r="DQ803" s="1818"/>
      <c r="DR803" s="1818"/>
      <c r="DS803" s="1818"/>
      <c r="DT803" s="1818"/>
      <c r="DU803" s="1818"/>
      <c r="DV803" s="1818"/>
      <c r="DW803" s="1818"/>
      <c r="DX803" s="1818"/>
      <c r="DY803" s="1818"/>
      <c r="DZ803" s="1818"/>
      <c r="EA803" s="1818"/>
      <c r="EB803" s="1818"/>
      <c r="EC803" s="1818"/>
      <c r="ED803" s="1818"/>
      <c r="EE803" s="1818"/>
      <c r="EF803" s="1818"/>
      <c r="EG803" s="1818"/>
      <c r="EH803" s="1818"/>
      <c r="EI803" s="1818"/>
      <c r="EJ803" s="1818"/>
      <c r="EK803" s="1818"/>
      <c r="EL803" s="1818"/>
      <c r="EM803" s="1818"/>
      <c r="EN803" s="1818"/>
      <c r="EO803" s="1818"/>
      <c r="EP803" s="1818"/>
      <c r="EQ803" s="1818"/>
      <c r="ER803" s="1818"/>
      <c r="ES803" s="1818"/>
      <c r="ET803" s="1818"/>
      <c r="EU803" s="1818"/>
      <c r="EV803" s="1818"/>
      <c r="EW803" s="1818"/>
      <c r="EX803" s="1818"/>
      <c r="EY803" s="1818"/>
      <c r="EZ803" s="1818"/>
      <c r="FA803" s="1818"/>
      <c r="FB803" s="1818"/>
      <c r="FC803" s="1818"/>
      <c r="FD803" s="1818"/>
      <c r="FE803" s="1818"/>
      <c r="FF803" s="1818"/>
      <c r="FG803" s="1818"/>
      <c r="FH803" s="1818"/>
      <c r="FI803" s="1818"/>
      <c r="FJ803" s="1818"/>
      <c r="FK803" s="1818"/>
      <c r="FL803" s="1818"/>
      <c r="FM803" s="1818"/>
      <c r="FN803" s="1818"/>
      <c r="FO803" s="1818"/>
      <c r="FP803" s="1818"/>
      <c r="FQ803" s="1818"/>
      <c r="FR803" s="1818"/>
      <c r="FS803" s="1818"/>
      <c r="FT803" s="1818"/>
    </row>
    <row r="804" spans="1:176" s="1965" customFormat="1" ht="32.1" customHeight="1">
      <c r="A804" s="2535"/>
      <c r="B804" s="1819"/>
      <c r="C804" s="1813"/>
      <c r="D804" s="1813"/>
      <c r="E804" s="1813"/>
      <c r="F804" s="1813"/>
      <c r="G804" s="1813"/>
      <c r="H804" s="1813"/>
      <c r="I804" s="2434"/>
      <c r="J804" s="2244"/>
      <c r="K804" s="2244"/>
      <c r="L804" s="2244"/>
      <c r="M804" s="2244"/>
      <c r="N804" s="2244"/>
      <c r="O804" s="2244"/>
      <c r="P804" s="2245"/>
      <c r="Q804" s="2245"/>
      <c r="S804" s="2244"/>
      <c r="T804" s="2244"/>
      <c r="U804" s="2244"/>
      <c r="V804" s="2244"/>
      <c r="W804" s="2244"/>
      <c r="X804" s="2244"/>
      <c r="Y804" s="1818"/>
      <c r="Z804" s="1818"/>
      <c r="AA804" s="1818"/>
      <c r="AB804" s="1818"/>
      <c r="AC804" s="1818"/>
      <c r="AD804" s="1818"/>
      <c r="AE804" s="1818"/>
      <c r="AF804" s="1818"/>
      <c r="AG804" s="1818"/>
      <c r="AH804" s="1818"/>
      <c r="AI804" s="1818"/>
      <c r="AJ804" s="1818"/>
      <c r="AK804" s="1818"/>
      <c r="AL804" s="1818"/>
      <c r="AM804" s="1818"/>
      <c r="AN804" s="1818"/>
      <c r="AO804" s="1818"/>
      <c r="AP804" s="1818"/>
      <c r="AQ804" s="1818"/>
      <c r="AR804" s="1818"/>
      <c r="AS804" s="1818"/>
      <c r="AT804" s="1818"/>
      <c r="AU804" s="1818"/>
      <c r="AV804" s="1818"/>
      <c r="AW804" s="1818"/>
      <c r="AX804" s="1818"/>
      <c r="AY804" s="1818"/>
      <c r="AZ804" s="1818"/>
      <c r="BA804" s="1818"/>
      <c r="BB804" s="1818"/>
      <c r="BC804" s="1818"/>
      <c r="BD804" s="1818"/>
      <c r="BE804" s="1818"/>
      <c r="BF804" s="1818"/>
      <c r="BG804" s="1818"/>
      <c r="BH804" s="1818"/>
      <c r="BI804" s="1818"/>
      <c r="BJ804" s="1818"/>
      <c r="BK804" s="1818"/>
      <c r="BL804" s="1818"/>
      <c r="BM804" s="1818"/>
      <c r="BN804" s="1818"/>
      <c r="BO804" s="1818"/>
      <c r="BP804" s="1818"/>
      <c r="BQ804" s="1818"/>
      <c r="BR804" s="1818"/>
      <c r="BS804" s="1818"/>
      <c r="BT804" s="1818"/>
      <c r="BU804" s="1818"/>
      <c r="BV804" s="1818"/>
      <c r="BW804" s="1818"/>
      <c r="BX804" s="1818"/>
      <c r="BY804" s="1818"/>
      <c r="BZ804" s="1818"/>
      <c r="CA804" s="1818"/>
      <c r="CB804" s="1818"/>
      <c r="CC804" s="1818"/>
      <c r="CD804" s="1818"/>
      <c r="CE804" s="1818"/>
      <c r="CF804" s="1818"/>
      <c r="CG804" s="1818"/>
      <c r="CH804" s="1818"/>
      <c r="CI804" s="1818"/>
      <c r="CJ804" s="1818"/>
      <c r="CK804" s="1818"/>
      <c r="CL804" s="1818"/>
      <c r="CM804" s="1818"/>
      <c r="CN804" s="1818"/>
      <c r="CO804" s="1818"/>
      <c r="CP804" s="1818"/>
      <c r="CQ804" s="1818"/>
      <c r="CR804" s="1818"/>
      <c r="CS804" s="1818"/>
      <c r="CT804" s="1818"/>
      <c r="CU804" s="1818"/>
      <c r="CV804" s="1818"/>
      <c r="CW804" s="1818"/>
      <c r="CX804" s="1818"/>
      <c r="CY804" s="1818"/>
      <c r="CZ804" s="1818"/>
      <c r="DA804" s="1818"/>
      <c r="DB804" s="1818"/>
      <c r="DC804" s="1818"/>
      <c r="DD804" s="1818"/>
      <c r="DE804" s="1818"/>
      <c r="DF804" s="1818"/>
      <c r="DG804" s="1818"/>
      <c r="DH804" s="1818"/>
      <c r="DI804" s="1818"/>
      <c r="DJ804" s="1818"/>
      <c r="DK804" s="1818"/>
      <c r="DL804" s="1818"/>
      <c r="DM804" s="1818"/>
      <c r="DN804" s="1818"/>
      <c r="DO804" s="1818"/>
      <c r="DP804" s="1818"/>
      <c r="DQ804" s="1818"/>
      <c r="DR804" s="1818"/>
      <c r="DS804" s="1818"/>
      <c r="DT804" s="1818"/>
      <c r="DU804" s="1818"/>
      <c r="DV804" s="1818"/>
      <c r="DW804" s="1818"/>
      <c r="DX804" s="1818"/>
      <c r="DY804" s="1818"/>
      <c r="DZ804" s="1818"/>
      <c r="EA804" s="1818"/>
      <c r="EB804" s="1818"/>
      <c r="EC804" s="1818"/>
      <c r="ED804" s="1818"/>
      <c r="EE804" s="1818"/>
      <c r="EF804" s="1818"/>
      <c r="EG804" s="1818"/>
      <c r="EH804" s="1818"/>
      <c r="EI804" s="1818"/>
      <c r="EJ804" s="1818"/>
      <c r="EK804" s="1818"/>
      <c r="EL804" s="1818"/>
      <c r="EM804" s="1818"/>
      <c r="EN804" s="1818"/>
      <c r="EO804" s="1818"/>
      <c r="EP804" s="1818"/>
      <c r="EQ804" s="1818"/>
      <c r="ER804" s="1818"/>
      <c r="ES804" s="1818"/>
      <c r="ET804" s="1818"/>
      <c r="EU804" s="1818"/>
      <c r="EV804" s="1818"/>
      <c r="EW804" s="1818"/>
      <c r="EX804" s="1818"/>
      <c r="EY804" s="1818"/>
      <c r="EZ804" s="1818"/>
      <c r="FA804" s="1818"/>
      <c r="FB804" s="1818"/>
      <c r="FC804" s="1818"/>
      <c r="FD804" s="1818"/>
      <c r="FE804" s="1818"/>
      <c r="FF804" s="1818"/>
      <c r="FG804" s="1818"/>
      <c r="FH804" s="1818"/>
      <c r="FI804" s="1818"/>
      <c r="FJ804" s="1818"/>
      <c r="FK804" s="1818"/>
      <c r="FL804" s="1818"/>
      <c r="FM804" s="1818"/>
      <c r="FN804" s="1818"/>
      <c r="FO804" s="1818"/>
      <c r="FP804" s="1818"/>
      <c r="FQ804" s="1818"/>
      <c r="FR804" s="1818"/>
      <c r="FS804" s="1818"/>
      <c r="FT804" s="1818"/>
    </row>
    <row r="805" spans="1:176" s="1965" customFormat="1" ht="32.1" customHeight="1">
      <c r="A805" s="2535"/>
      <c r="B805" s="1819"/>
      <c r="C805" s="1813"/>
      <c r="D805" s="1813"/>
      <c r="E805" s="1813"/>
      <c r="F805" s="1813"/>
      <c r="G805" s="1813"/>
      <c r="H805" s="1813"/>
      <c r="I805" s="2434"/>
      <c r="J805" s="2244"/>
      <c r="K805" s="2244"/>
      <c r="L805" s="2244"/>
      <c r="M805" s="2244"/>
      <c r="N805" s="2244"/>
      <c r="O805" s="2244"/>
      <c r="P805" s="2245"/>
      <c r="Q805" s="2245"/>
      <c r="S805" s="2244"/>
      <c r="T805" s="2244"/>
      <c r="U805" s="2244"/>
      <c r="V805" s="2244"/>
      <c r="W805" s="2244"/>
      <c r="X805" s="2244"/>
      <c r="Y805" s="1818"/>
      <c r="Z805" s="1818"/>
      <c r="AA805" s="1818"/>
      <c r="AB805" s="1818"/>
      <c r="AC805" s="1818"/>
      <c r="AD805" s="1818"/>
      <c r="AE805" s="1818"/>
      <c r="AF805" s="1818"/>
      <c r="AG805" s="1818"/>
      <c r="AH805" s="1818"/>
      <c r="AI805" s="1818"/>
      <c r="AJ805" s="1818"/>
      <c r="AK805" s="1818"/>
      <c r="AL805" s="1818"/>
      <c r="AM805" s="1818"/>
      <c r="AN805" s="1818"/>
      <c r="AO805" s="1818"/>
      <c r="AP805" s="1818"/>
      <c r="AQ805" s="1818"/>
      <c r="AR805" s="1818"/>
      <c r="AS805" s="1818"/>
      <c r="AT805" s="1818"/>
      <c r="AU805" s="1818"/>
      <c r="AV805" s="1818"/>
      <c r="AW805" s="1818"/>
      <c r="AX805" s="1818"/>
      <c r="AY805" s="1818"/>
      <c r="AZ805" s="1818"/>
      <c r="BA805" s="1818"/>
      <c r="BB805" s="1818"/>
      <c r="BC805" s="1818"/>
      <c r="BD805" s="1818"/>
      <c r="BE805" s="1818"/>
      <c r="BF805" s="1818"/>
      <c r="BG805" s="1818"/>
      <c r="BH805" s="1818"/>
      <c r="BI805" s="1818"/>
      <c r="BJ805" s="1818"/>
      <c r="BK805" s="1818"/>
      <c r="BL805" s="1818"/>
      <c r="BM805" s="1818"/>
      <c r="BN805" s="1818"/>
      <c r="BO805" s="1818"/>
      <c r="BP805" s="1818"/>
      <c r="BQ805" s="1818"/>
      <c r="BR805" s="1818"/>
      <c r="BS805" s="1818"/>
      <c r="BT805" s="1818"/>
      <c r="BU805" s="1818"/>
      <c r="BV805" s="1818"/>
      <c r="BW805" s="1818"/>
      <c r="BX805" s="1818"/>
      <c r="BY805" s="1818"/>
      <c r="BZ805" s="1818"/>
      <c r="CA805" s="1818"/>
      <c r="CB805" s="1818"/>
      <c r="CC805" s="1818"/>
      <c r="CD805" s="1818"/>
      <c r="CE805" s="1818"/>
      <c r="CF805" s="1818"/>
      <c r="CG805" s="1818"/>
      <c r="CH805" s="1818"/>
      <c r="CI805" s="1818"/>
      <c r="CJ805" s="1818"/>
      <c r="CK805" s="1818"/>
      <c r="CL805" s="1818"/>
      <c r="CM805" s="1818"/>
      <c r="CN805" s="1818"/>
      <c r="CO805" s="1818"/>
      <c r="CP805" s="1818"/>
      <c r="CQ805" s="1818"/>
      <c r="CR805" s="1818"/>
      <c r="CS805" s="1818"/>
      <c r="CT805" s="1818"/>
      <c r="CU805" s="1818"/>
      <c r="CV805" s="1818"/>
      <c r="CW805" s="1818"/>
      <c r="CX805" s="1818"/>
      <c r="CY805" s="1818"/>
      <c r="CZ805" s="1818"/>
      <c r="DA805" s="1818"/>
      <c r="DB805" s="1818"/>
      <c r="DC805" s="1818"/>
      <c r="DD805" s="1818"/>
      <c r="DE805" s="1818"/>
      <c r="DF805" s="1818"/>
      <c r="DG805" s="1818"/>
      <c r="DH805" s="1818"/>
      <c r="DI805" s="1818"/>
      <c r="DJ805" s="1818"/>
      <c r="DK805" s="1818"/>
      <c r="DL805" s="1818"/>
      <c r="DM805" s="1818"/>
      <c r="DN805" s="1818"/>
      <c r="DO805" s="1818"/>
      <c r="DP805" s="1818"/>
      <c r="DQ805" s="1818"/>
      <c r="DR805" s="1818"/>
      <c r="DS805" s="1818"/>
      <c r="DT805" s="1818"/>
      <c r="DU805" s="1818"/>
      <c r="DV805" s="1818"/>
      <c r="DW805" s="1818"/>
      <c r="DX805" s="1818"/>
      <c r="DY805" s="1818"/>
      <c r="DZ805" s="1818"/>
      <c r="EA805" s="1818"/>
      <c r="EB805" s="1818"/>
      <c r="EC805" s="1818"/>
      <c r="ED805" s="1818"/>
      <c r="EE805" s="1818"/>
      <c r="EF805" s="1818"/>
      <c r="EG805" s="1818"/>
      <c r="EH805" s="1818"/>
      <c r="EI805" s="1818"/>
      <c r="EJ805" s="1818"/>
      <c r="EK805" s="1818"/>
      <c r="EL805" s="1818"/>
      <c r="EM805" s="1818"/>
      <c r="EN805" s="1818"/>
      <c r="EO805" s="1818"/>
      <c r="EP805" s="1818"/>
      <c r="EQ805" s="1818"/>
      <c r="ER805" s="1818"/>
      <c r="ES805" s="1818"/>
      <c r="ET805" s="1818"/>
      <c r="EU805" s="1818"/>
      <c r="EV805" s="1818"/>
      <c r="EW805" s="1818"/>
      <c r="EX805" s="1818"/>
      <c r="EY805" s="1818"/>
      <c r="EZ805" s="1818"/>
      <c r="FA805" s="1818"/>
      <c r="FB805" s="1818"/>
      <c r="FC805" s="1818"/>
      <c r="FD805" s="1818"/>
      <c r="FE805" s="1818"/>
      <c r="FF805" s="1818"/>
      <c r="FG805" s="1818"/>
      <c r="FH805" s="1818"/>
      <c r="FI805" s="1818"/>
      <c r="FJ805" s="1818"/>
      <c r="FK805" s="1818"/>
      <c r="FL805" s="1818"/>
      <c r="FM805" s="1818"/>
      <c r="FN805" s="1818"/>
      <c r="FO805" s="1818"/>
      <c r="FP805" s="1818"/>
      <c r="FQ805" s="1818"/>
      <c r="FR805" s="1818"/>
      <c r="FS805" s="1818"/>
      <c r="FT805" s="1818"/>
    </row>
    <row r="806" spans="1:176" s="1965" customFormat="1" ht="32.1" customHeight="1">
      <c r="A806" s="2535"/>
      <c r="B806" s="1819"/>
      <c r="C806" s="1813"/>
      <c r="D806" s="1813"/>
      <c r="E806" s="1813"/>
      <c r="F806" s="1813"/>
      <c r="G806" s="1813"/>
      <c r="H806" s="1813"/>
      <c r="I806" s="2434"/>
      <c r="J806" s="2244"/>
      <c r="K806" s="2244"/>
      <c r="L806" s="2244"/>
      <c r="M806" s="2244"/>
      <c r="N806" s="2244"/>
      <c r="O806" s="2244"/>
      <c r="P806" s="2245"/>
      <c r="Q806" s="2245"/>
      <c r="S806" s="2244"/>
      <c r="T806" s="2244"/>
      <c r="U806" s="2244"/>
      <c r="V806" s="2244"/>
      <c r="W806" s="2244"/>
      <c r="X806" s="2244"/>
      <c r="Y806" s="1818"/>
      <c r="Z806" s="1818"/>
      <c r="AA806" s="1818"/>
      <c r="AB806" s="1818"/>
      <c r="AC806" s="1818"/>
      <c r="AD806" s="1818"/>
      <c r="AE806" s="1818"/>
      <c r="AF806" s="1818"/>
      <c r="AG806" s="1818"/>
      <c r="AH806" s="1818"/>
      <c r="AI806" s="1818"/>
      <c r="AJ806" s="1818"/>
      <c r="AK806" s="1818"/>
      <c r="AL806" s="1818"/>
      <c r="AM806" s="1818"/>
      <c r="AN806" s="1818"/>
      <c r="AO806" s="1818"/>
      <c r="AP806" s="1818"/>
      <c r="AQ806" s="1818"/>
      <c r="AR806" s="1818"/>
      <c r="AS806" s="1818"/>
      <c r="AT806" s="1818"/>
      <c r="AU806" s="1818"/>
      <c r="AV806" s="1818"/>
      <c r="AW806" s="1818"/>
      <c r="AX806" s="1818"/>
      <c r="AY806" s="1818"/>
      <c r="AZ806" s="1818"/>
      <c r="BA806" s="1818"/>
      <c r="BB806" s="1818"/>
      <c r="BC806" s="1818"/>
      <c r="BD806" s="1818"/>
      <c r="BE806" s="1818"/>
      <c r="BF806" s="1818"/>
      <c r="BG806" s="1818"/>
      <c r="BH806" s="1818"/>
      <c r="BI806" s="1818"/>
      <c r="BJ806" s="1818"/>
      <c r="BK806" s="1818"/>
      <c r="BL806" s="1818"/>
      <c r="BM806" s="1818"/>
      <c r="BN806" s="1818"/>
      <c r="BO806" s="1818"/>
      <c r="BP806" s="1818"/>
      <c r="BQ806" s="1818"/>
      <c r="BR806" s="1818"/>
      <c r="BS806" s="1818"/>
      <c r="BT806" s="1818"/>
      <c r="BU806" s="1818"/>
      <c r="BV806" s="1818"/>
      <c r="BW806" s="1818"/>
      <c r="BX806" s="1818"/>
      <c r="BY806" s="1818"/>
      <c r="BZ806" s="1818"/>
      <c r="CA806" s="1818"/>
      <c r="CB806" s="1818"/>
      <c r="CC806" s="1818"/>
      <c r="CD806" s="1818"/>
      <c r="CE806" s="1818"/>
      <c r="CF806" s="1818"/>
      <c r="CG806" s="1818"/>
      <c r="CH806" s="1818"/>
      <c r="CI806" s="1818"/>
      <c r="CJ806" s="1818"/>
      <c r="CK806" s="1818"/>
      <c r="CL806" s="1818"/>
      <c r="CM806" s="1818"/>
      <c r="CN806" s="1818"/>
      <c r="CO806" s="1818"/>
      <c r="CP806" s="1818"/>
      <c r="CQ806" s="1818"/>
      <c r="CR806" s="1818"/>
      <c r="CS806" s="1818"/>
      <c r="CT806" s="1818"/>
      <c r="CU806" s="1818"/>
      <c r="CV806" s="1818"/>
      <c r="CW806" s="1818"/>
      <c r="CX806" s="1818"/>
      <c r="CY806" s="1818"/>
      <c r="CZ806" s="1818"/>
      <c r="DA806" s="1818"/>
      <c r="DB806" s="1818"/>
      <c r="DC806" s="1818"/>
      <c r="DD806" s="1818"/>
      <c r="DE806" s="1818"/>
      <c r="DF806" s="1818"/>
      <c r="DG806" s="1818"/>
      <c r="DH806" s="1818"/>
      <c r="DI806" s="1818"/>
      <c r="DJ806" s="1818"/>
      <c r="DK806" s="1818"/>
      <c r="DL806" s="1818"/>
      <c r="DM806" s="1818"/>
      <c r="DN806" s="1818"/>
      <c r="DO806" s="1818"/>
      <c r="DP806" s="1818"/>
      <c r="DQ806" s="1818"/>
      <c r="DR806" s="1818"/>
      <c r="DS806" s="1818"/>
      <c r="DT806" s="1818"/>
      <c r="DU806" s="1818"/>
      <c r="DV806" s="1818"/>
      <c r="DW806" s="1818"/>
      <c r="DX806" s="1818"/>
      <c r="DY806" s="1818"/>
      <c r="DZ806" s="1818"/>
      <c r="EA806" s="1818"/>
      <c r="EB806" s="1818"/>
      <c r="EC806" s="1818"/>
      <c r="ED806" s="1818"/>
      <c r="EE806" s="1818"/>
      <c r="EF806" s="1818"/>
      <c r="EG806" s="1818"/>
      <c r="EH806" s="1818"/>
      <c r="EI806" s="1818"/>
      <c r="EJ806" s="1818"/>
      <c r="EK806" s="1818"/>
      <c r="EL806" s="1818"/>
      <c r="EM806" s="1818"/>
      <c r="EN806" s="1818"/>
      <c r="EO806" s="1818"/>
      <c r="EP806" s="1818"/>
      <c r="EQ806" s="1818"/>
      <c r="ER806" s="1818"/>
      <c r="ES806" s="1818"/>
      <c r="ET806" s="1818"/>
      <c r="EU806" s="1818"/>
      <c r="EV806" s="1818"/>
      <c r="EW806" s="1818"/>
      <c r="EX806" s="1818"/>
      <c r="EY806" s="1818"/>
      <c r="EZ806" s="1818"/>
      <c r="FA806" s="1818"/>
      <c r="FB806" s="1818"/>
      <c r="FC806" s="1818"/>
      <c r="FD806" s="1818"/>
      <c r="FE806" s="1818"/>
      <c r="FF806" s="1818"/>
      <c r="FG806" s="1818"/>
      <c r="FH806" s="1818"/>
      <c r="FI806" s="1818"/>
      <c r="FJ806" s="1818"/>
      <c r="FK806" s="1818"/>
      <c r="FL806" s="1818"/>
      <c r="FM806" s="1818"/>
      <c r="FN806" s="1818"/>
      <c r="FO806" s="1818"/>
      <c r="FP806" s="1818"/>
      <c r="FQ806" s="1818"/>
      <c r="FR806" s="1818"/>
      <c r="FS806" s="1818"/>
      <c r="FT806" s="1818"/>
    </row>
    <row r="807" spans="1:176" s="1965" customFormat="1" ht="32.1" customHeight="1">
      <c r="A807" s="2535"/>
      <c r="B807" s="1819"/>
      <c r="C807" s="1813"/>
      <c r="D807" s="1813"/>
      <c r="E807" s="1813"/>
      <c r="F807" s="1813"/>
      <c r="G807" s="1813"/>
      <c r="H807" s="1813"/>
      <c r="I807" s="2434"/>
      <c r="J807" s="2244"/>
      <c r="K807" s="2244"/>
      <c r="L807" s="2244"/>
      <c r="M807" s="2244"/>
      <c r="N807" s="2244"/>
      <c r="O807" s="2244"/>
      <c r="P807" s="2245"/>
      <c r="Q807" s="2245"/>
      <c r="S807" s="2244"/>
      <c r="T807" s="2244"/>
      <c r="U807" s="2244"/>
      <c r="V807" s="2244"/>
      <c r="W807" s="2244"/>
      <c r="X807" s="2244"/>
      <c r="Y807" s="1818"/>
      <c r="Z807" s="1818"/>
      <c r="AA807" s="1818"/>
      <c r="AB807" s="1818"/>
      <c r="AC807" s="1818"/>
      <c r="AD807" s="1818"/>
      <c r="AE807" s="1818"/>
      <c r="AF807" s="1818"/>
      <c r="AG807" s="1818"/>
      <c r="AH807" s="1818"/>
      <c r="AI807" s="1818"/>
      <c r="AJ807" s="1818"/>
      <c r="AK807" s="1818"/>
      <c r="AL807" s="1818"/>
      <c r="AM807" s="1818"/>
      <c r="AN807" s="1818"/>
      <c r="AO807" s="1818"/>
      <c r="AP807" s="1818"/>
      <c r="AQ807" s="1818"/>
      <c r="AR807" s="1818"/>
      <c r="AS807" s="1818"/>
      <c r="AT807" s="1818"/>
      <c r="AU807" s="1818"/>
      <c r="AV807" s="1818"/>
      <c r="AW807" s="1818"/>
      <c r="AX807" s="1818"/>
      <c r="AY807" s="1818"/>
      <c r="AZ807" s="1818"/>
      <c r="BA807" s="1818"/>
      <c r="BB807" s="1818"/>
      <c r="BC807" s="1818"/>
      <c r="BD807" s="1818"/>
      <c r="BE807" s="1818"/>
      <c r="BF807" s="1818"/>
      <c r="BG807" s="1818"/>
      <c r="BH807" s="1818"/>
      <c r="BI807" s="1818"/>
      <c r="BJ807" s="1818"/>
      <c r="BK807" s="1818"/>
      <c r="BL807" s="1818"/>
      <c r="BM807" s="1818"/>
      <c r="BN807" s="1818"/>
      <c r="BO807" s="1818"/>
      <c r="BP807" s="1818"/>
      <c r="BQ807" s="1818"/>
      <c r="BR807" s="1818"/>
      <c r="BS807" s="1818"/>
      <c r="BT807" s="1818"/>
      <c r="BU807" s="1818"/>
      <c r="BV807" s="1818"/>
      <c r="BW807" s="1818"/>
      <c r="BX807" s="1818"/>
      <c r="BY807" s="1818"/>
      <c r="BZ807" s="1818"/>
      <c r="CA807" s="1818"/>
      <c r="CB807" s="1818"/>
      <c r="CC807" s="1818"/>
      <c r="CD807" s="1818"/>
      <c r="CE807" s="1818"/>
      <c r="CF807" s="1818"/>
      <c r="CG807" s="1818"/>
      <c r="CH807" s="1818"/>
      <c r="CI807" s="1818"/>
      <c r="CJ807" s="1818"/>
      <c r="CK807" s="1818"/>
      <c r="CL807" s="1818"/>
      <c r="CM807" s="1818"/>
      <c r="CN807" s="1818"/>
      <c r="CO807" s="1818"/>
      <c r="CP807" s="1818"/>
      <c r="CQ807" s="1818"/>
      <c r="CR807" s="1818"/>
      <c r="CS807" s="1818"/>
      <c r="CT807" s="1818"/>
      <c r="CU807" s="1818"/>
      <c r="CV807" s="1818"/>
      <c r="CW807" s="1818"/>
      <c r="CX807" s="1818"/>
      <c r="CY807" s="1818"/>
      <c r="CZ807" s="1818"/>
      <c r="DA807" s="1818"/>
      <c r="DB807" s="1818"/>
      <c r="DC807" s="1818"/>
      <c r="DD807" s="1818"/>
      <c r="DE807" s="1818"/>
      <c r="DF807" s="1818"/>
      <c r="DG807" s="1818"/>
      <c r="DH807" s="1818"/>
      <c r="DI807" s="1818"/>
      <c r="DJ807" s="1818"/>
      <c r="DK807" s="1818"/>
      <c r="DL807" s="1818"/>
      <c r="DM807" s="1818"/>
      <c r="DN807" s="1818"/>
      <c r="DO807" s="1818"/>
      <c r="DP807" s="1818"/>
      <c r="DQ807" s="1818"/>
      <c r="DR807" s="1818"/>
      <c r="DS807" s="1818"/>
      <c r="DT807" s="1818"/>
      <c r="DU807" s="1818"/>
      <c r="DV807" s="1818"/>
      <c r="DW807" s="1818"/>
      <c r="DX807" s="1818"/>
      <c r="DY807" s="1818"/>
      <c r="DZ807" s="1818"/>
      <c r="EA807" s="1818"/>
      <c r="EB807" s="1818"/>
      <c r="EC807" s="1818"/>
      <c r="ED807" s="1818"/>
      <c r="EE807" s="1818"/>
      <c r="EF807" s="1818"/>
      <c r="EG807" s="1818"/>
      <c r="EH807" s="1818"/>
      <c r="EI807" s="1818"/>
      <c r="EJ807" s="1818"/>
      <c r="EK807" s="1818"/>
      <c r="EL807" s="1818"/>
      <c r="EM807" s="1818"/>
      <c r="EN807" s="1818"/>
      <c r="EO807" s="1818"/>
      <c r="EP807" s="1818"/>
      <c r="EQ807" s="1818"/>
      <c r="ER807" s="1818"/>
      <c r="ES807" s="1818"/>
      <c r="ET807" s="1818"/>
      <c r="EU807" s="1818"/>
      <c r="EV807" s="1818"/>
      <c r="EW807" s="1818"/>
      <c r="EX807" s="1818"/>
      <c r="EY807" s="1818"/>
      <c r="EZ807" s="1818"/>
      <c r="FA807" s="1818"/>
      <c r="FB807" s="1818"/>
      <c r="FC807" s="1818"/>
      <c r="FD807" s="1818"/>
      <c r="FE807" s="1818"/>
      <c r="FF807" s="1818"/>
      <c r="FG807" s="1818"/>
      <c r="FH807" s="1818"/>
      <c r="FI807" s="1818"/>
      <c r="FJ807" s="1818"/>
      <c r="FK807" s="1818"/>
      <c r="FL807" s="1818"/>
      <c r="FM807" s="1818"/>
      <c r="FN807" s="1818"/>
      <c r="FO807" s="1818"/>
      <c r="FP807" s="1818"/>
      <c r="FQ807" s="1818"/>
      <c r="FR807" s="1818"/>
      <c r="FS807" s="1818"/>
      <c r="FT807" s="1818"/>
    </row>
    <row r="808" spans="1:176" s="1965" customFormat="1" ht="32.1" customHeight="1">
      <c r="A808" s="2535"/>
      <c r="B808" s="1819"/>
      <c r="C808" s="1813"/>
      <c r="D808" s="1813"/>
      <c r="E808" s="1813"/>
      <c r="F808" s="1813"/>
      <c r="G808" s="1813"/>
      <c r="H808" s="1813"/>
      <c r="I808" s="2434"/>
      <c r="J808" s="2244"/>
      <c r="K808" s="2244"/>
      <c r="L808" s="2244"/>
      <c r="M808" s="2244"/>
      <c r="N808" s="2244"/>
      <c r="O808" s="2244"/>
      <c r="P808" s="2245"/>
      <c r="Q808" s="2245"/>
      <c r="S808" s="2244"/>
      <c r="T808" s="2244"/>
      <c r="U808" s="2244"/>
      <c r="V808" s="2244"/>
      <c r="W808" s="2244"/>
      <c r="X808" s="2244"/>
      <c r="Y808" s="1818"/>
      <c r="Z808" s="1818"/>
      <c r="AA808" s="1818"/>
      <c r="AB808" s="1818"/>
      <c r="AC808" s="1818"/>
      <c r="AD808" s="1818"/>
      <c r="AE808" s="1818"/>
      <c r="AF808" s="1818"/>
      <c r="AG808" s="1818"/>
      <c r="AH808" s="1818"/>
      <c r="AI808" s="1818"/>
      <c r="AJ808" s="1818"/>
      <c r="AK808" s="1818"/>
      <c r="AL808" s="1818"/>
      <c r="AM808" s="1818"/>
      <c r="AN808" s="1818"/>
      <c r="AO808" s="1818"/>
      <c r="AP808" s="1818"/>
      <c r="AQ808" s="1818"/>
      <c r="AR808" s="1818"/>
      <c r="AS808" s="1818"/>
      <c r="AT808" s="1818"/>
      <c r="AU808" s="1818"/>
      <c r="AV808" s="1818"/>
      <c r="AW808" s="1818"/>
      <c r="AX808" s="1818"/>
      <c r="AY808" s="1818"/>
      <c r="AZ808" s="1818"/>
      <c r="BA808" s="1818"/>
      <c r="BB808" s="1818"/>
      <c r="BC808" s="1818"/>
      <c r="BD808" s="1818"/>
      <c r="BE808" s="1818"/>
      <c r="BF808" s="1818"/>
      <c r="BG808" s="1818"/>
      <c r="BH808" s="1818"/>
      <c r="BI808" s="1818"/>
      <c r="BJ808" s="1818"/>
      <c r="BK808" s="1818"/>
      <c r="BL808" s="1818"/>
      <c r="BM808" s="1818"/>
      <c r="BN808" s="1818"/>
      <c r="BO808" s="1818"/>
      <c r="BP808" s="1818"/>
      <c r="BQ808" s="1818"/>
      <c r="BR808" s="1818"/>
      <c r="BS808" s="1818"/>
      <c r="BT808" s="1818"/>
      <c r="BU808" s="1818"/>
      <c r="BV808" s="1818"/>
      <c r="BW808" s="1818"/>
      <c r="BX808" s="1818"/>
      <c r="BY808" s="1818"/>
      <c r="BZ808" s="1818"/>
      <c r="CA808" s="1818"/>
      <c r="CB808" s="1818"/>
      <c r="CC808" s="1818"/>
      <c r="CD808" s="1818"/>
      <c r="CE808" s="1818"/>
      <c r="CF808" s="1818"/>
      <c r="CG808" s="1818"/>
      <c r="CH808" s="1818"/>
      <c r="CI808" s="1818"/>
      <c r="CJ808" s="1818"/>
      <c r="CK808" s="1818"/>
      <c r="CL808" s="1818"/>
      <c r="CM808" s="1818"/>
      <c r="CN808" s="1818"/>
      <c r="CO808" s="1818"/>
      <c r="CP808" s="1818"/>
      <c r="CQ808" s="1818"/>
      <c r="CR808" s="1818"/>
      <c r="CS808" s="1818"/>
      <c r="CT808" s="1818"/>
      <c r="CU808" s="1818"/>
      <c r="CV808" s="1818"/>
      <c r="CW808" s="1818"/>
      <c r="CX808" s="1818"/>
      <c r="CY808" s="1818"/>
      <c r="CZ808" s="1818"/>
      <c r="DA808" s="1818"/>
      <c r="DB808" s="1818"/>
      <c r="DC808" s="1818"/>
      <c r="DD808" s="1818"/>
      <c r="DE808" s="1818"/>
      <c r="DF808" s="1818"/>
      <c r="DG808" s="1818"/>
      <c r="DH808" s="1818"/>
      <c r="DI808" s="1818"/>
      <c r="DJ808" s="1818"/>
      <c r="DK808" s="1818"/>
      <c r="DL808" s="1818"/>
      <c r="DM808" s="1818"/>
      <c r="DN808" s="1818"/>
      <c r="DO808" s="1818"/>
      <c r="DP808" s="1818"/>
      <c r="DQ808" s="1818"/>
      <c r="DR808" s="1818"/>
      <c r="DS808" s="1818"/>
      <c r="DT808" s="1818"/>
      <c r="DU808" s="1818"/>
      <c r="DV808" s="1818"/>
      <c r="DW808" s="1818"/>
      <c r="DX808" s="1818"/>
      <c r="DY808" s="1818"/>
      <c r="DZ808" s="1818"/>
      <c r="EA808" s="1818"/>
      <c r="EB808" s="1818"/>
      <c r="EC808" s="1818"/>
      <c r="ED808" s="1818"/>
      <c r="EE808" s="1818"/>
      <c r="EF808" s="1818"/>
      <c r="EG808" s="1818"/>
      <c r="EH808" s="1818"/>
      <c r="EI808" s="1818"/>
      <c r="EJ808" s="1818"/>
      <c r="EK808" s="1818"/>
      <c r="EL808" s="1818"/>
      <c r="EM808" s="1818"/>
      <c r="EN808" s="1818"/>
      <c r="EO808" s="1818"/>
      <c r="EP808" s="1818"/>
      <c r="EQ808" s="1818"/>
      <c r="ER808" s="1818"/>
      <c r="ES808" s="1818"/>
      <c r="ET808" s="1818"/>
      <c r="EU808" s="1818"/>
      <c r="EV808" s="1818"/>
      <c r="EW808" s="1818"/>
      <c r="EX808" s="1818"/>
      <c r="EY808" s="1818"/>
      <c r="EZ808" s="1818"/>
      <c r="FA808" s="1818"/>
      <c r="FB808" s="1818"/>
      <c r="FC808" s="1818"/>
      <c r="FD808" s="1818"/>
      <c r="FE808" s="1818"/>
      <c r="FF808" s="1818"/>
      <c r="FG808" s="1818"/>
      <c r="FH808" s="1818"/>
      <c r="FI808" s="1818"/>
      <c r="FJ808" s="1818"/>
      <c r="FK808" s="1818"/>
      <c r="FL808" s="1818"/>
      <c r="FM808" s="1818"/>
      <c r="FN808" s="1818"/>
      <c r="FO808" s="1818"/>
      <c r="FP808" s="1818"/>
      <c r="FQ808" s="1818"/>
      <c r="FR808" s="1818"/>
      <c r="FS808" s="1818"/>
      <c r="FT808" s="1818"/>
    </row>
    <row r="809" spans="1:176" s="1965" customFormat="1" ht="32.1" customHeight="1">
      <c r="A809" s="2535"/>
      <c r="B809" s="1819"/>
      <c r="C809" s="1813"/>
      <c r="D809" s="1813"/>
      <c r="E809" s="1813"/>
      <c r="F809" s="1813"/>
      <c r="G809" s="1813"/>
      <c r="H809" s="1813"/>
      <c r="I809" s="2434"/>
      <c r="J809" s="2244"/>
      <c r="K809" s="2244"/>
      <c r="L809" s="2244"/>
      <c r="M809" s="2244"/>
      <c r="N809" s="2244"/>
      <c r="O809" s="2244"/>
      <c r="P809" s="2245"/>
      <c r="Q809" s="2245"/>
      <c r="S809" s="2244"/>
      <c r="T809" s="2244"/>
      <c r="U809" s="2244"/>
      <c r="V809" s="2244"/>
      <c r="W809" s="2244"/>
      <c r="X809" s="2244"/>
      <c r="Y809" s="1818"/>
      <c r="Z809" s="1818"/>
      <c r="AA809" s="1818"/>
      <c r="AB809" s="1818"/>
      <c r="AC809" s="1818"/>
      <c r="AD809" s="1818"/>
      <c r="AE809" s="1818"/>
      <c r="AF809" s="1818"/>
      <c r="AG809" s="1818"/>
      <c r="AH809" s="1818"/>
      <c r="AI809" s="1818"/>
      <c r="AJ809" s="1818"/>
      <c r="AK809" s="1818"/>
      <c r="AL809" s="1818"/>
      <c r="AM809" s="1818"/>
      <c r="AN809" s="1818"/>
      <c r="AO809" s="1818"/>
      <c r="AP809" s="1818"/>
      <c r="AQ809" s="1818"/>
      <c r="AR809" s="1818"/>
      <c r="AS809" s="1818"/>
      <c r="AT809" s="1818"/>
      <c r="AU809" s="1818"/>
      <c r="AV809" s="1818"/>
      <c r="AW809" s="1818"/>
      <c r="AX809" s="1818"/>
      <c r="AY809" s="1818"/>
      <c r="AZ809" s="1818"/>
      <c r="BA809" s="1818"/>
      <c r="BB809" s="1818"/>
      <c r="BC809" s="1818"/>
      <c r="BD809" s="1818"/>
      <c r="BE809" s="1818"/>
      <c r="BF809" s="1818"/>
      <c r="BG809" s="1818"/>
      <c r="BH809" s="1818"/>
      <c r="BI809" s="1818"/>
      <c r="BJ809" s="1818"/>
      <c r="BK809" s="1818"/>
      <c r="BL809" s="1818"/>
      <c r="BM809" s="1818"/>
      <c r="BN809" s="1818"/>
      <c r="BO809" s="1818"/>
      <c r="BP809" s="1818"/>
      <c r="BQ809" s="1818"/>
      <c r="BR809" s="1818"/>
      <c r="BS809" s="1818"/>
      <c r="BT809" s="1818"/>
      <c r="BU809" s="1818"/>
      <c r="BV809" s="1818"/>
      <c r="BW809" s="1818"/>
      <c r="BX809" s="1818"/>
      <c r="BY809" s="1818"/>
      <c r="BZ809" s="1818"/>
      <c r="CA809" s="1818"/>
      <c r="CB809" s="1818"/>
      <c r="CC809" s="1818"/>
      <c r="CD809" s="1818"/>
      <c r="CE809" s="1818"/>
      <c r="CF809" s="1818"/>
      <c r="CG809" s="1818"/>
      <c r="CH809" s="1818"/>
      <c r="CI809" s="1818"/>
      <c r="CJ809" s="1818"/>
      <c r="CK809" s="1818"/>
      <c r="CL809" s="1818"/>
      <c r="CM809" s="1818"/>
      <c r="CN809" s="1818"/>
      <c r="CO809" s="1818"/>
      <c r="CP809" s="1818"/>
      <c r="CQ809" s="1818"/>
      <c r="CR809" s="1818"/>
      <c r="CS809" s="1818"/>
      <c r="CT809" s="1818"/>
      <c r="CU809" s="1818"/>
      <c r="CV809" s="1818"/>
      <c r="CW809" s="1818"/>
      <c r="CX809" s="1818"/>
      <c r="CY809" s="1818"/>
      <c r="CZ809" s="1818"/>
      <c r="DA809" s="1818"/>
      <c r="DB809" s="1818"/>
      <c r="DC809" s="1818"/>
      <c r="DD809" s="1818"/>
      <c r="DE809" s="1818"/>
      <c r="DF809" s="1818"/>
      <c r="DG809" s="1818"/>
      <c r="DH809" s="1818"/>
      <c r="DI809" s="1818"/>
      <c r="DJ809" s="1818"/>
      <c r="DK809" s="1818"/>
      <c r="DL809" s="1818"/>
      <c r="DM809" s="1818"/>
      <c r="DN809" s="1818"/>
      <c r="DO809" s="1818"/>
      <c r="DP809" s="1818"/>
      <c r="DQ809" s="1818"/>
      <c r="DR809" s="1818"/>
      <c r="DS809" s="1818"/>
      <c r="DT809" s="1818"/>
      <c r="DU809" s="1818"/>
      <c r="DV809" s="1818"/>
      <c r="DW809" s="1818"/>
      <c r="DX809" s="1818"/>
      <c r="DY809" s="1818"/>
      <c r="DZ809" s="1818"/>
      <c r="EA809" s="1818"/>
      <c r="EB809" s="1818"/>
      <c r="EC809" s="1818"/>
      <c r="ED809" s="1818"/>
      <c r="EE809" s="1818"/>
      <c r="EF809" s="1818"/>
      <c r="EG809" s="1818"/>
      <c r="EH809" s="1818"/>
      <c r="EI809" s="1818"/>
      <c r="EJ809" s="1818"/>
      <c r="EK809" s="1818"/>
      <c r="EL809" s="1818"/>
      <c r="EM809" s="1818"/>
      <c r="EN809" s="1818"/>
      <c r="EO809" s="1818"/>
      <c r="EP809" s="1818"/>
      <c r="EQ809" s="1818"/>
      <c r="ER809" s="1818"/>
      <c r="ES809" s="1818"/>
      <c r="ET809" s="1818"/>
      <c r="EU809" s="1818"/>
      <c r="EV809" s="1818"/>
      <c r="EW809" s="1818"/>
      <c r="EX809" s="1818"/>
      <c r="EY809" s="1818"/>
      <c r="EZ809" s="1818"/>
      <c r="FA809" s="1818"/>
      <c r="FB809" s="1818"/>
      <c r="FC809" s="1818"/>
      <c r="FD809" s="1818"/>
      <c r="FE809" s="1818"/>
      <c r="FF809" s="1818"/>
      <c r="FG809" s="1818"/>
      <c r="FH809" s="1818"/>
      <c r="FI809" s="1818"/>
      <c r="FJ809" s="1818"/>
      <c r="FK809" s="1818"/>
      <c r="FL809" s="1818"/>
      <c r="FM809" s="1818"/>
      <c r="FN809" s="1818"/>
      <c r="FO809" s="1818"/>
      <c r="FP809" s="1818"/>
      <c r="FQ809" s="1818"/>
      <c r="FR809" s="1818"/>
      <c r="FS809" s="1818"/>
      <c r="FT809" s="1818"/>
    </row>
    <row r="810" spans="1:176" s="1965" customFormat="1" ht="32.1" customHeight="1">
      <c r="A810" s="2535"/>
      <c r="B810" s="1819"/>
      <c r="C810" s="1813"/>
      <c r="D810" s="1813"/>
      <c r="E810" s="1813"/>
      <c r="F810" s="1813"/>
      <c r="G810" s="1813"/>
      <c r="H810" s="1813"/>
      <c r="I810" s="2434"/>
      <c r="J810" s="2244"/>
      <c r="K810" s="2244"/>
      <c r="L810" s="2244"/>
      <c r="M810" s="2244"/>
      <c r="N810" s="2244"/>
      <c r="O810" s="2244"/>
      <c r="P810" s="2245"/>
      <c r="Q810" s="2245"/>
      <c r="S810" s="2244"/>
      <c r="T810" s="2244"/>
      <c r="U810" s="2244"/>
      <c r="V810" s="2244"/>
      <c r="W810" s="2244"/>
      <c r="X810" s="2244"/>
      <c r="Y810" s="1818"/>
      <c r="Z810" s="1818"/>
      <c r="AA810" s="1818"/>
      <c r="AB810" s="1818"/>
      <c r="AC810" s="1818"/>
      <c r="AD810" s="1818"/>
      <c r="AE810" s="1818"/>
      <c r="AF810" s="1818"/>
      <c r="AG810" s="1818"/>
      <c r="AH810" s="1818"/>
      <c r="AI810" s="1818"/>
      <c r="AJ810" s="1818"/>
      <c r="AK810" s="1818"/>
      <c r="AL810" s="1818"/>
      <c r="AM810" s="1818"/>
      <c r="AN810" s="1818"/>
      <c r="AO810" s="1818"/>
      <c r="AP810" s="1818"/>
      <c r="AQ810" s="1818"/>
      <c r="AR810" s="1818"/>
      <c r="AS810" s="1818"/>
      <c r="AT810" s="1818"/>
      <c r="AU810" s="1818"/>
      <c r="AV810" s="1818"/>
      <c r="AW810" s="1818"/>
      <c r="AX810" s="1818"/>
      <c r="AY810" s="1818"/>
      <c r="AZ810" s="1818"/>
      <c r="BA810" s="1818"/>
      <c r="BB810" s="1818"/>
      <c r="BC810" s="1818"/>
      <c r="BD810" s="1818"/>
      <c r="BE810" s="1818"/>
      <c r="BF810" s="1818"/>
      <c r="BG810" s="1818"/>
      <c r="BH810" s="1818"/>
      <c r="BI810" s="1818"/>
      <c r="BJ810" s="1818"/>
      <c r="BK810" s="1818"/>
      <c r="BL810" s="1818"/>
      <c r="BM810" s="1818"/>
      <c r="BN810" s="1818"/>
      <c r="BO810" s="1818"/>
      <c r="BP810" s="1818"/>
      <c r="BQ810" s="1818"/>
      <c r="BR810" s="1818"/>
      <c r="BS810" s="1818"/>
      <c r="BT810" s="1818"/>
      <c r="BU810" s="1818"/>
      <c r="BV810" s="1818"/>
      <c r="BW810" s="1818"/>
      <c r="BX810" s="1818"/>
      <c r="BY810" s="1818"/>
      <c r="BZ810" s="1818"/>
      <c r="CA810" s="1818"/>
      <c r="CB810" s="1818"/>
      <c r="CC810" s="1818"/>
      <c r="CD810" s="1818"/>
      <c r="CE810" s="1818"/>
      <c r="CF810" s="1818"/>
      <c r="CG810" s="1818"/>
      <c r="CH810" s="1818"/>
      <c r="CI810" s="1818"/>
      <c r="CJ810" s="1818"/>
      <c r="CK810" s="1818"/>
      <c r="CL810" s="1818"/>
      <c r="CM810" s="1818"/>
      <c r="CN810" s="1818"/>
      <c r="CO810" s="1818"/>
      <c r="CP810" s="1818"/>
      <c r="CQ810" s="1818"/>
      <c r="CR810" s="1818"/>
      <c r="CS810" s="1818"/>
      <c r="CT810" s="1818"/>
      <c r="CU810" s="1818"/>
      <c r="CV810" s="1818"/>
      <c r="CW810" s="1818"/>
      <c r="CX810" s="1818"/>
      <c r="CY810" s="1818"/>
      <c r="CZ810" s="1818"/>
      <c r="DA810" s="1818"/>
      <c r="DB810" s="1818"/>
      <c r="DC810" s="1818"/>
      <c r="DD810" s="1818"/>
      <c r="DE810" s="1818"/>
      <c r="DF810" s="1818"/>
      <c r="DG810" s="1818"/>
      <c r="DH810" s="1818"/>
      <c r="DI810" s="1818"/>
      <c r="DJ810" s="1818"/>
      <c r="DK810" s="1818"/>
      <c r="DL810" s="1818"/>
      <c r="DM810" s="1818"/>
      <c r="DN810" s="1818"/>
      <c r="DO810" s="1818"/>
      <c r="DP810" s="1818"/>
      <c r="DQ810" s="1818"/>
      <c r="DR810" s="1818"/>
      <c r="DS810" s="1818"/>
      <c r="DT810" s="1818"/>
      <c r="DU810" s="1818"/>
      <c r="DV810" s="1818"/>
      <c r="DW810" s="1818"/>
      <c r="DX810" s="1818"/>
      <c r="DY810" s="1818"/>
      <c r="DZ810" s="1818"/>
      <c r="EA810" s="1818"/>
      <c r="EB810" s="1818"/>
      <c r="EC810" s="1818"/>
      <c r="ED810" s="1818"/>
      <c r="EE810" s="1818"/>
      <c r="EF810" s="1818"/>
      <c r="EG810" s="1818"/>
      <c r="EH810" s="1818"/>
      <c r="EI810" s="1818"/>
      <c r="EJ810" s="1818"/>
      <c r="EK810" s="1818"/>
      <c r="EL810" s="1818"/>
      <c r="EM810" s="1818"/>
      <c r="EN810" s="1818"/>
      <c r="EO810" s="1818"/>
      <c r="EP810" s="1818"/>
      <c r="EQ810" s="1818"/>
      <c r="ER810" s="1818"/>
      <c r="ES810" s="1818"/>
      <c r="ET810" s="1818"/>
      <c r="EU810" s="1818"/>
      <c r="EV810" s="1818"/>
      <c r="EW810" s="1818"/>
      <c r="EX810" s="1818"/>
      <c r="EY810" s="1818"/>
      <c r="EZ810" s="1818"/>
      <c r="FA810" s="1818"/>
      <c r="FB810" s="1818"/>
      <c r="FC810" s="1818"/>
      <c r="FD810" s="1818"/>
      <c r="FE810" s="1818"/>
      <c r="FF810" s="1818"/>
      <c r="FG810" s="1818"/>
      <c r="FH810" s="1818"/>
      <c r="FI810" s="1818"/>
      <c r="FJ810" s="1818"/>
      <c r="FK810" s="1818"/>
      <c r="FL810" s="1818"/>
      <c r="FM810" s="1818"/>
      <c r="FN810" s="1818"/>
      <c r="FO810" s="1818"/>
      <c r="FP810" s="1818"/>
      <c r="FQ810" s="1818"/>
      <c r="FR810" s="1818"/>
      <c r="FS810" s="1818"/>
      <c r="FT810" s="1818"/>
    </row>
    <row r="811" spans="1:176" s="1965" customFormat="1" ht="32.1" customHeight="1">
      <c r="A811" s="2535"/>
      <c r="B811" s="1819"/>
      <c r="C811" s="1813"/>
      <c r="D811" s="1813"/>
      <c r="E811" s="1813"/>
      <c r="F811" s="1813"/>
      <c r="G811" s="1813"/>
      <c r="H811" s="1813"/>
      <c r="I811" s="2434"/>
      <c r="J811" s="2244"/>
      <c r="K811" s="2244"/>
      <c r="L811" s="2244"/>
      <c r="M811" s="2244"/>
      <c r="N811" s="2244"/>
      <c r="O811" s="2244"/>
      <c r="P811" s="2245"/>
      <c r="Q811" s="2245"/>
      <c r="S811" s="2244"/>
      <c r="T811" s="2244"/>
      <c r="U811" s="2244"/>
      <c r="V811" s="2244"/>
      <c r="W811" s="2244"/>
      <c r="X811" s="2244"/>
      <c r="Y811" s="1818"/>
      <c r="Z811" s="1818"/>
      <c r="AA811" s="1818"/>
      <c r="AB811" s="1818"/>
      <c r="AC811" s="1818"/>
      <c r="AD811" s="1818"/>
      <c r="AE811" s="1818"/>
      <c r="AF811" s="1818"/>
      <c r="AG811" s="1818"/>
      <c r="AH811" s="1818"/>
      <c r="AI811" s="1818"/>
      <c r="AJ811" s="1818"/>
      <c r="AK811" s="1818"/>
      <c r="AL811" s="1818"/>
      <c r="AM811" s="1818"/>
      <c r="AN811" s="1818"/>
      <c r="AO811" s="1818"/>
      <c r="AP811" s="1818"/>
      <c r="AQ811" s="1818"/>
      <c r="AR811" s="1818"/>
      <c r="AS811" s="1818"/>
      <c r="AT811" s="1818"/>
      <c r="AU811" s="1818"/>
      <c r="AV811" s="1818"/>
      <c r="AW811" s="1818"/>
      <c r="AX811" s="1818"/>
      <c r="AY811" s="1818"/>
      <c r="AZ811" s="1818"/>
      <c r="BA811" s="1818"/>
      <c r="BB811" s="1818"/>
      <c r="BC811" s="1818"/>
      <c r="BD811" s="1818"/>
      <c r="BE811" s="1818"/>
      <c r="BF811" s="1818"/>
      <c r="BG811" s="1818"/>
      <c r="BH811" s="1818"/>
      <c r="BI811" s="1818"/>
      <c r="BJ811" s="1818"/>
      <c r="BK811" s="1818"/>
      <c r="BL811" s="1818"/>
      <c r="BM811" s="1818"/>
      <c r="BN811" s="1818"/>
      <c r="BO811" s="1818"/>
      <c r="BP811" s="1818"/>
      <c r="BQ811" s="1818"/>
      <c r="BR811" s="1818"/>
      <c r="BS811" s="1818"/>
      <c r="BT811" s="1818"/>
      <c r="BU811" s="1818"/>
      <c r="BV811" s="1818"/>
      <c r="BW811" s="1818"/>
      <c r="BX811" s="1818"/>
      <c r="BY811" s="1818"/>
      <c r="BZ811" s="1818"/>
      <c r="CA811" s="1818"/>
      <c r="CB811" s="1818"/>
      <c r="CC811" s="1818"/>
      <c r="CD811" s="1818"/>
      <c r="CE811" s="1818"/>
      <c r="CF811" s="1818"/>
      <c r="CG811" s="1818"/>
      <c r="CH811" s="1818"/>
      <c r="CI811" s="1818"/>
      <c r="CJ811" s="1818"/>
      <c r="CK811" s="1818"/>
      <c r="CL811" s="1818"/>
      <c r="CM811" s="1818"/>
      <c r="CN811" s="1818"/>
      <c r="CO811" s="1818"/>
      <c r="CP811" s="1818"/>
      <c r="CQ811" s="1818"/>
      <c r="CR811" s="1818"/>
      <c r="CS811" s="1818"/>
      <c r="CT811" s="1818"/>
      <c r="CU811" s="1818"/>
      <c r="CV811" s="1818"/>
      <c r="CW811" s="1818"/>
      <c r="CX811" s="1818"/>
      <c r="CY811" s="1818"/>
      <c r="CZ811" s="1818"/>
      <c r="DA811" s="1818"/>
      <c r="DB811" s="1818"/>
      <c r="DC811" s="1818"/>
      <c r="DD811" s="1818"/>
      <c r="DE811" s="1818"/>
      <c r="DF811" s="1818"/>
      <c r="DG811" s="1818"/>
      <c r="DH811" s="1818"/>
      <c r="DI811" s="1818"/>
      <c r="DJ811" s="1818"/>
      <c r="DK811" s="1818"/>
      <c r="DL811" s="1818"/>
      <c r="DM811" s="1818"/>
      <c r="DN811" s="1818"/>
      <c r="DO811" s="1818"/>
      <c r="DP811" s="1818"/>
      <c r="DQ811" s="1818"/>
      <c r="DR811" s="1818"/>
      <c r="DS811" s="1818"/>
      <c r="DT811" s="1818"/>
      <c r="DU811" s="1818"/>
      <c r="DV811" s="1818"/>
      <c r="DW811" s="1818"/>
      <c r="DX811" s="1818"/>
      <c r="DY811" s="1818"/>
      <c r="DZ811" s="1818"/>
      <c r="EA811" s="1818"/>
      <c r="EB811" s="1818"/>
      <c r="EC811" s="1818"/>
      <c r="ED811" s="1818"/>
      <c r="EE811" s="1818"/>
      <c r="EF811" s="1818"/>
      <c r="EG811" s="1818"/>
      <c r="EH811" s="1818"/>
      <c r="EI811" s="1818"/>
      <c r="EJ811" s="1818"/>
      <c r="EK811" s="1818"/>
      <c r="EL811" s="1818"/>
      <c r="EM811" s="1818"/>
      <c r="EN811" s="1818"/>
      <c r="EO811" s="1818"/>
      <c r="EP811" s="1818"/>
      <c r="EQ811" s="1818"/>
      <c r="ER811" s="1818"/>
      <c r="ES811" s="1818"/>
      <c r="ET811" s="1818"/>
      <c r="EU811" s="1818"/>
      <c r="EV811" s="1818"/>
      <c r="EW811" s="1818"/>
      <c r="EX811" s="1818"/>
      <c r="EY811" s="1818"/>
      <c r="EZ811" s="1818"/>
      <c r="FA811" s="1818"/>
      <c r="FB811" s="1818"/>
      <c r="FC811" s="1818"/>
      <c r="FD811" s="1818"/>
      <c r="FE811" s="1818"/>
      <c r="FF811" s="1818"/>
      <c r="FG811" s="1818"/>
      <c r="FH811" s="1818"/>
      <c r="FI811" s="1818"/>
      <c r="FJ811" s="1818"/>
      <c r="FK811" s="1818"/>
      <c r="FL811" s="1818"/>
      <c r="FM811" s="1818"/>
      <c r="FN811" s="1818"/>
      <c r="FO811" s="1818"/>
      <c r="FP811" s="1818"/>
      <c r="FQ811" s="1818"/>
      <c r="FR811" s="1818"/>
      <c r="FS811" s="1818"/>
      <c r="FT811" s="1818"/>
    </row>
    <row r="812" spans="1:176" s="1965" customFormat="1" ht="32.1" customHeight="1">
      <c r="A812" s="2535"/>
      <c r="B812" s="1819"/>
      <c r="C812" s="1813"/>
      <c r="D812" s="1813"/>
      <c r="E812" s="1813"/>
      <c r="F812" s="1813"/>
      <c r="G812" s="1813"/>
      <c r="H812" s="1813"/>
      <c r="I812" s="2434"/>
      <c r="J812" s="2244"/>
      <c r="K812" s="2244"/>
      <c r="L812" s="2244"/>
      <c r="M812" s="2244"/>
      <c r="N812" s="2244"/>
      <c r="O812" s="2244"/>
      <c r="P812" s="2245"/>
      <c r="Q812" s="2245"/>
      <c r="S812" s="2244"/>
      <c r="T812" s="2244"/>
      <c r="U812" s="2244"/>
      <c r="V812" s="2244"/>
      <c r="W812" s="2244"/>
      <c r="X812" s="2244"/>
      <c r="Y812" s="1818"/>
      <c r="Z812" s="1818"/>
      <c r="AA812" s="1818"/>
      <c r="AB812" s="1818"/>
      <c r="AC812" s="1818"/>
      <c r="AD812" s="1818"/>
      <c r="AE812" s="1818"/>
      <c r="AF812" s="1818"/>
      <c r="AG812" s="1818"/>
      <c r="AH812" s="1818"/>
      <c r="AI812" s="1818"/>
      <c r="AJ812" s="1818"/>
      <c r="AK812" s="1818"/>
      <c r="AL812" s="1818"/>
      <c r="AM812" s="1818"/>
      <c r="AN812" s="1818"/>
      <c r="AO812" s="1818"/>
      <c r="AP812" s="1818"/>
      <c r="AQ812" s="1818"/>
      <c r="AR812" s="1818"/>
      <c r="AS812" s="1818"/>
      <c r="AT812" s="1818"/>
      <c r="AU812" s="1818"/>
      <c r="AV812" s="1818"/>
      <c r="AW812" s="1818"/>
      <c r="AX812" s="1818"/>
      <c r="AY812" s="1818"/>
      <c r="AZ812" s="1818"/>
      <c r="BA812" s="1818"/>
      <c r="BB812" s="1818"/>
      <c r="BC812" s="1818"/>
      <c r="BD812" s="1818"/>
      <c r="BE812" s="1818"/>
      <c r="BF812" s="1818"/>
      <c r="BG812" s="1818"/>
      <c r="BH812" s="1818"/>
      <c r="BI812" s="1818"/>
      <c r="BJ812" s="1818"/>
      <c r="BK812" s="1818"/>
      <c r="BL812" s="1818"/>
      <c r="BM812" s="1818"/>
      <c r="BN812" s="1818"/>
      <c r="BO812" s="1818"/>
      <c r="BP812" s="1818"/>
      <c r="BQ812" s="1818"/>
      <c r="BR812" s="1818"/>
      <c r="BS812" s="1818"/>
      <c r="BT812" s="1818"/>
      <c r="BU812" s="1818"/>
      <c r="BV812" s="1818"/>
      <c r="BW812" s="1818"/>
      <c r="BX812" s="1818"/>
      <c r="BY812" s="1818"/>
      <c r="BZ812" s="1818"/>
      <c r="CA812" s="1818"/>
      <c r="CB812" s="1818"/>
      <c r="CC812" s="1818"/>
      <c r="CD812" s="1818"/>
      <c r="CE812" s="1818"/>
      <c r="CF812" s="1818"/>
      <c r="CG812" s="1818"/>
      <c r="CH812" s="1818"/>
      <c r="CI812" s="1818"/>
      <c r="CJ812" s="1818"/>
      <c r="CK812" s="1818"/>
      <c r="CL812" s="1818"/>
      <c r="CM812" s="1818"/>
      <c r="CN812" s="1818"/>
      <c r="CO812" s="1818"/>
      <c r="CP812" s="1818"/>
      <c r="CQ812" s="1818"/>
      <c r="CR812" s="1818"/>
      <c r="CS812" s="1818"/>
      <c r="CT812" s="1818"/>
      <c r="CU812" s="1818"/>
      <c r="CV812" s="1818"/>
      <c r="CW812" s="1818"/>
      <c r="CX812" s="1818"/>
      <c r="CY812" s="1818"/>
      <c r="CZ812" s="1818"/>
      <c r="DA812" s="1818"/>
      <c r="DB812" s="1818"/>
      <c r="DC812" s="1818"/>
      <c r="DD812" s="1818"/>
      <c r="DE812" s="1818"/>
      <c r="DF812" s="1818"/>
      <c r="DG812" s="1818"/>
      <c r="DH812" s="1818"/>
      <c r="DI812" s="1818"/>
      <c r="DJ812" s="1818"/>
      <c r="DK812" s="1818"/>
      <c r="DL812" s="1818"/>
      <c r="DM812" s="1818"/>
      <c r="DN812" s="1818"/>
      <c r="DO812" s="1818"/>
      <c r="DP812" s="1818"/>
      <c r="DQ812" s="1818"/>
      <c r="DR812" s="1818"/>
      <c r="DS812" s="1818"/>
      <c r="DT812" s="1818"/>
      <c r="DU812" s="1818"/>
      <c r="DV812" s="1818"/>
      <c r="DW812" s="1818"/>
      <c r="DX812" s="1818"/>
      <c r="DY812" s="1818"/>
      <c r="DZ812" s="1818"/>
      <c r="EA812" s="1818"/>
      <c r="EB812" s="1818"/>
      <c r="EC812" s="1818"/>
      <c r="ED812" s="1818"/>
      <c r="EE812" s="1818"/>
      <c r="EF812" s="1818"/>
      <c r="EG812" s="1818"/>
      <c r="EH812" s="1818"/>
      <c r="EI812" s="1818"/>
      <c r="EJ812" s="1818"/>
      <c r="EK812" s="1818"/>
      <c r="EL812" s="1818"/>
      <c r="EM812" s="1818"/>
      <c r="EN812" s="1818"/>
      <c r="EO812" s="1818"/>
      <c r="EP812" s="1818"/>
      <c r="EQ812" s="1818"/>
      <c r="ER812" s="1818"/>
      <c r="ES812" s="1818"/>
      <c r="ET812" s="1818"/>
      <c r="EU812" s="1818"/>
      <c r="EV812" s="1818"/>
      <c r="EW812" s="1818"/>
      <c r="EX812" s="1818"/>
      <c r="EY812" s="1818"/>
      <c r="EZ812" s="1818"/>
      <c r="FA812" s="1818"/>
      <c r="FB812" s="1818"/>
      <c r="FC812" s="1818"/>
      <c r="FD812" s="1818"/>
      <c r="FE812" s="1818"/>
      <c r="FF812" s="1818"/>
      <c r="FG812" s="1818"/>
      <c r="FH812" s="1818"/>
      <c r="FI812" s="1818"/>
      <c r="FJ812" s="1818"/>
      <c r="FK812" s="1818"/>
      <c r="FL812" s="1818"/>
      <c r="FM812" s="1818"/>
      <c r="FN812" s="1818"/>
      <c r="FO812" s="1818"/>
      <c r="FP812" s="1818"/>
      <c r="FQ812" s="1818"/>
      <c r="FR812" s="1818"/>
      <c r="FS812" s="1818"/>
      <c r="FT812" s="1818"/>
    </row>
    <row r="813" spans="1:176" s="1965" customFormat="1" ht="32.1" customHeight="1">
      <c r="A813" s="2535"/>
      <c r="B813" s="1819"/>
      <c r="C813" s="1813"/>
      <c r="D813" s="1813"/>
      <c r="E813" s="1813"/>
      <c r="F813" s="1813"/>
      <c r="G813" s="1813"/>
      <c r="H813" s="1813"/>
      <c r="I813" s="2434"/>
      <c r="J813" s="2244"/>
      <c r="K813" s="2244"/>
      <c r="L813" s="2244"/>
      <c r="M813" s="2244"/>
      <c r="N813" s="2244"/>
      <c r="O813" s="2244"/>
      <c r="P813" s="2245"/>
      <c r="Q813" s="2245"/>
      <c r="S813" s="2244"/>
      <c r="T813" s="2244"/>
      <c r="U813" s="2244"/>
      <c r="V813" s="2244"/>
      <c r="W813" s="2244"/>
      <c r="X813" s="2244"/>
      <c r="Y813" s="1818"/>
      <c r="Z813" s="1818"/>
      <c r="AA813" s="1818"/>
      <c r="AB813" s="1818"/>
      <c r="AC813" s="1818"/>
      <c r="AD813" s="1818"/>
      <c r="AE813" s="1818"/>
      <c r="AF813" s="1818"/>
      <c r="AG813" s="1818"/>
      <c r="AH813" s="1818"/>
      <c r="AI813" s="1818"/>
      <c r="AJ813" s="1818"/>
      <c r="AK813" s="1818"/>
      <c r="AL813" s="1818"/>
      <c r="AM813" s="1818"/>
      <c r="AN813" s="1818"/>
      <c r="AO813" s="1818"/>
      <c r="AP813" s="1818"/>
      <c r="AQ813" s="1818"/>
      <c r="AR813" s="1818"/>
      <c r="AS813" s="1818"/>
      <c r="AT813" s="1818"/>
      <c r="AU813" s="1818"/>
      <c r="AV813" s="1818"/>
      <c r="AW813" s="1818"/>
      <c r="AX813" s="1818"/>
      <c r="AY813" s="1818"/>
      <c r="AZ813" s="1818"/>
      <c r="BA813" s="1818"/>
      <c r="BB813" s="1818"/>
      <c r="BC813" s="1818"/>
      <c r="BD813" s="1818"/>
      <c r="BE813" s="1818"/>
      <c r="BF813" s="1818"/>
      <c r="BG813" s="1818"/>
      <c r="BH813" s="1818"/>
      <c r="BI813" s="1818"/>
      <c r="BJ813" s="1818"/>
      <c r="BK813" s="1818"/>
      <c r="BL813" s="1818"/>
      <c r="BM813" s="1818"/>
      <c r="BN813" s="1818"/>
      <c r="BO813" s="1818"/>
      <c r="BP813" s="1818"/>
      <c r="BQ813" s="1818"/>
      <c r="BR813" s="1818"/>
      <c r="BS813" s="1818"/>
      <c r="BT813" s="1818"/>
      <c r="BU813" s="1818"/>
      <c r="BV813" s="1818"/>
      <c r="BW813" s="1818"/>
      <c r="BX813" s="1818"/>
      <c r="BY813" s="1818"/>
      <c r="BZ813" s="1818"/>
      <c r="CA813" s="1818"/>
      <c r="CB813" s="1818"/>
      <c r="CC813" s="1818"/>
      <c r="CD813" s="1818"/>
      <c r="CE813" s="1818"/>
      <c r="CF813" s="1818"/>
      <c r="CG813" s="1818"/>
      <c r="CH813" s="1818"/>
      <c r="CI813" s="1818"/>
      <c r="CJ813" s="1818"/>
      <c r="CK813" s="1818"/>
      <c r="CL813" s="1818"/>
      <c r="CM813" s="1818"/>
      <c r="CN813" s="1818"/>
      <c r="CO813" s="1818"/>
      <c r="CP813" s="1818"/>
      <c r="CQ813" s="1818"/>
      <c r="CR813" s="1818"/>
      <c r="CS813" s="1818"/>
      <c r="CT813" s="1818"/>
      <c r="CU813" s="1818"/>
      <c r="CV813" s="1818"/>
      <c r="CW813" s="1818"/>
      <c r="CX813" s="1818"/>
      <c r="CY813" s="1818"/>
      <c r="CZ813" s="1818"/>
      <c r="DA813" s="1818"/>
      <c r="DB813" s="1818"/>
      <c r="DC813" s="1818"/>
      <c r="DD813" s="1818"/>
      <c r="DE813" s="1818"/>
      <c r="DF813" s="1818"/>
      <c r="DG813" s="1818"/>
      <c r="DH813" s="1818"/>
      <c r="DI813" s="1818"/>
      <c r="DJ813" s="1818"/>
      <c r="DK813" s="1818"/>
      <c r="DL813" s="1818"/>
      <c r="DM813" s="1818"/>
      <c r="DN813" s="1818"/>
      <c r="DO813" s="1818"/>
      <c r="DP813" s="1818"/>
      <c r="DQ813" s="1818"/>
      <c r="DR813" s="1818"/>
      <c r="DS813" s="1818"/>
      <c r="DT813" s="1818"/>
      <c r="DU813" s="1818"/>
      <c r="DV813" s="1818"/>
      <c r="DW813" s="1818"/>
      <c r="DX813" s="1818"/>
      <c r="DY813" s="1818"/>
      <c r="DZ813" s="1818"/>
      <c r="EA813" s="1818"/>
      <c r="EB813" s="1818"/>
      <c r="EC813" s="1818"/>
      <c r="ED813" s="1818"/>
      <c r="EE813" s="1818"/>
      <c r="EF813" s="1818"/>
      <c r="EG813" s="1818"/>
      <c r="EH813" s="1818"/>
      <c r="EI813" s="1818"/>
      <c r="EJ813" s="1818"/>
      <c r="EK813" s="1818"/>
      <c r="EL813" s="1818"/>
      <c r="EM813" s="1818"/>
      <c r="EN813" s="1818"/>
      <c r="EO813" s="1818"/>
      <c r="EP813" s="1818"/>
      <c r="EQ813" s="1818"/>
      <c r="ER813" s="1818"/>
      <c r="ES813" s="1818"/>
      <c r="ET813" s="1818"/>
      <c r="EU813" s="1818"/>
      <c r="EV813" s="1818"/>
      <c r="EW813" s="1818"/>
      <c r="EX813" s="1818"/>
      <c r="EY813" s="1818"/>
      <c r="EZ813" s="1818"/>
      <c r="FA813" s="1818"/>
      <c r="FB813" s="1818"/>
      <c r="FC813" s="1818"/>
      <c r="FD813" s="1818"/>
      <c r="FE813" s="1818"/>
      <c r="FF813" s="1818"/>
      <c r="FG813" s="1818"/>
      <c r="FH813" s="1818"/>
      <c r="FI813" s="1818"/>
      <c r="FJ813" s="1818"/>
      <c r="FK813" s="1818"/>
      <c r="FL813" s="1818"/>
      <c r="FM813" s="1818"/>
      <c r="FN813" s="1818"/>
      <c r="FO813" s="1818"/>
      <c r="FP813" s="1818"/>
      <c r="FQ813" s="1818"/>
      <c r="FR813" s="1818"/>
      <c r="FS813" s="1818"/>
      <c r="FT813" s="1818"/>
    </row>
    <row r="814" spans="1:176" s="1965" customFormat="1" ht="32.1" customHeight="1">
      <c r="A814" s="2535"/>
      <c r="B814" s="1819"/>
      <c r="C814" s="1813"/>
      <c r="D814" s="1813"/>
      <c r="E814" s="1813"/>
      <c r="F814" s="1813"/>
      <c r="G814" s="1813"/>
      <c r="H814" s="1813"/>
      <c r="I814" s="2434"/>
      <c r="J814" s="2244"/>
      <c r="K814" s="2244"/>
      <c r="L814" s="2244"/>
      <c r="M814" s="2244"/>
      <c r="N814" s="2244"/>
      <c r="O814" s="2244"/>
      <c r="P814" s="2245"/>
      <c r="Q814" s="2245"/>
      <c r="S814" s="2244"/>
      <c r="T814" s="2244"/>
      <c r="U814" s="2244"/>
      <c r="V814" s="2244"/>
      <c r="W814" s="2244"/>
      <c r="X814" s="2244"/>
      <c r="Y814" s="1818"/>
      <c r="Z814" s="1818"/>
      <c r="AA814" s="1818"/>
      <c r="AB814" s="1818"/>
      <c r="AC814" s="1818"/>
      <c r="AD814" s="1818"/>
      <c r="AE814" s="1818"/>
      <c r="AF814" s="1818"/>
      <c r="AG814" s="1818"/>
      <c r="AH814" s="1818"/>
      <c r="AI814" s="1818"/>
      <c r="AJ814" s="1818"/>
      <c r="AK814" s="1818"/>
      <c r="AL814" s="1818"/>
      <c r="AM814" s="1818"/>
      <c r="AN814" s="1818"/>
      <c r="AO814" s="1818"/>
      <c r="AP814" s="1818"/>
      <c r="AQ814" s="1818"/>
      <c r="AR814" s="1818"/>
      <c r="AS814" s="1818"/>
      <c r="AT814" s="1818"/>
      <c r="AU814" s="1818"/>
      <c r="AV814" s="1818"/>
      <c r="AW814" s="1818"/>
      <c r="AX814" s="1818"/>
      <c r="AY814" s="1818"/>
      <c r="AZ814" s="1818"/>
      <c r="BA814" s="1818"/>
      <c r="BB814" s="1818"/>
      <c r="BC814" s="1818"/>
      <c r="BD814" s="1818"/>
      <c r="BE814" s="1818"/>
      <c r="BF814" s="1818"/>
      <c r="BG814" s="1818"/>
      <c r="BH814" s="1818"/>
      <c r="BI814" s="1818"/>
      <c r="BJ814" s="1818"/>
      <c r="BK814" s="1818"/>
      <c r="BL814" s="1818"/>
      <c r="BM814" s="1818"/>
      <c r="BN814" s="1818"/>
      <c r="BO814" s="1818"/>
      <c r="BP814" s="1818"/>
      <c r="BQ814" s="1818"/>
      <c r="BR814" s="1818"/>
      <c r="BS814" s="1818"/>
      <c r="BT814" s="1818"/>
      <c r="BU814" s="1818"/>
      <c r="BV814" s="1818"/>
      <c r="BW814" s="1818"/>
      <c r="BX814" s="1818"/>
      <c r="BY814" s="1818"/>
      <c r="BZ814" s="1818"/>
      <c r="CA814" s="1818"/>
      <c r="CB814" s="1818"/>
      <c r="CC814" s="1818"/>
      <c r="CD814" s="1818"/>
      <c r="CE814" s="1818"/>
      <c r="CF814" s="1818"/>
      <c r="CG814" s="1818"/>
      <c r="CH814" s="1818"/>
      <c r="CI814" s="1818"/>
      <c r="CJ814" s="1818"/>
      <c r="CK814" s="1818"/>
      <c r="CL814" s="1818"/>
      <c r="CM814" s="1818"/>
      <c r="CN814" s="1818"/>
      <c r="CO814" s="1818"/>
      <c r="CP814" s="1818"/>
      <c r="CQ814" s="1818"/>
      <c r="CR814" s="1818"/>
      <c r="CS814" s="1818"/>
      <c r="CT814" s="1818"/>
      <c r="CU814" s="1818"/>
      <c r="CV814" s="1818"/>
      <c r="CW814" s="1818"/>
      <c r="CX814" s="1818"/>
      <c r="CY814" s="1818"/>
      <c r="CZ814" s="1818"/>
      <c r="DA814" s="1818"/>
      <c r="DB814" s="1818"/>
      <c r="DC814" s="1818"/>
      <c r="DD814" s="1818"/>
      <c r="DE814" s="1818"/>
      <c r="DF814" s="1818"/>
      <c r="DG814" s="1818"/>
      <c r="DH814" s="1818"/>
      <c r="DI814" s="1818"/>
      <c r="DJ814" s="1818"/>
      <c r="DK814" s="1818"/>
      <c r="DL814" s="1818"/>
      <c r="DM814" s="1818"/>
      <c r="DN814" s="1818"/>
      <c r="DO814" s="1818"/>
      <c r="DP814" s="1818"/>
      <c r="DQ814" s="1818"/>
      <c r="DR814" s="1818"/>
      <c r="DS814" s="1818"/>
      <c r="DT814" s="1818"/>
      <c r="DU814" s="1818"/>
      <c r="DV814" s="1818"/>
      <c r="DW814" s="1818"/>
      <c r="DX814" s="1818"/>
      <c r="DY814" s="1818"/>
      <c r="DZ814" s="1818"/>
      <c r="EA814" s="1818"/>
      <c r="EB814" s="1818"/>
      <c r="EC814" s="1818"/>
      <c r="ED814" s="1818"/>
      <c r="EE814" s="1818"/>
      <c r="EF814" s="1818"/>
      <c r="EG814" s="1818"/>
      <c r="EH814" s="1818"/>
      <c r="EI814" s="1818"/>
      <c r="EJ814" s="1818"/>
      <c r="EK814" s="1818"/>
      <c r="EL814" s="1818"/>
      <c r="EM814" s="1818"/>
      <c r="EN814" s="1818"/>
      <c r="EO814" s="1818"/>
      <c r="EP814" s="1818"/>
      <c r="EQ814" s="1818"/>
      <c r="ER814" s="1818"/>
      <c r="ES814" s="1818"/>
      <c r="ET814" s="1818"/>
      <c r="EU814" s="1818"/>
      <c r="EV814" s="1818"/>
      <c r="EW814" s="1818"/>
      <c r="EX814" s="1818"/>
      <c r="EY814" s="1818"/>
      <c r="EZ814" s="1818"/>
      <c r="FA814" s="1818"/>
      <c r="FB814" s="1818"/>
      <c r="FC814" s="1818"/>
      <c r="FD814" s="1818"/>
      <c r="FE814" s="1818"/>
      <c r="FF814" s="1818"/>
      <c r="FG814" s="1818"/>
      <c r="FH814" s="1818"/>
      <c r="FI814" s="1818"/>
      <c r="FJ814" s="1818"/>
      <c r="FK814" s="1818"/>
      <c r="FL814" s="1818"/>
      <c r="FM814" s="1818"/>
      <c r="FN814" s="1818"/>
      <c r="FO814" s="1818"/>
      <c r="FP814" s="1818"/>
      <c r="FQ814" s="1818"/>
      <c r="FR814" s="1818"/>
      <c r="FS814" s="1818"/>
      <c r="FT814" s="1818"/>
    </row>
    <row r="815" spans="1:176" s="1965" customFormat="1" ht="32.1" customHeight="1">
      <c r="A815" s="2535"/>
      <c r="B815" s="1819"/>
      <c r="C815" s="1813"/>
      <c r="D815" s="1813"/>
      <c r="E815" s="1813"/>
      <c r="F815" s="1813"/>
      <c r="G815" s="1813"/>
      <c r="H815" s="1813"/>
      <c r="I815" s="2434"/>
      <c r="J815" s="2244"/>
      <c r="K815" s="2244"/>
      <c r="L815" s="2244"/>
      <c r="M815" s="2244"/>
      <c r="N815" s="2244"/>
      <c r="O815" s="2244"/>
      <c r="P815" s="2245"/>
      <c r="Q815" s="2245"/>
      <c r="S815" s="2244"/>
      <c r="T815" s="2244"/>
      <c r="U815" s="2244"/>
      <c r="V815" s="2244"/>
      <c r="W815" s="2244"/>
      <c r="X815" s="2244"/>
      <c r="Y815" s="1818"/>
      <c r="Z815" s="1818"/>
      <c r="AA815" s="1818"/>
      <c r="AB815" s="1818"/>
      <c r="AC815" s="1818"/>
      <c r="AD815" s="1818"/>
      <c r="AE815" s="1818"/>
      <c r="AF815" s="1818"/>
      <c r="AG815" s="1818"/>
      <c r="AH815" s="1818"/>
      <c r="AI815" s="1818"/>
      <c r="AJ815" s="1818"/>
      <c r="AK815" s="1818"/>
      <c r="AL815" s="1818"/>
      <c r="AM815" s="1818"/>
      <c r="AN815" s="1818"/>
      <c r="AO815" s="1818"/>
      <c r="AP815" s="1818"/>
      <c r="AQ815" s="1818"/>
      <c r="AR815" s="1818"/>
      <c r="AS815" s="1818"/>
      <c r="AT815" s="1818"/>
      <c r="AU815" s="1818"/>
      <c r="AV815" s="1818"/>
      <c r="AW815" s="1818"/>
      <c r="AX815" s="1818"/>
      <c r="AY815" s="1818"/>
      <c r="AZ815" s="1818"/>
      <c r="BA815" s="1818"/>
      <c r="BB815" s="1818"/>
      <c r="BC815" s="1818"/>
      <c r="BD815" s="1818"/>
      <c r="BE815" s="1818"/>
      <c r="BF815" s="1818"/>
      <c r="BG815" s="1818"/>
      <c r="BH815" s="1818"/>
      <c r="BI815" s="1818"/>
      <c r="BJ815" s="1818"/>
      <c r="BK815" s="1818"/>
      <c r="BL815" s="1818"/>
      <c r="BM815" s="1818"/>
      <c r="BN815" s="1818"/>
      <c r="BO815" s="1818"/>
      <c r="BP815" s="1818"/>
      <c r="BQ815" s="1818"/>
      <c r="BR815" s="1818"/>
      <c r="BS815" s="1818"/>
      <c r="BT815" s="1818"/>
      <c r="BU815" s="1818"/>
      <c r="BV815" s="1818"/>
      <c r="BW815" s="1818"/>
      <c r="BX815" s="1818"/>
      <c r="BY815" s="1818"/>
      <c r="BZ815" s="1818"/>
      <c r="CA815" s="1818"/>
      <c r="CB815" s="1818"/>
      <c r="CC815" s="1818"/>
      <c r="CD815" s="1818"/>
      <c r="CE815" s="1818"/>
      <c r="CF815" s="1818"/>
      <c r="CG815" s="1818"/>
      <c r="CH815" s="1818"/>
      <c r="CI815" s="1818"/>
      <c r="CJ815" s="1818"/>
      <c r="CK815" s="1818"/>
      <c r="CL815" s="1818"/>
      <c r="CM815" s="1818"/>
      <c r="CN815" s="1818"/>
      <c r="CO815" s="1818"/>
      <c r="CP815" s="1818"/>
      <c r="CQ815" s="1818"/>
      <c r="CR815" s="1818"/>
      <c r="CS815" s="1818"/>
      <c r="CT815" s="1818"/>
      <c r="CU815" s="1818"/>
      <c r="CV815" s="1818"/>
      <c r="CW815" s="1818"/>
      <c r="CX815" s="1818"/>
      <c r="CY815" s="1818"/>
      <c r="CZ815" s="1818"/>
      <c r="DA815" s="1818"/>
      <c r="DB815" s="1818"/>
      <c r="DC815" s="1818"/>
      <c r="DD815" s="1818"/>
      <c r="DE815" s="1818"/>
      <c r="DF815" s="1818"/>
      <c r="DG815" s="1818"/>
      <c r="DH815" s="1818"/>
      <c r="DI815" s="1818"/>
      <c r="DJ815" s="1818"/>
      <c r="DK815" s="1818"/>
      <c r="DL815" s="1818"/>
      <c r="DM815" s="1818"/>
      <c r="DN815" s="1818"/>
      <c r="DO815" s="1818"/>
      <c r="DP815" s="1818"/>
      <c r="DQ815" s="1818"/>
      <c r="DR815" s="1818"/>
      <c r="DS815" s="1818"/>
      <c r="DT815" s="1818"/>
      <c r="DU815" s="1818"/>
      <c r="DV815" s="1818"/>
      <c r="DW815" s="1818"/>
      <c r="DX815" s="1818"/>
      <c r="DY815" s="1818"/>
      <c r="DZ815" s="1818"/>
      <c r="EA815" s="1818"/>
      <c r="EB815" s="1818"/>
      <c r="EC815" s="1818"/>
      <c r="ED815" s="1818"/>
      <c r="EE815" s="1818"/>
      <c r="EF815" s="1818"/>
      <c r="EG815" s="1818"/>
      <c r="EH815" s="1818"/>
      <c r="EI815" s="1818"/>
      <c r="EJ815" s="1818"/>
      <c r="EK815" s="1818"/>
      <c r="EL815" s="1818"/>
      <c r="EM815" s="1818"/>
      <c r="EN815" s="1818"/>
      <c r="EO815" s="1818"/>
      <c r="EP815" s="1818"/>
      <c r="EQ815" s="1818"/>
      <c r="ER815" s="1818"/>
      <c r="ES815" s="1818"/>
      <c r="ET815" s="1818"/>
      <c r="EU815" s="1818"/>
      <c r="EV815" s="1818"/>
      <c r="EW815" s="1818"/>
      <c r="EX815" s="1818"/>
      <c r="EY815" s="1818"/>
      <c r="EZ815" s="1818"/>
      <c r="FA815" s="1818"/>
      <c r="FB815" s="1818"/>
      <c r="FC815" s="1818"/>
      <c r="FD815" s="1818"/>
      <c r="FE815" s="1818"/>
      <c r="FF815" s="1818"/>
      <c r="FG815" s="1818"/>
      <c r="FH815" s="1818"/>
      <c r="FI815" s="1818"/>
      <c r="FJ815" s="1818"/>
      <c r="FK815" s="1818"/>
      <c r="FL815" s="1818"/>
      <c r="FM815" s="1818"/>
      <c r="FN815" s="1818"/>
      <c r="FO815" s="1818"/>
      <c r="FP815" s="1818"/>
      <c r="FQ815" s="1818"/>
      <c r="FR815" s="1818"/>
      <c r="FS815" s="1818"/>
      <c r="FT815" s="1818"/>
    </row>
    <row r="816" spans="1:176" s="1965" customFormat="1" ht="32.1" customHeight="1">
      <c r="A816" s="2535"/>
      <c r="B816" s="1819"/>
      <c r="C816" s="1813"/>
      <c r="D816" s="1813"/>
      <c r="E816" s="1813"/>
      <c r="F816" s="1813"/>
      <c r="G816" s="1813"/>
      <c r="H816" s="1813"/>
      <c r="I816" s="2434"/>
      <c r="J816" s="2244"/>
      <c r="K816" s="2244"/>
      <c r="L816" s="2244"/>
      <c r="M816" s="2244"/>
      <c r="N816" s="2244"/>
      <c r="O816" s="2244"/>
      <c r="P816" s="2245"/>
      <c r="Q816" s="2245"/>
      <c r="S816" s="2244"/>
      <c r="T816" s="2244"/>
      <c r="U816" s="2244"/>
      <c r="V816" s="2244"/>
      <c r="W816" s="2244"/>
      <c r="X816" s="2244"/>
      <c r="Y816" s="1818"/>
      <c r="Z816" s="1818"/>
      <c r="AA816" s="1818"/>
      <c r="AB816" s="1818"/>
      <c r="AC816" s="1818"/>
      <c r="AD816" s="1818"/>
      <c r="AE816" s="1818"/>
      <c r="AF816" s="1818"/>
      <c r="AG816" s="1818"/>
      <c r="AH816" s="1818"/>
      <c r="AI816" s="1818"/>
      <c r="AJ816" s="1818"/>
      <c r="AK816" s="1818"/>
      <c r="AL816" s="1818"/>
      <c r="AM816" s="1818"/>
      <c r="AN816" s="1818"/>
      <c r="AO816" s="1818"/>
      <c r="AP816" s="1818"/>
      <c r="AQ816" s="1818"/>
      <c r="AR816" s="1818"/>
      <c r="AS816" s="1818"/>
      <c r="AT816" s="1818"/>
      <c r="AU816" s="1818"/>
      <c r="AV816" s="1818"/>
      <c r="AW816" s="1818"/>
      <c r="AX816" s="1818"/>
      <c r="AY816" s="1818"/>
      <c r="AZ816" s="1818"/>
      <c r="BA816" s="1818"/>
      <c r="BB816" s="1818"/>
      <c r="BC816" s="1818"/>
      <c r="BD816" s="1818"/>
      <c r="BE816" s="1818"/>
      <c r="BF816" s="1818"/>
      <c r="BG816" s="1818"/>
      <c r="BH816" s="1818"/>
      <c r="BI816" s="1818"/>
      <c r="BJ816" s="1818"/>
      <c r="BK816" s="1818"/>
      <c r="BL816" s="1818"/>
      <c r="BM816" s="1818"/>
      <c r="BN816" s="1818"/>
      <c r="BO816" s="1818"/>
      <c r="BP816" s="1818"/>
      <c r="BQ816" s="1818"/>
      <c r="BR816" s="1818"/>
      <c r="BS816" s="1818"/>
      <c r="BT816" s="1818"/>
      <c r="BU816" s="1818"/>
      <c r="BV816" s="1818"/>
      <c r="BW816" s="1818"/>
      <c r="BX816" s="1818"/>
      <c r="BY816" s="1818"/>
      <c r="BZ816" s="1818"/>
      <c r="CA816" s="1818"/>
      <c r="CB816" s="1818"/>
      <c r="CC816" s="1818"/>
      <c r="CD816" s="1818"/>
      <c r="CE816" s="1818"/>
      <c r="CF816" s="1818"/>
      <c r="CG816" s="1818"/>
      <c r="CH816" s="1818"/>
      <c r="CI816" s="1818"/>
      <c r="CJ816" s="1818"/>
      <c r="CK816" s="1818"/>
      <c r="CL816" s="1818"/>
      <c r="CM816" s="1818"/>
      <c r="CN816" s="1818"/>
      <c r="CO816" s="1818"/>
      <c r="CP816" s="1818"/>
      <c r="CQ816" s="1818"/>
      <c r="CR816" s="1818"/>
      <c r="CS816" s="1818"/>
      <c r="CT816" s="1818"/>
      <c r="CU816" s="1818"/>
      <c r="CV816" s="1818"/>
      <c r="CW816" s="1818"/>
      <c r="CX816" s="1818"/>
      <c r="CY816" s="1818"/>
      <c r="CZ816" s="1818"/>
      <c r="DA816" s="1818"/>
      <c r="DB816" s="1818"/>
      <c r="DC816" s="1818"/>
      <c r="DD816" s="1818"/>
      <c r="DE816" s="1818"/>
      <c r="DF816" s="1818"/>
      <c r="DG816" s="1818"/>
      <c r="DH816" s="1818"/>
      <c r="DI816" s="1818"/>
      <c r="DJ816" s="1818"/>
      <c r="DK816" s="1818"/>
      <c r="DL816" s="1818"/>
      <c r="DM816" s="1818"/>
      <c r="DN816" s="1818"/>
      <c r="DO816" s="1818"/>
      <c r="DP816" s="1818"/>
      <c r="DQ816" s="1818"/>
      <c r="DR816" s="1818"/>
      <c r="DS816" s="1818"/>
      <c r="DT816" s="1818"/>
      <c r="DU816" s="1818"/>
      <c r="DV816" s="1818"/>
      <c r="DW816" s="1818"/>
      <c r="DX816" s="1818"/>
      <c r="DY816" s="1818"/>
      <c r="DZ816" s="1818"/>
      <c r="EA816" s="1818"/>
      <c r="EB816" s="1818"/>
      <c r="EC816" s="1818"/>
      <c r="ED816" s="1818"/>
      <c r="EE816" s="1818"/>
      <c r="EF816" s="1818"/>
      <c r="EG816" s="1818"/>
      <c r="EH816" s="1818"/>
      <c r="EI816" s="1818"/>
      <c r="EJ816" s="1818"/>
      <c r="EK816" s="1818"/>
      <c r="EL816" s="1818"/>
      <c r="EM816" s="1818"/>
      <c r="EN816" s="1818"/>
      <c r="EO816" s="1818"/>
      <c r="EP816" s="1818"/>
      <c r="EQ816" s="1818"/>
      <c r="ER816" s="1818"/>
      <c r="ES816" s="1818"/>
      <c r="ET816" s="1818"/>
      <c r="EU816" s="1818"/>
      <c r="EV816" s="1818"/>
      <c r="EW816" s="1818"/>
      <c r="EX816" s="1818"/>
      <c r="EY816" s="1818"/>
      <c r="EZ816" s="1818"/>
      <c r="FA816" s="1818"/>
      <c r="FB816" s="1818"/>
      <c r="FC816" s="1818"/>
      <c r="FD816" s="1818"/>
      <c r="FE816" s="1818"/>
      <c r="FF816" s="1818"/>
      <c r="FG816" s="1818"/>
      <c r="FH816" s="1818"/>
      <c r="FI816" s="1818"/>
      <c r="FJ816" s="1818"/>
      <c r="FK816" s="1818"/>
      <c r="FL816" s="1818"/>
      <c r="FM816" s="1818"/>
      <c r="FN816" s="1818"/>
      <c r="FO816" s="1818"/>
      <c r="FP816" s="1818"/>
      <c r="FQ816" s="1818"/>
      <c r="FR816" s="1818"/>
      <c r="FS816" s="1818"/>
      <c r="FT816" s="1818"/>
    </row>
    <row r="817" spans="1:176" s="1965" customFormat="1" ht="32.1" customHeight="1">
      <c r="A817" s="2535"/>
      <c r="B817" s="1819"/>
      <c r="C817" s="1813"/>
      <c r="D817" s="1813"/>
      <c r="E817" s="1813"/>
      <c r="F817" s="1813"/>
      <c r="G817" s="1813"/>
      <c r="H817" s="1813"/>
      <c r="I817" s="2434"/>
      <c r="J817" s="2244"/>
      <c r="K817" s="2244"/>
      <c r="L817" s="2244"/>
      <c r="M817" s="2244"/>
      <c r="N817" s="2244"/>
      <c r="O817" s="2244"/>
      <c r="P817" s="2245"/>
      <c r="Q817" s="2245"/>
      <c r="S817" s="2244"/>
      <c r="T817" s="2244"/>
      <c r="U817" s="2244"/>
      <c r="V817" s="2244"/>
      <c r="W817" s="2244"/>
      <c r="X817" s="2244"/>
      <c r="Y817" s="1818"/>
      <c r="Z817" s="1818"/>
      <c r="AA817" s="1818"/>
      <c r="AB817" s="1818"/>
      <c r="AC817" s="1818"/>
      <c r="AD817" s="1818"/>
      <c r="AE817" s="1818"/>
      <c r="AF817" s="1818"/>
      <c r="AG817" s="1818"/>
      <c r="AH817" s="1818"/>
      <c r="AI817" s="1818"/>
      <c r="AJ817" s="1818"/>
      <c r="AK817" s="1818"/>
      <c r="AL817" s="1818"/>
      <c r="AM817" s="1818"/>
      <c r="AN817" s="1818"/>
      <c r="AO817" s="1818"/>
      <c r="AP817" s="1818"/>
      <c r="AQ817" s="1818"/>
      <c r="AR817" s="1818"/>
      <c r="AS817" s="1818"/>
      <c r="AT817" s="1818"/>
      <c r="AU817" s="1818"/>
      <c r="AV817" s="1818"/>
      <c r="AW817" s="1818"/>
      <c r="AX817" s="1818"/>
      <c r="AY817" s="1818"/>
      <c r="AZ817" s="1818"/>
      <c r="BA817" s="1818"/>
      <c r="BB817" s="1818"/>
      <c r="BC817" s="1818"/>
      <c r="BD817" s="1818"/>
      <c r="BE817" s="1818"/>
      <c r="BF817" s="1818"/>
      <c r="BG817" s="1818"/>
      <c r="BH817" s="1818"/>
      <c r="BI817" s="1818"/>
      <c r="BJ817" s="1818"/>
      <c r="BK817" s="1818"/>
      <c r="BL817" s="1818"/>
      <c r="BM817" s="1818"/>
      <c r="BN817" s="1818"/>
      <c r="BO817" s="1818"/>
      <c r="BP817" s="1818"/>
      <c r="BQ817" s="1818"/>
      <c r="BR817" s="1818"/>
      <c r="BS817" s="1818"/>
      <c r="BT817" s="1818"/>
      <c r="BU817" s="1818"/>
      <c r="BV817" s="1818"/>
      <c r="BW817" s="1818"/>
      <c r="BX817" s="1818"/>
      <c r="BY817" s="1818"/>
      <c r="BZ817" s="1818"/>
      <c r="CA817" s="1818"/>
      <c r="CB817" s="1818"/>
      <c r="CC817" s="1818"/>
      <c r="CD817" s="1818"/>
      <c r="CE817" s="1818"/>
      <c r="CF817" s="1818"/>
      <c r="CG817" s="1818"/>
      <c r="CH817" s="1818"/>
      <c r="CI817" s="1818"/>
      <c r="CJ817" s="1818"/>
      <c r="CK817" s="1818"/>
      <c r="CL817" s="1818"/>
      <c r="CM817" s="1818"/>
      <c r="CN817" s="1818"/>
      <c r="CO817" s="1818"/>
      <c r="CP817" s="1818"/>
      <c r="CQ817" s="1818"/>
      <c r="CR817" s="1818"/>
      <c r="CS817" s="1818"/>
      <c r="CT817" s="1818"/>
      <c r="CU817" s="1818"/>
      <c r="CV817" s="1818"/>
      <c r="CW817" s="1818"/>
      <c r="CX817" s="1818"/>
      <c r="CY817" s="1818"/>
      <c r="CZ817" s="1818"/>
      <c r="DA817" s="1818"/>
      <c r="DB817" s="1818"/>
      <c r="DC817" s="1818"/>
      <c r="DD817" s="1818"/>
      <c r="DE817" s="1818"/>
      <c r="DF817" s="1818"/>
      <c r="DG817" s="1818"/>
      <c r="DH817" s="1818"/>
      <c r="DI817" s="1818"/>
      <c r="DJ817" s="1818"/>
      <c r="DK817" s="1818"/>
      <c r="DL817" s="1818"/>
      <c r="DM817" s="1818"/>
      <c r="DN817" s="1818"/>
      <c r="DO817" s="1818"/>
      <c r="DP817" s="1818"/>
      <c r="DQ817" s="1818"/>
      <c r="DR817" s="1818"/>
      <c r="DS817" s="1818"/>
      <c r="DT817" s="1818"/>
      <c r="DU817" s="1818"/>
      <c r="DV817" s="1818"/>
      <c r="DW817" s="1818"/>
      <c r="DX817" s="1818"/>
      <c r="DY817" s="1818"/>
      <c r="DZ817" s="1818"/>
      <c r="EA817" s="1818"/>
      <c r="EB817" s="1818"/>
      <c r="EC817" s="1818"/>
      <c r="ED817" s="1818"/>
      <c r="EE817" s="1818"/>
      <c r="EF817" s="1818"/>
      <c r="EG817" s="1818"/>
      <c r="EH817" s="1818"/>
      <c r="EI817" s="1818"/>
      <c r="EJ817" s="1818"/>
      <c r="EK817" s="1818"/>
      <c r="EL817" s="1818"/>
      <c r="EM817" s="1818"/>
      <c r="EN817" s="1818"/>
      <c r="EO817" s="1818"/>
      <c r="EP817" s="1818"/>
      <c r="EQ817" s="1818"/>
      <c r="ER817" s="1818"/>
      <c r="ES817" s="1818"/>
      <c r="ET817" s="1818"/>
      <c r="EU817" s="1818"/>
      <c r="EV817" s="1818"/>
      <c r="EW817" s="1818"/>
      <c r="EX817" s="1818"/>
      <c r="EY817" s="1818"/>
      <c r="EZ817" s="1818"/>
      <c r="FA817" s="1818"/>
      <c r="FB817" s="1818"/>
      <c r="FC817" s="1818"/>
      <c r="FD817" s="1818"/>
      <c r="FE817" s="1818"/>
      <c r="FF817" s="1818"/>
      <c r="FG817" s="1818"/>
      <c r="FH817" s="1818"/>
      <c r="FI817" s="1818"/>
      <c r="FJ817" s="1818"/>
      <c r="FK817" s="1818"/>
      <c r="FL817" s="1818"/>
      <c r="FM817" s="1818"/>
      <c r="FN817" s="1818"/>
      <c r="FO817" s="1818"/>
      <c r="FP817" s="1818"/>
      <c r="FQ817" s="1818"/>
      <c r="FR817" s="1818"/>
      <c r="FS817" s="1818"/>
      <c r="FT817" s="1818"/>
    </row>
    <row r="818" spans="1:176" s="1965" customFormat="1" ht="32.1" customHeight="1">
      <c r="A818" s="2535"/>
      <c r="B818" s="1819"/>
      <c r="C818" s="1813"/>
      <c r="D818" s="1813"/>
      <c r="E818" s="1813"/>
      <c r="F818" s="1813"/>
      <c r="G818" s="1813"/>
      <c r="H818" s="1813"/>
      <c r="I818" s="2434"/>
      <c r="J818" s="2244"/>
      <c r="K818" s="2244"/>
      <c r="L818" s="2244"/>
      <c r="M818" s="2244"/>
      <c r="N818" s="2244"/>
      <c r="O818" s="2244"/>
      <c r="P818" s="2245"/>
      <c r="Q818" s="2245"/>
      <c r="S818" s="2244"/>
      <c r="T818" s="2244"/>
      <c r="U818" s="2244"/>
      <c r="V818" s="2244"/>
      <c r="W818" s="2244"/>
      <c r="X818" s="2244"/>
      <c r="Y818" s="1818"/>
      <c r="Z818" s="1818"/>
      <c r="AA818" s="1818"/>
      <c r="AB818" s="1818"/>
      <c r="AC818" s="1818"/>
      <c r="AD818" s="1818"/>
      <c r="AE818" s="1818"/>
      <c r="AF818" s="1818"/>
      <c r="AG818" s="1818"/>
      <c r="AH818" s="1818"/>
      <c r="AI818" s="1818"/>
      <c r="AJ818" s="1818"/>
      <c r="AK818" s="1818"/>
      <c r="AL818" s="1818"/>
      <c r="AM818" s="1818"/>
      <c r="AN818" s="1818"/>
      <c r="AO818" s="1818"/>
      <c r="AP818" s="1818"/>
      <c r="AQ818" s="1818"/>
      <c r="AR818" s="1818"/>
      <c r="AS818" s="1818"/>
      <c r="AT818" s="1818"/>
      <c r="AU818" s="1818"/>
      <c r="AV818" s="1818"/>
      <c r="AW818" s="1818"/>
      <c r="AX818" s="1818"/>
      <c r="AY818" s="1818"/>
      <c r="AZ818" s="1818"/>
      <c r="BA818" s="1818"/>
      <c r="BB818" s="1818"/>
      <c r="BC818" s="1818"/>
      <c r="BD818" s="1818"/>
      <c r="BE818" s="1818"/>
      <c r="BF818" s="1818"/>
      <c r="BG818" s="1818"/>
      <c r="BH818" s="1818"/>
      <c r="BI818" s="1818"/>
      <c r="BJ818" s="1818"/>
      <c r="BK818" s="1818"/>
      <c r="BL818" s="1818"/>
      <c r="BM818" s="1818"/>
      <c r="BN818" s="1818"/>
      <c r="BO818" s="1818"/>
      <c r="BP818" s="1818"/>
      <c r="BQ818" s="1818"/>
      <c r="BR818" s="1818"/>
      <c r="BS818" s="1818"/>
      <c r="BT818" s="1818"/>
      <c r="BU818" s="1818"/>
      <c r="BV818" s="1818"/>
      <c r="BW818" s="1818"/>
      <c r="BX818" s="1818"/>
      <c r="BY818" s="1818"/>
      <c r="BZ818" s="1818"/>
      <c r="CA818" s="1818"/>
      <c r="CB818" s="1818"/>
      <c r="CC818" s="1818"/>
      <c r="CD818" s="1818"/>
      <c r="CE818" s="1818"/>
      <c r="CF818" s="1818"/>
      <c r="CG818" s="1818"/>
      <c r="CH818" s="1818"/>
      <c r="CI818" s="1818"/>
      <c r="CJ818" s="1818"/>
      <c r="CK818" s="1818"/>
      <c r="CL818" s="1818"/>
      <c r="CM818" s="1818"/>
      <c r="CN818" s="1818"/>
      <c r="CO818" s="1818"/>
      <c r="CP818" s="1818"/>
      <c r="CQ818" s="1818"/>
      <c r="CR818" s="1818"/>
      <c r="CS818" s="1818"/>
      <c r="CT818" s="1818"/>
      <c r="CU818" s="1818"/>
      <c r="CV818" s="1818"/>
      <c r="CW818" s="1818"/>
      <c r="CX818" s="1818"/>
      <c r="CY818" s="1818"/>
      <c r="CZ818" s="1818"/>
      <c r="DA818" s="1818"/>
      <c r="DB818" s="1818"/>
      <c r="DC818" s="1818"/>
      <c r="DD818" s="1818"/>
      <c r="DE818" s="1818"/>
      <c r="DF818" s="1818"/>
      <c r="DG818" s="1818"/>
      <c r="DH818" s="1818"/>
      <c r="DI818" s="1818"/>
      <c r="DJ818" s="1818"/>
      <c r="DK818" s="1818"/>
      <c r="DL818" s="1818"/>
      <c r="DM818" s="1818"/>
      <c r="DN818" s="1818"/>
      <c r="DO818" s="1818"/>
      <c r="DP818" s="1818"/>
      <c r="DQ818" s="1818"/>
      <c r="DR818" s="1818"/>
      <c r="DS818" s="1818"/>
      <c r="DT818" s="1818"/>
      <c r="DU818" s="1818"/>
      <c r="DV818" s="1818"/>
      <c r="DW818" s="1818"/>
      <c r="DX818" s="1818"/>
      <c r="DY818" s="1818"/>
      <c r="DZ818" s="1818"/>
      <c r="EA818" s="1818"/>
      <c r="EB818" s="1818"/>
      <c r="EC818" s="1818"/>
      <c r="ED818" s="1818"/>
      <c r="EE818" s="1818"/>
      <c r="EF818" s="1818"/>
      <c r="EG818" s="1818"/>
      <c r="EH818" s="1818"/>
      <c r="EI818" s="1818"/>
      <c r="EJ818" s="1818"/>
      <c r="EK818" s="1818"/>
      <c r="EL818" s="1818"/>
      <c r="EM818" s="1818"/>
      <c r="EN818" s="1818"/>
      <c r="EO818" s="1818"/>
      <c r="EP818" s="1818"/>
      <c r="EQ818" s="1818"/>
      <c r="ER818" s="1818"/>
      <c r="ES818" s="1818"/>
      <c r="ET818" s="1818"/>
      <c r="EU818" s="1818"/>
      <c r="EV818" s="1818"/>
      <c r="EW818" s="1818"/>
      <c r="EX818" s="1818"/>
      <c r="EY818" s="1818"/>
      <c r="EZ818" s="1818"/>
      <c r="FA818" s="1818"/>
      <c r="FB818" s="1818"/>
      <c r="FC818" s="1818"/>
      <c r="FD818" s="1818"/>
      <c r="FE818" s="1818"/>
      <c r="FF818" s="1818"/>
      <c r="FG818" s="1818"/>
      <c r="FH818" s="1818"/>
      <c r="FI818" s="1818"/>
      <c r="FJ818" s="1818"/>
      <c r="FK818" s="1818"/>
      <c r="FL818" s="1818"/>
      <c r="FM818" s="1818"/>
      <c r="FN818" s="1818"/>
      <c r="FO818" s="1818"/>
      <c r="FP818" s="1818"/>
      <c r="FQ818" s="1818"/>
      <c r="FR818" s="1818"/>
      <c r="FS818" s="1818"/>
      <c r="FT818" s="1818"/>
    </row>
    <row r="819" spans="1:176" s="1965" customFormat="1" ht="32.1" customHeight="1">
      <c r="A819" s="2535"/>
      <c r="B819" s="1819"/>
      <c r="C819" s="1813"/>
      <c r="D819" s="1813"/>
      <c r="E819" s="1813"/>
      <c r="F819" s="1813"/>
      <c r="G819" s="1813"/>
      <c r="H819" s="1813"/>
      <c r="I819" s="2434"/>
      <c r="J819" s="2244"/>
      <c r="K819" s="2244"/>
      <c r="L819" s="2244"/>
      <c r="M819" s="2244"/>
      <c r="N819" s="2244"/>
      <c r="O819" s="2244"/>
      <c r="P819" s="2245"/>
      <c r="Q819" s="2245"/>
      <c r="S819" s="2244"/>
      <c r="T819" s="2244"/>
      <c r="U819" s="2244"/>
      <c r="V819" s="2244"/>
      <c r="W819" s="2244"/>
      <c r="X819" s="2244"/>
      <c r="Y819" s="1818"/>
      <c r="Z819" s="1818"/>
      <c r="AA819" s="1818"/>
      <c r="AB819" s="1818"/>
      <c r="AC819" s="1818"/>
      <c r="AD819" s="1818"/>
      <c r="AE819" s="1818"/>
      <c r="AF819" s="1818"/>
      <c r="AG819" s="1818"/>
      <c r="AH819" s="1818"/>
      <c r="AI819" s="1818"/>
      <c r="AJ819" s="1818"/>
      <c r="AK819" s="1818"/>
      <c r="AL819" s="1818"/>
      <c r="AM819" s="1818"/>
      <c r="AN819" s="1818"/>
      <c r="AO819" s="1818"/>
      <c r="AP819" s="1818"/>
      <c r="AQ819" s="1818"/>
      <c r="AR819" s="1818"/>
      <c r="AS819" s="1818"/>
      <c r="AT819" s="1818"/>
      <c r="AU819" s="1818"/>
      <c r="AV819" s="1818"/>
      <c r="AW819" s="1818"/>
      <c r="AX819" s="1818"/>
      <c r="AY819" s="1818"/>
      <c r="AZ819" s="1818"/>
      <c r="BA819" s="1818"/>
      <c r="BB819" s="1818"/>
      <c r="BC819" s="1818"/>
      <c r="BD819" s="1818"/>
      <c r="BE819" s="1818"/>
      <c r="BF819" s="1818"/>
      <c r="BG819" s="1818"/>
      <c r="BH819" s="1818"/>
      <c r="BI819" s="1818"/>
      <c r="BJ819" s="1818"/>
      <c r="BK819" s="1818"/>
      <c r="BL819" s="1818"/>
      <c r="BM819" s="1818"/>
      <c r="BN819" s="1818"/>
      <c r="BO819" s="1818"/>
      <c r="BP819" s="1818"/>
      <c r="BQ819" s="1818"/>
      <c r="BR819" s="1818"/>
      <c r="BS819" s="1818"/>
      <c r="BT819" s="1818"/>
      <c r="BU819" s="1818"/>
      <c r="BV819" s="1818"/>
      <c r="BW819" s="1818"/>
      <c r="BX819" s="1818"/>
      <c r="BY819" s="1818"/>
      <c r="BZ819" s="1818"/>
      <c r="CA819" s="1818"/>
      <c r="CB819" s="1818"/>
      <c r="CC819" s="1818"/>
      <c r="CD819" s="1818"/>
      <c r="CE819" s="1818"/>
      <c r="CF819" s="1818"/>
      <c r="CG819" s="1818"/>
      <c r="CH819" s="1818"/>
      <c r="CI819" s="1818"/>
      <c r="CJ819" s="1818"/>
      <c r="CK819" s="1818"/>
      <c r="CL819" s="1818"/>
      <c r="CM819" s="1818"/>
      <c r="CN819" s="1818"/>
      <c r="CO819" s="1818"/>
      <c r="CP819" s="1818"/>
      <c r="CQ819" s="1818"/>
      <c r="CR819" s="1818"/>
      <c r="CS819" s="1818"/>
      <c r="CT819" s="1818"/>
      <c r="CU819" s="1818"/>
      <c r="CV819" s="1818"/>
      <c r="CW819" s="1818"/>
      <c r="CX819" s="1818"/>
      <c r="CY819" s="1818"/>
      <c r="CZ819" s="1818"/>
      <c r="DA819" s="1818"/>
      <c r="DB819" s="1818"/>
      <c r="DC819" s="1818"/>
      <c r="DD819" s="1818"/>
      <c r="DE819" s="1818"/>
      <c r="DF819" s="1818"/>
      <c r="DG819" s="1818"/>
      <c r="DH819" s="1818"/>
      <c r="DI819" s="1818"/>
      <c r="DJ819" s="1818"/>
      <c r="DK819" s="1818"/>
      <c r="DL819" s="1818"/>
      <c r="DM819" s="1818"/>
      <c r="DN819" s="1818"/>
      <c r="DO819" s="1818"/>
      <c r="DP819" s="1818"/>
      <c r="DQ819" s="1818"/>
      <c r="DR819" s="1818"/>
      <c r="DS819" s="1818"/>
      <c r="DT819" s="1818"/>
      <c r="DU819" s="1818"/>
      <c r="DV819" s="1818"/>
      <c r="DW819" s="1818"/>
      <c r="DX819" s="1818"/>
      <c r="DY819" s="1818"/>
      <c r="DZ819" s="1818"/>
      <c r="EA819" s="1818"/>
      <c r="EB819" s="1818"/>
      <c r="EC819" s="1818"/>
      <c r="ED819" s="1818"/>
      <c r="EE819" s="1818"/>
      <c r="EF819" s="1818"/>
      <c r="EG819" s="1818"/>
      <c r="EH819" s="1818"/>
      <c r="EI819" s="1818"/>
      <c r="EJ819" s="1818"/>
      <c r="EK819" s="1818"/>
      <c r="EL819" s="1818"/>
      <c r="EM819" s="1818"/>
      <c r="EN819" s="1818"/>
      <c r="EO819" s="1818"/>
      <c r="EP819" s="1818"/>
      <c r="EQ819" s="1818"/>
      <c r="ER819" s="1818"/>
      <c r="ES819" s="1818"/>
      <c r="ET819" s="1818"/>
      <c r="EU819" s="1818"/>
      <c r="EV819" s="1818"/>
      <c r="EW819" s="1818"/>
      <c r="EX819" s="1818"/>
      <c r="EY819" s="1818"/>
      <c r="EZ819" s="1818"/>
      <c r="FA819" s="1818"/>
      <c r="FB819" s="1818"/>
      <c r="FC819" s="1818"/>
      <c r="FD819" s="1818"/>
      <c r="FE819" s="1818"/>
      <c r="FF819" s="1818"/>
      <c r="FG819" s="1818"/>
      <c r="FH819" s="1818"/>
      <c r="FI819" s="1818"/>
      <c r="FJ819" s="1818"/>
      <c r="FK819" s="1818"/>
      <c r="FL819" s="1818"/>
      <c r="FM819" s="1818"/>
      <c r="FN819" s="1818"/>
      <c r="FO819" s="1818"/>
      <c r="FP819" s="1818"/>
      <c r="FQ819" s="1818"/>
      <c r="FR819" s="1818"/>
      <c r="FS819" s="1818"/>
      <c r="FT819" s="1818"/>
    </row>
    <row r="820" spans="1:176" s="1965" customFormat="1" ht="32.1" customHeight="1">
      <c r="A820" s="2535"/>
      <c r="B820" s="1819"/>
      <c r="C820" s="1813"/>
      <c r="D820" s="1813"/>
      <c r="E820" s="1813"/>
      <c r="F820" s="1813"/>
      <c r="G820" s="1813"/>
      <c r="H820" s="1813"/>
      <c r="I820" s="2434"/>
      <c r="J820" s="2244"/>
      <c r="K820" s="2244"/>
      <c r="L820" s="2244"/>
      <c r="M820" s="2244"/>
      <c r="N820" s="2244"/>
      <c r="O820" s="2244"/>
      <c r="P820" s="2245"/>
      <c r="Q820" s="2245"/>
      <c r="S820" s="2244"/>
      <c r="T820" s="2244"/>
      <c r="U820" s="2244"/>
      <c r="V820" s="2244"/>
      <c r="W820" s="2244"/>
      <c r="X820" s="2244"/>
      <c r="Y820" s="1818"/>
      <c r="Z820" s="1818"/>
      <c r="AA820" s="1818"/>
      <c r="AB820" s="1818"/>
      <c r="AC820" s="1818"/>
      <c r="AD820" s="1818"/>
      <c r="AE820" s="1818"/>
      <c r="AF820" s="1818"/>
      <c r="AG820" s="1818"/>
      <c r="AH820" s="1818"/>
      <c r="AI820" s="1818"/>
      <c r="AJ820" s="1818"/>
      <c r="AK820" s="1818"/>
      <c r="AL820" s="1818"/>
      <c r="AM820" s="1818"/>
      <c r="AN820" s="1818"/>
      <c r="AO820" s="1818"/>
      <c r="AP820" s="1818"/>
      <c r="AQ820" s="1818"/>
      <c r="AR820" s="1818"/>
      <c r="AS820" s="1818"/>
      <c r="AT820" s="1818"/>
      <c r="AU820" s="1818"/>
      <c r="AV820" s="1818"/>
      <c r="AW820" s="1818"/>
      <c r="AX820" s="1818"/>
      <c r="AY820" s="1818"/>
      <c r="AZ820" s="1818"/>
      <c r="BA820" s="1818"/>
      <c r="BB820" s="1818"/>
      <c r="BC820" s="1818"/>
      <c r="BD820" s="1818"/>
      <c r="BE820" s="1818"/>
      <c r="BF820" s="1818"/>
      <c r="BG820" s="1818"/>
      <c r="BH820" s="1818"/>
      <c r="BI820" s="1818"/>
      <c r="BJ820" s="1818"/>
      <c r="BK820" s="1818"/>
      <c r="BL820" s="1818"/>
      <c r="BM820" s="1818"/>
      <c r="BN820" s="1818"/>
      <c r="BO820" s="1818"/>
      <c r="BP820" s="1818"/>
      <c r="BQ820" s="1818"/>
      <c r="BR820" s="1818"/>
      <c r="BS820" s="1818"/>
      <c r="BT820" s="1818"/>
      <c r="BU820" s="1818"/>
      <c r="BV820" s="1818"/>
      <c r="BW820" s="1818"/>
      <c r="BX820" s="1818"/>
      <c r="BY820" s="1818"/>
      <c r="BZ820" s="1818"/>
      <c r="CA820" s="1818"/>
      <c r="CB820" s="1818"/>
      <c r="CC820" s="1818"/>
      <c r="CD820" s="1818"/>
      <c r="CE820" s="1818"/>
      <c r="CF820" s="1818"/>
      <c r="CG820" s="1818"/>
      <c r="CH820" s="1818"/>
      <c r="CI820" s="1818"/>
      <c r="CJ820" s="1818"/>
      <c r="CK820" s="1818"/>
      <c r="CL820" s="1818"/>
      <c r="CM820" s="1818"/>
      <c r="CN820" s="1818"/>
      <c r="CO820" s="1818"/>
      <c r="CP820" s="1818"/>
      <c r="CQ820" s="1818"/>
      <c r="CR820" s="1818"/>
      <c r="CS820" s="1818"/>
      <c r="CT820" s="1818"/>
      <c r="CU820" s="1818"/>
      <c r="CV820" s="1818"/>
      <c r="CW820" s="1818"/>
      <c r="CX820" s="1818"/>
      <c r="CY820" s="1818"/>
      <c r="CZ820" s="1818"/>
      <c r="DA820" s="1818"/>
      <c r="DB820" s="1818"/>
      <c r="DC820" s="1818"/>
      <c r="DD820" s="1818"/>
      <c r="DE820" s="1818"/>
      <c r="DF820" s="1818"/>
      <c r="DG820" s="1818"/>
      <c r="DH820" s="1818"/>
      <c r="DI820" s="1818"/>
      <c r="DJ820" s="1818"/>
      <c r="DK820" s="1818"/>
      <c r="DL820" s="1818"/>
      <c r="DM820" s="1818"/>
      <c r="DN820" s="1818"/>
      <c r="DO820" s="1818"/>
      <c r="DP820" s="1818"/>
      <c r="DQ820" s="1818"/>
      <c r="DR820" s="1818"/>
      <c r="DS820" s="1818"/>
      <c r="DT820" s="1818"/>
      <c r="DU820" s="1818"/>
      <c r="DV820" s="1818"/>
      <c r="DW820" s="1818"/>
      <c r="DX820" s="1818"/>
      <c r="DY820" s="1818"/>
      <c r="DZ820" s="1818"/>
      <c r="EA820" s="1818"/>
      <c r="EB820" s="1818"/>
      <c r="EC820" s="1818"/>
      <c r="ED820" s="1818"/>
      <c r="EE820" s="1818"/>
      <c r="EF820" s="1818"/>
      <c r="EG820" s="1818"/>
      <c r="EH820" s="1818"/>
      <c r="EI820" s="1818"/>
      <c r="EJ820" s="1818"/>
      <c r="EK820" s="1818"/>
      <c r="EL820" s="1818"/>
      <c r="EM820" s="1818"/>
      <c r="EN820" s="1818"/>
      <c r="EO820" s="1818"/>
      <c r="EP820" s="1818"/>
      <c r="EQ820" s="1818"/>
      <c r="ER820" s="1818"/>
      <c r="ES820" s="1818"/>
      <c r="ET820" s="1818"/>
      <c r="EU820" s="1818"/>
      <c r="EV820" s="1818"/>
      <c r="EW820" s="1818"/>
      <c r="EX820" s="1818"/>
      <c r="EY820" s="1818"/>
      <c r="EZ820" s="1818"/>
      <c r="FA820" s="1818"/>
      <c r="FB820" s="1818"/>
      <c r="FC820" s="1818"/>
      <c r="FD820" s="1818"/>
      <c r="FE820" s="1818"/>
      <c r="FF820" s="1818"/>
      <c r="FG820" s="1818"/>
      <c r="FH820" s="1818"/>
      <c r="FI820" s="1818"/>
      <c r="FJ820" s="1818"/>
      <c r="FK820" s="1818"/>
      <c r="FL820" s="1818"/>
      <c r="FM820" s="1818"/>
      <c r="FN820" s="1818"/>
      <c r="FO820" s="1818"/>
      <c r="FP820" s="1818"/>
      <c r="FQ820" s="1818"/>
      <c r="FR820" s="1818"/>
      <c r="FS820" s="1818"/>
      <c r="FT820" s="1818"/>
    </row>
    <row r="821" spans="1:176" s="1965" customFormat="1" ht="32.1" customHeight="1">
      <c r="A821" s="2535"/>
      <c r="B821" s="1819"/>
      <c r="C821" s="1813"/>
      <c r="D821" s="1813"/>
      <c r="E821" s="1813"/>
      <c r="F821" s="1813"/>
      <c r="G821" s="1813"/>
      <c r="H821" s="1813"/>
      <c r="I821" s="2434"/>
      <c r="J821" s="2244"/>
      <c r="K821" s="2244"/>
      <c r="L821" s="2244"/>
      <c r="M821" s="2244"/>
      <c r="N821" s="2244"/>
      <c r="O821" s="2244"/>
      <c r="P821" s="2245"/>
      <c r="Q821" s="2245"/>
      <c r="S821" s="2244"/>
      <c r="T821" s="2244"/>
      <c r="U821" s="2244"/>
      <c r="V821" s="2244"/>
      <c r="W821" s="2244"/>
      <c r="X821" s="2244"/>
      <c r="Y821" s="1818"/>
      <c r="Z821" s="1818"/>
      <c r="AA821" s="1818"/>
      <c r="AB821" s="1818"/>
      <c r="AC821" s="1818"/>
      <c r="AD821" s="1818"/>
      <c r="AE821" s="1818"/>
      <c r="AF821" s="1818"/>
      <c r="AG821" s="1818"/>
      <c r="AH821" s="1818"/>
      <c r="AI821" s="1818"/>
      <c r="AJ821" s="1818"/>
      <c r="AK821" s="1818"/>
      <c r="AL821" s="1818"/>
      <c r="AM821" s="1818"/>
      <c r="AN821" s="1818"/>
      <c r="AO821" s="1818"/>
      <c r="AP821" s="1818"/>
      <c r="AQ821" s="1818"/>
      <c r="AR821" s="1818"/>
      <c r="AS821" s="1818"/>
      <c r="AT821" s="1818"/>
      <c r="AU821" s="1818"/>
      <c r="AV821" s="1818"/>
      <c r="AW821" s="1818"/>
      <c r="AX821" s="1818"/>
      <c r="AY821" s="1818"/>
      <c r="AZ821" s="1818"/>
      <c r="BA821" s="1818"/>
      <c r="BB821" s="1818"/>
      <c r="BC821" s="1818"/>
      <c r="BD821" s="1818"/>
      <c r="BE821" s="1818"/>
      <c r="BF821" s="1818"/>
      <c r="BG821" s="1818"/>
      <c r="BH821" s="1818"/>
      <c r="BI821" s="1818"/>
      <c r="BJ821" s="1818"/>
      <c r="BK821" s="1818"/>
      <c r="BL821" s="1818"/>
      <c r="BM821" s="1818"/>
      <c r="BN821" s="1818"/>
      <c r="BO821" s="1818"/>
      <c r="BP821" s="1818"/>
      <c r="BQ821" s="1818"/>
      <c r="BR821" s="1818"/>
      <c r="BS821" s="1818"/>
      <c r="BT821" s="1818"/>
      <c r="BU821" s="1818"/>
      <c r="BV821" s="1818"/>
      <c r="BW821" s="1818"/>
      <c r="BX821" s="1818"/>
      <c r="BY821" s="1818"/>
      <c r="BZ821" s="1818"/>
      <c r="CA821" s="1818"/>
      <c r="CB821" s="1818"/>
      <c r="CC821" s="1818"/>
      <c r="CD821" s="1818"/>
      <c r="CE821" s="1818"/>
      <c r="CF821" s="1818"/>
      <c r="CG821" s="1818"/>
      <c r="CH821" s="1818"/>
      <c r="CI821" s="1818"/>
      <c r="CJ821" s="1818"/>
      <c r="CK821" s="1818"/>
      <c r="CL821" s="1818"/>
      <c r="CM821" s="1818"/>
      <c r="CN821" s="1818"/>
      <c r="CO821" s="1818"/>
      <c r="CP821" s="1818"/>
      <c r="CQ821" s="1818"/>
      <c r="CR821" s="1818"/>
      <c r="CS821" s="1818"/>
      <c r="CT821" s="1818"/>
      <c r="CU821" s="1818"/>
      <c r="CV821" s="1818"/>
      <c r="CW821" s="1818"/>
      <c r="CX821" s="1818"/>
      <c r="CY821" s="1818"/>
      <c r="CZ821" s="1818"/>
      <c r="DA821" s="1818"/>
      <c r="DB821" s="1818"/>
      <c r="DC821" s="1818"/>
      <c r="DD821" s="1818"/>
      <c r="DE821" s="1818"/>
      <c r="DF821" s="1818"/>
      <c r="DG821" s="1818"/>
      <c r="DH821" s="1818"/>
      <c r="DI821" s="1818"/>
      <c r="DJ821" s="1818"/>
      <c r="DK821" s="1818"/>
      <c r="DL821" s="1818"/>
      <c r="DM821" s="1818"/>
      <c r="DN821" s="1818"/>
      <c r="DO821" s="1818"/>
      <c r="DP821" s="1818"/>
      <c r="DQ821" s="1818"/>
      <c r="DR821" s="1818"/>
      <c r="DS821" s="1818"/>
      <c r="DT821" s="1818"/>
      <c r="DU821" s="1818"/>
      <c r="DV821" s="1818"/>
      <c r="DW821" s="1818"/>
      <c r="DX821" s="1818"/>
      <c r="DY821" s="1818"/>
      <c r="DZ821" s="1818"/>
      <c r="EA821" s="1818"/>
      <c r="EB821" s="1818"/>
      <c r="EC821" s="1818"/>
      <c r="ED821" s="1818"/>
      <c r="EE821" s="1818"/>
      <c r="EF821" s="1818"/>
      <c r="EG821" s="1818"/>
      <c r="EH821" s="1818"/>
      <c r="EI821" s="1818"/>
      <c r="EJ821" s="1818"/>
      <c r="EK821" s="1818"/>
      <c r="EL821" s="1818"/>
      <c r="EM821" s="1818"/>
      <c r="EN821" s="1818"/>
      <c r="EO821" s="1818"/>
      <c r="EP821" s="1818"/>
      <c r="EQ821" s="1818"/>
      <c r="ER821" s="1818"/>
      <c r="ES821" s="1818"/>
      <c r="ET821" s="1818"/>
      <c r="EU821" s="1818"/>
      <c r="EV821" s="1818"/>
      <c r="EW821" s="1818"/>
      <c r="EX821" s="1818"/>
      <c r="EY821" s="1818"/>
      <c r="EZ821" s="1818"/>
      <c r="FA821" s="1818"/>
      <c r="FB821" s="1818"/>
      <c r="FC821" s="1818"/>
      <c r="FD821" s="1818"/>
      <c r="FE821" s="1818"/>
      <c r="FF821" s="1818"/>
      <c r="FG821" s="1818"/>
      <c r="FH821" s="1818"/>
      <c r="FI821" s="1818"/>
      <c r="FJ821" s="1818"/>
      <c r="FK821" s="1818"/>
      <c r="FL821" s="1818"/>
      <c r="FM821" s="1818"/>
      <c r="FN821" s="1818"/>
      <c r="FO821" s="1818"/>
      <c r="FP821" s="1818"/>
      <c r="FQ821" s="1818"/>
      <c r="FR821" s="1818"/>
      <c r="FS821" s="1818"/>
      <c r="FT821" s="1818"/>
    </row>
    <row r="822" spans="1:176" s="1965" customFormat="1" ht="32.1" customHeight="1">
      <c r="A822" s="2535"/>
      <c r="B822" s="1819"/>
      <c r="C822" s="1813"/>
      <c r="D822" s="1813"/>
      <c r="E822" s="1813"/>
      <c r="F822" s="1813"/>
      <c r="G822" s="1813"/>
      <c r="H822" s="1813"/>
      <c r="I822" s="2434"/>
      <c r="J822" s="2244"/>
      <c r="K822" s="2244"/>
      <c r="L822" s="2244"/>
      <c r="M822" s="2244"/>
      <c r="N822" s="2244"/>
      <c r="O822" s="2244"/>
      <c r="P822" s="2245"/>
      <c r="Q822" s="2245"/>
      <c r="S822" s="2244"/>
      <c r="T822" s="2244"/>
      <c r="U822" s="2244"/>
      <c r="V822" s="2244"/>
      <c r="W822" s="2244"/>
      <c r="X822" s="2244"/>
      <c r="Y822" s="1818"/>
      <c r="Z822" s="1818"/>
      <c r="AA822" s="1818"/>
      <c r="AB822" s="1818"/>
      <c r="AC822" s="1818"/>
      <c r="AD822" s="1818"/>
      <c r="AE822" s="1818"/>
      <c r="AF822" s="1818"/>
      <c r="AG822" s="1818"/>
      <c r="AH822" s="1818"/>
      <c r="AI822" s="1818"/>
      <c r="AJ822" s="1818"/>
      <c r="AK822" s="1818"/>
      <c r="AL822" s="1818"/>
      <c r="AM822" s="1818"/>
      <c r="AN822" s="1818"/>
      <c r="AO822" s="1818"/>
      <c r="AP822" s="1818"/>
      <c r="AQ822" s="1818"/>
      <c r="AR822" s="1818"/>
      <c r="AS822" s="1818"/>
      <c r="AT822" s="1818"/>
      <c r="AU822" s="1818"/>
      <c r="AV822" s="1818"/>
      <c r="AW822" s="1818"/>
      <c r="AX822" s="1818"/>
      <c r="AY822" s="1818"/>
      <c r="AZ822" s="1818"/>
      <c r="BA822" s="1818"/>
      <c r="BB822" s="1818"/>
      <c r="BC822" s="1818"/>
      <c r="BD822" s="1818"/>
      <c r="BE822" s="1818"/>
      <c r="BF822" s="1818"/>
      <c r="BG822" s="1818"/>
      <c r="BH822" s="1818"/>
      <c r="BI822" s="1818"/>
      <c r="BJ822" s="1818"/>
      <c r="BK822" s="1818"/>
      <c r="BL822" s="1818"/>
      <c r="BM822" s="1818"/>
      <c r="BN822" s="1818"/>
      <c r="BO822" s="1818"/>
      <c r="BP822" s="1818"/>
      <c r="BQ822" s="1818"/>
      <c r="BR822" s="1818"/>
      <c r="BS822" s="1818"/>
      <c r="BT822" s="1818"/>
      <c r="BU822" s="1818"/>
      <c r="BV822" s="1818"/>
      <c r="BW822" s="1818"/>
      <c r="BX822" s="1818"/>
      <c r="BY822" s="1818"/>
      <c r="BZ822" s="1818"/>
      <c r="CA822" s="1818"/>
      <c r="CB822" s="1818"/>
      <c r="CC822" s="1818"/>
      <c r="CD822" s="1818"/>
      <c r="CE822" s="1818"/>
      <c r="CF822" s="1818"/>
      <c r="CG822" s="1818"/>
      <c r="CH822" s="1818"/>
      <c r="CI822" s="1818"/>
      <c r="CJ822" s="1818"/>
      <c r="CK822" s="1818"/>
      <c r="CL822" s="1818"/>
      <c r="CM822" s="1818"/>
      <c r="CN822" s="1818"/>
      <c r="CO822" s="1818"/>
      <c r="CP822" s="1818"/>
      <c r="CQ822" s="1818"/>
      <c r="CR822" s="1818"/>
      <c r="CS822" s="1818"/>
      <c r="CT822" s="1818"/>
      <c r="CU822" s="1818"/>
      <c r="CV822" s="1818"/>
      <c r="CW822" s="1818"/>
      <c r="CX822" s="1818"/>
      <c r="CY822" s="1818"/>
      <c r="CZ822" s="1818"/>
      <c r="DA822" s="1818"/>
      <c r="DB822" s="1818"/>
      <c r="DC822" s="1818"/>
      <c r="DD822" s="1818"/>
      <c r="DE822" s="1818"/>
      <c r="DF822" s="1818"/>
      <c r="DG822" s="1818"/>
      <c r="DH822" s="1818"/>
      <c r="DI822" s="1818"/>
      <c r="DJ822" s="1818"/>
      <c r="DK822" s="1818"/>
      <c r="DL822" s="1818"/>
      <c r="DM822" s="1818"/>
      <c r="DN822" s="1818"/>
      <c r="DO822" s="1818"/>
      <c r="DP822" s="1818"/>
      <c r="DQ822" s="1818"/>
      <c r="DR822" s="1818"/>
      <c r="DS822" s="1818"/>
      <c r="DT822" s="1818"/>
      <c r="DU822" s="1818"/>
      <c r="DV822" s="1818"/>
      <c r="DW822" s="1818"/>
      <c r="DX822" s="1818"/>
      <c r="DY822" s="1818"/>
      <c r="DZ822" s="1818"/>
      <c r="EA822" s="1818"/>
      <c r="EB822" s="1818"/>
      <c r="EC822" s="1818"/>
      <c r="ED822" s="1818"/>
      <c r="EE822" s="1818"/>
      <c r="EF822" s="1818"/>
      <c r="EG822" s="1818"/>
      <c r="EH822" s="1818"/>
      <c r="EI822" s="1818"/>
      <c r="EJ822" s="1818"/>
      <c r="EK822" s="1818"/>
      <c r="EL822" s="1818"/>
      <c r="EM822" s="1818"/>
      <c r="EN822" s="1818"/>
      <c r="EO822" s="1818"/>
      <c r="EP822" s="1818"/>
      <c r="EQ822" s="1818"/>
      <c r="ER822" s="1818"/>
      <c r="ES822" s="1818"/>
      <c r="ET822" s="1818"/>
      <c r="EU822" s="1818"/>
      <c r="EV822" s="1818"/>
      <c r="EW822" s="1818"/>
      <c r="EX822" s="1818"/>
      <c r="EY822" s="1818"/>
      <c r="EZ822" s="1818"/>
      <c r="FA822" s="1818"/>
      <c r="FB822" s="1818"/>
      <c r="FC822" s="1818"/>
      <c r="FD822" s="1818"/>
      <c r="FE822" s="1818"/>
      <c r="FF822" s="1818"/>
      <c r="FG822" s="1818"/>
      <c r="FH822" s="1818"/>
      <c r="FI822" s="1818"/>
      <c r="FJ822" s="1818"/>
      <c r="FK822" s="1818"/>
      <c r="FL822" s="1818"/>
      <c r="FM822" s="1818"/>
      <c r="FN822" s="1818"/>
      <c r="FO822" s="1818"/>
      <c r="FP822" s="1818"/>
      <c r="FQ822" s="1818"/>
      <c r="FR822" s="1818"/>
      <c r="FS822" s="1818"/>
      <c r="FT822" s="1818"/>
    </row>
    <row r="823" spans="1:176" s="1965" customFormat="1" ht="32.1" customHeight="1">
      <c r="A823" s="2535"/>
      <c r="B823" s="1819"/>
      <c r="C823" s="1813"/>
      <c r="D823" s="1813"/>
      <c r="E823" s="1813"/>
      <c r="F823" s="1813"/>
      <c r="G823" s="1813"/>
      <c r="H823" s="1813"/>
      <c r="I823" s="2434"/>
      <c r="J823" s="2244"/>
      <c r="K823" s="2244"/>
      <c r="L823" s="2244"/>
      <c r="M823" s="2244"/>
      <c r="N823" s="2244"/>
      <c r="O823" s="2244"/>
      <c r="P823" s="2245"/>
      <c r="Q823" s="2245"/>
      <c r="S823" s="2244"/>
      <c r="T823" s="2244"/>
      <c r="U823" s="2244"/>
      <c r="V823" s="2244"/>
      <c r="W823" s="2244"/>
      <c r="X823" s="2244"/>
      <c r="Y823" s="1818"/>
      <c r="Z823" s="1818"/>
      <c r="AA823" s="1818"/>
      <c r="AB823" s="1818"/>
      <c r="AC823" s="1818"/>
      <c r="AD823" s="1818"/>
      <c r="AE823" s="1818"/>
      <c r="AF823" s="1818"/>
      <c r="AG823" s="1818"/>
      <c r="AH823" s="1818"/>
      <c r="AI823" s="1818"/>
      <c r="AJ823" s="1818"/>
      <c r="AK823" s="1818"/>
      <c r="AL823" s="1818"/>
      <c r="AM823" s="1818"/>
      <c r="AN823" s="1818"/>
      <c r="AO823" s="1818"/>
      <c r="AP823" s="1818"/>
      <c r="AQ823" s="1818"/>
      <c r="AR823" s="1818"/>
      <c r="AS823" s="1818"/>
      <c r="AT823" s="1818"/>
      <c r="AU823" s="1818"/>
      <c r="AV823" s="1818"/>
      <c r="AW823" s="1818"/>
      <c r="AX823" s="1818"/>
      <c r="AY823" s="1818"/>
      <c r="AZ823" s="1818"/>
      <c r="BA823" s="1818"/>
      <c r="BB823" s="1818"/>
      <c r="BC823" s="1818"/>
      <c r="BD823" s="1818"/>
      <c r="BE823" s="1818"/>
      <c r="BF823" s="1818"/>
      <c r="BG823" s="1818"/>
      <c r="BH823" s="1818"/>
      <c r="BI823" s="1818"/>
      <c r="BJ823" s="1818"/>
      <c r="BK823" s="1818"/>
      <c r="BL823" s="1818"/>
      <c r="BM823" s="1818"/>
      <c r="BN823" s="1818"/>
      <c r="BO823" s="1818"/>
      <c r="BP823" s="1818"/>
      <c r="BQ823" s="1818"/>
      <c r="BR823" s="1818"/>
      <c r="BS823" s="1818"/>
      <c r="BT823" s="1818"/>
      <c r="BU823" s="1818"/>
      <c r="BV823" s="1818"/>
      <c r="BW823" s="1818"/>
      <c r="BX823" s="1818"/>
      <c r="BY823" s="1818"/>
      <c r="BZ823" s="1818"/>
      <c r="CA823" s="1818"/>
      <c r="CB823" s="1818"/>
      <c r="CC823" s="1818"/>
      <c r="CD823" s="1818"/>
      <c r="CE823" s="1818"/>
      <c r="CF823" s="1818"/>
      <c r="CG823" s="1818"/>
      <c r="CH823" s="1818"/>
      <c r="CI823" s="1818"/>
      <c r="CJ823" s="1818"/>
      <c r="CK823" s="1818"/>
      <c r="CL823" s="1818"/>
      <c r="CM823" s="1818"/>
      <c r="CN823" s="1818"/>
      <c r="CO823" s="1818"/>
      <c r="CP823" s="1818"/>
      <c r="CQ823" s="1818"/>
      <c r="CR823" s="1818"/>
      <c r="CS823" s="1818"/>
      <c r="CT823" s="1818"/>
      <c r="CU823" s="1818"/>
      <c r="CV823" s="1818"/>
      <c r="CW823" s="1818"/>
      <c r="CX823" s="1818"/>
      <c r="CY823" s="1818"/>
      <c r="CZ823" s="1818"/>
      <c r="DA823" s="1818"/>
      <c r="DB823" s="1818"/>
      <c r="DC823" s="1818"/>
      <c r="DD823" s="1818"/>
      <c r="DE823" s="1818"/>
      <c r="DF823" s="1818"/>
      <c r="DG823" s="1818"/>
      <c r="DH823" s="1818"/>
      <c r="DI823" s="1818"/>
      <c r="DJ823" s="1818"/>
      <c r="DK823" s="1818"/>
      <c r="DL823" s="1818"/>
      <c r="DM823" s="1818"/>
      <c r="DN823" s="1818"/>
      <c r="DO823" s="1818"/>
      <c r="DP823" s="1818"/>
      <c r="DQ823" s="1818"/>
      <c r="DR823" s="1818"/>
      <c r="DS823" s="1818"/>
      <c r="DT823" s="1818"/>
      <c r="DU823" s="1818"/>
      <c r="DV823" s="1818"/>
      <c r="DW823" s="1818"/>
      <c r="DX823" s="1818"/>
      <c r="DY823" s="1818"/>
      <c r="DZ823" s="1818"/>
      <c r="EA823" s="1818"/>
      <c r="EB823" s="1818"/>
      <c r="EC823" s="1818"/>
      <c r="ED823" s="1818"/>
      <c r="EE823" s="1818"/>
      <c r="EF823" s="1818"/>
      <c r="EG823" s="1818"/>
      <c r="EH823" s="1818"/>
      <c r="EI823" s="1818"/>
      <c r="EJ823" s="1818"/>
      <c r="EK823" s="1818"/>
      <c r="EL823" s="1818"/>
      <c r="EM823" s="1818"/>
      <c r="EN823" s="1818"/>
      <c r="EO823" s="1818"/>
      <c r="EP823" s="1818"/>
      <c r="EQ823" s="1818"/>
      <c r="ER823" s="1818"/>
      <c r="ES823" s="1818"/>
      <c r="ET823" s="1818"/>
      <c r="EU823" s="1818"/>
      <c r="EV823" s="1818"/>
      <c r="EW823" s="1818"/>
      <c r="EX823" s="1818"/>
      <c r="EY823" s="1818"/>
      <c r="EZ823" s="1818"/>
      <c r="FA823" s="1818"/>
      <c r="FB823" s="1818"/>
      <c r="FC823" s="1818"/>
      <c r="FD823" s="1818"/>
      <c r="FE823" s="1818"/>
      <c r="FF823" s="1818"/>
      <c r="FG823" s="1818"/>
      <c r="FH823" s="1818"/>
      <c r="FI823" s="1818"/>
      <c r="FJ823" s="1818"/>
      <c r="FK823" s="1818"/>
      <c r="FL823" s="1818"/>
      <c r="FM823" s="1818"/>
      <c r="FN823" s="1818"/>
      <c r="FO823" s="1818"/>
      <c r="FP823" s="1818"/>
      <c r="FQ823" s="1818"/>
      <c r="FR823" s="1818"/>
      <c r="FS823" s="1818"/>
      <c r="FT823" s="1818"/>
    </row>
    <row r="824" spans="1:176" s="1965" customFormat="1" ht="32.1" customHeight="1">
      <c r="A824" s="2535"/>
      <c r="B824" s="1803"/>
      <c r="C824" s="1817"/>
      <c r="D824" s="1817"/>
      <c r="E824" s="1813"/>
      <c r="F824" s="1813"/>
      <c r="G824" s="1813"/>
      <c r="H824" s="1813"/>
      <c r="I824" s="2434"/>
      <c r="J824" s="2244"/>
      <c r="K824" s="2244"/>
      <c r="L824" s="2244"/>
      <c r="M824" s="2244"/>
      <c r="N824" s="2244"/>
      <c r="O824" s="2244"/>
      <c r="P824" s="2245"/>
      <c r="Q824" s="2245"/>
      <c r="R824" s="2435"/>
      <c r="S824" s="2244"/>
      <c r="T824" s="2244"/>
      <c r="U824" s="2244"/>
      <c r="V824" s="2244"/>
      <c r="W824" s="2244"/>
      <c r="X824" s="2244"/>
      <c r="Y824" s="1818"/>
      <c r="Z824" s="1818"/>
      <c r="AA824" s="1818"/>
      <c r="AB824" s="1818"/>
      <c r="AC824" s="1818"/>
      <c r="AD824" s="1818"/>
      <c r="AE824" s="1818"/>
      <c r="AF824" s="1818"/>
      <c r="AG824" s="1818"/>
      <c r="AH824" s="1818"/>
      <c r="AI824" s="1818"/>
      <c r="AJ824" s="1818"/>
      <c r="AK824" s="1818"/>
      <c r="AL824" s="1818"/>
      <c r="AM824" s="1818"/>
      <c r="AN824" s="1818"/>
      <c r="AO824" s="1818"/>
      <c r="AP824" s="1818"/>
      <c r="AQ824" s="1818"/>
      <c r="AR824" s="1818"/>
      <c r="AS824" s="1818"/>
      <c r="AT824" s="1818"/>
      <c r="AU824" s="1818"/>
      <c r="AV824" s="1818"/>
      <c r="AW824" s="1818"/>
      <c r="AX824" s="1818"/>
      <c r="AY824" s="1818"/>
      <c r="AZ824" s="1818"/>
      <c r="BA824" s="1818"/>
      <c r="BB824" s="1818"/>
      <c r="BC824" s="1818"/>
      <c r="BD824" s="1818"/>
      <c r="BE824" s="1818"/>
      <c r="BF824" s="1818"/>
      <c r="BG824" s="1818"/>
      <c r="BH824" s="1818"/>
      <c r="BI824" s="1818"/>
      <c r="BJ824" s="1818"/>
      <c r="BK824" s="1818"/>
      <c r="BL824" s="1818"/>
      <c r="BM824" s="1818"/>
      <c r="BN824" s="1818"/>
      <c r="BO824" s="1818"/>
      <c r="BP824" s="1818"/>
      <c r="BQ824" s="1818"/>
      <c r="BR824" s="1818"/>
      <c r="BS824" s="1818"/>
      <c r="BT824" s="1818"/>
      <c r="BU824" s="1818"/>
      <c r="BV824" s="1818"/>
      <c r="BW824" s="1818"/>
      <c r="BX824" s="1818"/>
      <c r="BY824" s="1818"/>
      <c r="BZ824" s="1818"/>
      <c r="CA824" s="1818"/>
      <c r="CB824" s="1818"/>
      <c r="CC824" s="1818"/>
      <c r="CD824" s="1818"/>
      <c r="CE824" s="1818"/>
      <c r="CF824" s="1818"/>
      <c r="CG824" s="1818"/>
      <c r="CH824" s="1818"/>
      <c r="CI824" s="1818"/>
      <c r="CJ824" s="1818"/>
      <c r="CK824" s="1818"/>
      <c r="CL824" s="1818"/>
      <c r="CM824" s="1818"/>
      <c r="CN824" s="1818"/>
      <c r="CO824" s="1818"/>
      <c r="CP824" s="1818"/>
      <c r="CQ824" s="1818"/>
      <c r="CR824" s="1818"/>
      <c r="CS824" s="1818"/>
      <c r="CT824" s="1818"/>
      <c r="CU824" s="1818"/>
      <c r="CV824" s="1818"/>
      <c r="CW824" s="1818"/>
      <c r="CX824" s="1818"/>
      <c r="CY824" s="1818"/>
      <c r="CZ824" s="1818"/>
      <c r="DA824" s="1818"/>
      <c r="DB824" s="1818"/>
      <c r="DC824" s="1818"/>
      <c r="DD824" s="1818"/>
      <c r="DE824" s="1818"/>
      <c r="DF824" s="1818"/>
      <c r="DG824" s="1818"/>
      <c r="DH824" s="1818"/>
      <c r="DI824" s="1818"/>
      <c r="DJ824" s="1818"/>
      <c r="DK824" s="1818"/>
      <c r="DL824" s="1818"/>
      <c r="DM824" s="1818"/>
      <c r="DN824" s="1818"/>
      <c r="DO824" s="1818"/>
      <c r="DP824" s="1818"/>
      <c r="DQ824" s="1818"/>
      <c r="DR824" s="1818"/>
      <c r="DS824" s="1818"/>
      <c r="DT824" s="1818"/>
      <c r="DU824" s="1818"/>
      <c r="DV824" s="1818"/>
      <c r="DW824" s="1818"/>
      <c r="DX824" s="1818"/>
      <c r="DY824" s="1818"/>
      <c r="DZ824" s="1818"/>
      <c r="EA824" s="1818"/>
      <c r="EB824" s="1818"/>
      <c r="EC824" s="1818"/>
      <c r="ED824" s="1818"/>
      <c r="EE824" s="1818"/>
      <c r="EF824" s="1818"/>
      <c r="EG824" s="1818"/>
      <c r="EH824" s="1818"/>
      <c r="EI824" s="1818"/>
      <c r="EJ824" s="1818"/>
      <c r="EK824" s="1818"/>
      <c r="EL824" s="1818"/>
      <c r="EM824" s="1818"/>
      <c r="EN824" s="1818"/>
      <c r="EO824" s="1818"/>
      <c r="EP824" s="1818"/>
      <c r="EQ824" s="1818"/>
      <c r="ER824" s="1818"/>
      <c r="ES824" s="1818"/>
      <c r="ET824" s="1818"/>
      <c r="EU824" s="1818"/>
      <c r="EV824" s="1818"/>
      <c r="EW824" s="1818"/>
      <c r="EX824" s="1818"/>
      <c r="EY824" s="1818"/>
      <c r="EZ824" s="1818"/>
      <c r="FA824" s="1818"/>
      <c r="FB824" s="1818"/>
      <c r="FC824" s="1818"/>
      <c r="FD824" s="1818"/>
      <c r="FE824" s="1818"/>
      <c r="FF824" s="1818"/>
      <c r="FG824" s="1818"/>
      <c r="FH824" s="1818"/>
      <c r="FI824" s="1818"/>
      <c r="FJ824" s="1818"/>
      <c r="FK824" s="1818"/>
      <c r="FL824" s="1818"/>
      <c r="FM824" s="1818"/>
      <c r="FN824" s="1818"/>
      <c r="FO824" s="1818"/>
      <c r="FP824" s="1818"/>
      <c r="FQ824" s="1818"/>
      <c r="FR824" s="1818"/>
      <c r="FS824" s="1818"/>
      <c r="FT824" s="1818"/>
    </row>
    <row r="825" spans="1:176" s="1965" customFormat="1" ht="32.1" customHeight="1">
      <c r="A825" s="2535"/>
      <c r="B825" s="1803"/>
      <c r="C825" s="1817"/>
      <c r="D825" s="1817"/>
      <c r="E825" s="1813"/>
      <c r="F825" s="1813"/>
      <c r="G825" s="1813"/>
      <c r="H825" s="1813"/>
      <c r="I825" s="2434"/>
      <c r="J825" s="2244"/>
      <c r="K825" s="2244"/>
      <c r="L825" s="2244"/>
      <c r="M825" s="2244"/>
      <c r="N825" s="2244"/>
      <c r="O825" s="2244"/>
      <c r="P825" s="2245"/>
      <c r="Q825" s="2245"/>
      <c r="R825" s="2435"/>
      <c r="S825" s="2244"/>
      <c r="T825" s="2244"/>
      <c r="U825" s="2244"/>
      <c r="V825" s="2244"/>
      <c r="W825" s="2244"/>
      <c r="X825" s="2244"/>
      <c r="Y825" s="1818"/>
      <c r="Z825" s="1818"/>
      <c r="AA825" s="1818"/>
      <c r="AB825" s="1818"/>
      <c r="AC825" s="1818"/>
      <c r="AD825" s="1818"/>
      <c r="AE825" s="1818"/>
      <c r="AF825" s="1818"/>
      <c r="AG825" s="1818"/>
      <c r="AH825" s="1818"/>
      <c r="AI825" s="1818"/>
      <c r="AJ825" s="1818"/>
      <c r="AK825" s="1818"/>
      <c r="AL825" s="1818"/>
      <c r="AM825" s="1818"/>
      <c r="AN825" s="1818"/>
      <c r="AO825" s="1818"/>
      <c r="AP825" s="1818"/>
      <c r="AQ825" s="1818"/>
      <c r="AR825" s="1818"/>
      <c r="AS825" s="1818"/>
      <c r="AT825" s="1818"/>
      <c r="AU825" s="1818"/>
      <c r="AV825" s="1818"/>
      <c r="AW825" s="1818"/>
      <c r="AX825" s="1818"/>
      <c r="AY825" s="1818"/>
      <c r="AZ825" s="1818"/>
      <c r="BA825" s="1818"/>
      <c r="BB825" s="1818"/>
      <c r="BC825" s="1818"/>
      <c r="BD825" s="1818"/>
      <c r="BE825" s="1818"/>
      <c r="BF825" s="1818"/>
      <c r="BG825" s="1818"/>
      <c r="BH825" s="1818"/>
      <c r="BI825" s="1818"/>
      <c r="BJ825" s="1818"/>
      <c r="BK825" s="1818"/>
      <c r="BL825" s="1818"/>
      <c r="BM825" s="1818"/>
      <c r="BN825" s="1818"/>
      <c r="BO825" s="1818"/>
      <c r="BP825" s="1818"/>
      <c r="BQ825" s="1818"/>
      <c r="BR825" s="1818"/>
      <c r="BS825" s="1818"/>
      <c r="BT825" s="1818"/>
      <c r="BU825" s="1818"/>
      <c r="BV825" s="1818"/>
      <c r="BW825" s="1818"/>
      <c r="BX825" s="1818"/>
      <c r="BY825" s="1818"/>
      <c r="BZ825" s="1818"/>
      <c r="CA825" s="1818"/>
      <c r="CB825" s="1818"/>
      <c r="CC825" s="1818"/>
      <c r="CD825" s="1818"/>
      <c r="CE825" s="1818"/>
      <c r="CF825" s="1818"/>
      <c r="CG825" s="1818"/>
      <c r="CH825" s="1818"/>
      <c r="CI825" s="1818"/>
      <c r="CJ825" s="1818"/>
      <c r="CK825" s="1818"/>
      <c r="CL825" s="1818"/>
      <c r="CM825" s="1818"/>
      <c r="CN825" s="1818"/>
      <c r="CO825" s="1818"/>
      <c r="CP825" s="1818"/>
      <c r="CQ825" s="1818"/>
      <c r="CR825" s="1818"/>
      <c r="CS825" s="1818"/>
      <c r="CT825" s="1818"/>
      <c r="CU825" s="1818"/>
      <c r="CV825" s="1818"/>
      <c r="CW825" s="1818"/>
      <c r="CX825" s="1818"/>
      <c r="CY825" s="1818"/>
      <c r="CZ825" s="1818"/>
      <c r="DA825" s="1818"/>
      <c r="DB825" s="1818"/>
      <c r="DC825" s="1818"/>
      <c r="DD825" s="1818"/>
      <c r="DE825" s="1818"/>
      <c r="DF825" s="1818"/>
      <c r="DG825" s="1818"/>
      <c r="DH825" s="1818"/>
      <c r="DI825" s="1818"/>
      <c r="DJ825" s="1818"/>
      <c r="DK825" s="1818"/>
      <c r="DL825" s="1818"/>
      <c r="DM825" s="1818"/>
      <c r="DN825" s="1818"/>
      <c r="DO825" s="1818"/>
      <c r="DP825" s="1818"/>
      <c r="DQ825" s="1818"/>
      <c r="DR825" s="1818"/>
      <c r="DS825" s="1818"/>
      <c r="DT825" s="1818"/>
      <c r="DU825" s="1818"/>
      <c r="DV825" s="1818"/>
      <c r="DW825" s="1818"/>
      <c r="DX825" s="1818"/>
      <c r="DY825" s="1818"/>
      <c r="DZ825" s="1818"/>
      <c r="EA825" s="1818"/>
      <c r="EB825" s="1818"/>
      <c r="EC825" s="1818"/>
      <c r="ED825" s="1818"/>
      <c r="EE825" s="1818"/>
      <c r="EF825" s="1818"/>
      <c r="EG825" s="1818"/>
      <c r="EH825" s="1818"/>
      <c r="EI825" s="1818"/>
      <c r="EJ825" s="1818"/>
      <c r="EK825" s="1818"/>
      <c r="EL825" s="1818"/>
      <c r="EM825" s="1818"/>
      <c r="EN825" s="1818"/>
      <c r="EO825" s="1818"/>
      <c r="EP825" s="1818"/>
      <c r="EQ825" s="1818"/>
      <c r="ER825" s="1818"/>
      <c r="ES825" s="1818"/>
      <c r="ET825" s="1818"/>
      <c r="EU825" s="1818"/>
      <c r="EV825" s="1818"/>
      <c r="EW825" s="1818"/>
      <c r="EX825" s="1818"/>
      <c r="EY825" s="1818"/>
      <c r="EZ825" s="1818"/>
      <c r="FA825" s="1818"/>
      <c r="FB825" s="1818"/>
      <c r="FC825" s="1818"/>
      <c r="FD825" s="1818"/>
      <c r="FE825" s="1818"/>
      <c r="FF825" s="1818"/>
      <c r="FG825" s="1818"/>
      <c r="FH825" s="1818"/>
      <c r="FI825" s="1818"/>
      <c r="FJ825" s="1818"/>
      <c r="FK825" s="1818"/>
      <c r="FL825" s="1818"/>
      <c r="FM825" s="1818"/>
      <c r="FN825" s="1818"/>
      <c r="FO825" s="1818"/>
      <c r="FP825" s="1818"/>
      <c r="FQ825" s="1818"/>
      <c r="FR825" s="1818"/>
      <c r="FS825" s="1818"/>
      <c r="FT825" s="1818"/>
    </row>
    <row r="826" spans="1:176" s="1965" customFormat="1" ht="32.1" customHeight="1">
      <c r="A826" s="2535"/>
      <c r="B826" s="1803"/>
      <c r="C826" s="1817"/>
      <c r="D826" s="1817"/>
      <c r="E826" s="1813"/>
      <c r="F826" s="1813"/>
      <c r="G826" s="1813"/>
      <c r="H826" s="1813"/>
      <c r="I826" s="2434"/>
      <c r="J826" s="2244"/>
      <c r="K826" s="2244"/>
      <c r="L826" s="2244"/>
      <c r="M826" s="2244"/>
      <c r="N826" s="2244"/>
      <c r="O826" s="2244"/>
      <c r="P826" s="2245"/>
      <c r="Q826" s="2245"/>
      <c r="R826" s="2435"/>
      <c r="S826" s="2244"/>
      <c r="T826" s="2244"/>
      <c r="U826" s="2244"/>
      <c r="V826" s="2244"/>
      <c r="W826" s="2244"/>
      <c r="X826" s="2244"/>
      <c r="Y826" s="1818"/>
      <c r="Z826" s="1818"/>
      <c r="AA826" s="1818"/>
      <c r="AB826" s="1818"/>
      <c r="AC826" s="1818"/>
      <c r="AD826" s="1818"/>
      <c r="AE826" s="1818"/>
      <c r="AF826" s="1818"/>
      <c r="AG826" s="1818"/>
      <c r="AH826" s="1818"/>
      <c r="AI826" s="1818"/>
      <c r="AJ826" s="1818"/>
      <c r="AK826" s="1818"/>
      <c r="AL826" s="1818"/>
      <c r="AM826" s="1818"/>
      <c r="AN826" s="1818"/>
      <c r="AO826" s="1818"/>
      <c r="AP826" s="1818"/>
      <c r="AQ826" s="1818"/>
      <c r="AR826" s="1818"/>
      <c r="AS826" s="1818"/>
      <c r="AT826" s="1818"/>
      <c r="AU826" s="1818"/>
      <c r="AV826" s="1818"/>
      <c r="AW826" s="1818"/>
      <c r="AX826" s="1818"/>
      <c r="AY826" s="1818"/>
      <c r="AZ826" s="1818"/>
      <c r="BA826" s="1818"/>
      <c r="BB826" s="1818"/>
      <c r="BC826" s="1818"/>
      <c r="BD826" s="1818"/>
      <c r="BE826" s="1818"/>
      <c r="BF826" s="1818"/>
      <c r="BG826" s="1818"/>
      <c r="BH826" s="1818"/>
      <c r="BI826" s="1818"/>
      <c r="BJ826" s="1818"/>
      <c r="BK826" s="1818"/>
      <c r="BL826" s="1818"/>
      <c r="BM826" s="1818"/>
      <c r="BN826" s="1818"/>
      <c r="BO826" s="1818"/>
      <c r="BP826" s="1818"/>
      <c r="BQ826" s="1818"/>
      <c r="BR826" s="1818"/>
      <c r="BS826" s="1818"/>
      <c r="BT826" s="1818"/>
      <c r="BU826" s="1818"/>
      <c r="BV826" s="1818"/>
      <c r="BW826" s="1818"/>
      <c r="BX826" s="1818"/>
      <c r="BY826" s="1818"/>
      <c r="BZ826" s="1818"/>
      <c r="CA826" s="1818"/>
      <c r="CB826" s="1818"/>
      <c r="CC826" s="1818"/>
      <c r="CD826" s="1818"/>
      <c r="CE826" s="1818"/>
      <c r="CF826" s="1818"/>
      <c r="CG826" s="1818"/>
      <c r="CH826" s="1818"/>
      <c r="CI826" s="1818"/>
      <c r="CJ826" s="1818"/>
      <c r="CK826" s="1818"/>
      <c r="CL826" s="1818"/>
      <c r="CM826" s="1818"/>
      <c r="CN826" s="1818"/>
      <c r="CO826" s="1818"/>
      <c r="CP826" s="1818"/>
      <c r="CQ826" s="1818"/>
      <c r="CR826" s="1818"/>
      <c r="CS826" s="1818"/>
      <c r="CT826" s="1818"/>
      <c r="CU826" s="1818"/>
      <c r="CV826" s="1818"/>
      <c r="CW826" s="1818"/>
      <c r="CX826" s="1818"/>
      <c r="CY826" s="1818"/>
      <c r="CZ826" s="1818"/>
      <c r="DA826" s="1818"/>
      <c r="DB826" s="1818"/>
      <c r="DC826" s="1818"/>
      <c r="DD826" s="1818"/>
      <c r="DE826" s="1818"/>
      <c r="DF826" s="1818"/>
      <c r="DG826" s="1818"/>
      <c r="DH826" s="1818"/>
      <c r="DI826" s="1818"/>
      <c r="DJ826" s="1818"/>
      <c r="DK826" s="1818"/>
      <c r="DL826" s="1818"/>
      <c r="DM826" s="1818"/>
      <c r="DN826" s="1818"/>
      <c r="DO826" s="1818"/>
      <c r="DP826" s="1818"/>
      <c r="DQ826" s="1818"/>
      <c r="DR826" s="1818"/>
      <c r="DS826" s="1818"/>
      <c r="DT826" s="1818"/>
      <c r="DU826" s="1818"/>
      <c r="DV826" s="1818"/>
      <c r="DW826" s="1818"/>
      <c r="DX826" s="1818"/>
      <c r="DY826" s="1818"/>
      <c r="DZ826" s="1818"/>
      <c r="EA826" s="1818"/>
      <c r="EB826" s="1818"/>
      <c r="EC826" s="1818"/>
      <c r="ED826" s="1818"/>
      <c r="EE826" s="1818"/>
      <c r="EF826" s="1818"/>
      <c r="EG826" s="1818"/>
      <c r="EH826" s="1818"/>
      <c r="EI826" s="1818"/>
      <c r="EJ826" s="1818"/>
      <c r="EK826" s="1818"/>
      <c r="EL826" s="1818"/>
      <c r="EM826" s="1818"/>
      <c r="EN826" s="1818"/>
      <c r="EO826" s="1818"/>
      <c r="EP826" s="1818"/>
      <c r="EQ826" s="1818"/>
      <c r="ER826" s="1818"/>
      <c r="ES826" s="1818"/>
      <c r="ET826" s="1818"/>
      <c r="EU826" s="1818"/>
      <c r="EV826" s="1818"/>
      <c r="EW826" s="1818"/>
      <c r="EX826" s="1818"/>
      <c r="EY826" s="1818"/>
      <c r="EZ826" s="1818"/>
      <c r="FA826" s="1818"/>
      <c r="FB826" s="1818"/>
      <c r="FC826" s="1818"/>
      <c r="FD826" s="1818"/>
      <c r="FE826" s="1818"/>
      <c r="FF826" s="1818"/>
      <c r="FG826" s="1818"/>
      <c r="FH826" s="1818"/>
      <c r="FI826" s="1818"/>
      <c r="FJ826" s="1818"/>
      <c r="FK826" s="1818"/>
      <c r="FL826" s="1818"/>
      <c r="FM826" s="1818"/>
      <c r="FN826" s="1818"/>
      <c r="FO826" s="1818"/>
      <c r="FP826" s="1818"/>
      <c r="FQ826" s="1818"/>
      <c r="FR826" s="1818"/>
      <c r="FS826" s="1818"/>
      <c r="FT826" s="1818"/>
    </row>
    <row r="827" spans="1:176" s="1965" customFormat="1" ht="32.1" customHeight="1">
      <c r="A827" s="2535"/>
      <c r="B827" s="1803"/>
      <c r="C827" s="1817"/>
      <c r="D827" s="1817"/>
      <c r="E827" s="1813"/>
      <c r="F827" s="1813"/>
      <c r="G827" s="1813"/>
      <c r="H827" s="1813"/>
      <c r="I827" s="2434"/>
      <c r="J827" s="2244"/>
      <c r="K827" s="2244"/>
      <c r="L827" s="2244"/>
      <c r="M827" s="2244"/>
      <c r="N827" s="2244"/>
      <c r="O827" s="2244"/>
      <c r="P827" s="2245"/>
      <c r="Q827" s="2245"/>
      <c r="R827" s="2435"/>
      <c r="S827" s="2244"/>
      <c r="T827" s="2244"/>
      <c r="U827" s="2244"/>
      <c r="V827" s="2244"/>
      <c r="W827" s="2244"/>
      <c r="X827" s="2244"/>
      <c r="Y827" s="1818"/>
      <c r="Z827" s="1818"/>
      <c r="AA827" s="1818"/>
      <c r="AB827" s="1818"/>
      <c r="AC827" s="1818"/>
      <c r="AD827" s="1818"/>
      <c r="AE827" s="1818"/>
      <c r="AF827" s="1818"/>
      <c r="AG827" s="1818"/>
      <c r="AH827" s="1818"/>
      <c r="AI827" s="1818"/>
      <c r="AJ827" s="1818"/>
      <c r="AK827" s="1818"/>
      <c r="AL827" s="1818"/>
      <c r="AM827" s="1818"/>
      <c r="AN827" s="1818"/>
      <c r="AO827" s="1818"/>
      <c r="AP827" s="1818"/>
      <c r="AQ827" s="1818"/>
      <c r="AR827" s="1818"/>
      <c r="AS827" s="1818"/>
      <c r="AT827" s="1818"/>
      <c r="AU827" s="1818"/>
      <c r="AV827" s="1818"/>
      <c r="AW827" s="1818"/>
      <c r="AX827" s="1818"/>
      <c r="AY827" s="1818"/>
      <c r="AZ827" s="1818"/>
      <c r="BA827" s="1818"/>
      <c r="BB827" s="1818"/>
      <c r="BC827" s="1818"/>
      <c r="BD827" s="1818"/>
      <c r="BE827" s="1818"/>
      <c r="BF827" s="1818"/>
      <c r="BG827" s="1818"/>
      <c r="BH827" s="1818"/>
      <c r="BI827" s="1818"/>
      <c r="BJ827" s="1818"/>
      <c r="BK827" s="1818"/>
      <c r="BL827" s="1818"/>
      <c r="BM827" s="1818"/>
      <c r="BN827" s="1818"/>
      <c r="BO827" s="1818"/>
      <c r="BP827" s="1818"/>
      <c r="BQ827" s="1818"/>
      <c r="BR827" s="1818"/>
      <c r="BS827" s="1818"/>
      <c r="BT827" s="1818"/>
      <c r="BU827" s="1818"/>
      <c r="BV827" s="1818"/>
      <c r="BW827" s="1818"/>
      <c r="BX827" s="1818"/>
      <c r="BY827" s="1818"/>
      <c r="BZ827" s="1818"/>
      <c r="CA827" s="1818"/>
      <c r="CB827" s="1818"/>
      <c r="CC827" s="1818"/>
      <c r="CD827" s="1818"/>
      <c r="CE827" s="1818"/>
      <c r="CF827" s="1818"/>
      <c r="CG827" s="1818"/>
      <c r="CH827" s="1818"/>
      <c r="CI827" s="1818"/>
      <c r="CJ827" s="1818"/>
      <c r="CK827" s="1818"/>
      <c r="CL827" s="1818"/>
      <c r="CM827" s="1818"/>
      <c r="CN827" s="1818"/>
      <c r="CO827" s="1818"/>
      <c r="CP827" s="1818"/>
      <c r="CQ827" s="1818"/>
      <c r="CR827" s="1818"/>
      <c r="CS827" s="1818"/>
      <c r="CT827" s="1818"/>
      <c r="CU827" s="1818"/>
      <c r="CV827" s="1818"/>
      <c r="CW827" s="1818"/>
      <c r="CX827" s="1818"/>
      <c r="CY827" s="1818"/>
      <c r="CZ827" s="1818"/>
      <c r="DA827" s="1818"/>
      <c r="DB827" s="1818"/>
      <c r="DC827" s="1818"/>
      <c r="DD827" s="1818"/>
      <c r="DE827" s="1818"/>
      <c r="DF827" s="1818"/>
      <c r="DG827" s="1818"/>
      <c r="DH827" s="1818"/>
      <c r="DI827" s="1818"/>
      <c r="DJ827" s="1818"/>
      <c r="DK827" s="1818"/>
      <c r="DL827" s="1818"/>
      <c r="DM827" s="1818"/>
      <c r="DN827" s="1818"/>
      <c r="DO827" s="1818"/>
      <c r="DP827" s="1818"/>
      <c r="DQ827" s="1818"/>
      <c r="DR827" s="1818"/>
      <c r="DS827" s="1818"/>
      <c r="DT827" s="1818"/>
      <c r="DU827" s="1818"/>
      <c r="DV827" s="1818"/>
      <c r="DW827" s="1818"/>
      <c r="DX827" s="1818"/>
      <c r="DY827" s="1818"/>
      <c r="DZ827" s="1818"/>
      <c r="EA827" s="1818"/>
      <c r="EB827" s="1818"/>
      <c r="EC827" s="1818"/>
      <c r="ED827" s="1818"/>
      <c r="EE827" s="1818"/>
      <c r="EF827" s="1818"/>
      <c r="EG827" s="1818"/>
      <c r="EH827" s="1818"/>
      <c r="EI827" s="1818"/>
      <c r="EJ827" s="1818"/>
      <c r="EK827" s="1818"/>
      <c r="EL827" s="1818"/>
      <c r="EM827" s="1818"/>
      <c r="EN827" s="1818"/>
      <c r="EO827" s="1818"/>
      <c r="EP827" s="1818"/>
      <c r="EQ827" s="1818"/>
      <c r="ER827" s="1818"/>
      <c r="ES827" s="1818"/>
      <c r="ET827" s="1818"/>
      <c r="EU827" s="1818"/>
      <c r="EV827" s="1818"/>
      <c r="EW827" s="1818"/>
      <c r="EX827" s="1818"/>
      <c r="EY827" s="1818"/>
      <c r="EZ827" s="1818"/>
      <c r="FA827" s="1818"/>
      <c r="FB827" s="1818"/>
      <c r="FC827" s="1818"/>
      <c r="FD827" s="1818"/>
      <c r="FE827" s="1818"/>
      <c r="FF827" s="1818"/>
      <c r="FG827" s="1818"/>
      <c r="FH827" s="1818"/>
      <c r="FI827" s="1818"/>
      <c r="FJ827" s="1818"/>
      <c r="FK827" s="1818"/>
      <c r="FL827" s="1818"/>
      <c r="FM827" s="1818"/>
      <c r="FN827" s="1818"/>
      <c r="FO827" s="1818"/>
      <c r="FP827" s="1818"/>
      <c r="FQ827" s="1818"/>
      <c r="FR827" s="1818"/>
      <c r="FS827" s="1818"/>
      <c r="FT827" s="1818"/>
    </row>
    <row r="828" spans="1:176" s="1965" customFormat="1" ht="32.1" customHeight="1">
      <c r="A828" s="2535"/>
      <c r="B828" s="1803"/>
      <c r="C828" s="1817"/>
      <c r="D828" s="1817"/>
      <c r="E828" s="1813"/>
      <c r="F828" s="1813"/>
      <c r="G828" s="1813"/>
      <c r="H828" s="1813"/>
      <c r="I828" s="2434"/>
      <c r="J828" s="2244"/>
      <c r="K828" s="2244"/>
      <c r="L828" s="2244"/>
      <c r="M828" s="2244"/>
      <c r="N828" s="2244"/>
      <c r="O828" s="2244"/>
      <c r="P828" s="2245"/>
      <c r="Q828" s="2245"/>
      <c r="R828" s="2435"/>
      <c r="S828" s="2244"/>
      <c r="T828" s="2244"/>
      <c r="U828" s="2244"/>
      <c r="V828" s="2244"/>
      <c r="W828" s="2244"/>
      <c r="X828" s="2244"/>
      <c r="Y828" s="1818"/>
      <c r="Z828" s="1818"/>
      <c r="AA828" s="1818"/>
      <c r="AB828" s="1818"/>
      <c r="AC828" s="1818"/>
      <c r="AD828" s="1818"/>
      <c r="AE828" s="1818"/>
      <c r="AF828" s="1818"/>
      <c r="AG828" s="1818"/>
      <c r="AH828" s="1818"/>
      <c r="AI828" s="1818"/>
      <c r="AJ828" s="1818"/>
      <c r="AK828" s="1818"/>
      <c r="AL828" s="1818"/>
      <c r="AM828" s="1818"/>
      <c r="AN828" s="1818"/>
      <c r="AO828" s="1818"/>
      <c r="AP828" s="1818"/>
      <c r="AQ828" s="1818"/>
      <c r="AR828" s="1818"/>
      <c r="AS828" s="1818"/>
      <c r="AT828" s="1818"/>
      <c r="AU828" s="1818"/>
      <c r="AV828" s="1818"/>
      <c r="AW828" s="1818"/>
      <c r="AX828" s="1818"/>
      <c r="AY828" s="1818"/>
      <c r="AZ828" s="1818"/>
      <c r="BA828" s="1818"/>
      <c r="BB828" s="1818"/>
      <c r="BC828" s="1818"/>
      <c r="BD828" s="1818"/>
      <c r="BE828" s="1818"/>
      <c r="BF828" s="1818"/>
      <c r="BG828" s="1818"/>
      <c r="BH828" s="1818"/>
      <c r="BI828" s="1818"/>
      <c r="BJ828" s="1818"/>
      <c r="BK828" s="1818"/>
      <c r="BL828" s="1818"/>
      <c r="BM828" s="1818"/>
      <c r="BN828" s="1818"/>
      <c r="BO828" s="1818"/>
      <c r="BP828" s="1818"/>
      <c r="BQ828" s="1818"/>
      <c r="BR828" s="1818"/>
      <c r="BS828" s="1818"/>
      <c r="BT828" s="1818"/>
      <c r="BU828" s="1818"/>
      <c r="BV828" s="1818"/>
      <c r="BW828" s="1818"/>
      <c r="BX828" s="1818"/>
      <c r="BY828" s="1818"/>
      <c r="BZ828" s="1818"/>
      <c r="CA828" s="1818"/>
      <c r="CB828" s="1818"/>
      <c r="CC828" s="1818"/>
      <c r="CD828" s="1818"/>
      <c r="CE828" s="1818"/>
      <c r="CF828" s="1818"/>
      <c r="CG828" s="1818"/>
      <c r="CH828" s="1818"/>
      <c r="CI828" s="1818"/>
      <c r="CJ828" s="1818"/>
      <c r="CK828" s="1818"/>
      <c r="CL828" s="1818"/>
      <c r="CM828" s="1818"/>
      <c r="CN828" s="1818"/>
      <c r="CO828" s="1818"/>
      <c r="CP828" s="1818"/>
      <c r="CQ828" s="1818"/>
      <c r="CR828" s="1818"/>
      <c r="CS828" s="1818"/>
      <c r="CT828" s="1818"/>
      <c r="CU828" s="1818"/>
      <c r="CV828" s="1818"/>
      <c r="CW828" s="1818"/>
      <c r="CX828" s="1818"/>
      <c r="CY828" s="1818"/>
      <c r="CZ828" s="1818"/>
      <c r="DA828" s="1818"/>
      <c r="DB828" s="1818"/>
      <c r="DC828" s="1818"/>
      <c r="DD828" s="1818"/>
      <c r="DE828" s="1818"/>
      <c r="DF828" s="1818"/>
      <c r="DG828" s="1818"/>
      <c r="DH828" s="1818"/>
      <c r="DI828" s="1818"/>
      <c r="DJ828" s="1818"/>
      <c r="DK828" s="1818"/>
      <c r="DL828" s="1818"/>
      <c r="DM828" s="1818"/>
      <c r="DN828" s="1818"/>
      <c r="DO828" s="1818"/>
      <c r="DP828" s="1818"/>
      <c r="DQ828" s="1818"/>
      <c r="DR828" s="1818"/>
      <c r="DS828" s="1818"/>
      <c r="DT828" s="1818"/>
      <c r="DU828" s="1818"/>
      <c r="DV828" s="1818"/>
      <c r="DW828" s="1818"/>
      <c r="DX828" s="1818"/>
      <c r="DY828" s="1818"/>
      <c r="DZ828" s="1818"/>
      <c r="EA828" s="1818"/>
      <c r="EB828" s="1818"/>
      <c r="EC828" s="1818"/>
      <c r="ED828" s="1818"/>
      <c r="EE828" s="1818"/>
      <c r="EF828" s="1818"/>
      <c r="EG828" s="1818"/>
      <c r="EH828" s="1818"/>
      <c r="EI828" s="1818"/>
      <c r="EJ828" s="1818"/>
      <c r="EK828" s="1818"/>
      <c r="EL828" s="1818"/>
      <c r="EM828" s="1818"/>
      <c r="EN828" s="1818"/>
      <c r="EO828" s="1818"/>
      <c r="EP828" s="1818"/>
      <c r="EQ828" s="1818"/>
      <c r="ER828" s="1818"/>
      <c r="ES828" s="1818"/>
      <c r="ET828" s="1818"/>
      <c r="EU828" s="1818"/>
      <c r="EV828" s="1818"/>
      <c r="EW828" s="1818"/>
      <c r="EX828" s="1818"/>
      <c r="EY828" s="1818"/>
      <c r="EZ828" s="1818"/>
      <c r="FA828" s="1818"/>
      <c r="FB828" s="1818"/>
      <c r="FC828" s="1818"/>
      <c r="FD828" s="1818"/>
      <c r="FE828" s="1818"/>
      <c r="FF828" s="1818"/>
      <c r="FG828" s="1818"/>
      <c r="FH828" s="1818"/>
      <c r="FI828" s="1818"/>
      <c r="FJ828" s="1818"/>
      <c r="FK828" s="1818"/>
      <c r="FL828" s="1818"/>
      <c r="FM828" s="1818"/>
      <c r="FN828" s="1818"/>
      <c r="FO828" s="1818"/>
      <c r="FP828" s="1818"/>
      <c r="FQ828" s="1818"/>
      <c r="FR828" s="1818"/>
      <c r="FS828" s="1818"/>
      <c r="FT828" s="1818"/>
    </row>
    <row r="829" spans="1:176" s="1965" customFormat="1" ht="32.1" customHeight="1">
      <c r="A829" s="2535"/>
      <c r="B829" s="1803"/>
      <c r="C829" s="1817"/>
      <c r="D829" s="1817"/>
      <c r="E829" s="1813"/>
      <c r="F829" s="1813"/>
      <c r="G829" s="1813"/>
      <c r="H829" s="1813"/>
      <c r="I829" s="2434"/>
      <c r="J829" s="2244"/>
      <c r="K829" s="2244"/>
      <c r="L829" s="2244"/>
      <c r="M829" s="2244"/>
      <c r="N829" s="2244"/>
      <c r="O829" s="2244"/>
      <c r="P829" s="2245"/>
      <c r="Q829" s="2245"/>
      <c r="R829" s="2435"/>
      <c r="S829" s="2244"/>
      <c r="T829" s="2244"/>
      <c r="U829" s="2244"/>
      <c r="V829" s="2244"/>
      <c r="W829" s="2244"/>
      <c r="X829" s="2244"/>
      <c r="Y829" s="1818"/>
      <c r="Z829" s="1818"/>
      <c r="AA829" s="1818"/>
      <c r="AB829" s="1818"/>
      <c r="AC829" s="1818"/>
      <c r="AD829" s="1818"/>
      <c r="AE829" s="1818"/>
      <c r="AF829" s="1818"/>
      <c r="AG829" s="1818"/>
      <c r="AH829" s="1818"/>
      <c r="AI829" s="1818"/>
      <c r="AJ829" s="1818"/>
      <c r="AK829" s="1818"/>
      <c r="AL829" s="1818"/>
      <c r="AM829" s="1818"/>
      <c r="AN829" s="1818"/>
      <c r="AO829" s="1818"/>
      <c r="AP829" s="1818"/>
      <c r="AQ829" s="1818"/>
      <c r="AR829" s="1818"/>
      <c r="AS829" s="1818"/>
      <c r="AT829" s="1818"/>
      <c r="AU829" s="1818"/>
      <c r="AV829" s="1818"/>
      <c r="AW829" s="1818"/>
      <c r="AX829" s="1818"/>
      <c r="AY829" s="1818"/>
      <c r="AZ829" s="1818"/>
      <c r="BA829" s="1818"/>
      <c r="BB829" s="1818"/>
      <c r="BC829" s="1818"/>
      <c r="BD829" s="1818"/>
      <c r="BE829" s="1818"/>
      <c r="BF829" s="1818"/>
      <c r="BG829" s="1818"/>
      <c r="BH829" s="1818"/>
      <c r="BI829" s="1818"/>
      <c r="BJ829" s="1818"/>
      <c r="BK829" s="1818"/>
      <c r="BL829" s="1818"/>
      <c r="BM829" s="1818"/>
      <c r="BN829" s="1818"/>
      <c r="BO829" s="1818"/>
      <c r="BP829" s="1818"/>
      <c r="BQ829" s="1818"/>
      <c r="BR829" s="1818"/>
      <c r="BS829" s="1818"/>
      <c r="BT829" s="1818"/>
      <c r="BU829" s="1818"/>
      <c r="BV829" s="1818"/>
      <c r="BW829" s="1818"/>
      <c r="BX829" s="1818"/>
      <c r="BY829" s="1818"/>
      <c r="BZ829" s="1818"/>
      <c r="CA829" s="1818"/>
      <c r="CB829" s="1818"/>
      <c r="CC829" s="1818"/>
      <c r="CD829" s="1818"/>
      <c r="CE829" s="1818"/>
      <c r="CF829" s="1818"/>
      <c r="CG829" s="1818"/>
      <c r="CH829" s="1818"/>
      <c r="CI829" s="1818"/>
      <c r="CJ829" s="1818"/>
      <c r="CK829" s="1818"/>
      <c r="CL829" s="1818"/>
      <c r="CM829" s="1818"/>
      <c r="CN829" s="1818"/>
      <c r="CO829" s="1818"/>
      <c r="CP829" s="1818"/>
      <c r="CQ829" s="1818"/>
      <c r="CR829" s="1818"/>
      <c r="CS829" s="1818"/>
      <c r="CT829" s="1818"/>
      <c r="CU829" s="1818"/>
      <c r="CV829" s="1818"/>
      <c r="CW829" s="1818"/>
      <c r="CX829" s="1818"/>
      <c r="CY829" s="1818"/>
      <c r="CZ829" s="1818"/>
      <c r="DA829" s="1818"/>
      <c r="DB829" s="1818"/>
      <c r="DC829" s="1818"/>
      <c r="DD829" s="1818"/>
      <c r="DE829" s="1818"/>
      <c r="DF829" s="1818"/>
      <c r="DG829" s="1818"/>
      <c r="DH829" s="1818"/>
      <c r="DI829" s="1818"/>
      <c r="DJ829" s="1818"/>
      <c r="DK829" s="1818"/>
      <c r="DL829" s="1818"/>
      <c r="DM829" s="1818"/>
      <c r="DN829" s="1818"/>
      <c r="DO829" s="1818"/>
      <c r="DP829" s="1818"/>
      <c r="DQ829" s="1818"/>
      <c r="DR829" s="1818"/>
      <c r="DS829" s="1818"/>
      <c r="DT829" s="1818"/>
      <c r="DU829" s="1818"/>
      <c r="DV829" s="1818"/>
      <c r="DW829" s="1818"/>
      <c r="DX829" s="1818"/>
      <c r="DY829" s="1818"/>
      <c r="DZ829" s="1818"/>
      <c r="EA829" s="1818"/>
      <c r="EB829" s="1818"/>
      <c r="EC829" s="1818"/>
      <c r="ED829" s="1818"/>
      <c r="EE829" s="1818"/>
      <c r="EF829" s="1818"/>
      <c r="EG829" s="1818"/>
      <c r="EH829" s="1818"/>
      <c r="EI829" s="1818"/>
      <c r="EJ829" s="1818"/>
      <c r="EK829" s="1818"/>
      <c r="EL829" s="1818"/>
      <c r="EM829" s="1818"/>
      <c r="EN829" s="1818"/>
      <c r="EO829" s="1818"/>
      <c r="EP829" s="1818"/>
      <c r="EQ829" s="1818"/>
      <c r="ER829" s="1818"/>
      <c r="ES829" s="1818"/>
      <c r="ET829" s="1818"/>
      <c r="EU829" s="1818"/>
      <c r="EV829" s="1818"/>
      <c r="EW829" s="1818"/>
      <c r="EX829" s="1818"/>
      <c r="EY829" s="1818"/>
      <c r="EZ829" s="1818"/>
      <c r="FA829" s="1818"/>
      <c r="FB829" s="1818"/>
      <c r="FC829" s="1818"/>
      <c r="FD829" s="1818"/>
      <c r="FE829" s="1818"/>
      <c r="FF829" s="1818"/>
      <c r="FG829" s="1818"/>
      <c r="FH829" s="1818"/>
      <c r="FI829" s="1818"/>
      <c r="FJ829" s="1818"/>
      <c r="FK829" s="1818"/>
      <c r="FL829" s="1818"/>
      <c r="FM829" s="1818"/>
      <c r="FN829" s="1818"/>
      <c r="FO829" s="1818"/>
      <c r="FP829" s="1818"/>
      <c r="FQ829" s="1818"/>
      <c r="FR829" s="1818"/>
      <c r="FS829" s="1818"/>
      <c r="FT829" s="1818"/>
    </row>
    <row r="830" spans="1:176" s="1965" customFormat="1" ht="32.1" customHeight="1">
      <c r="A830" s="2535"/>
      <c r="B830" s="1803"/>
      <c r="C830" s="1817"/>
      <c r="D830" s="1817"/>
      <c r="E830" s="1813"/>
      <c r="F830" s="1813"/>
      <c r="G830" s="1813"/>
      <c r="H830" s="1813"/>
      <c r="I830" s="2434"/>
      <c r="J830" s="2244"/>
      <c r="K830" s="2244"/>
      <c r="L830" s="2244"/>
      <c r="M830" s="2244"/>
      <c r="N830" s="2244"/>
      <c r="O830" s="2244"/>
      <c r="P830" s="2245"/>
      <c r="Q830" s="2245"/>
      <c r="R830" s="2435"/>
      <c r="S830" s="2244"/>
      <c r="T830" s="2244"/>
      <c r="U830" s="2244"/>
      <c r="V830" s="2244"/>
      <c r="W830" s="2244"/>
      <c r="X830" s="2244"/>
      <c r="Y830" s="1818"/>
      <c r="Z830" s="1818"/>
      <c r="AA830" s="1818"/>
      <c r="AB830" s="1818"/>
      <c r="AC830" s="1818"/>
      <c r="AD830" s="1818"/>
      <c r="AE830" s="1818"/>
      <c r="AF830" s="1818"/>
      <c r="AG830" s="1818"/>
      <c r="AH830" s="1818"/>
      <c r="AI830" s="1818"/>
      <c r="AJ830" s="1818"/>
      <c r="AK830" s="1818"/>
      <c r="AL830" s="1818"/>
      <c r="AM830" s="1818"/>
      <c r="AN830" s="1818"/>
      <c r="AO830" s="1818"/>
      <c r="AP830" s="1818"/>
      <c r="AQ830" s="1818"/>
      <c r="AR830" s="1818"/>
      <c r="AS830" s="1818"/>
      <c r="AT830" s="1818"/>
      <c r="AU830" s="1818"/>
      <c r="AV830" s="1818"/>
      <c r="AW830" s="1818"/>
      <c r="AX830" s="1818"/>
      <c r="AY830" s="1818"/>
      <c r="AZ830" s="1818"/>
      <c r="BA830" s="1818"/>
      <c r="BB830" s="1818"/>
      <c r="BC830" s="1818"/>
      <c r="BD830" s="1818"/>
      <c r="BE830" s="1818"/>
      <c r="BF830" s="1818"/>
      <c r="BG830" s="1818"/>
      <c r="BH830" s="1818"/>
      <c r="BI830" s="1818"/>
      <c r="BJ830" s="1818"/>
      <c r="BK830" s="1818"/>
      <c r="BL830" s="1818"/>
      <c r="BM830" s="1818"/>
      <c r="BN830" s="1818"/>
      <c r="BO830" s="1818"/>
      <c r="BP830" s="1818"/>
      <c r="BQ830" s="1818"/>
      <c r="BR830" s="1818"/>
      <c r="BS830" s="1818"/>
      <c r="BT830" s="1818"/>
      <c r="BU830" s="1818"/>
      <c r="BV830" s="1818"/>
      <c r="BW830" s="1818"/>
      <c r="BX830" s="1818"/>
      <c r="BY830" s="1818"/>
      <c r="BZ830" s="1818"/>
      <c r="CA830" s="1818"/>
      <c r="CB830" s="1818"/>
      <c r="CC830" s="1818"/>
      <c r="CD830" s="1818"/>
      <c r="CE830" s="1818"/>
      <c r="CF830" s="1818"/>
      <c r="CG830" s="1818"/>
      <c r="CH830" s="1818"/>
      <c r="CI830" s="1818"/>
      <c r="CJ830" s="1818"/>
      <c r="CK830" s="1818"/>
      <c r="CL830" s="1818"/>
      <c r="CM830" s="1818"/>
      <c r="CN830" s="1818"/>
      <c r="CO830" s="1818"/>
      <c r="CP830" s="1818"/>
      <c r="CQ830" s="1818"/>
      <c r="CR830" s="1818"/>
      <c r="CS830" s="1818"/>
      <c r="CT830" s="1818"/>
      <c r="CU830" s="1818"/>
      <c r="CV830" s="1818"/>
      <c r="CW830" s="1818"/>
      <c r="CX830" s="1818"/>
      <c r="CY830" s="1818"/>
      <c r="CZ830" s="1818"/>
      <c r="DA830" s="1818"/>
      <c r="DB830" s="1818"/>
      <c r="DC830" s="1818"/>
      <c r="DD830" s="1818"/>
      <c r="DE830" s="1818"/>
      <c r="DF830" s="1818"/>
      <c r="DG830" s="1818"/>
      <c r="DH830" s="1818"/>
      <c r="DI830" s="1818"/>
      <c r="DJ830" s="1818"/>
      <c r="DK830" s="1818"/>
      <c r="DL830" s="1818"/>
      <c r="DM830" s="1818"/>
      <c r="DN830" s="1818"/>
      <c r="DO830" s="1818"/>
      <c r="DP830" s="1818"/>
      <c r="DQ830" s="1818"/>
      <c r="DR830" s="1818"/>
      <c r="DS830" s="1818"/>
      <c r="DT830" s="1818"/>
      <c r="DU830" s="1818"/>
      <c r="DV830" s="1818"/>
      <c r="DW830" s="1818"/>
      <c r="DX830" s="1818"/>
      <c r="DY830" s="1818"/>
      <c r="DZ830" s="1818"/>
      <c r="EA830" s="1818"/>
      <c r="EB830" s="1818"/>
      <c r="EC830" s="1818"/>
      <c r="ED830" s="1818"/>
      <c r="EE830" s="1818"/>
      <c r="EF830" s="1818"/>
      <c r="EG830" s="1818"/>
      <c r="EH830" s="1818"/>
      <c r="EI830" s="1818"/>
      <c r="EJ830" s="1818"/>
      <c r="EK830" s="1818"/>
      <c r="EL830" s="1818"/>
      <c r="EM830" s="1818"/>
      <c r="EN830" s="1818"/>
      <c r="EO830" s="1818"/>
      <c r="EP830" s="1818"/>
      <c r="EQ830" s="1818"/>
      <c r="ER830" s="1818"/>
      <c r="ES830" s="1818"/>
      <c r="ET830" s="1818"/>
      <c r="EU830" s="1818"/>
      <c r="EV830" s="1818"/>
      <c r="EW830" s="1818"/>
      <c r="EX830" s="1818"/>
      <c r="EY830" s="1818"/>
      <c r="EZ830" s="1818"/>
      <c r="FA830" s="1818"/>
      <c r="FB830" s="1818"/>
      <c r="FC830" s="1818"/>
      <c r="FD830" s="1818"/>
      <c r="FE830" s="1818"/>
      <c r="FF830" s="1818"/>
      <c r="FG830" s="1818"/>
      <c r="FH830" s="1818"/>
      <c r="FI830" s="1818"/>
      <c r="FJ830" s="1818"/>
      <c r="FK830" s="1818"/>
      <c r="FL830" s="1818"/>
      <c r="FM830" s="1818"/>
      <c r="FN830" s="1818"/>
      <c r="FO830" s="1818"/>
      <c r="FP830" s="1818"/>
      <c r="FQ830" s="1818"/>
      <c r="FR830" s="1818"/>
      <c r="FS830" s="1818"/>
      <c r="FT830" s="1818"/>
    </row>
    <row r="831" spans="1:176" s="1965" customFormat="1" ht="32.1" customHeight="1">
      <c r="A831" s="2535"/>
      <c r="B831" s="1803"/>
      <c r="C831" s="1817"/>
      <c r="D831" s="1817"/>
      <c r="E831" s="1813"/>
      <c r="F831" s="1813"/>
      <c r="G831" s="1813"/>
      <c r="H831" s="1813"/>
      <c r="I831" s="2434"/>
      <c r="J831" s="2244"/>
      <c r="K831" s="2244"/>
      <c r="L831" s="2244"/>
      <c r="M831" s="2244"/>
      <c r="N831" s="2244"/>
      <c r="O831" s="2244"/>
      <c r="P831" s="2245"/>
      <c r="Q831" s="2245"/>
      <c r="R831" s="2435"/>
      <c r="S831" s="2244"/>
      <c r="T831" s="2244"/>
      <c r="U831" s="2244"/>
      <c r="V831" s="2244"/>
      <c r="W831" s="2244"/>
      <c r="X831" s="2244"/>
      <c r="Y831" s="1818"/>
      <c r="Z831" s="1818"/>
      <c r="AA831" s="1818"/>
      <c r="AB831" s="1818"/>
      <c r="AC831" s="1818"/>
      <c r="AD831" s="1818"/>
      <c r="AE831" s="1818"/>
      <c r="AF831" s="1818"/>
      <c r="AG831" s="1818"/>
      <c r="AH831" s="1818"/>
      <c r="AI831" s="1818"/>
      <c r="AJ831" s="1818"/>
      <c r="AK831" s="1818"/>
      <c r="AL831" s="1818"/>
      <c r="AM831" s="1818"/>
      <c r="AN831" s="1818"/>
      <c r="AO831" s="1818"/>
      <c r="AP831" s="1818"/>
      <c r="AQ831" s="1818"/>
      <c r="AR831" s="1818"/>
      <c r="AS831" s="1818"/>
      <c r="AT831" s="1818"/>
      <c r="AU831" s="1818"/>
      <c r="AV831" s="1818"/>
      <c r="AW831" s="1818"/>
      <c r="AX831" s="1818"/>
      <c r="AY831" s="1818"/>
      <c r="AZ831" s="1818"/>
      <c r="BA831" s="1818"/>
      <c r="BB831" s="1818"/>
      <c r="BC831" s="1818"/>
      <c r="BD831" s="1818"/>
      <c r="BE831" s="1818"/>
      <c r="BF831" s="1818"/>
      <c r="BG831" s="1818"/>
      <c r="BH831" s="1818"/>
      <c r="BI831" s="1818"/>
      <c r="BJ831" s="1818"/>
      <c r="BK831" s="1818"/>
      <c r="BL831" s="1818"/>
      <c r="BM831" s="1818"/>
      <c r="BN831" s="1818"/>
      <c r="BO831" s="1818"/>
      <c r="BP831" s="1818"/>
      <c r="BQ831" s="1818"/>
      <c r="BR831" s="1818"/>
      <c r="BS831" s="1818"/>
      <c r="BT831" s="1818"/>
      <c r="BU831" s="1818"/>
      <c r="BV831" s="1818"/>
      <c r="BW831" s="1818"/>
      <c r="BX831" s="1818"/>
      <c r="BY831" s="1818"/>
      <c r="BZ831" s="1818"/>
      <c r="CA831" s="1818"/>
      <c r="CB831" s="1818"/>
      <c r="CC831" s="1818"/>
      <c r="CD831" s="1818"/>
      <c r="CE831" s="1818"/>
      <c r="CF831" s="1818"/>
      <c r="CG831" s="1818"/>
      <c r="CH831" s="1818"/>
      <c r="CI831" s="1818"/>
      <c r="CJ831" s="1818"/>
      <c r="CK831" s="1818"/>
      <c r="CL831" s="1818"/>
      <c r="CM831" s="1818"/>
      <c r="CN831" s="1818"/>
      <c r="CO831" s="1818"/>
      <c r="CP831" s="1818"/>
      <c r="CQ831" s="1818"/>
      <c r="CR831" s="1818"/>
      <c r="CS831" s="1818"/>
      <c r="CT831" s="1818"/>
      <c r="CU831" s="1818"/>
      <c r="CV831" s="1818"/>
      <c r="CW831" s="1818"/>
      <c r="CX831" s="1818"/>
      <c r="CY831" s="1818"/>
      <c r="CZ831" s="1818"/>
      <c r="DA831" s="1818"/>
      <c r="DB831" s="1818"/>
      <c r="DC831" s="1818"/>
      <c r="DD831" s="1818"/>
      <c r="DE831" s="1818"/>
      <c r="DF831" s="1818"/>
      <c r="DG831" s="1818"/>
      <c r="DH831" s="1818"/>
      <c r="DI831" s="1818"/>
      <c r="DJ831" s="1818"/>
      <c r="DK831" s="1818"/>
      <c r="DL831" s="1818"/>
      <c r="DM831" s="1818"/>
      <c r="DN831" s="1818"/>
      <c r="DO831" s="1818"/>
      <c r="DP831" s="1818"/>
      <c r="DQ831" s="1818"/>
      <c r="DR831" s="1818"/>
      <c r="DS831" s="1818"/>
      <c r="DT831" s="1818"/>
      <c r="DU831" s="1818"/>
      <c r="DV831" s="1818"/>
      <c r="DW831" s="1818"/>
      <c r="DX831" s="1818"/>
      <c r="DY831" s="1818"/>
      <c r="DZ831" s="1818"/>
      <c r="EA831" s="1818"/>
      <c r="EB831" s="1818"/>
      <c r="EC831" s="1818"/>
      <c r="ED831" s="1818"/>
      <c r="EE831" s="1818"/>
      <c r="EF831" s="1818"/>
      <c r="EG831" s="1818"/>
      <c r="EH831" s="1818"/>
      <c r="EI831" s="1818"/>
      <c r="EJ831" s="1818"/>
      <c r="EK831" s="1818"/>
      <c r="EL831" s="1818"/>
      <c r="EM831" s="1818"/>
      <c r="EN831" s="1818"/>
      <c r="EO831" s="1818"/>
      <c r="EP831" s="1818"/>
      <c r="EQ831" s="1818"/>
      <c r="ER831" s="1818"/>
      <c r="ES831" s="1818"/>
      <c r="ET831" s="1818"/>
      <c r="EU831" s="1818"/>
      <c r="EV831" s="1818"/>
      <c r="EW831" s="1818"/>
      <c r="EX831" s="1818"/>
      <c r="EY831" s="1818"/>
      <c r="EZ831" s="1818"/>
      <c r="FA831" s="1818"/>
      <c r="FB831" s="1818"/>
      <c r="FC831" s="1818"/>
      <c r="FD831" s="1818"/>
      <c r="FE831" s="1818"/>
      <c r="FF831" s="1818"/>
      <c r="FG831" s="1818"/>
      <c r="FH831" s="1818"/>
      <c r="FI831" s="1818"/>
      <c r="FJ831" s="1818"/>
      <c r="FK831" s="1818"/>
      <c r="FL831" s="1818"/>
      <c r="FM831" s="1818"/>
      <c r="FN831" s="1818"/>
      <c r="FO831" s="1818"/>
      <c r="FP831" s="1818"/>
      <c r="FQ831" s="1818"/>
      <c r="FR831" s="1818"/>
      <c r="FS831" s="1818"/>
      <c r="FT831" s="1818"/>
    </row>
    <row r="832" spans="1:176" s="1965" customFormat="1" ht="32.1" customHeight="1">
      <c r="A832" s="2535"/>
      <c r="B832" s="1803"/>
      <c r="C832" s="1817"/>
      <c r="D832" s="1817"/>
      <c r="E832" s="1813"/>
      <c r="F832" s="1813"/>
      <c r="G832" s="1813"/>
      <c r="H832" s="1813"/>
      <c r="I832" s="2434"/>
      <c r="J832" s="2244"/>
      <c r="K832" s="2244"/>
      <c r="L832" s="2244"/>
      <c r="M832" s="2244"/>
      <c r="N832" s="2244"/>
      <c r="O832" s="2244"/>
      <c r="P832" s="2245"/>
      <c r="Q832" s="2245"/>
      <c r="R832" s="2435"/>
      <c r="S832" s="2244"/>
      <c r="T832" s="2244"/>
      <c r="U832" s="2244"/>
      <c r="V832" s="2244"/>
      <c r="W832" s="2244"/>
      <c r="X832" s="2244"/>
      <c r="Y832" s="1818"/>
      <c r="Z832" s="1818"/>
      <c r="AA832" s="1818"/>
      <c r="AB832" s="1818"/>
      <c r="AC832" s="1818"/>
      <c r="AD832" s="1818"/>
      <c r="AE832" s="1818"/>
      <c r="AF832" s="1818"/>
      <c r="AG832" s="1818"/>
      <c r="AH832" s="1818"/>
      <c r="AI832" s="1818"/>
      <c r="AJ832" s="1818"/>
      <c r="AK832" s="1818"/>
      <c r="AL832" s="1818"/>
      <c r="AM832" s="1818"/>
      <c r="AN832" s="1818"/>
      <c r="AO832" s="1818"/>
      <c r="AP832" s="1818"/>
      <c r="AQ832" s="1818"/>
      <c r="AR832" s="1818"/>
      <c r="AS832" s="1818"/>
      <c r="AT832" s="1818"/>
      <c r="AU832" s="1818"/>
      <c r="AV832" s="1818"/>
      <c r="AW832" s="1818"/>
      <c r="AX832" s="1818"/>
      <c r="AY832" s="1818"/>
      <c r="AZ832" s="1818"/>
      <c r="BA832" s="1818"/>
      <c r="BB832" s="1818"/>
      <c r="BC832" s="1818"/>
      <c r="BD832" s="1818"/>
      <c r="BE832" s="1818"/>
      <c r="BF832" s="1818"/>
      <c r="BG832" s="1818"/>
      <c r="BH832" s="1818"/>
      <c r="BI832" s="1818"/>
      <c r="BJ832" s="1818"/>
      <c r="BK832" s="1818"/>
      <c r="BL832" s="1818"/>
      <c r="BM832" s="1818"/>
      <c r="BN832" s="1818"/>
      <c r="BO832" s="1818"/>
      <c r="BP832" s="1818"/>
      <c r="BQ832" s="1818"/>
      <c r="BR832" s="1818"/>
      <c r="BS832" s="1818"/>
      <c r="BT832" s="1818"/>
      <c r="BU832" s="1818"/>
      <c r="BV832" s="1818"/>
      <c r="BW832" s="1818"/>
      <c r="BX832" s="1818"/>
      <c r="BY832" s="1818"/>
      <c r="BZ832" s="1818"/>
      <c r="CA832" s="1818"/>
      <c r="CB832" s="1818"/>
      <c r="CC832" s="1818"/>
      <c r="CD832" s="1818"/>
      <c r="CE832" s="1818"/>
      <c r="CF832" s="1818"/>
      <c r="CG832" s="1818"/>
      <c r="CH832" s="1818"/>
      <c r="CI832" s="1818"/>
      <c r="CJ832" s="1818"/>
      <c r="CK832" s="1818"/>
      <c r="CL832" s="1818"/>
      <c r="CM832" s="1818"/>
      <c r="CN832" s="1818"/>
      <c r="CO832" s="1818"/>
      <c r="CP832" s="1818"/>
      <c r="CQ832" s="1818"/>
      <c r="CR832" s="1818"/>
      <c r="CS832" s="1818"/>
      <c r="CT832" s="1818"/>
      <c r="CU832" s="1818"/>
      <c r="CV832" s="1818"/>
      <c r="CW832" s="1818"/>
      <c r="CX832" s="1818"/>
      <c r="CY832" s="1818"/>
      <c r="CZ832" s="1818"/>
      <c r="DA832" s="1818"/>
      <c r="DB832" s="1818"/>
      <c r="DC832" s="1818"/>
      <c r="DD832" s="1818"/>
      <c r="DE832" s="1818"/>
      <c r="DF832" s="1818"/>
      <c r="DG832" s="1818"/>
      <c r="DH832" s="1818"/>
      <c r="DI832" s="1818"/>
      <c r="DJ832" s="1818"/>
      <c r="DK832" s="1818"/>
      <c r="DL832" s="1818"/>
      <c r="DM832" s="1818"/>
      <c r="DN832" s="1818"/>
      <c r="DO832" s="1818"/>
      <c r="DP832" s="1818"/>
      <c r="DQ832" s="1818"/>
      <c r="DR832" s="1818"/>
      <c r="DS832" s="1818"/>
      <c r="DT832" s="1818"/>
      <c r="DU832" s="1818"/>
      <c r="DV832" s="1818"/>
      <c r="DW832" s="1818"/>
      <c r="DX832" s="1818"/>
      <c r="DY832" s="1818"/>
      <c r="DZ832" s="1818"/>
      <c r="EA832" s="1818"/>
      <c r="EB832" s="1818"/>
      <c r="EC832" s="1818"/>
      <c r="ED832" s="1818"/>
      <c r="EE832" s="1818"/>
      <c r="EF832" s="1818"/>
      <c r="EG832" s="1818"/>
      <c r="EH832" s="1818"/>
      <c r="EI832" s="1818"/>
      <c r="EJ832" s="1818"/>
      <c r="EK832" s="1818"/>
      <c r="EL832" s="1818"/>
      <c r="EM832" s="1818"/>
      <c r="EN832" s="1818"/>
      <c r="EO832" s="1818"/>
      <c r="EP832" s="1818"/>
      <c r="EQ832" s="1818"/>
      <c r="ER832" s="1818"/>
      <c r="ES832" s="1818"/>
      <c r="ET832" s="1818"/>
      <c r="EU832" s="1818"/>
      <c r="EV832" s="1818"/>
      <c r="EW832" s="1818"/>
      <c r="EX832" s="1818"/>
      <c r="EY832" s="1818"/>
      <c r="EZ832" s="1818"/>
      <c r="FA832" s="1818"/>
      <c r="FB832" s="1818"/>
      <c r="FC832" s="1818"/>
      <c r="FD832" s="1818"/>
      <c r="FE832" s="1818"/>
      <c r="FF832" s="1818"/>
      <c r="FG832" s="1818"/>
      <c r="FH832" s="1818"/>
      <c r="FI832" s="1818"/>
      <c r="FJ832" s="1818"/>
      <c r="FK832" s="1818"/>
      <c r="FL832" s="1818"/>
      <c r="FM832" s="1818"/>
      <c r="FN832" s="1818"/>
      <c r="FO832" s="1818"/>
      <c r="FP832" s="1818"/>
      <c r="FQ832" s="1818"/>
      <c r="FR832" s="1818"/>
      <c r="FS832" s="1818"/>
      <c r="FT832" s="1818"/>
    </row>
    <row r="833" spans="1:176" s="1965" customFormat="1" ht="32.1" customHeight="1">
      <c r="A833" s="2535"/>
      <c r="B833" s="1803"/>
      <c r="C833" s="1817"/>
      <c r="D833" s="1817"/>
      <c r="E833" s="1813"/>
      <c r="F833" s="1813"/>
      <c r="G833" s="1813"/>
      <c r="H833" s="1813"/>
      <c r="I833" s="2434"/>
      <c r="J833" s="2244"/>
      <c r="K833" s="2244"/>
      <c r="L833" s="2244"/>
      <c r="M833" s="2244"/>
      <c r="N833" s="2244"/>
      <c r="O833" s="2244"/>
      <c r="P833" s="2245"/>
      <c r="Q833" s="2245"/>
      <c r="R833" s="2435"/>
      <c r="S833" s="2244"/>
      <c r="T833" s="2244"/>
      <c r="U833" s="2244"/>
      <c r="V833" s="2244"/>
      <c r="W833" s="2244"/>
      <c r="X833" s="2244"/>
      <c r="Y833" s="1818"/>
      <c r="Z833" s="1818"/>
      <c r="AA833" s="1818"/>
      <c r="AB833" s="1818"/>
      <c r="AC833" s="1818"/>
      <c r="AD833" s="1818"/>
      <c r="AE833" s="1818"/>
      <c r="AF833" s="1818"/>
      <c r="AG833" s="1818"/>
      <c r="AH833" s="1818"/>
      <c r="AI833" s="1818"/>
      <c r="AJ833" s="1818"/>
      <c r="AK833" s="1818"/>
      <c r="AL833" s="1818"/>
      <c r="AM833" s="1818"/>
      <c r="AN833" s="1818"/>
      <c r="AO833" s="1818"/>
      <c r="AP833" s="1818"/>
      <c r="AQ833" s="1818"/>
      <c r="AR833" s="1818"/>
      <c r="AS833" s="1818"/>
      <c r="AT833" s="1818"/>
      <c r="AU833" s="1818"/>
      <c r="AV833" s="1818"/>
      <c r="AW833" s="1818"/>
      <c r="AX833" s="1818"/>
      <c r="AY833" s="1818"/>
      <c r="AZ833" s="1818"/>
      <c r="BA833" s="1818"/>
      <c r="BB833" s="1818"/>
      <c r="BC833" s="1818"/>
      <c r="BD833" s="1818"/>
      <c r="BE833" s="1818"/>
      <c r="BF833" s="1818"/>
      <c r="BG833" s="1818"/>
      <c r="BH833" s="1818"/>
      <c r="BI833" s="1818"/>
      <c r="BJ833" s="1818"/>
      <c r="BK833" s="1818"/>
      <c r="BL833" s="1818"/>
      <c r="BM833" s="1818"/>
      <c r="BN833" s="1818"/>
      <c r="BO833" s="1818"/>
      <c r="BP833" s="1818"/>
      <c r="BQ833" s="1818"/>
      <c r="BR833" s="1818"/>
      <c r="BS833" s="1818"/>
      <c r="BT833" s="1818"/>
      <c r="BU833" s="1818"/>
      <c r="BV833" s="1818"/>
      <c r="BW833" s="1818"/>
      <c r="BX833" s="1818"/>
      <c r="BY833" s="1818"/>
      <c r="BZ833" s="1818"/>
      <c r="CA833" s="1818"/>
      <c r="CB833" s="1818"/>
      <c r="CC833" s="1818"/>
      <c r="CD833" s="1818"/>
      <c r="CE833" s="1818"/>
      <c r="CF833" s="1818"/>
      <c r="CG833" s="1818"/>
      <c r="CH833" s="1818"/>
      <c r="CI833" s="1818"/>
      <c r="CJ833" s="1818"/>
      <c r="CK833" s="1818"/>
      <c r="CL833" s="1818"/>
      <c r="CM833" s="1818"/>
      <c r="CN833" s="1818"/>
      <c r="CO833" s="1818"/>
      <c r="CP833" s="1818"/>
      <c r="CQ833" s="1818"/>
      <c r="CR833" s="1818"/>
      <c r="CS833" s="1818"/>
      <c r="CT833" s="1818"/>
      <c r="CU833" s="1818"/>
      <c r="CV833" s="1818"/>
      <c r="CW833" s="1818"/>
      <c r="CX833" s="1818"/>
      <c r="CY833" s="1818"/>
      <c r="CZ833" s="1818"/>
      <c r="DA833" s="1818"/>
      <c r="DB833" s="1818"/>
      <c r="DC833" s="1818"/>
      <c r="DD833" s="1818"/>
      <c r="DE833" s="1818"/>
      <c r="DF833" s="1818"/>
      <c r="DG833" s="1818"/>
      <c r="DH833" s="1818"/>
      <c r="DI833" s="1818"/>
      <c r="DJ833" s="1818"/>
      <c r="DK833" s="1818"/>
      <c r="DL833" s="1818"/>
      <c r="DM833" s="1818"/>
      <c r="DN833" s="1818"/>
      <c r="DO833" s="1818"/>
      <c r="DP833" s="1818"/>
      <c r="DQ833" s="1818"/>
      <c r="DR833" s="1818"/>
      <c r="DS833" s="1818"/>
      <c r="DT833" s="1818"/>
      <c r="DU833" s="1818"/>
      <c r="DV833" s="1818"/>
      <c r="DW833" s="1818"/>
      <c r="DX833" s="1818"/>
      <c r="DY833" s="1818"/>
      <c r="DZ833" s="1818"/>
      <c r="EA833" s="1818"/>
      <c r="EB833" s="1818"/>
      <c r="EC833" s="1818"/>
      <c r="ED833" s="1818"/>
      <c r="EE833" s="1818"/>
      <c r="EF833" s="1818"/>
      <c r="EG833" s="1818"/>
      <c r="EH833" s="1818"/>
      <c r="EI833" s="1818"/>
      <c r="EJ833" s="1818"/>
      <c r="EK833" s="1818"/>
      <c r="EL833" s="1818"/>
      <c r="EM833" s="1818"/>
      <c r="EN833" s="1818"/>
      <c r="EO833" s="1818"/>
      <c r="EP833" s="1818"/>
      <c r="EQ833" s="1818"/>
      <c r="ER833" s="1818"/>
      <c r="ES833" s="1818"/>
      <c r="ET833" s="1818"/>
      <c r="EU833" s="1818"/>
      <c r="EV833" s="1818"/>
      <c r="EW833" s="1818"/>
      <c r="EX833" s="1818"/>
      <c r="EY833" s="1818"/>
      <c r="EZ833" s="1818"/>
      <c r="FA833" s="1818"/>
      <c r="FB833" s="1818"/>
      <c r="FC833" s="1818"/>
      <c r="FD833" s="1818"/>
      <c r="FE833" s="1818"/>
      <c r="FF833" s="1818"/>
      <c r="FG833" s="1818"/>
      <c r="FH833" s="1818"/>
      <c r="FI833" s="1818"/>
      <c r="FJ833" s="1818"/>
      <c r="FK833" s="1818"/>
      <c r="FL833" s="1818"/>
      <c r="FM833" s="1818"/>
      <c r="FN833" s="1818"/>
      <c r="FO833" s="1818"/>
      <c r="FP833" s="1818"/>
      <c r="FQ833" s="1818"/>
      <c r="FR833" s="1818"/>
      <c r="FS833" s="1818"/>
      <c r="FT833" s="1818"/>
    </row>
    <row r="834" spans="1:176" s="1965" customFormat="1" ht="32.1" customHeight="1">
      <c r="A834" s="2535"/>
      <c r="B834" s="1803"/>
      <c r="C834" s="1817"/>
      <c r="D834" s="1817"/>
      <c r="E834" s="1813"/>
      <c r="F834" s="1813"/>
      <c r="G834" s="1813"/>
      <c r="H834" s="1813"/>
      <c r="I834" s="2434"/>
      <c r="J834" s="2244"/>
      <c r="K834" s="2244"/>
      <c r="L834" s="2244"/>
      <c r="M834" s="2244"/>
      <c r="N834" s="2244"/>
      <c r="O834" s="2244"/>
      <c r="P834" s="2245"/>
      <c r="Q834" s="2245"/>
      <c r="R834" s="2435"/>
      <c r="S834" s="2244"/>
      <c r="T834" s="2244"/>
      <c r="U834" s="2244"/>
      <c r="V834" s="2244"/>
      <c r="W834" s="2244"/>
      <c r="X834" s="2244"/>
      <c r="Y834" s="1818"/>
      <c r="Z834" s="1818"/>
      <c r="AA834" s="1818"/>
      <c r="AB834" s="1818"/>
      <c r="AC834" s="1818"/>
      <c r="AD834" s="1818"/>
      <c r="AE834" s="1818"/>
      <c r="AF834" s="1818"/>
      <c r="AG834" s="1818"/>
      <c r="AH834" s="1818"/>
      <c r="AI834" s="1818"/>
      <c r="AJ834" s="1818"/>
      <c r="AK834" s="1818"/>
      <c r="AL834" s="1818"/>
      <c r="AM834" s="1818"/>
      <c r="AN834" s="1818"/>
      <c r="AO834" s="1818"/>
      <c r="AP834" s="1818"/>
      <c r="AQ834" s="1818"/>
      <c r="AR834" s="1818"/>
      <c r="AS834" s="1818"/>
      <c r="AT834" s="1818"/>
      <c r="AU834" s="1818"/>
      <c r="AV834" s="1818"/>
      <c r="AW834" s="1818"/>
      <c r="AX834" s="1818"/>
      <c r="AY834" s="1818"/>
      <c r="AZ834" s="1818"/>
      <c r="BA834" s="1818"/>
      <c r="BB834" s="1818"/>
      <c r="BC834" s="1818"/>
      <c r="BD834" s="1818"/>
      <c r="BE834" s="1818"/>
      <c r="BF834" s="1818"/>
      <c r="BG834" s="1818"/>
      <c r="BH834" s="1818"/>
      <c r="BI834" s="1818"/>
      <c r="BJ834" s="1818"/>
      <c r="BK834" s="1818"/>
      <c r="BL834" s="1818"/>
      <c r="BM834" s="1818"/>
      <c r="BN834" s="1818"/>
      <c r="BO834" s="1818"/>
      <c r="BP834" s="1818"/>
      <c r="BQ834" s="1818"/>
      <c r="BR834" s="1818"/>
      <c r="BS834" s="1818"/>
      <c r="BT834" s="1818"/>
      <c r="BU834" s="1818"/>
      <c r="BV834" s="1818"/>
      <c r="BW834" s="1818"/>
      <c r="BX834" s="1818"/>
      <c r="BY834" s="1818"/>
      <c r="BZ834" s="1818"/>
      <c r="CA834" s="1818"/>
      <c r="CB834" s="1818"/>
      <c r="CC834" s="1818"/>
      <c r="CD834" s="1818"/>
      <c r="CE834" s="1818"/>
      <c r="CF834" s="1818"/>
      <c r="CG834" s="1818"/>
      <c r="CH834" s="1818"/>
      <c r="CI834" s="1818"/>
      <c r="CJ834" s="1818"/>
      <c r="CK834" s="1818"/>
      <c r="CL834" s="1818"/>
      <c r="CM834" s="1818"/>
      <c r="CN834" s="1818"/>
      <c r="CO834" s="1818"/>
      <c r="CP834" s="1818"/>
      <c r="CQ834" s="1818"/>
      <c r="CR834" s="1818"/>
      <c r="CS834" s="1818"/>
      <c r="CT834" s="1818"/>
      <c r="CU834" s="1818"/>
      <c r="CV834" s="1818"/>
      <c r="CW834" s="1818"/>
      <c r="CX834" s="1818"/>
      <c r="CY834" s="1818"/>
      <c r="CZ834" s="1818"/>
      <c r="DA834" s="1818"/>
      <c r="DB834" s="1818"/>
      <c r="DC834" s="1818"/>
      <c r="DD834" s="1818"/>
      <c r="DE834" s="1818"/>
      <c r="DF834" s="1818"/>
      <c r="DG834" s="1818"/>
      <c r="DH834" s="1818"/>
      <c r="DI834" s="1818"/>
      <c r="DJ834" s="1818"/>
      <c r="DK834" s="1818"/>
      <c r="DL834" s="1818"/>
      <c r="DM834" s="1818"/>
      <c r="DN834" s="1818"/>
      <c r="DO834" s="1818"/>
      <c r="DP834" s="1818"/>
      <c r="DQ834" s="1818"/>
      <c r="DR834" s="1818"/>
      <c r="DS834" s="1818"/>
      <c r="DT834" s="1818"/>
      <c r="DU834" s="1818"/>
      <c r="DV834" s="1818"/>
      <c r="DW834" s="1818"/>
      <c r="DX834" s="1818"/>
      <c r="DY834" s="1818"/>
      <c r="DZ834" s="1818"/>
      <c r="EA834" s="1818"/>
      <c r="EB834" s="1818"/>
      <c r="EC834" s="1818"/>
      <c r="ED834" s="1818"/>
      <c r="EE834" s="1818"/>
      <c r="EF834" s="1818"/>
      <c r="EG834" s="1818"/>
      <c r="EH834" s="1818"/>
      <c r="EI834" s="1818"/>
      <c r="EJ834" s="1818"/>
      <c r="EK834" s="1818"/>
      <c r="EL834" s="1818"/>
      <c r="EM834" s="1818"/>
      <c r="EN834" s="1818"/>
      <c r="EO834" s="1818"/>
      <c r="EP834" s="1818"/>
      <c r="EQ834" s="1818"/>
      <c r="ER834" s="1818"/>
      <c r="ES834" s="1818"/>
      <c r="ET834" s="1818"/>
      <c r="EU834" s="1818"/>
      <c r="EV834" s="1818"/>
      <c r="EW834" s="1818"/>
      <c r="EX834" s="1818"/>
      <c r="EY834" s="1818"/>
      <c r="EZ834" s="1818"/>
      <c r="FA834" s="1818"/>
      <c r="FB834" s="1818"/>
      <c r="FC834" s="1818"/>
      <c r="FD834" s="1818"/>
      <c r="FE834" s="1818"/>
      <c r="FF834" s="1818"/>
      <c r="FG834" s="1818"/>
      <c r="FH834" s="1818"/>
      <c r="FI834" s="1818"/>
      <c r="FJ834" s="1818"/>
      <c r="FK834" s="1818"/>
      <c r="FL834" s="1818"/>
      <c r="FM834" s="1818"/>
      <c r="FN834" s="1818"/>
      <c r="FO834" s="1818"/>
      <c r="FP834" s="1818"/>
      <c r="FQ834" s="1818"/>
      <c r="FR834" s="1818"/>
      <c r="FS834" s="1818"/>
      <c r="FT834" s="1818"/>
    </row>
    <row r="835" spans="1:176" s="1965" customFormat="1" ht="32.1" customHeight="1">
      <c r="A835" s="2535"/>
      <c r="B835" s="1803"/>
      <c r="C835" s="1817"/>
      <c r="D835" s="1817"/>
      <c r="E835" s="1813"/>
      <c r="F835" s="1813"/>
      <c r="G835" s="1813"/>
      <c r="H835" s="1813"/>
      <c r="I835" s="2434"/>
      <c r="J835" s="2244"/>
      <c r="K835" s="2244"/>
      <c r="L835" s="2244"/>
      <c r="M835" s="2244"/>
      <c r="N835" s="2244"/>
      <c r="O835" s="2244"/>
      <c r="P835" s="2245"/>
      <c r="Q835" s="2245"/>
      <c r="R835" s="2435"/>
      <c r="S835" s="2244"/>
      <c r="T835" s="2244"/>
      <c r="U835" s="2244"/>
      <c r="V835" s="2244"/>
      <c r="W835" s="2244"/>
      <c r="X835" s="2244"/>
      <c r="Y835" s="1818"/>
      <c r="Z835" s="1818"/>
      <c r="AA835" s="1818"/>
      <c r="AB835" s="1818"/>
      <c r="AC835" s="1818"/>
      <c r="AD835" s="1818"/>
      <c r="AE835" s="1818"/>
      <c r="AF835" s="1818"/>
      <c r="AG835" s="1818"/>
      <c r="AH835" s="1818"/>
      <c r="AI835" s="1818"/>
      <c r="AJ835" s="1818"/>
      <c r="AK835" s="1818"/>
      <c r="AL835" s="1818"/>
      <c r="AM835" s="1818"/>
      <c r="AN835" s="1818"/>
      <c r="AO835" s="1818"/>
      <c r="AP835" s="1818"/>
      <c r="AQ835" s="1818"/>
      <c r="AR835" s="1818"/>
      <c r="AS835" s="1818"/>
      <c r="AT835" s="1818"/>
      <c r="AU835" s="1818"/>
      <c r="AV835" s="1818"/>
      <c r="AW835" s="1818"/>
      <c r="AX835" s="1818"/>
      <c r="AY835" s="1818"/>
      <c r="AZ835" s="1818"/>
      <c r="BA835" s="1818"/>
      <c r="BB835" s="1818"/>
      <c r="BC835" s="1818"/>
      <c r="BD835" s="1818"/>
      <c r="BE835" s="1818"/>
      <c r="BF835" s="1818"/>
      <c r="BG835" s="1818"/>
      <c r="BH835" s="1818"/>
      <c r="BI835" s="1818"/>
      <c r="BJ835" s="1818"/>
      <c r="BK835" s="1818"/>
      <c r="BL835" s="1818"/>
      <c r="BM835" s="1818"/>
      <c r="BN835" s="1818"/>
      <c r="BO835" s="1818"/>
      <c r="BP835" s="1818"/>
      <c r="BQ835" s="1818"/>
      <c r="BR835" s="1818"/>
      <c r="BS835" s="1818"/>
      <c r="BT835" s="1818"/>
      <c r="BU835" s="1818"/>
      <c r="BV835" s="1818"/>
      <c r="BW835" s="1818"/>
      <c r="BX835" s="1818"/>
      <c r="BY835" s="1818"/>
      <c r="BZ835" s="1818"/>
      <c r="CA835" s="1818"/>
      <c r="CB835" s="1818"/>
      <c r="CC835" s="1818"/>
      <c r="CD835" s="1818"/>
      <c r="CE835" s="1818"/>
      <c r="CF835" s="1818"/>
      <c r="CG835" s="1818"/>
      <c r="CH835" s="1818"/>
      <c r="CI835" s="1818"/>
      <c r="CJ835" s="1818"/>
      <c r="CK835" s="1818"/>
      <c r="CL835" s="1818"/>
      <c r="CM835" s="1818"/>
      <c r="CN835" s="1818"/>
      <c r="CO835" s="1818"/>
      <c r="CP835" s="1818"/>
      <c r="CQ835" s="1818"/>
      <c r="CR835" s="1818"/>
      <c r="CS835" s="1818"/>
      <c r="CT835" s="1818"/>
      <c r="CU835" s="1818"/>
      <c r="CV835" s="1818"/>
      <c r="CW835" s="1818"/>
      <c r="CX835" s="1818"/>
      <c r="CY835" s="1818"/>
      <c r="CZ835" s="1818"/>
      <c r="DA835" s="1818"/>
      <c r="DB835" s="1818"/>
      <c r="DC835" s="1818"/>
      <c r="DD835" s="1818"/>
      <c r="DE835" s="1818"/>
      <c r="DF835" s="1818"/>
      <c r="DG835" s="1818"/>
      <c r="DH835" s="1818"/>
      <c r="DI835" s="1818"/>
      <c r="DJ835" s="1818"/>
      <c r="DK835" s="1818"/>
      <c r="DL835" s="1818"/>
      <c r="DM835" s="1818"/>
      <c r="DN835" s="1818"/>
      <c r="DO835" s="1818"/>
      <c r="DP835" s="1818"/>
      <c r="DQ835" s="1818"/>
      <c r="DR835" s="1818"/>
      <c r="DS835" s="1818"/>
      <c r="DT835" s="1818"/>
      <c r="DU835" s="1818"/>
      <c r="DV835" s="1818"/>
      <c r="DW835" s="1818"/>
      <c r="DX835" s="1818"/>
      <c r="DY835" s="1818"/>
      <c r="DZ835" s="1818"/>
      <c r="EA835" s="1818"/>
      <c r="EB835" s="1818"/>
      <c r="EC835" s="1818"/>
      <c r="ED835" s="1818"/>
      <c r="EE835" s="1818"/>
      <c r="EF835" s="1818"/>
      <c r="EG835" s="1818"/>
      <c r="EH835" s="1818"/>
      <c r="EI835" s="1818"/>
      <c r="EJ835" s="1818"/>
      <c r="EK835" s="1818"/>
      <c r="EL835" s="1818"/>
      <c r="EM835" s="1818"/>
      <c r="EN835" s="1818"/>
      <c r="EO835" s="1818"/>
      <c r="EP835" s="1818"/>
      <c r="EQ835" s="1818"/>
      <c r="ER835" s="1818"/>
      <c r="ES835" s="1818"/>
      <c r="ET835" s="1818"/>
      <c r="EU835" s="1818"/>
      <c r="EV835" s="1818"/>
      <c r="EW835" s="1818"/>
      <c r="EX835" s="1818"/>
      <c r="EY835" s="1818"/>
      <c r="EZ835" s="1818"/>
      <c r="FA835" s="1818"/>
      <c r="FB835" s="1818"/>
      <c r="FC835" s="1818"/>
      <c r="FD835" s="1818"/>
      <c r="FE835" s="1818"/>
      <c r="FF835" s="1818"/>
      <c r="FG835" s="1818"/>
      <c r="FH835" s="1818"/>
      <c r="FI835" s="1818"/>
      <c r="FJ835" s="1818"/>
      <c r="FK835" s="1818"/>
      <c r="FL835" s="1818"/>
      <c r="FM835" s="1818"/>
      <c r="FN835" s="1818"/>
      <c r="FO835" s="1818"/>
      <c r="FP835" s="1818"/>
      <c r="FQ835" s="1818"/>
      <c r="FR835" s="1818"/>
      <c r="FS835" s="1818"/>
      <c r="FT835" s="1818"/>
    </row>
    <row r="836" spans="1:176" s="1965" customFormat="1" ht="32.1" customHeight="1">
      <c r="A836" s="2535"/>
      <c r="B836" s="1803"/>
      <c r="C836" s="1817"/>
      <c r="D836" s="1817"/>
      <c r="E836" s="1813"/>
      <c r="F836" s="1813"/>
      <c r="G836" s="1813"/>
      <c r="H836" s="1813"/>
      <c r="I836" s="2434"/>
      <c r="J836" s="2244"/>
      <c r="K836" s="2244"/>
      <c r="L836" s="2244"/>
      <c r="M836" s="2244"/>
      <c r="N836" s="2244"/>
      <c r="O836" s="2244"/>
      <c r="P836" s="2245"/>
      <c r="Q836" s="2245"/>
      <c r="R836" s="2435"/>
      <c r="S836" s="2244"/>
      <c r="T836" s="2244"/>
      <c r="U836" s="2244"/>
      <c r="V836" s="2244"/>
      <c r="W836" s="2244"/>
      <c r="X836" s="2244"/>
      <c r="Y836" s="1818"/>
      <c r="Z836" s="1818"/>
      <c r="AA836" s="1818"/>
      <c r="AB836" s="1818"/>
      <c r="AC836" s="1818"/>
      <c r="AD836" s="1818"/>
      <c r="AE836" s="1818"/>
      <c r="AF836" s="1818"/>
      <c r="AG836" s="1818"/>
      <c r="AH836" s="1818"/>
      <c r="AI836" s="1818"/>
      <c r="AJ836" s="1818"/>
      <c r="AK836" s="1818"/>
      <c r="AL836" s="1818"/>
      <c r="AM836" s="1818"/>
      <c r="AN836" s="1818"/>
      <c r="AO836" s="1818"/>
      <c r="AP836" s="1818"/>
      <c r="AQ836" s="1818"/>
      <c r="AR836" s="1818"/>
      <c r="AS836" s="1818"/>
      <c r="AT836" s="1818"/>
      <c r="AU836" s="1818"/>
      <c r="AV836" s="1818"/>
      <c r="AW836" s="1818"/>
      <c r="AX836" s="1818"/>
      <c r="AY836" s="1818"/>
      <c r="AZ836" s="1818"/>
      <c r="BA836" s="1818"/>
      <c r="BB836" s="1818"/>
      <c r="BC836" s="1818"/>
      <c r="BD836" s="1818"/>
      <c r="BE836" s="1818"/>
      <c r="BF836" s="1818"/>
      <c r="BG836" s="1818"/>
      <c r="BH836" s="1818"/>
      <c r="BI836" s="1818"/>
      <c r="BJ836" s="1818"/>
      <c r="BK836" s="1818"/>
      <c r="BL836" s="1818"/>
      <c r="BM836" s="1818"/>
      <c r="BN836" s="1818"/>
      <c r="BO836" s="1818"/>
      <c r="BP836" s="1818"/>
      <c r="BQ836" s="1818"/>
      <c r="BR836" s="1818"/>
      <c r="BS836" s="1818"/>
      <c r="BT836" s="1818"/>
      <c r="BU836" s="1818"/>
      <c r="BV836" s="1818"/>
      <c r="BW836" s="1818"/>
      <c r="BX836" s="1818"/>
      <c r="BY836" s="1818"/>
      <c r="BZ836" s="1818"/>
      <c r="CA836" s="1818"/>
      <c r="CB836" s="1818"/>
      <c r="CC836" s="1818"/>
      <c r="CD836" s="1818"/>
      <c r="CE836" s="1818"/>
      <c r="CF836" s="1818"/>
      <c r="CG836" s="1818"/>
      <c r="CH836" s="1818"/>
      <c r="CI836" s="1818"/>
      <c r="CJ836" s="1818"/>
      <c r="CK836" s="1818"/>
      <c r="CL836" s="1818"/>
      <c r="CM836" s="1818"/>
      <c r="CN836" s="1818"/>
      <c r="CO836" s="1818"/>
      <c r="CP836" s="1818"/>
      <c r="CQ836" s="1818"/>
      <c r="CR836" s="1818"/>
      <c r="CS836" s="1818"/>
      <c r="CT836" s="1818"/>
      <c r="CU836" s="1818"/>
      <c r="CV836" s="1818"/>
      <c r="CW836" s="1818"/>
      <c r="CX836" s="1818"/>
      <c r="CY836" s="1818"/>
      <c r="CZ836" s="1818"/>
      <c r="DA836" s="1818"/>
      <c r="DB836" s="1818"/>
      <c r="DC836" s="1818"/>
      <c r="DD836" s="1818"/>
      <c r="DE836" s="1818"/>
      <c r="DF836" s="1818"/>
      <c r="DG836" s="1818"/>
      <c r="DH836" s="1818"/>
      <c r="DI836" s="1818"/>
      <c r="DJ836" s="1818"/>
      <c r="DK836" s="1818"/>
      <c r="DL836" s="1818"/>
      <c r="DM836" s="1818"/>
      <c r="DN836" s="1818"/>
      <c r="DO836" s="1818"/>
      <c r="DP836" s="1818"/>
      <c r="DQ836" s="1818"/>
      <c r="DR836" s="1818"/>
      <c r="DS836" s="1818"/>
      <c r="DT836" s="1818"/>
      <c r="DU836" s="1818"/>
      <c r="DV836" s="1818"/>
      <c r="DW836" s="1818"/>
      <c r="DX836" s="1818"/>
      <c r="DY836" s="1818"/>
      <c r="DZ836" s="1818"/>
      <c r="EA836" s="1818"/>
      <c r="EB836" s="1818"/>
      <c r="EC836" s="1818"/>
      <c r="ED836" s="1818"/>
      <c r="EE836" s="1818"/>
      <c r="EF836" s="1818"/>
      <c r="EG836" s="1818"/>
      <c r="EH836" s="1818"/>
      <c r="EI836" s="1818"/>
      <c r="EJ836" s="1818"/>
      <c r="EK836" s="1818"/>
      <c r="EL836" s="1818"/>
      <c r="EM836" s="1818"/>
      <c r="EN836" s="1818"/>
      <c r="EO836" s="1818"/>
      <c r="EP836" s="1818"/>
      <c r="EQ836" s="1818"/>
      <c r="ER836" s="1818"/>
      <c r="ES836" s="1818"/>
      <c r="ET836" s="1818"/>
      <c r="EU836" s="1818"/>
      <c r="EV836" s="1818"/>
      <c r="EW836" s="1818"/>
      <c r="EX836" s="1818"/>
      <c r="EY836" s="1818"/>
      <c r="EZ836" s="1818"/>
      <c r="FA836" s="1818"/>
      <c r="FB836" s="1818"/>
      <c r="FC836" s="1818"/>
      <c r="FD836" s="1818"/>
      <c r="FE836" s="1818"/>
      <c r="FF836" s="1818"/>
      <c r="FG836" s="1818"/>
      <c r="FH836" s="1818"/>
      <c r="FI836" s="1818"/>
      <c r="FJ836" s="1818"/>
      <c r="FK836" s="1818"/>
      <c r="FL836" s="1818"/>
      <c r="FM836" s="1818"/>
      <c r="FN836" s="1818"/>
      <c r="FO836" s="1818"/>
      <c r="FP836" s="1818"/>
      <c r="FQ836" s="1818"/>
      <c r="FR836" s="1818"/>
      <c r="FS836" s="1818"/>
      <c r="FT836" s="1818"/>
    </row>
    <row r="837" spans="1:176" s="1965" customFormat="1" ht="32.1" customHeight="1">
      <c r="A837" s="2535"/>
      <c r="B837" s="1803"/>
      <c r="C837" s="1817"/>
      <c r="D837" s="1817"/>
      <c r="E837" s="1813"/>
      <c r="F837" s="1813"/>
      <c r="G837" s="1813"/>
      <c r="H837" s="1813"/>
      <c r="I837" s="2434"/>
      <c r="J837" s="2244"/>
      <c r="K837" s="2244"/>
      <c r="L837" s="2244"/>
      <c r="M837" s="2244"/>
      <c r="N837" s="2244"/>
      <c r="O837" s="2244"/>
      <c r="P837" s="2245"/>
      <c r="Q837" s="2245"/>
      <c r="R837" s="2435"/>
      <c r="S837" s="2244"/>
      <c r="T837" s="2244"/>
      <c r="U837" s="2244"/>
      <c r="V837" s="2244"/>
      <c r="W837" s="2244"/>
      <c r="X837" s="2244"/>
      <c r="Y837" s="1818"/>
      <c r="Z837" s="1818"/>
      <c r="AA837" s="1818"/>
      <c r="AB837" s="1818"/>
      <c r="AC837" s="1818"/>
      <c r="AD837" s="1818"/>
      <c r="AE837" s="1818"/>
      <c r="AF837" s="1818"/>
      <c r="AG837" s="1818"/>
      <c r="AH837" s="1818"/>
      <c r="AI837" s="1818"/>
      <c r="AJ837" s="1818"/>
      <c r="AK837" s="1818"/>
      <c r="AL837" s="1818"/>
      <c r="AM837" s="1818"/>
      <c r="AN837" s="1818"/>
      <c r="AO837" s="1818"/>
      <c r="AP837" s="1818"/>
      <c r="AQ837" s="1818"/>
      <c r="AR837" s="1818"/>
      <c r="AS837" s="1818"/>
      <c r="AT837" s="1818"/>
      <c r="AU837" s="1818"/>
      <c r="AV837" s="1818"/>
      <c r="AW837" s="1818"/>
      <c r="AX837" s="1818"/>
      <c r="AY837" s="1818"/>
      <c r="AZ837" s="1818"/>
      <c r="BA837" s="1818"/>
      <c r="BB837" s="1818"/>
      <c r="BC837" s="1818"/>
      <c r="BD837" s="1818"/>
      <c r="BE837" s="1818"/>
      <c r="BF837" s="1818"/>
      <c r="BG837" s="1818"/>
      <c r="BH837" s="1818"/>
      <c r="BI837" s="1818"/>
      <c r="BJ837" s="1818"/>
      <c r="BK837" s="1818"/>
      <c r="BL837" s="1818"/>
      <c r="BM837" s="1818"/>
      <c r="BN837" s="1818"/>
      <c r="BO837" s="1818"/>
      <c r="BP837" s="1818"/>
      <c r="BQ837" s="1818"/>
      <c r="BR837" s="1818"/>
      <c r="BS837" s="1818"/>
      <c r="BT837" s="1818"/>
      <c r="BU837" s="1818"/>
      <c r="BV837" s="1818"/>
      <c r="BW837" s="1818"/>
      <c r="BX837" s="1818"/>
      <c r="BY837" s="1818"/>
      <c r="BZ837" s="1818"/>
      <c r="CA837" s="1818"/>
      <c r="CB837" s="1818"/>
      <c r="CC837" s="1818"/>
      <c r="CD837" s="1818"/>
      <c r="CE837" s="1818"/>
      <c r="CF837" s="1818"/>
      <c r="CG837" s="1818"/>
      <c r="CH837" s="1818"/>
      <c r="CI837" s="1818"/>
      <c r="CJ837" s="1818"/>
      <c r="CK837" s="1818"/>
      <c r="CL837" s="1818"/>
      <c r="CM837" s="1818"/>
      <c r="CN837" s="1818"/>
      <c r="CO837" s="1818"/>
      <c r="CP837" s="1818"/>
      <c r="CQ837" s="1818"/>
      <c r="CR837" s="1818"/>
      <c r="CS837" s="1818"/>
      <c r="CT837" s="1818"/>
      <c r="CU837" s="1818"/>
      <c r="CV837" s="1818"/>
      <c r="CW837" s="1818"/>
      <c r="CX837" s="1818"/>
      <c r="CY837" s="1818"/>
      <c r="CZ837" s="1818"/>
      <c r="DA837" s="1818"/>
      <c r="DB837" s="1818"/>
      <c r="DC837" s="1818"/>
      <c r="DD837" s="1818"/>
      <c r="DE837" s="1818"/>
      <c r="DF837" s="1818"/>
      <c r="DG837" s="1818"/>
      <c r="DH837" s="1818"/>
      <c r="DI837" s="1818"/>
      <c r="DJ837" s="1818"/>
      <c r="DK837" s="1818"/>
      <c r="DL837" s="1818"/>
      <c r="DM837" s="1818"/>
      <c r="DN837" s="1818"/>
      <c r="DO837" s="1818"/>
      <c r="DP837" s="1818"/>
      <c r="DQ837" s="1818"/>
      <c r="DR837" s="1818"/>
      <c r="DS837" s="1818"/>
      <c r="DT837" s="1818"/>
      <c r="DU837" s="1818"/>
      <c r="DV837" s="1818"/>
      <c r="DW837" s="1818"/>
      <c r="DX837" s="1818"/>
      <c r="DY837" s="1818"/>
      <c r="DZ837" s="1818"/>
      <c r="EA837" s="1818"/>
      <c r="EB837" s="1818"/>
      <c r="EC837" s="1818"/>
      <c r="ED837" s="1818"/>
      <c r="EE837" s="1818"/>
      <c r="EF837" s="1818"/>
      <c r="EG837" s="1818"/>
      <c r="EH837" s="1818"/>
      <c r="EI837" s="1818"/>
      <c r="EJ837" s="1818"/>
      <c r="EK837" s="1818"/>
      <c r="EL837" s="1818"/>
      <c r="EM837" s="1818"/>
      <c r="EN837" s="1818"/>
      <c r="EO837" s="1818"/>
      <c r="EP837" s="1818"/>
      <c r="EQ837" s="1818"/>
      <c r="ER837" s="1818"/>
      <c r="ES837" s="1818"/>
      <c r="ET837" s="1818"/>
      <c r="EU837" s="1818"/>
      <c r="EV837" s="1818"/>
      <c r="EW837" s="1818"/>
      <c r="EX837" s="1818"/>
      <c r="EY837" s="1818"/>
      <c r="EZ837" s="1818"/>
      <c r="FA837" s="1818"/>
      <c r="FB837" s="1818"/>
      <c r="FC837" s="1818"/>
      <c r="FD837" s="1818"/>
      <c r="FE837" s="1818"/>
      <c r="FF837" s="1818"/>
      <c r="FG837" s="1818"/>
      <c r="FH837" s="1818"/>
      <c r="FI837" s="1818"/>
      <c r="FJ837" s="1818"/>
      <c r="FK837" s="1818"/>
      <c r="FL837" s="1818"/>
      <c r="FM837" s="1818"/>
      <c r="FN837" s="1818"/>
      <c r="FO837" s="1818"/>
      <c r="FP837" s="1818"/>
      <c r="FQ837" s="1818"/>
      <c r="FR837" s="1818"/>
      <c r="FS837" s="1818"/>
      <c r="FT837" s="1818"/>
    </row>
    <row r="838" spans="1:176" s="1965" customFormat="1" ht="32.1" customHeight="1">
      <c r="A838" s="2535"/>
      <c r="B838" s="1803"/>
      <c r="C838" s="1817"/>
      <c r="D838" s="1817"/>
      <c r="E838" s="1813"/>
      <c r="F838" s="1813"/>
      <c r="G838" s="1813"/>
      <c r="H838" s="1813"/>
      <c r="I838" s="2434"/>
      <c r="J838" s="2244"/>
      <c r="K838" s="2244"/>
      <c r="L838" s="2244"/>
      <c r="M838" s="2244"/>
      <c r="N838" s="2244"/>
      <c r="O838" s="2244"/>
      <c r="P838" s="2245"/>
      <c r="Q838" s="2245"/>
      <c r="R838" s="2435"/>
      <c r="S838" s="2244"/>
      <c r="T838" s="2244"/>
      <c r="U838" s="2244"/>
      <c r="V838" s="2244"/>
      <c r="W838" s="2244"/>
      <c r="X838" s="2244"/>
      <c r="Y838" s="1818"/>
      <c r="Z838" s="1818"/>
      <c r="AA838" s="1818"/>
      <c r="AB838" s="1818"/>
      <c r="AC838" s="1818"/>
      <c r="AD838" s="1818"/>
      <c r="AE838" s="1818"/>
      <c r="AF838" s="1818"/>
      <c r="AG838" s="1818"/>
      <c r="AH838" s="1818"/>
      <c r="AI838" s="1818"/>
      <c r="AJ838" s="1818"/>
      <c r="AK838" s="1818"/>
      <c r="AL838" s="1818"/>
      <c r="AM838" s="1818"/>
      <c r="AN838" s="1818"/>
      <c r="AO838" s="1818"/>
      <c r="AP838" s="1818"/>
      <c r="AQ838" s="1818"/>
      <c r="AR838" s="1818"/>
      <c r="AS838" s="1818"/>
      <c r="AT838" s="1818"/>
      <c r="AU838" s="1818"/>
      <c r="AV838" s="1818"/>
      <c r="AW838" s="1818"/>
      <c r="AX838" s="1818"/>
      <c r="AY838" s="1818"/>
      <c r="AZ838" s="1818"/>
      <c r="BA838" s="1818"/>
      <c r="BB838" s="1818"/>
      <c r="BC838" s="1818"/>
      <c r="BD838" s="1818"/>
      <c r="BE838" s="1818"/>
      <c r="BF838" s="1818"/>
      <c r="BG838" s="1818"/>
      <c r="BH838" s="1818"/>
      <c r="BI838" s="1818"/>
      <c r="BJ838" s="1818"/>
      <c r="BK838" s="1818"/>
      <c r="BL838" s="1818"/>
      <c r="BM838" s="1818"/>
      <c r="BN838" s="1818"/>
      <c r="BO838" s="1818"/>
      <c r="BP838" s="1818"/>
      <c r="BQ838" s="1818"/>
      <c r="BR838" s="1818"/>
      <c r="BS838" s="1818"/>
      <c r="BT838" s="1818"/>
      <c r="BU838" s="1818"/>
      <c r="BV838" s="1818"/>
      <c r="BW838" s="1818"/>
      <c r="BX838" s="1818"/>
      <c r="BY838" s="1818"/>
      <c r="BZ838" s="1818"/>
      <c r="CA838" s="1818"/>
      <c r="CB838" s="1818"/>
      <c r="CC838" s="1818"/>
      <c r="CD838" s="1818"/>
      <c r="CE838" s="1818"/>
      <c r="CF838" s="1818"/>
      <c r="CG838" s="1818"/>
      <c r="CH838" s="1818"/>
      <c r="CI838" s="1818"/>
      <c r="CJ838" s="1818"/>
      <c r="CK838" s="1818"/>
      <c r="CL838" s="1818"/>
      <c r="CM838" s="1818"/>
      <c r="CN838" s="1818"/>
      <c r="CO838" s="1818"/>
      <c r="CP838" s="1818"/>
      <c r="CQ838" s="1818"/>
      <c r="CR838" s="1818"/>
      <c r="CS838" s="1818"/>
      <c r="CT838" s="1818"/>
      <c r="CU838" s="1818"/>
      <c r="CV838" s="1818"/>
      <c r="CW838" s="1818"/>
      <c r="CX838" s="1818"/>
      <c r="CY838" s="1818"/>
      <c r="CZ838" s="1818"/>
      <c r="DA838" s="1818"/>
      <c r="DB838" s="1818"/>
      <c r="DC838" s="1818"/>
      <c r="DD838" s="1818"/>
      <c r="DE838" s="1818"/>
      <c r="DF838" s="1818"/>
      <c r="DG838" s="1818"/>
      <c r="DH838" s="1818"/>
      <c r="DI838" s="1818"/>
      <c r="DJ838" s="1818"/>
      <c r="DK838" s="1818"/>
      <c r="DL838" s="1818"/>
      <c r="DM838" s="1818"/>
      <c r="DN838" s="1818"/>
      <c r="DO838" s="1818"/>
      <c r="DP838" s="1818"/>
      <c r="DQ838" s="1818"/>
      <c r="DR838" s="1818"/>
      <c r="DS838" s="1818"/>
      <c r="DT838" s="1818"/>
      <c r="DU838" s="1818"/>
      <c r="DV838" s="1818"/>
      <c r="DW838" s="1818"/>
      <c r="DX838" s="1818"/>
      <c r="DY838" s="1818"/>
      <c r="DZ838" s="1818"/>
      <c r="EA838" s="1818"/>
      <c r="EB838" s="1818"/>
      <c r="EC838" s="1818"/>
      <c r="ED838" s="1818"/>
      <c r="EE838" s="1818"/>
      <c r="EF838" s="1818"/>
      <c r="EG838" s="1818"/>
      <c r="EH838" s="1818"/>
      <c r="EI838" s="1818"/>
      <c r="EJ838" s="1818"/>
      <c r="EK838" s="1818"/>
      <c r="EL838" s="1818"/>
      <c r="EM838" s="1818"/>
      <c r="EN838" s="1818"/>
      <c r="EO838" s="1818"/>
      <c r="EP838" s="1818"/>
      <c r="EQ838" s="1818"/>
      <c r="ER838" s="1818"/>
      <c r="ES838" s="1818"/>
      <c r="ET838" s="1818"/>
      <c r="EU838" s="1818"/>
      <c r="EV838" s="1818"/>
      <c r="EW838" s="1818"/>
      <c r="EX838" s="1818"/>
      <c r="EY838" s="1818"/>
      <c r="EZ838" s="1818"/>
      <c r="FA838" s="1818"/>
      <c r="FB838" s="1818"/>
      <c r="FC838" s="1818"/>
      <c r="FD838" s="1818"/>
      <c r="FE838" s="1818"/>
      <c r="FF838" s="1818"/>
      <c r="FG838" s="1818"/>
      <c r="FH838" s="1818"/>
      <c r="FI838" s="1818"/>
      <c r="FJ838" s="1818"/>
      <c r="FK838" s="1818"/>
      <c r="FL838" s="1818"/>
      <c r="FM838" s="1818"/>
      <c r="FN838" s="1818"/>
      <c r="FO838" s="1818"/>
      <c r="FP838" s="1818"/>
      <c r="FQ838" s="1818"/>
      <c r="FR838" s="1818"/>
      <c r="FS838" s="1818"/>
      <c r="FT838" s="1818"/>
    </row>
    <row r="839" spans="1:176" s="1965" customFormat="1" ht="32.1" customHeight="1">
      <c r="A839" s="2535"/>
      <c r="B839" s="1803"/>
      <c r="C839" s="1817"/>
      <c r="D839" s="1817"/>
      <c r="E839" s="1813"/>
      <c r="F839" s="1813"/>
      <c r="G839" s="1813"/>
      <c r="H839" s="1813"/>
      <c r="I839" s="2434"/>
      <c r="J839" s="2244"/>
      <c r="K839" s="2244"/>
      <c r="L839" s="2244"/>
      <c r="M839" s="2244"/>
      <c r="N839" s="2244"/>
      <c r="O839" s="2244"/>
      <c r="P839" s="2245"/>
      <c r="Q839" s="2245"/>
      <c r="R839" s="2435"/>
      <c r="S839" s="2244"/>
      <c r="T839" s="2244"/>
      <c r="U839" s="2244"/>
      <c r="V839" s="2244"/>
      <c r="W839" s="2244"/>
      <c r="X839" s="2244"/>
      <c r="Y839" s="1818"/>
      <c r="Z839" s="1818"/>
      <c r="AA839" s="1818"/>
      <c r="AB839" s="1818"/>
      <c r="AC839" s="1818"/>
      <c r="AD839" s="1818"/>
      <c r="AE839" s="1818"/>
      <c r="AF839" s="1818"/>
      <c r="AG839" s="1818"/>
      <c r="AH839" s="1818"/>
      <c r="AI839" s="1818"/>
      <c r="AJ839" s="1818"/>
      <c r="AK839" s="1818"/>
      <c r="AL839" s="1818"/>
      <c r="AM839" s="1818"/>
      <c r="AN839" s="1818"/>
      <c r="AO839" s="1818"/>
      <c r="AP839" s="1818"/>
      <c r="AQ839" s="1818"/>
      <c r="AR839" s="1818"/>
      <c r="AS839" s="1818"/>
      <c r="AT839" s="1818"/>
      <c r="AU839" s="1818"/>
      <c r="AV839" s="1818"/>
      <c r="AW839" s="1818"/>
      <c r="AX839" s="1818"/>
      <c r="AY839" s="1818"/>
      <c r="AZ839" s="1818"/>
      <c r="BA839" s="1818"/>
      <c r="BB839" s="1818"/>
      <c r="BC839" s="1818"/>
      <c r="BD839" s="1818"/>
      <c r="BE839" s="1818"/>
      <c r="BF839" s="1818"/>
      <c r="BG839" s="1818"/>
      <c r="BH839" s="1818"/>
      <c r="BI839" s="1818"/>
      <c r="BJ839" s="1818"/>
      <c r="BK839" s="1818"/>
      <c r="BL839" s="1818"/>
      <c r="BM839" s="1818"/>
      <c r="BN839" s="1818"/>
      <c r="BO839" s="1818"/>
      <c r="BP839" s="1818"/>
      <c r="BQ839" s="1818"/>
      <c r="BR839" s="1818"/>
      <c r="BS839" s="1818"/>
      <c r="BT839" s="1818"/>
      <c r="BU839" s="1818"/>
      <c r="BV839" s="1818"/>
      <c r="BW839" s="1818"/>
      <c r="BX839" s="1818"/>
      <c r="BY839" s="1818"/>
      <c r="BZ839" s="1818"/>
      <c r="CA839" s="1818"/>
      <c r="CB839" s="1818"/>
      <c r="CC839" s="1818"/>
      <c r="CD839" s="1818"/>
      <c r="CE839" s="1818"/>
      <c r="CF839" s="1818"/>
      <c r="CG839" s="1818"/>
      <c r="CH839" s="1818"/>
      <c r="CI839" s="1818"/>
      <c r="CJ839" s="1818"/>
      <c r="CK839" s="1818"/>
      <c r="CL839" s="1818"/>
      <c r="CM839" s="1818"/>
      <c r="CN839" s="1818"/>
      <c r="CO839" s="1818"/>
      <c r="CP839" s="1818"/>
      <c r="CQ839" s="1818"/>
      <c r="CR839" s="1818"/>
      <c r="CS839" s="1818"/>
      <c r="CT839" s="1818"/>
      <c r="CU839" s="1818"/>
      <c r="CV839" s="1818"/>
      <c r="CW839" s="1818"/>
      <c r="CX839" s="1818"/>
      <c r="CY839" s="1818"/>
      <c r="CZ839" s="1818"/>
      <c r="DA839" s="1818"/>
      <c r="DB839" s="1818"/>
      <c r="DC839" s="1818"/>
      <c r="DD839" s="1818"/>
      <c r="DE839" s="1818"/>
      <c r="DF839" s="1818"/>
      <c r="DG839" s="1818"/>
      <c r="DH839" s="1818"/>
      <c r="DI839" s="1818"/>
      <c r="DJ839" s="1818"/>
      <c r="DK839" s="1818"/>
      <c r="DL839" s="1818"/>
      <c r="DM839" s="1818"/>
      <c r="DN839" s="1818"/>
      <c r="DO839" s="1818"/>
      <c r="DP839" s="1818"/>
      <c r="DQ839" s="1818"/>
      <c r="DR839" s="1818"/>
      <c r="DS839" s="1818"/>
      <c r="DT839" s="1818"/>
      <c r="DU839" s="1818"/>
      <c r="DV839" s="1818"/>
      <c r="DW839" s="1818"/>
      <c r="DX839" s="1818"/>
      <c r="DY839" s="1818"/>
      <c r="DZ839" s="1818"/>
      <c r="EA839" s="1818"/>
      <c r="EB839" s="1818"/>
      <c r="EC839" s="1818"/>
      <c r="ED839" s="1818"/>
      <c r="EE839" s="1818"/>
      <c r="EF839" s="1818"/>
      <c r="EG839" s="1818"/>
      <c r="EH839" s="1818"/>
      <c r="EI839" s="1818"/>
      <c r="EJ839" s="1818"/>
      <c r="EK839" s="1818"/>
      <c r="EL839" s="1818"/>
      <c r="EM839" s="1818"/>
      <c r="EN839" s="1818"/>
      <c r="EO839" s="1818"/>
      <c r="EP839" s="1818"/>
      <c r="EQ839" s="1818"/>
      <c r="ER839" s="1818"/>
      <c r="ES839" s="1818"/>
      <c r="ET839" s="1818"/>
      <c r="EU839" s="1818"/>
      <c r="EV839" s="1818"/>
      <c r="EW839" s="1818"/>
      <c r="EX839" s="1818"/>
      <c r="EY839" s="1818"/>
      <c r="EZ839" s="1818"/>
      <c r="FA839" s="1818"/>
      <c r="FB839" s="1818"/>
      <c r="FC839" s="1818"/>
      <c r="FD839" s="1818"/>
      <c r="FE839" s="1818"/>
      <c r="FF839" s="1818"/>
      <c r="FG839" s="1818"/>
      <c r="FH839" s="1818"/>
      <c r="FI839" s="1818"/>
      <c r="FJ839" s="1818"/>
      <c r="FK839" s="1818"/>
      <c r="FL839" s="1818"/>
      <c r="FM839" s="1818"/>
      <c r="FN839" s="1818"/>
      <c r="FO839" s="1818"/>
      <c r="FP839" s="1818"/>
      <c r="FQ839" s="1818"/>
      <c r="FR839" s="1818"/>
      <c r="FS839" s="1818"/>
      <c r="FT839" s="1818"/>
    </row>
    <row r="840" spans="1:176" s="1965" customFormat="1" ht="32.1" customHeight="1">
      <c r="A840" s="2535"/>
      <c r="B840" s="1803"/>
      <c r="C840" s="1817"/>
      <c r="D840" s="1817"/>
      <c r="E840" s="1813"/>
      <c r="F840" s="1813"/>
      <c r="G840" s="1813"/>
      <c r="H840" s="1813"/>
      <c r="I840" s="2434"/>
      <c r="J840" s="2244"/>
      <c r="K840" s="2244"/>
      <c r="L840" s="2244"/>
      <c r="M840" s="2244"/>
      <c r="N840" s="2244"/>
      <c r="O840" s="2244"/>
      <c r="P840" s="2245"/>
      <c r="Q840" s="2245"/>
      <c r="R840" s="2435"/>
      <c r="S840" s="2244"/>
      <c r="T840" s="2244"/>
      <c r="U840" s="2244"/>
      <c r="V840" s="2244"/>
      <c r="W840" s="2244"/>
      <c r="X840" s="2244"/>
      <c r="Y840" s="1818"/>
      <c r="Z840" s="1818"/>
      <c r="AA840" s="1818"/>
      <c r="AB840" s="1818"/>
      <c r="AC840" s="1818"/>
      <c r="AD840" s="1818"/>
      <c r="AE840" s="1818"/>
      <c r="AF840" s="1818"/>
      <c r="AG840" s="1818"/>
      <c r="AH840" s="1818"/>
      <c r="AI840" s="1818"/>
      <c r="AJ840" s="1818"/>
      <c r="AK840" s="1818"/>
      <c r="AL840" s="1818"/>
      <c r="AM840" s="1818"/>
      <c r="AN840" s="1818"/>
      <c r="AO840" s="1818"/>
      <c r="AP840" s="1818"/>
      <c r="AQ840" s="1818"/>
      <c r="AR840" s="1818"/>
      <c r="AS840" s="1818"/>
      <c r="AT840" s="1818"/>
      <c r="AU840" s="1818"/>
      <c r="AV840" s="1818"/>
      <c r="AW840" s="1818"/>
      <c r="AX840" s="1818"/>
      <c r="AY840" s="1818"/>
      <c r="AZ840" s="1818"/>
      <c r="BA840" s="1818"/>
      <c r="BB840" s="1818"/>
      <c r="BC840" s="1818"/>
      <c r="BD840" s="1818"/>
      <c r="BE840" s="1818"/>
      <c r="BF840" s="1818"/>
      <c r="BG840" s="1818"/>
      <c r="BH840" s="1818"/>
      <c r="BI840" s="1818"/>
      <c r="BJ840" s="1818"/>
      <c r="BK840" s="1818"/>
      <c r="BL840" s="1818"/>
      <c r="BM840" s="1818"/>
      <c r="BN840" s="1818"/>
      <c r="BO840" s="1818"/>
      <c r="BP840" s="1818"/>
      <c r="BQ840" s="1818"/>
      <c r="BR840" s="1818"/>
      <c r="BS840" s="1818"/>
      <c r="BT840" s="1818"/>
      <c r="BU840" s="1818"/>
      <c r="BV840" s="1818"/>
      <c r="BW840" s="1818"/>
      <c r="BX840" s="1818"/>
      <c r="BY840" s="1818"/>
      <c r="BZ840" s="1818"/>
      <c r="CA840" s="1818"/>
      <c r="CB840" s="1818"/>
      <c r="CC840" s="1818"/>
      <c r="CD840" s="1818"/>
      <c r="CE840" s="1818"/>
      <c r="CF840" s="1818"/>
      <c r="CG840" s="1818"/>
      <c r="CH840" s="1818"/>
      <c r="CI840" s="1818"/>
      <c r="CJ840" s="1818"/>
      <c r="CK840" s="1818"/>
      <c r="CL840" s="1818"/>
      <c r="CM840" s="1818"/>
      <c r="CN840" s="1818"/>
      <c r="CO840" s="1818"/>
      <c r="CP840" s="1818"/>
      <c r="CQ840" s="1818"/>
      <c r="CR840" s="1818"/>
      <c r="CS840" s="1818"/>
      <c r="CT840" s="1818"/>
      <c r="CU840" s="1818"/>
      <c r="CV840" s="1818"/>
      <c r="CW840" s="1818"/>
      <c r="CX840" s="1818"/>
      <c r="CY840" s="1818"/>
      <c r="CZ840" s="1818"/>
      <c r="DA840" s="1818"/>
      <c r="DB840" s="1818"/>
      <c r="DC840" s="1818"/>
      <c r="DD840" s="1818"/>
      <c r="DE840" s="1818"/>
      <c r="DF840" s="1818"/>
      <c r="DG840" s="1818"/>
      <c r="DH840" s="1818"/>
      <c r="DI840" s="1818"/>
      <c r="DJ840" s="1818"/>
      <c r="DK840" s="1818"/>
      <c r="DL840" s="1818"/>
      <c r="DM840" s="1818"/>
      <c r="DN840" s="1818"/>
      <c r="DO840" s="1818"/>
      <c r="DP840" s="1818"/>
      <c r="DQ840" s="1818"/>
      <c r="DR840" s="1818"/>
      <c r="DS840" s="1818"/>
      <c r="DT840" s="1818"/>
      <c r="DU840" s="1818"/>
      <c r="DV840" s="1818"/>
      <c r="DW840" s="1818"/>
      <c r="DX840" s="1818"/>
      <c r="DY840" s="1818"/>
      <c r="DZ840" s="1818"/>
      <c r="EA840" s="1818"/>
      <c r="EB840" s="1818"/>
      <c r="EC840" s="1818"/>
      <c r="ED840" s="1818"/>
      <c r="EE840" s="1818"/>
      <c r="EF840" s="1818"/>
      <c r="EG840" s="1818"/>
      <c r="EH840" s="1818"/>
      <c r="EI840" s="1818"/>
      <c r="EJ840" s="1818"/>
      <c r="EK840" s="1818"/>
      <c r="EL840" s="1818"/>
      <c r="EM840" s="1818"/>
      <c r="EN840" s="1818"/>
      <c r="EO840" s="1818"/>
      <c r="EP840" s="1818"/>
      <c r="EQ840" s="1818"/>
      <c r="ER840" s="1818"/>
      <c r="ES840" s="1818"/>
      <c r="ET840" s="1818"/>
      <c r="EU840" s="1818"/>
      <c r="EV840" s="1818"/>
      <c r="EW840" s="1818"/>
      <c r="EX840" s="1818"/>
      <c r="EY840" s="1818"/>
      <c r="EZ840" s="1818"/>
      <c r="FA840" s="1818"/>
      <c r="FB840" s="1818"/>
      <c r="FC840" s="1818"/>
      <c r="FD840" s="1818"/>
      <c r="FE840" s="1818"/>
      <c r="FF840" s="1818"/>
      <c r="FG840" s="1818"/>
      <c r="FH840" s="1818"/>
      <c r="FI840" s="1818"/>
      <c r="FJ840" s="1818"/>
      <c r="FK840" s="1818"/>
      <c r="FL840" s="1818"/>
      <c r="FM840" s="1818"/>
      <c r="FN840" s="1818"/>
      <c r="FO840" s="1818"/>
      <c r="FP840" s="1818"/>
      <c r="FQ840" s="1818"/>
      <c r="FR840" s="1818"/>
      <c r="FS840" s="1818"/>
      <c r="FT840" s="1818"/>
    </row>
    <row r="841" spans="1:176" s="1965" customFormat="1" ht="32.1" customHeight="1">
      <c r="A841" s="2535"/>
      <c r="B841" s="1803"/>
      <c r="C841" s="1817"/>
      <c r="D841" s="1817"/>
      <c r="E841" s="1813"/>
      <c r="F841" s="1813"/>
      <c r="G841" s="1813"/>
      <c r="H841" s="1813"/>
      <c r="I841" s="2434"/>
      <c r="J841" s="2244"/>
      <c r="K841" s="2244"/>
      <c r="L841" s="2244"/>
      <c r="M841" s="2244"/>
      <c r="N841" s="2244"/>
      <c r="O841" s="2244"/>
      <c r="P841" s="2245"/>
      <c r="Q841" s="2245"/>
      <c r="R841" s="2435"/>
      <c r="S841" s="2244"/>
      <c r="T841" s="2244"/>
      <c r="U841" s="2244"/>
      <c r="V841" s="2244"/>
      <c r="W841" s="2244"/>
      <c r="X841" s="2244"/>
      <c r="Y841" s="1818"/>
      <c r="Z841" s="1818"/>
      <c r="AA841" s="1818"/>
      <c r="AB841" s="1818"/>
      <c r="AC841" s="1818"/>
      <c r="AD841" s="1818"/>
      <c r="AE841" s="1818"/>
      <c r="AF841" s="1818"/>
      <c r="AG841" s="1818"/>
      <c r="AH841" s="1818"/>
      <c r="AI841" s="1818"/>
      <c r="AJ841" s="1818"/>
      <c r="AK841" s="1818"/>
      <c r="AL841" s="1818"/>
      <c r="AM841" s="1818"/>
      <c r="AN841" s="1818"/>
      <c r="AO841" s="1818"/>
      <c r="AP841" s="1818"/>
      <c r="AQ841" s="1818"/>
      <c r="AR841" s="1818"/>
      <c r="AS841" s="1818"/>
      <c r="AT841" s="1818"/>
      <c r="AU841" s="1818"/>
      <c r="AV841" s="1818"/>
      <c r="AW841" s="1818"/>
      <c r="AX841" s="1818"/>
      <c r="AY841" s="1818"/>
      <c r="AZ841" s="1818"/>
      <c r="BA841" s="1818"/>
      <c r="BB841" s="1818"/>
      <c r="BC841" s="1818"/>
      <c r="BD841" s="1818"/>
      <c r="BE841" s="1818"/>
      <c r="BF841" s="1818"/>
      <c r="BG841" s="1818"/>
      <c r="BH841" s="1818"/>
      <c r="BI841" s="1818"/>
      <c r="BJ841" s="1818"/>
      <c r="BK841" s="1818"/>
      <c r="BL841" s="1818"/>
      <c r="BM841" s="1818"/>
      <c r="BN841" s="1818"/>
      <c r="BO841" s="1818"/>
      <c r="BP841" s="1818"/>
      <c r="BQ841" s="1818"/>
      <c r="BR841" s="1818"/>
      <c r="BS841" s="1818"/>
      <c r="BT841" s="1818"/>
      <c r="BU841" s="1818"/>
      <c r="BV841" s="1818"/>
      <c r="BW841" s="1818"/>
      <c r="BX841" s="1818"/>
      <c r="BY841" s="1818"/>
      <c r="BZ841" s="1818"/>
      <c r="CA841" s="1818"/>
      <c r="CB841" s="1818"/>
      <c r="CC841" s="1818"/>
      <c r="CD841" s="1818"/>
      <c r="CE841" s="1818"/>
      <c r="CF841" s="1818"/>
      <c r="CG841" s="1818"/>
      <c r="CH841" s="1818"/>
      <c r="CI841" s="1818"/>
      <c r="CJ841" s="1818"/>
      <c r="CK841" s="1818"/>
      <c r="CL841" s="1818"/>
      <c r="CM841" s="1818"/>
      <c r="CN841" s="1818"/>
      <c r="CO841" s="1818"/>
      <c r="CP841" s="1818"/>
      <c r="CQ841" s="1818"/>
      <c r="CR841" s="1818"/>
      <c r="CS841" s="1818"/>
      <c r="CT841" s="1818"/>
      <c r="CU841" s="1818"/>
      <c r="CV841" s="1818"/>
      <c r="CW841" s="1818"/>
      <c r="CX841" s="1818"/>
      <c r="CY841" s="1818"/>
      <c r="CZ841" s="1818"/>
      <c r="DA841" s="1818"/>
      <c r="DB841" s="1818"/>
      <c r="DC841" s="1818"/>
      <c r="DD841" s="1818"/>
      <c r="DE841" s="1818"/>
      <c r="DF841" s="1818"/>
      <c r="DG841" s="1818"/>
      <c r="DH841" s="1818"/>
      <c r="DI841" s="1818"/>
      <c r="DJ841" s="1818"/>
      <c r="DK841" s="1818"/>
      <c r="DL841" s="1818"/>
      <c r="DM841" s="1818"/>
      <c r="DN841" s="1818"/>
      <c r="DO841" s="1818"/>
      <c r="DP841" s="1818"/>
      <c r="DQ841" s="1818"/>
      <c r="DR841" s="1818"/>
      <c r="DS841" s="1818"/>
      <c r="DT841" s="1818"/>
      <c r="DU841" s="1818"/>
      <c r="DV841" s="1818"/>
      <c r="DW841" s="1818"/>
      <c r="DX841" s="1818"/>
      <c r="DY841" s="1818"/>
      <c r="DZ841" s="1818"/>
      <c r="EA841" s="1818"/>
      <c r="EB841" s="1818"/>
      <c r="EC841" s="1818"/>
      <c r="ED841" s="1818"/>
      <c r="EE841" s="1818"/>
      <c r="EF841" s="1818"/>
      <c r="EG841" s="1818"/>
      <c r="EH841" s="1818"/>
      <c r="EI841" s="1818"/>
      <c r="EJ841" s="1818"/>
      <c r="EK841" s="1818"/>
      <c r="EL841" s="1818"/>
      <c r="EM841" s="1818"/>
      <c r="EN841" s="1818"/>
      <c r="EO841" s="1818"/>
      <c r="EP841" s="1818"/>
      <c r="EQ841" s="1818"/>
      <c r="ER841" s="1818"/>
      <c r="ES841" s="1818"/>
      <c r="ET841" s="1818"/>
      <c r="EU841" s="1818"/>
      <c r="EV841" s="1818"/>
      <c r="EW841" s="1818"/>
      <c r="EX841" s="1818"/>
      <c r="EY841" s="1818"/>
      <c r="EZ841" s="1818"/>
      <c r="FA841" s="1818"/>
      <c r="FB841" s="1818"/>
      <c r="FC841" s="1818"/>
      <c r="FD841" s="1818"/>
      <c r="FE841" s="1818"/>
      <c r="FF841" s="1818"/>
      <c r="FG841" s="1818"/>
      <c r="FH841" s="1818"/>
      <c r="FI841" s="1818"/>
      <c r="FJ841" s="1818"/>
      <c r="FK841" s="1818"/>
      <c r="FL841" s="1818"/>
      <c r="FM841" s="1818"/>
      <c r="FN841" s="1818"/>
      <c r="FO841" s="1818"/>
      <c r="FP841" s="1818"/>
      <c r="FQ841" s="1818"/>
      <c r="FR841" s="1818"/>
      <c r="FS841" s="1818"/>
      <c r="FT841" s="1818"/>
    </row>
    <row r="842" spans="1:176" s="1965" customFormat="1" ht="32.1" customHeight="1">
      <c r="A842" s="2535"/>
      <c r="B842" s="1803"/>
      <c r="C842" s="1817"/>
      <c r="D842" s="1817"/>
      <c r="E842" s="1813"/>
      <c r="F842" s="1813"/>
      <c r="G842" s="1813"/>
      <c r="H842" s="1813"/>
      <c r="I842" s="2434"/>
      <c r="J842" s="2244"/>
      <c r="K842" s="2244"/>
      <c r="L842" s="2244"/>
      <c r="M842" s="2244"/>
      <c r="N842" s="2244"/>
      <c r="O842" s="2244"/>
      <c r="P842" s="2245"/>
      <c r="Q842" s="2245"/>
      <c r="R842" s="2435"/>
      <c r="S842" s="2244"/>
      <c r="T842" s="2244"/>
      <c r="U842" s="2244"/>
      <c r="V842" s="2244"/>
      <c r="W842" s="2244"/>
      <c r="X842" s="2244"/>
      <c r="Y842" s="1818"/>
      <c r="Z842" s="1818"/>
      <c r="AA842" s="1818"/>
      <c r="AB842" s="1818"/>
      <c r="AC842" s="1818"/>
      <c r="AD842" s="1818"/>
      <c r="AE842" s="1818"/>
      <c r="AF842" s="1818"/>
      <c r="AG842" s="1818"/>
      <c r="AH842" s="1818"/>
      <c r="AI842" s="1818"/>
      <c r="AJ842" s="1818"/>
      <c r="AK842" s="1818"/>
      <c r="AL842" s="1818"/>
      <c r="AM842" s="1818"/>
      <c r="AN842" s="1818"/>
      <c r="AO842" s="1818"/>
      <c r="AP842" s="1818"/>
      <c r="AQ842" s="1818"/>
      <c r="AR842" s="1818"/>
      <c r="AS842" s="1818"/>
      <c r="AT842" s="1818"/>
      <c r="AU842" s="1818"/>
      <c r="AV842" s="1818"/>
      <c r="AW842" s="1818"/>
      <c r="AX842" s="1818"/>
      <c r="AY842" s="1818"/>
      <c r="AZ842" s="1818"/>
      <c r="BA842" s="1818"/>
      <c r="BB842" s="1818"/>
      <c r="BC842" s="1818"/>
      <c r="BD842" s="1818"/>
      <c r="BE842" s="1818"/>
      <c r="BF842" s="1818"/>
      <c r="BG842" s="1818"/>
      <c r="BH842" s="1818"/>
      <c r="BI842" s="1818"/>
      <c r="BJ842" s="1818"/>
      <c r="BK842" s="1818"/>
      <c r="BL842" s="1818"/>
      <c r="BM842" s="1818"/>
      <c r="BN842" s="1818"/>
      <c r="BO842" s="1818"/>
      <c r="BP842" s="1818"/>
      <c r="BQ842" s="1818"/>
      <c r="BR842" s="1818"/>
      <c r="BS842" s="1818"/>
      <c r="BT842" s="1818"/>
      <c r="BU842" s="1818"/>
      <c r="BV842" s="1818"/>
      <c r="BW842" s="1818"/>
      <c r="BX842" s="1818"/>
      <c r="BY842" s="1818"/>
      <c r="BZ842" s="1818"/>
      <c r="CA842" s="1818"/>
      <c r="CB842" s="1818"/>
      <c r="CC842" s="1818"/>
      <c r="CD842" s="1818"/>
      <c r="CE842" s="1818"/>
      <c r="CF842" s="1818"/>
      <c r="CG842" s="1818"/>
      <c r="CH842" s="1818"/>
      <c r="CI842" s="1818"/>
      <c r="CJ842" s="1818"/>
      <c r="CK842" s="1818"/>
      <c r="CL842" s="1818"/>
      <c r="CM842" s="1818"/>
      <c r="CN842" s="1818"/>
      <c r="CO842" s="1818"/>
      <c r="CP842" s="1818"/>
      <c r="CQ842" s="1818"/>
      <c r="CR842" s="1818"/>
      <c r="CS842" s="1818"/>
      <c r="CT842" s="1818"/>
      <c r="CU842" s="1818"/>
      <c r="CV842" s="1818"/>
      <c r="CW842" s="1818"/>
      <c r="CX842" s="1818"/>
      <c r="CY842" s="1818"/>
      <c r="CZ842" s="1818"/>
      <c r="DA842" s="1818"/>
      <c r="DB842" s="1818"/>
      <c r="DC842" s="1818"/>
      <c r="DD842" s="1818"/>
      <c r="DE842" s="1818"/>
      <c r="DF842" s="1818"/>
      <c r="DG842" s="1818"/>
      <c r="DH842" s="1818"/>
      <c r="DI842" s="1818"/>
      <c r="DJ842" s="1818"/>
      <c r="DK842" s="1818"/>
      <c r="DL842" s="1818"/>
      <c r="DM842" s="1818"/>
      <c r="DN842" s="1818"/>
      <c r="DO842" s="1818"/>
      <c r="DP842" s="1818"/>
      <c r="DQ842" s="1818"/>
      <c r="DR842" s="1818"/>
      <c r="DS842" s="1818"/>
      <c r="DT842" s="1818"/>
      <c r="DU842" s="1818"/>
      <c r="DV842" s="1818"/>
      <c r="DW842" s="1818"/>
      <c r="DX842" s="1818"/>
      <c r="DY842" s="1818"/>
      <c r="DZ842" s="1818"/>
      <c r="EA842" s="1818"/>
      <c r="EB842" s="1818"/>
      <c r="EC842" s="1818"/>
      <c r="ED842" s="1818"/>
      <c r="EE842" s="1818"/>
      <c r="EF842" s="1818"/>
      <c r="EG842" s="1818"/>
      <c r="EH842" s="1818"/>
      <c r="EI842" s="1818"/>
      <c r="EJ842" s="1818"/>
      <c r="EK842" s="1818"/>
      <c r="EL842" s="1818"/>
      <c r="EM842" s="1818"/>
      <c r="EN842" s="1818"/>
      <c r="EO842" s="1818"/>
      <c r="EP842" s="1818"/>
      <c r="EQ842" s="1818"/>
      <c r="ER842" s="1818"/>
      <c r="ES842" s="1818"/>
      <c r="ET842" s="1818"/>
      <c r="EU842" s="1818"/>
      <c r="EV842" s="1818"/>
      <c r="EW842" s="1818"/>
      <c r="EX842" s="1818"/>
      <c r="EY842" s="1818"/>
      <c r="EZ842" s="1818"/>
      <c r="FA842" s="1818"/>
      <c r="FB842" s="1818"/>
      <c r="FC842" s="1818"/>
      <c r="FD842" s="1818"/>
      <c r="FE842" s="1818"/>
      <c r="FF842" s="1818"/>
      <c r="FG842" s="1818"/>
      <c r="FH842" s="1818"/>
      <c r="FI842" s="1818"/>
      <c r="FJ842" s="1818"/>
      <c r="FK842" s="1818"/>
      <c r="FL842" s="1818"/>
      <c r="FM842" s="1818"/>
      <c r="FN842" s="1818"/>
      <c r="FO842" s="1818"/>
      <c r="FP842" s="1818"/>
      <c r="FQ842" s="1818"/>
      <c r="FR842" s="1818"/>
      <c r="FS842" s="1818"/>
      <c r="FT842" s="1818"/>
    </row>
    <row r="843" spans="1:176" s="1965" customFormat="1" ht="32.1" customHeight="1">
      <c r="A843" s="2535"/>
      <c r="B843" s="1803"/>
      <c r="C843" s="1817"/>
      <c r="D843" s="1817"/>
      <c r="E843" s="1813"/>
      <c r="F843" s="1813"/>
      <c r="G843" s="1813"/>
      <c r="H843" s="1813"/>
      <c r="I843" s="2434"/>
      <c r="J843" s="2244"/>
      <c r="K843" s="2244"/>
      <c r="L843" s="2244"/>
      <c r="M843" s="2244"/>
      <c r="N843" s="2244"/>
      <c r="O843" s="2244"/>
      <c r="P843" s="2245"/>
      <c r="Q843" s="2245"/>
      <c r="R843" s="2435"/>
      <c r="S843" s="2244"/>
      <c r="T843" s="2244"/>
      <c r="U843" s="2244"/>
      <c r="V843" s="2244"/>
      <c r="W843" s="2244"/>
      <c r="X843" s="2244"/>
      <c r="Y843" s="1818"/>
      <c r="Z843" s="1818"/>
      <c r="AA843" s="1818"/>
      <c r="AB843" s="1818"/>
      <c r="AC843" s="1818"/>
      <c r="AD843" s="1818"/>
      <c r="AE843" s="1818"/>
      <c r="AF843" s="1818"/>
      <c r="AG843" s="1818"/>
      <c r="AH843" s="1818"/>
      <c r="AI843" s="1818"/>
      <c r="AJ843" s="1818"/>
      <c r="AK843" s="1818"/>
      <c r="AL843" s="1818"/>
      <c r="AM843" s="1818"/>
      <c r="AN843" s="1818"/>
      <c r="AO843" s="1818"/>
      <c r="AP843" s="1818"/>
      <c r="AQ843" s="1818"/>
      <c r="AR843" s="1818"/>
      <c r="AS843" s="1818"/>
      <c r="AT843" s="1818"/>
      <c r="AU843" s="1818"/>
      <c r="AV843" s="1818"/>
      <c r="AW843" s="1818"/>
      <c r="AX843" s="1818"/>
      <c r="AY843" s="1818"/>
      <c r="AZ843" s="1818"/>
      <c r="BA843" s="1818"/>
      <c r="BB843" s="1818"/>
      <c r="BC843" s="1818"/>
      <c r="BD843" s="1818"/>
      <c r="BE843" s="1818"/>
      <c r="BF843" s="1818"/>
      <c r="BG843" s="1818"/>
      <c r="BH843" s="1818"/>
      <c r="BI843" s="1818"/>
      <c r="BJ843" s="1818"/>
      <c r="BK843" s="1818"/>
      <c r="BL843" s="1818"/>
      <c r="BM843" s="1818"/>
      <c r="BN843" s="1818"/>
      <c r="BO843" s="1818"/>
      <c r="BP843" s="1818"/>
      <c r="BQ843" s="1818"/>
      <c r="BR843" s="1818"/>
      <c r="BS843" s="1818"/>
      <c r="BT843" s="1818"/>
      <c r="BU843" s="1818"/>
      <c r="BV843" s="1818"/>
      <c r="BW843" s="1818"/>
      <c r="BX843" s="1818"/>
      <c r="BY843" s="1818"/>
      <c r="BZ843" s="1818"/>
      <c r="CA843" s="1818"/>
      <c r="CB843" s="1818"/>
      <c r="CC843" s="1818"/>
      <c r="CD843" s="1818"/>
      <c r="CE843" s="1818"/>
      <c r="CF843" s="1818"/>
      <c r="CG843" s="1818"/>
      <c r="CH843" s="1818"/>
      <c r="CI843" s="1818"/>
      <c r="CJ843" s="1818"/>
      <c r="CK843" s="1818"/>
      <c r="CL843" s="1818"/>
      <c r="CM843" s="1818"/>
      <c r="CN843" s="1818"/>
      <c r="CO843" s="1818"/>
      <c r="CP843" s="1818"/>
      <c r="CQ843" s="1818"/>
      <c r="CR843" s="1818"/>
      <c r="CS843" s="1818"/>
      <c r="CT843" s="1818"/>
      <c r="CU843" s="1818"/>
      <c r="CV843" s="1818"/>
      <c r="CW843" s="1818"/>
      <c r="CX843" s="1818"/>
      <c r="CY843" s="1818"/>
      <c r="CZ843" s="1818"/>
      <c r="DA843" s="1818"/>
      <c r="DB843" s="1818"/>
      <c r="DC843" s="1818"/>
      <c r="DD843" s="1818"/>
      <c r="DE843" s="1818"/>
      <c r="DF843" s="1818"/>
      <c r="DG843" s="1818"/>
      <c r="DH843" s="1818"/>
      <c r="DI843" s="1818"/>
      <c r="DJ843" s="1818"/>
      <c r="DK843" s="1818"/>
      <c r="DL843" s="1818"/>
      <c r="DM843" s="1818"/>
      <c r="DN843" s="1818"/>
      <c r="DO843" s="1818"/>
      <c r="DP843" s="1818"/>
      <c r="DQ843" s="1818"/>
      <c r="DR843" s="1818"/>
      <c r="DS843" s="1818"/>
      <c r="DT843" s="1818"/>
      <c r="DU843" s="1818"/>
      <c r="DV843" s="1818"/>
      <c r="DW843" s="1818"/>
      <c r="DX843" s="1818"/>
      <c r="DY843" s="1818"/>
      <c r="DZ843" s="1818"/>
      <c r="EA843" s="1818"/>
      <c r="EB843" s="1818"/>
      <c r="EC843" s="1818"/>
      <c r="ED843" s="1818"/>
      <c r="EE843" s="1818"/>
      <c r="EF843" s="1818"/>
      <c r="EG843" s="1818"/>
      <c r="EH843" s="1818"/>
      <c r="EI843" s="1818"/>
      <c r="EJ843" s="1818"/>
      <c r="EK843" s="1818"/>
      <c r="EL843" s="1818"/>
      <c r="EM843" s="1818"/>
      <c r="EN843" s="1818"/>
      <c r="EO843" s="1818"/>
      <c r="EP843" s="1818"/>
      <c r="EQ843" s="1818"/>
      <c r="ER843" s="1818"/>
      <c r="ES843" s="1818"/>
      <c r="ET843" s="1818"/>
      <c r="EU843" s="1818"/>
      <c r="EV843" s="1818"/>
      <c r="EW843" s="1818"/>
      <c r="EX843" s="1818"/>
      <c r="EY843" s="1818"/>
      <c r="EZ843" s="1818"/>
      <c r="FA843" s="1818"/>
      <c r="FB843" s="1818"/>
      <c r="FC843" s="1818"/>
      <c r="FD843" s="1818"/>
      <c r="FE843" s="1818"/>
      <c r="FF843" s="1818"/>
      <c r="FG843" s="1818"/>
      <c r="FH843" s="1818"/>
      <c r="FI843" s="1818"/>
      <c r="FJ843" s="1818"/>
      <c r="FK843" s="1818"/>
      <c r="FL843" s="1818"/>
      <c r="FM843" s="1818"/>
      <c r="FN843" s="1818"/>
      <c r="FO843" s="1818"/>
      <c r="FP843" s="1818"/>
      <c r="FQ843" s="1818"/>
      <c r="FR843" s="1818"/>
      <c r="FS843" s="1818"/>
      <c r="FT843" s="1818"/>
    </row>
    <row r="844" spans="1:176" s="1965" customFormat="1" ht="32.1" customHeight="1">
      <c r="A844" s="2535"/>
      <c r="B844" s="1803"/>
      <c r="C844" s="1817"/>
      <c r="D844" s="1817"/>
      <c r="E844" s="1813"/>
      <c r="F844" s="1813"/>
      <c r="G844" s="1813"/>
      <c r="H844" s="1813"/>
      <c r="I844" s="2434"/>
      <c r="J844" s="2244"/>
      <c r="K844" s="2244"/>
      <c r="L844" s="2244"/>
      <c r="M844" s="2244"/>
      <c r="N844" s="2244"/>
      <c r="O844" s="2244"/>
      <c r="P844" s="2245"/>
      <c r="Q844" s="2245"/>
      <c r="R844" s="2435"/>
      <c r="S844" s="2244"/>
      <c r="T844" s="2244"/>
      <c r="U844" s="2244"/>
      <c r="V844" s="2244"/>
      <c r="W844" s="2244"/>
      <c r="X844" s="2244"/>
      <c r="Y844" s="1818"/>
      <c r="Z844" s="1818"/>
      <c r="AA844" s="1818"/>
      <c r="AB844" s="1818"/>
      <c r="AC844" s="1818"/>
      <c r="AD844" s="1818"/>
      <c r="AE844" s="1818"/>
      <c r="AF844" s="1818"/>
      <c r="AG844" s="1818"/>
      <c r="AH844" s="1818"/>
      <c r="AI844" s="1818"/>
      <c r="AJ844" s="1818"/>
      <c r="AK844" s="1818"/>
      <c r="AL844" s="1818"/>
      <c r="AM844" s="1818"/>
      <c r="AN844" s="1818"/>
      <c r="AO844" s="1818"/>
      <c r="AP844" s="1818"/>
      <c r="AQ844" s="1818"/>
      <c r="AR844" s="1818"/>
      <c r="AS844" s="1818"/>
      <c r="AT844" s="1818"/>
      <c r="AU844" s="1818"/>
      <c r="AV844" s="1818"/>
      <c r="AW844" s="1818"/>
      <c r="AX844" s="1818"/>
      <c r="AY844" s="1818"/>
      <c r="AZ844" s="1818"/>
      <c r="BA844" s="1818"/>
      <c r="BB844" s="1818"/>
      <c r="BC844" s="1818"/>
      <c r="BD844" s="1818"/>
      <c r="BE844" s="1818"/>
      <c r="BF844" s="1818"/>
      <c r="BG844" s="1818"/>
      <c r="BH844" s="1818"/>
      <c r="BI844" s="1818"/>
      <c r="BJ844" s="1818"/>
      <c r="BK844" s="1818"/>
      <c r="BL844" s="1818"/>
      <c r="BM844" s="1818"/>
      <c r="BN844" s="1818"/>
      <c r="BO844" s="1818"/>
      <c r="BP844" s="1818"/>
      <c r="BQ844" s="1818"/>
      <c r="BR844" s="1818"/>
      <c r="BS844" s="1818"/>
      <c r="BT844" s="1818"/>
      <c r="BU844" s="1818"/>
      <c r="BV844" s="1818"/>
      <c r="BW844" s="1818"/>
      <c r="BX844" s="1818"/>
      <c r="BY844" s="1818"/>
      <c r="BZ844" s="1818"/>
      <c r="CA844" s="1818"/>
      <c r="CB844" s="1818"/>
      <c r="CC844" s="1818"/>
      <c r="CD844" s="1818"/>
      <c r="CE844" s="1818"/>
      <c r="CF844" s="1818"/>
      <c r="CG844" s="1818"/>
      <c r="CH844" s="1818"/>
      <c r="CI844" s="1818"/>
      <c r="CJ844" s="1818"/>
      <c r="CK844" s="1818"/>
      <c r="CL844" s="1818"/>
      <c r="CM844" s="1818"/>
      <c r="CN844" s="1818"/>
      <c r="CO844" s="1818"/>
      <c r="CP844" s="1818"/>
      <c r="CQ844" s="1818"/>
      <c r="CR844" s="1818"/>
      <c r="CS844" s="1818"/>
      <c r="CT844" s="1818"/>
      <c r="CU844" s="1818"/>
      <c r="CV844" s="1818"/>
      <c r="CW844" s="1818"/>
      <c r="CX844" s="1818"/>
      <c r="CY844" s="1818"/>
      <c r="CZ844" s="1818"/>
      <c r="DA844" s="1818"/>
      <c r="DB844" s="1818"/>
      <c r="DC844" s="1818"/>
      <c r="DD844" s="1818"/>
      <c r="DE844" s="1818"/>
      <c r="DF844" s="1818"/>
      <c r="DG844" s="1818"/>
      <c r="DH844" s="1818"/>
      <c r="DI844" s="1818"/>
      <c r="DJ844" s="1818"/>
      <c r="DK844" s="1818"/>
      <c r="DL844" s="1818"/>
      <c r="DM844" s="1818"/>
      <c r="DN844" s="1818"/>
      <c r="DO844" s="1818"/>
      <c r="DP844" s="1818"/>
      <c r="DQ844" s="1818"/>
      <c r="DR844" s="1818"/>
      <c r="DS844" s="1818"/>
      <c r="DT844" s="1818"/>
      <c r="DU844" s="1818"/>
      <c r="DV844" s="1818"/>
      <c r="DW844" s="1818"/>
      <c r="DX844" s="1818"/>
      <c r="DY844" s="1818"/>
      <c r="DZ844" s="1818"/>
      <c r="EA844" s="1818"/>
      <c r="EB844" s="1818"/>
      <c r="EC844" s="1818"/>
      <c r="ED844" s="1818"/>
      <c r="EE844" s="1818"/>
      <c r="EF844" s="1818"/>
      <c r="EG844" s="1818"/>
      <c r="EH844" s="1818"/>
      <c r="EI844" s="1818"/>
      <c r="EJ844" s="1818"/>
      <c r="EK844" s="1818"/>
      <c r="EL844" s="1818"/>
      <c r="EM844" s="1818"/>
      <c r="EN844" s="1818"/>
      <c r="EO844" s="1818"/>
      <c r="EP844" s="1818"/>
      <c r="EQ844" s="1818"/>
      <c r="ER844" s="1818"/>
      <c r="ES844" s="1818"/>
      <c r="ET844" s="1818"/>
      <c r="EU844" s="1818"/>
      <c r="EV844" s="1818"/>
      <c r="EW844" s="1818"/>
      <c r="EX844" s="1818"/>
      <c r="EY844" s="1818"/>
      <c r="EZ844" s="1818"/>
      <c r="FA844" s="1818"/>
      <c r="FB844" s="1818"/>
      <c r="FC844" s="1818"/>
      <c r="FD844" s="1818"/>
      <c r="FE844" s="1818"/>
      <c r="FF844" s="1818"/>
      <c r="FG844" s="1818"/>
      <c r="FH844" s="1818"/>
      <c r="FI844" s="1818"/>
      <c r="FJ844" s="1818"/>
      <c r="FK844" s="1818"/>
      <c r="FL844" s="1818"/>
      <c r="FM844" s="1818"/>
      <c r="FN844" s="1818"/>
      <c r="FO844" s="1818"/>
      <c r="FP844" s="1818"/>
      <c r="FQ844" s="1818"/>
      <c r="FR844" s="1818"/>
      <c r="FS844" s="1818"/>
      <c r="FT844" s="1818"/>
    </row>
    <row r="845" spans="1:176" s="1965" customFormat="1" ht="32.1" customHeight="1">
      <c r="A845" s="2535"/>
      <c r="B845" s="1803"/>
      <c r="C845" s="1817"/>
      <c r="D845" s="1817"/>
      <c r="E845" s="1813"/>
      <c r="F845" s="1813"/>
      <c r="G845" s="1813"/>
      <c r="H845" s="1813"/>
      <c r="I845" s="2434"/>
      <c r="J845" s="2244"/>
      <c r="K845" s="2244"/>
      <c r="L845" s="2244"/>
      <c r="M845" s="2244"/>
      <c r="N845" s="2244"/>
      <c r="O845" s="2244"/>
      <c r="P845" s="2245"/>
      <c r="Q845" s="2245"/>
      <c r="R845" s="2435"/>
      <c r="S845" s="2244"/>
      <c r="T845" s="2244"/>
      <c r="U845" s="2244"/>
      <c r="V845" s="2244"/>
      <c r="W845" s="2244"/>
      <c r="X845" s="2244"/>
      <c r="Y845" s="1818"/>
      <c r="Z845" s="1818"/>
      <c r="AA845" s="1818"/>
      <c r="AB845" s="1818"/>
      <c r="AC845" s="1818"/>
      <c r="AD845" s="1818"/>
      <c r="AE845" s="1818"/>
      <c r="AF845" s="1818"/>
      <c r="AG845" s="1818"/>
      <c r="AH845" s="1818"/>
      <c r="AI845" s="1818"/>
      <c r="AJ845" s="1818"/>
      <c r="AK845" s="1818"/>
      <c r="AL845" s="1818"/>
      <c r="AM845" s="1818"/>
      <c r="AN845" s="1818"/>
      <c r="AO845" s="1818"/>
      <c r="AP845" s="1818"/>
      <c r="AQ845" s="1818"/>
      <c r="AR845" s="1818"/>
      <c r="AS845" s="1818"/>
      <c r="AT845" s="1818"/>
      <c r="AU845" s="1818"/>
      <c r="AV845" s="1818"/>
      <c r="AW845" s="1818"/>
      <c r="AX845" s="1818"/>
      <c r="AY845" s="1818"/>
      <c r="AZ845" s="1818"/>
      <c r="BA845" s="1818"/>
      <c r="BB845" s="1818"/>
      <c r="BC845" s="1818"/>
      <c r="BD845" s="1818"/>
      <c r="BE845" s="1818"/>
      <c r="BF845" s="1818"/>
      <c r="BG845" s="1818"/>
      <c r="BH845" s="1818"/>
      <c r="BI845" s="1818"/>
      <c r="BJ845" s="1818"/>
      <c r="BK845" s="1818"/>
      <c r="BL845" s="1818"/>
      <c r="BM845" s="1818"/>
      <c r="BN845" s="1818"/>
      <c r="BO845" s="1818"/>
      <c r="BP845" s="1818"/>
      <c r="BQ845" s="1818"/>
      <c r="BR845" s="1818"/>
      <c r="BS845" s="1818"/>
      <c r="BT845" s="1818"/>
      <c r="BU845" s="1818"/>
      <c r="BV845" s="1818"/>
      <c r="BW845" s="1818"/>
      <c r="BX845" s="1818"/>
      <c r="BY845" s="1818"/>
      <c r="BZ845" s="1818"/>
      <c r="CA845" s="1818"/>
      <c r="CB845" s="1818"/>
      <c r="CC845" s="1818"/>
      <c r="CD845" s="1818"/>
      <c r="CE845" s="1818"/>
      <c r="CF845" s="1818"/>
      <c r="CG845" s="1818"/>
      <c r="CH845" s="1818"/>
      <c r="CI845" s="1818"/>
      <c r="CJ845" s="1818"/>
      <c r="CK845" s="1818"/>
      <c r="CL845" s="1818"/>
      <c r="CM845" s="1818"/>
      <c r="CN845" s="1818"/>
      <c r="CO845" s="1818"/>
      <c r="CP845" s="1818"/>
      <c r="CQ845" s="1818"/>
      <c r="CR845" s="1818"/>
      <c r="CS845" s="1818"/>
      <c r="CT845" s="1818"/>
      <c r="CU845" s="1818"/>
      <c r="CV845" s="1818"/>
      <c r="CW845" s="1818"/>
      <c r="CX845" s="1818"/>
      <c r="CY845" s="1818"/>
      <c r="CZ845" s="1818"/>
      <c r="DA845" s="1818"/>
      <c r="DB845" s="1818"/>
      <c r="DC845" s="1818"/>
      <c r="DD845" s="1818"/>
      <c r="DE845" s="1818"/>
      <c r="DF845" s="1818"/>
      <c r="DG845" s="1818"/>
      <c r="DH845" s="1818"/>
      <c r="DI845" s="1818"/>
      <c r="DJ845" s="1818"/>
      <c r="DK845" s="1818"/>
      <c r="DL845" s="1818"/>
      <c r="DM845" s="1818"/>
      <c r="DN845" s="1818"/>
      <c r="DO845" s="1818"/>
      <c r="DP845" s="1818"/>
      <c r="DQ845" s="1818"/>
      <c r="DR845" s="1818"/>
      <c r="DS845" s="1818"/>
      <c r="DT845" s="1818"/>
      <c r="DU845" s="1818"/>
      <c r="DV845" s="1818"/>
      <c r="DW845" s="1818"/>
      <c r="DX845" s="1818"/>
      <c r="DY845" s="1818"/>
      <c r="DZ845" s="1818"/>
      <c r="EA845" s="1818"/>
      <c r="EB845" s="1818"/>
      <c r="EC845" s="1818"/>
      <c r="ED845" s="1818"/>
      <c r="EE845" s="1818"/>
      <c r="EF845" s="1818"/>
      <c r="EG845" s="1818"/>
      <c r="EH845" s="1818"/>
      <c r="EI845" s="1818"/>
      <c r="EJ845" s="1818"/>
      <c r="EK845" s="1818"/>
      <c r="EL845" s="1818"/>
      <c r="EM845" s="1818"/>
      <c r="EN845" s="1818"/>
      <c r="EO845" s="1818"/>
      <c r="EP845" s="1818"/>
      <c r="EQ845" s="1818"/>
      <c r="ER845" s="1818"/>
      <c r="ES845" s="1818"/>
      <c r="ET845" s="1818"/>
      <c r="EU845" s="1818"/>
      <c r="EV845" s="1818"/>
      <c r="EW845" s="1818"/>
      <c r="EX845" s="1818"/>
      <c r="EY845" s="1818"/>
      <c r="EZ845" s="1818"/>
      <c r="FA845" s="1818"/>
      <c r="FB845" s="1818"/>
      <c r="FC845" s="1818"/>
      <c r="FD845" s="1818"/>
      <c r="FE845" s="1818"/>
      <c r="FF845" s="1818"/>
      <c r="FG845" s="1818"/>
      <c r="FH845" s="1818"/>
      <c r="FI845" s="1818"/>
      <c r="FJ845" s="1818"/>
      <c r="FK845" s="1818"/>
      <c r="FL845" s="1818"/>
      <c r="FM845" s="1818"/>
      <c r="FN845" s="1818"/>
      <c r="FO845" s="1818"/>
      <c r="FP845" s="1818"/>
      <c r="FQ845" s="1818"/>
      <c r="FR845" s="1818"/>
      <c r="FS845" s="1818"/>
      <c r="FT845" s="1818"/>
    </row>
    <row r="846" spans="1:176" s="1965" customFormat="1" ht="32.1" customHeight="1">
      <c r="A846" s="2535"/>
      <c r="B846" s="1803"/>
      <c r="C846" s="1817"/>
      <c r="D846" s="1817"/>
      <c r="E846" s="1813"/>
      <c r="F846" s="1813"/>
      <c r="G846" s="1813"/>
      <c r="H846" s="1813"/>
      <c r="I846" s="2434"/>
      <c r="J846" s="2244"/>
      <c r="K846" s="2244"/>
      <c r="L846" s="2244"/>
      <c r="M846" s="2244"/>
      <c r="N846" s="2244"/>
      <c r="O846" s="2244"/>
      <c r="P846" s="2245"/>
      <c r="Q846" s="2245"/>
      <c r="R846" s="2435"/>
      <c r="S846" s="2244"/>
      <c r="T846" s="2244"/>
      <c r="U846" s="2244"/>
      <c r="V846" s="2244"/>
      <c r="W846" s="2244"/>
      <c r="X846" s="2244"/>
      <c r="Y846" s="1818"/>
      <c r="Z846" s="1818"/>
      <c r="AA846" s="1818"/>
      <c r="AB846" s="1818"/>
      <c r="AC846" s="1818"/>
      <c r="AD846" s="1818"/>
      <c r="AE846" s="1818"/>
      <c r="AF846" s="1818"/>
      <c r="AG846" s="1818"/>
      <c r="AH846" s="1818"/>
      <c r="AI846" s="1818"/>
      <c r="AJ846" s="1818"/>
      <c r="AK846" s="1818"/>
      <c r="AL846" s="1818"/>
      <c r="AM846" s="1818"/>
      <c r="AN846" s="1818"/>
      <c r="AO846" s="1818"/>
      <c r="AP846" s="1818"/>
      <c r="AQ846" s="1818"/>
      <c r="AR846" s="1818"/>
      <c r="AS846" s="1818"/>
      <c r="AT846" s="1818"/>
      <c r="AU846" s="1818"/>
      <c r="AV846" s="1818"/>
      <c r="AW846" s="1818"/>
      <c r="AX846" s="1818"/>
      <c r="AY846" s="1818"/>
      <c r="AZ846" s="1818"/>
      <c r="BA846" s="1818"/>
      <c r="BB846" s="1818"/>
      <c r="BC846" s="1818"/>
      <c r="BD846" s="1818"/>
      <c r="BE846" s="1818"/>
      <c r="BF846" s="1818"/>
      <c r="BG846" s="1818"/>
      <c r="BH846" s="1818"/>
      <c r="BI846" s="1818"/>
      <c r="BJ846" s="1818"/>
      <c r="BK846" s="1818"/>
      <c r="BL846" s="1818"/>
      <c r="BM846" s="1818"/>
      <c r="BN846" s="1818"/>
      <c r="BO846" s="1818"/>
      <c r="BP846" s="1818"/>
      <c r="BQ846" s="1818"/>
      <c r="BR846" s="1818"/>
      <c r="BS846" s="1818"/>
      <c r="BT846" s="1818"/>
      <c r="BU846" s="1818"/>
      <c r="BV846" s="1818"/>
      <c r="BW846" s="1818"/>
      <c r="BX846" s="1818"/>
      <c r="BY846" s="1818"/>
      <c r="BZ846" s="1818"/>
      <c r="CA846" s="1818"/>
      <c r="CB846" s="1818"/>
      <c r="CC846" s="1818"/>
      <c r="CD846" s="1818"/>
      <c r="CE846" s="1818"/>
      <c r="CF846" s="1818"/>
      <c r="CG846" s="1818"/>
      <c r="CH846" s="1818"/>
      <c r="CI846" s="1818"/>
      <c r="CJ846" s="1818"/>
      <c r="CK846" s="1818"/>
      <c r="CL846" s="1818"/>
      <c r="CM846" s="1818"/>
      <c r="CN846" s="1818"/>
      <c r="CO846" s="1818"/>
      <c r="CP846" s="1818"/>
      <c r="CQ846" s="1818"/>
      <c r="CR846" s="1818"/>
      <c r="CS846" s="1818"/>
      <c r="CT846" s="1818"/>
      <c r="CU846" s="1818"/>
      <c r="CV846" s="1818"/>
      <c r="CW846" s="1818"/>
      <c r="CX846" s="1818"/>
      <c r="CY846" s="1818"/>
      <c r="CZ846" s="1818"/>
      <c r="DA846" s="1818"/>
      <c r="DB846" s="1818"/>
      <c r="DC846" s="1818"/>
      <c r="DD846" s="1818"/>
      <c r="DE846" s="1818"/>
      <c r="DF846" s="1818"/>
      <c r="DG846" s="1818"/>
      <c r="DH846" s="1818"/>
      <c r="DI846" s="1818"/>
      <c r="DJ846" s="1818"/>
      <c r="DK846" s="1818"/>
      <c r="DL846" s="1818"/>
      <c r="DM846" s="1818"/>
      <c r="DN846" s="1818"/>
      <c r="DO846" s="1818"/>
      <c r="DP846" s="1818"/>
      <c r="DQ846" s="1818"/>
      <c r="DR846" s="1818"/>
      <c r="DS846" s="1818"/>
      <c r="DT846" s="1818"/>
      <c r="DU846" s="1818"/>
      <c r="DV846" s="1818"/>
      <c r="DW846" s="1818"/>
      <c r="DX846" s="1818"/>
      <c r="DY846" s="1818"/>
      <c r="DZ846" s="1818"/>
      <c r="EA846" s="1818"/>
      <c r="EB846" s="1818"/>
      <c r="EC846" s="1818"/>
      <c r="ED846" s="1818"/>
      <c r="EE846" s="1818"/>
      <c r="EF846" s="1818"/>
      <c r="EG846" s="1818"/>
      <c r="EH846" s="1818"/>
      <c r="EI846" s="1818"/>
      <c r="EJ846" s="1818"/>
      <c r="EK846" s="1818"/>
      <c r="EL846" s="1818"/>
      <c r="EM846" s="1818"/>
      <c r="EN846" s="1818"/>
      <c r="EO846" s="1818"/>
      <c r="EP846" s="1818"/>
      <c r="EQ846" s="1818"/>
      <c r="ER846" s="1818"/>
      <c r="ES846" s="1818"/>
      <c r="ET846" s="1818"/>
      <c r="EU846" s="1818"/>
      <c r="EV846" s="1818"/>
      <c r="EW846" s="1818"/>
      <c r="EX846" s="1818"/>
      <c r="EY846" s="1818"/>
      <c r="EZ846" s="1818"/>
      <c r="FA846" s="1818"/>
      <c r="FB846" s="1818"/>
      <c r="FC846" s="1818"/>
      <c r="FD846" s="1818"/>
      <c r="FE846" s="1818"/>
      <c r="FF846" s="1818"/>
      <c r="FG846" s="1818"/>
      <c r="FH846" s="1818"/>
      <c r="FI846" s="1818"/>
      <c r="FJ846" s="1818"/>
      <c r="FK846" s="1818"/>
      <c r="FL846" s="1818"/>
      <c r="FM846" s="1818"/>
      <c r="FN846" s="1818"/>
      <c r="FO846" s="1818"/>
      <c r="FP846" s="1818"/>
      <c r="FQ846" s="1818"/>
      <c r="FR846" s="1818"/>
      <c r="FS846" s="1818"/>
      <c r="FT846" s="1818"/>
    </row>
    <row r="847" spans="1:176" s="1965" customFormat="1" ht="32.1" customHeight="1">
      <c r="A847" s="2535"/>
      <c r="B847" s="1803"/>
      <c r="C847" s="1817"/>
      <c r="D847" s="1817"/>
      <c r="E847" s="1813"/>
      <c r="F847" s="1813"/>
      <c r="G847" s="1813"/>
      <c r="H847" s="1813"/>
      <c r="I847" s="2434"/>
      <c r="J847" s="2244"/>
      <c r="K847" s="2244"/>
      <c r="L847" s="2244"/>
      <c r="M847" s="2244"/>
      <c r="N847" s="2244"/>
      <c r="O847" s="2244"/>
      <c r="P847" s="2245"/>
      <c r="Q847" s="2245"/>
      <c r="R847" s="2435"/>
      <c r="S847" s="2244"/>
      <c r="T847" s="2244"/>
      <c r="U847" s="2244"/>
      <c r="V847" s="2244"/>
      <c r="W847" s="2244"/>
      <c r="X847" s="2244"/>
      <c r="Y847" s="1818"/>
      <c r="Z847" s="1818"/>
      <c r="AA847" s="1818"/>
      <c r="AB847" s="1818"/>
      <c r="AC847" s="1818"/>
      <c r="AD847" s="1818"/>
      <c r="AE847" s="1818"/>
      <c r="AF847" s="1818"/>
      <c r="AG847" s="1818"/>
      <c r="AH847" s="1818"/>
      <c r="AI847" s="1818"/>
      <c r="AJ847" s="1818"/>
      <c r="AK847" s="1818"/>
      <c r="AL847" s="1818"/>
      <c r="AM847" s="1818"/>
      <c r="AN847" s="1818"/>
      <c r="AO847" s="1818"/>
      <c r="AP847" s="1818"/>
      <c r="AQ847" s="1818"/>
      <c r="AR847" s="1818"/>
      <c r="AS847" s="1818"/>
      <c r="AT847" s="1818"/>
      <c r="AU847" s="1818"/>
      <c r="AV847" s="1818"/>
      <c r="AW847" s="1818"/>
      <c r="AX847" s="1818"/>
      <c r="AY847" s="1818"/>
      <c r="AZ847" s="1818"/>
      <c r="BA847" s="1818"/>
      <c r="BB847" s="1818"/>
      <c r="BC847" s="1818"/>
      <c r="BD847" s="1818"/>
      <c r="BE847" s="1818"/>
      <c r="BF847" s="1818"/>
      <c r="BG847" s="1818"/>
      <c r="BH847" s="1818"/>
      <c r="BI847" s="1818"/>
      <c r="BJ847" s="1818"/>
      <c r="BK847" s="1818"/>
      <c r="BL847" s="1818"/>
      <c r="BM847" s="1818"/>
      <c r="BN847" s="1818"/>
      <c r="BO847" s="1818"/>
      <c r="BP847" s="1818"/>
      <c r="BQ847" s="1818"/>
      <c r="BR847" s="1818"/>
      <c r="BS847" s="1818"/>
      <c r="BT847" s="1818"/>
      <c r="BU847" s="1818"/>
      <c r="BV847" s="1818"/>
      <c r="BW847" s="1818"/>
      <c r="BX847" s="1818"/>
      <c r="BY847" s="1818"/>
      <c r="BZ847" s="1818"/>
      <c r="CA847" s="1818"/>
      <c r="CB847" s="1818"/>
      <c r="CC847" s="1818"/>
      <c r="CD847" s="1818"/>
      <c r="CE847" s="1818"/>
      <c r="CF847" s="1818"/>
      <c r="CG847" s="1818"/>
      <c r="CH847" s="1818"/>
      <c r="CI847" s="1818"/>
      <c r="CJ847" s="1818"/>
      <c r="CK847" s="1818"/>
      <c r="CL847" s="1818"/>
      <c r="CM847" s="1818"/>
      <c r="CN847" s="1818"/>
      <c r="CO847" s="1818"/>
      <c r="CP847" s="1818"/>
      <c r="CQ847" s="1818"/>
      <c r="CR847" s="1818"/>
      <c r="CS847" s="1818"/>
      <c r="CT847" s="1818"/>
      <c r="CU847" s="1818"/>
      <c r="CV847" s="1818"/>
      <c r="CW847" s="1818"/>
      <c r="CX847" s="1818"/>
      <c r="CY847" s="1818"/>
      <c r="CZ847" s="1818"/>
      <c r="DA847" s="1818"/>
      <c r="DB847" s="1818"/>
      <c r="DC847" s="1818"/>
      <c r="DD847" s="1818"/>
      <c r="DE847" s="1818"/>
      <c r="DF847" s="1818"/>
      <c r="DG847" s="1818"/>
      <c r="DH847" s="1818"/>
      <c r="DI847" s="1818"/>
      <c r="DJ847" s="1818"/>
      <c r="DK847" s="1818"/>
      <c r="DL847" s="1818"/>
      <c r="DM847" s="1818"/>
      <c r="DN847" s="1818"/>
      <c r="DO847" s="1818"/>
      <c r="DP847" s="1818"/>
      <c r="DQ847" s="1818"/>
      <c r="DR847" s="1818"/>
      <c r="DS847" s="1818"/>
      <c r="DT847" s="1818"/>
      <c r="DU847" s="1818"/>
      <c r="DV847" s="1818"/>
      <c r="DW847" s="1818"/>
      <c r="DX847" s="1818"/>
      <c r="DY847" s="1818"/>
      <c r="DZ847" s="1818"/>
      <c r="EA847" s="1818"/>
      <c r="EB847" s="1818"/>
      <c r="EC847" s="1818"/>
      <c r="ED847" s="1818"/>
      <c r="EE847" s="1818"/>
      <c r="EF847" s="1818"/>
      <c r="EG847" s="1818"/>
      <c r="EH847" s="1818"/>
      <c r="EI847" s="1818"/>
      <c r="EJ847" s="1818"/>
      <c r="EK847" s="1818"/>
      <c r="EL847" s="1818"/>
      <c r="EM847" s="1818"/>
      <c r="EN847" s="1818"/>
      <c r="EO847" s="1818"/>
      <c r="EP847" s="1818"/>
      <c r="EQ847" s="1818"/>
      <c r="ER847" s="1818"/>
      <c r="ES847" s="1818"/>
      <c r="ET847" s="1818"/>
      <c r="EU847" s="1818"/>
      <c r="EV847" s="1818"/>
      <c r="EW847" s="1818"/>
      <c r="EX847" s="1818"/>
      <c r="EY847" s="1818"/>
      <c r="EZ847" s="1818"/>
      <c r="FA847" s="1818"/>
      <c r="FB847" s="1818"/>
      <c r="FC847" s="1818"/>
      <c r="FD847" s="1818"/>
      <c r="FE847" s="1818"/>
      <c r="FF847" s="1818"/>
      <c r="FG847" s="1818"/>
      <c r="FH847" s="1818"/>
      <c r="FI847" s="1818"/>
      <c r="FJ847" s="1818"/>
      <c r="FK847" s="1818"/>
      <c r="FL847" s="1818"/>
      <c r="FM847" s="1818"/>
      <c r="FN847" s="1818"/>
      <c r="FO847" s="1818"/>
      <c r="FP847" s="1818"/>
      <c r="FQ847" s="1818"/>
      <c r="FR847" s="1818"/>
      <c r="FS847" s="1818"/>
      <c r="FT847" s="1818"/>
    </row>
    <row r="848" spans="1:176" s="1965" customFormat="1" ht="32.1" customHeight="1">
      <c r="A848" s="2535"/>
      <c r="B848" s="1803"/>
      <c r="C848" s="1817"/>
      <c r="D848" s="1817"/>
      <c r="E848" s="1813"/>
      <c r="F848" s="1813"/>
      <c r="G848" s="1813"/>
      <c r="H848" s="1813"/>
      <c r="I848" s="2434"/>
      <c r="J848" s="2244"/>
      <c r="K848" s="2244"/>
      <c r="L848" s="2244"/>
      <c r="M848" s="2244"/>
      <c r="N848" s="2244"/>
      <c r="O848" s="2244"/>
      <c r="P848" s="2245"/>
      <c r="Q848" s="2245"/>
      <c r="R848" s="2435"/>
      <c r="S848" s="2244"/>
      <c r="T848" s="2244"/>
      <c r="U848" s="2244"/>
      <c r="V848" s="2244"/>
      <c r="W848" s="2244"/>
      <c r="X848" s="2244"/>
      <c r="Y848" s="1818"/>
      <c r="Z848" s="1818"/>
      <c r="AA848" s="1818"/>
      <c r="AB848" s="1818"/>
      <c r="AC848" s="1818"/>
      <c r="AD848" s="1818"/>
      <c r="AE848" s="1818"/>
      <c r="AF848" s="1818"/>
      <c r="AG848" s="1818"/>
      <c r="AH848" s="1818"/>
      <c r="AI848" s="1818"/>
      <c r="AJ848" s="1818"/>
      <c r="AK848" s="1818"/>
      <c r="AL848" s="1818"/>
      <c r="AM848" s="1818"/>
      <c r="AN848" s="1818"/>
      <c r="AO848" s="1818"/>
      <c r="AP848" s="1818"/>
      <c r="AQ848" s="1818"/>
      <c r="AR848" s="1818"/>
      <c r="AS848" s="1818"/>
      <c r="AT848" s="1818"/>
      <c r="AU848" s="1818"/>
      <c r="AV848" s="1818"/>
      <c r="AW848" s="1818"/>
      <c r="AX848" s="1818"/>
      <c r="AY848" s="1818"/>
      <c r="AZ848" s="1818"/>
      <c r="BA848" s="1818"/>
      <c r="BB848" s="1818"/>
      <c r="BC848" s="1818"/>
      <c r="BD848" s="1818"/>
      <c r="BE848" s="1818"/>
      <c r="BF848" s="1818"/>
      <c r="BG848" s="1818"/>
      <c r="BH848" s="1818"/>
      <c r="BI848" s="1818"/>
      <c r="BJ848" s="1818"/>
      <c r="BK848" s="1818"/>
      <c r="BL848" s="1818"/>
      <c r="BM848" s="1818"/>
      <c r="BN848" s="1818"/>
      <c r="BO848" s="1818"/>
      <c r="BP848" s="1818"/>
      <c r="BQ848" s="1818"/>
      <c r="BR848" s="1818"/>
      <c r="BS848" s="1818"/>
      <c r="BT848" s="1818"/>
      <c r="BU848" s="1818"/>
      <c r="BV848" s="1818"/>
      <c r="BW848" s="1818"/>
      <c r="BX848" s="1818"/>
      <c r="BY848" s="1818"/>
      <c r="BZ848" s="1818"/>
      <c r="CA848" s="1818"/>
      <c r="CB848" s="1818"/>
      <c r="CC848" s="1818"/>
      <c r="CD848" s="1818"/>
      <c r="CE848" s="1818"/>
      <c r="CF848" s="1818"/>
      <c r="CG848" s="1818"/>
      <c r="CH848" s="1818"/>
      <c r="CI848" s="1818"/>
      <c r="CJ848" s="1818"/>
      <c r="CK848" s="1818"/>
      <c r="CL848" s="1818"/>
      <c r="CM848" s="1818"/>
      <c r="CN848" s="1818"/>
      <c r="CO848" s="1818"/>
      <c r="CP848" s="1818"/>
      <c r="CQ848" s="1818"/>
      <c r="CR848" s="1818"/>
      <c r="CS848" s="1818"/>
      <c r="CT848" s="1818"/>
      <c r="CU848" s="1818"/>
      <c r="CV848" s="1818"/>
      <c r="CW848" s="1818"/>
      <c r="CX848" s="1818"/>
      <c r="CY848" s="1818"/>
      <c r="CZ848" s="1818"/>
      <c r="DA848" s="1818"/>
      <c r="DB848" s="1818"/>
      <c r="DC848" s="1818"/>
      <c r="DD848" s="1818"/>
      <c r="DE848" s="1818"/>
      <c r="DF848" s="1818"/>
      <c r="DG848" s="1818"/>
      <c r="DH848" s="1818"/>
      <c r="DI848" s="1818"/>
      <c r="DJ848" s="1818"/>
      <c r="DK848" s="1818"/>
      <c r="DL848" s="1818"/>
      <c r="DM848" s="1818"/>
      <c r="DN848" s="1818"/>
      <c r="DO848" s="1818"/>
      <c r="DP848" s="1818"/>
      <c r="DQ848" s="1818"/>
      <c r="DR848" s="1818"/>
      <c r="DS848" s="1818"/>
      <c r="DT848" s="1818"/>
      <c r="DU848" s="1818"/>
      <c r="DV848" s="1818"/>
      <c r="DW848" s="1818"/>
      <c r="DX848" s="1818"/>
      <c r="DY848" s="1818"/>
      <c r="DZ848" s="1818"/>
      <c r="EA848" s="1818"/>
      <c r="EB848" s="1818"/>
      <c r="EC848" s="1818"/>
      <c r="ED848" s="1818"/>
      <c r="EE848" s="1818"/>
      <c r="EF848" s="1818"/>
      <c r="EG848" s="1818"/>
      <c r="EH848" s="1818"/>
      <c r="EI848" s="1818"/>
      <c r="EJ848" s="1818"/>
      <c r="EK848" s="1818"/>
      <c r="EL848" s="1818"/>
      <c r="EM848" s="1818"/>
      <c r="EN848" s="1818"/>
      <c r="EO848" s="1818"/>
      <c r="EP848" s="1818"/>
      <c r="EQ848" s="1818"/>
      <c r="ER848" s="1818"/>
      <c r="ES848" s="1818"/>
      <c r="ET848" s="1818"/>
      <c r="EU848" s="1818"/>
      <c r="EV848" s="1818"/>
      <c r="EW848" s="1818"/>
      <c r="EX848" s="1818"/>
      <c r="EY848" s="1818"/>
      <c r="EZ848" s="1818"/>
      <c r="FA848" s="1818"/>
      <c r="FB848" s="1818"/>
      <c r="FC848" s="1818"/>
      <c r="FD848" s="1818"/>
      <c r="FE848" s="1818"/>
      <c r="FF848" s="1818"/>
      <c r="FG848" s="1818"/>
      <c r="FH848" s="1818"/>
      <c r="FI848" s="1818"/>
      <c r="FJ848" s="1818"/>
      <c r="FK848" s="1818"/>
      <c r="FL848" s="1818"/>
      <c r="FM848" s="1818"/>
      <c r="FN848" s="1818"/>
      <c r="FO848" s="1818"/>
      <c r="FP848" s="1818"/>
      <c r="FQ848" s="1818"/>
      <c r="FR848" s="1818"/>
      <c r="FS848" s="1818"/>
      <c r="FT848" s="1818"/>
    </row>
    <row r="849" spans="1:176" s="1965" customFormat="1" ht="32.1" customHeight="1">
      <c r="A849" s="2535"/>
      <c r="B849" s="1803"/>
      <c r="C849" s="1817"/>
      <c r="D849" s="1817"/>
      <c r="E849" s="1813"/>
      <c r="F849" s="1813"/>
      <c r="G849" s="1813"/>
      <c r="H849" s="1813"/>
      <c r="I849" s="2434"/>
      <c r="J849" s="2244"/>
      <c r="K849" s="2244"/>
      <c r="L849" s="2244"/>
      <c r="M849" s="2244"/>
      <c r="N849" s="2244"/>
      <c r="O849" s="2244"/>
      <c r="P849" s="2245"/>
      <c r="Q849" s="2245"/>
      <c r="R849" s="2435"/>
      <c r="S849" s="2244"/>
      <c r="T849" s="2244"/>
      <c r="U849" s="2244"/>
      <c r="V849" s="2244"/>
      <c r="W849" s="2244"/>
      <c r="X849" s="2244"/>
      <c r="Y849" s="1818"/>
      <c r="Z849" s="1818"/>
      <c r="AA849" s="1818"/>
      <c r="AB849" s="1818"/>
      <c r="AC849" s="1818"/>
      <c r="AD849" s="1818"/>
      <c r="AE849" s="1818"/>
      <c r="AF849" s="1818"/>
      <c r="AG849" s="1818"/>
      <c r="AH849" s="1818"/>
      <c r="AI849" s="1818"/>
      <c r="AJ849" s="1818"/>
      <c r="AK849" s="1818"/>
      <c r="AL849" s="1818"/>
      <c r="AM849" s="1818"/>
      <c r="AN849" s="1818"/>
      <c r="AO849" s="1818"/>
      <c r="AP849" s="1818"/>
      <c r="AQ849" s="1818"/>
      <c r="AR849" s="1818"/>
      <c r="AS849" s="1818"/>
      <c r="AT849" s="1818"/>
      <c r="AU849" s="1818"/>
      <c r="AV849" s="1818"/>
      <c r="AW849" s="1818"/>
      <c r="AX849" s="1818"/>
      <c r="AY849" s="1818"/>
      <c r="AZ849" s="1818"/>
      <c r="BA849" s="1818"/>
      <c r="BB849" s="1818"/>
      <c r="BC849" s="1818"/>
      <c r="BD849" s="1818"/>
      <c r="BE849" s="1818"/>
      <c r="BF849" s="1818"/>
      <c r="BG849" s="1818"/>
      <c r="BH849" s="1818"/>
      <c r="BI849" s="1818"/>
      <c r="BJ849" s="1818"/>
      <c r="BK849" s="1818"/>
      <c r="BL849" s="1818"/>
      <c r="BM849" s="1818"/>
      <c r="BN849" s="1818"/>
      <c r="BO849" s="1818"/>
      <c r="BP849" s="1818"/>
      <c r="BQ849" s="1818"/>
      <c r="BR849" s="1818"/>
      <c r="BS849" s="1818"/>
      <c r="BT849" s="1818"/>
      <c r="BU849" s="1818"/>
      <c r="BV849" s="1818"/>
      <c r="BW849" s="1818"/>
      <c r="BX849" s="1818"/>
      <c r="BY849" s="1818"/>
      <c r="BZ849" s="1818"/>
      <c r="CA849" s="1818"/>
      <c r="CB849" s="1818"/>
      <c r="CC849" s="1818"/>
      <c r="CD849" s="1818"/>
      <c r="CE849" s="1818"/>
      <c r="CF849" s="1818"/>
      <c r="CG849" s="1818"/>
      <c r="CH849" s="1818"/>
      <c r="CI849" s="1818"/>
      <c r="CJ849" s="1818"/>
      <c r="CK849" s="1818"/>
      <c r="CL849" s="1818"/>
      <c r="CM849" s="1818"/>
      <c r="CN849" s="1818"/>
      <c r="CO849" s="1818"/>
      <c r="CP849" s="1818"/>
      <c r="CQ849" s="1818"/>
      <c r="CR849" s="1818"/>
      <c r="CS849" s="1818"/>
      <c r="CT849" s="1818"/>
      <c r="CU849" s="1818"/>
      <c r="CV849" s="1818"/>
      <c r="CW849" s="1818"/>
      <c r="CX849" s="1818"/>
      <c r="CY849" s="1818"/>
      <c r="CZ849" s="1818"/>
      <c r="DA849" s="1818"/>
      <c r="DB849" s="1818"/>
      <c r="DC849" s="1818"/>
      <c r="DD849" s="1818"/>
      <c r="DE849" s="1818"/>
      <c r="DF849" s="1818"/>
      <c r="DG849" s="1818"/>
      <c r="DH849" s="1818"/>
      <c r="DI849" s="1818"/>
      <c r="DJ849" s="1818"/>
      <c r="DK849" s="1818"/>
      <c r="DL849" s="1818"/>
      <c r="DM849" s="1818"/>
      <c r="DN849" s="1818"/>
      <c r="DO849" s="1818"/>
      <c r="DP849" s="1818"/>
      <c r="DQ849" s="1818"/>
      <c r="DR849" s="1818"/>
      <c r="DS849" s="1818"/>
      <c r="DT849" s="1818"/>
      <c r="DU849" s="1818"/>
      <c r="DV849" s="1818"/>
      <c r="DW849" s="1818"/>
      <c r="DX849" s="1818"/>
      <c r="DY849" s="1818"/>
      <c r="DZ849" s="1818"/>
      <c r="EA849" s="1818"/>
      <c r="EB849" s="1818"/>
      <c r="EC849" s="1818"/>
      <c r="ED849" s="1818"/>
      <c r="EE849" s="1818"/>
      <c r="EF849" s="1818"/>
      <c r="EG849" s="1818"/>
      <c r="EH849" s="1818"/>
      <c r="EI849" s="1818"/>
      <c r="EJ849" s="1818"/>
      <c r="EK849" s="1818"/>
      <c r="EL849" s="1818"/>
      <c r="EM849" s="1818"/>
      <c r="EN849" s="1818"/>
      <c r="EO849" s="1818"/>
      <c r="EP849" s="1818"/>
      <c r="EQ849" s="1818"/>
      <c r="ER849" s="1818"/>
      <c r="ES849" s="1818"/>
      <c r="ET849" s="1818"/>
      <c r="EU849" s="1818"/>
      <c r="EV849" s="1818"/>
      <c r="EW849" s="1818"/>
      <c r="EX849" s="1818"/>
      <c r="EY849" s="1818"/>
      <c r="EZ849" s="1818"/>
      <c r="FA849" s="1818"/>
      <c r="FB849" s="1818"/>
      <c r="FC849" s="1818"/>
      <c r="FD849" s="1818"/>
      <c r="FE849" s="1818"/>
      <c r="FF849" s="1818"/>
      <c r="FG849" s="1818"/>
      <c r="FH849" s="1818"/>
      <c r="FI849" s="1818"/>
      <c r="FJ849" s="1818"/>
      <c r="FK849" s="1818"/>
      <c r="FL849" s="1818"/>
      <c r="FM849" s="1818"/>
      <c r="FN849" s="1818"/>
      <c r="FO849" s="1818"/>
      <c r="FP849" s="1818"/>
      <c r="FQ849" s="1818"/>
      <c r="FR849" s="1818"/>
      <c r="FS849" s="1818"/>
      <c r="FT849" s="1818"/>
    </row>
    <row r="850" spans="1:176" s="1965" customFormat="1" ht="32.1" customHeight="1">
      <c r="A850" s="2535"/>
      <c r="B850" s="1803"/>
      <c r="C850" s="1817"/>
      <c r="D850" s="1817"/>
      <c r="E850" s="1813"/>
      <c r="F850" s="1813"/>
      <c r="G850" s="1813"/>
      <c r="H850" s="1813"/>
      <c r="I850" s="2434"/>
      <c r="J850" s="2244"/>
      <c r="K850" s="2244"/>
      <c r="L850" s="2244"/>
      <c r="M850" s="2244"/>
      <c r="N850" s="2244"/>
      <c r="O850" s="2244"/>
      <c r="P850" s="2245"/>
      <c r="Q850" s="2245"/>
      <c r="R850" s="2435"/>
      <c r="S850" s="2244"/>
      <c r="T850" s="2244"/>
      <c r="U850" s="2244"/>
      <c r="V850" s="2244"/>
      <c r="W850" s="2244"/>
      <c r="X850" s="2244"/>
      <c r="Y850" s="1818"/>
      <c r="Z850" s="1818"/>
      <c r="AA850" s="1818"/>
      <c r="AB850" s="1818"/>
      <c r="AC850" s="1818"/>
      <c r="AD850" s="1818"/>
      <c r="AE850" s="1818"/>
      <c r="AF850" s="1818"/>
      <c r="AG850" s="1818"/>
      <c r="AH850" s="1818"/>
      <c r="AI850" s="1818"/>
      <c r="AJ850" s="1818"/>
      <c r="AK850" s="1818"/>
      <c r="AL850" s="1818"/>
      <c r="AM850" s="1818"/>
      <c r="AN850" s="1818"/>
      <c r="AO850" s="1818"/>
      <c r="AP850" s="1818"/>
      <c r="AQ850" s="1818"/>
      <c r="AR850" s="1818"/>
      <c r="AS850" s="1818"/>
      <c r="AT850" s="1818"/>
      <c r="AU850" s="1818"/>
      <c r="AV850" s="1818"/>
      <c r="AW850" s="1818"/>
      <c r="AX850" s="1818"/>
      <c r="AY850" s="1818"/>
      <c r="AZ850" s="1818"/>
      <c r="BA850" s="1818"/>
      <c r="BB850" s="1818"/>
      <c r="BC850" s="1818"/>
      <c r="BD850" s="1818"/>
      <c r="BE850" s="1818"/>
      <c r="BF850" s="1818"/>
      <c r="BG850" s="1818"/>
      <c r="BH850" s="1818"/>
      <c r="BI850" s="1818"/>
      <c r="BJ850" s="1818"/>
      <c r="BK850" s="1818"/>
      <c r="BL850" s="1818"/>
      <c r="BM850" s="1818"/>
      <c r="BN850" s="1818"/>
      <c r="BO850" s="1818"/>
      <c r="BP850" s="1818"/>
      <c r="BQ850" s="1818"/>
      <c r="BR850" s="1818"/>
      <c r="BS850" s="1818"/>
      <c r="BT850" s="1818"/>
      <c r="BU850" s="1818"/>
      <c r="BV850" s="1818"/>
      <c r="BW850" s="1818"/>
      <c r="BX850" s="1818"/>
      <c r="BY850" s="1818"/>
      <c r="BZ850" s="1818"/>
      <c r="CA850" s="1818"/>
      <c r="CB850" s="1818"/>
      <c r="CC850" s="1818"/>
      <c r="CD850" s="1818"/>
      <c r="CE850" s="1818"/>
      <c r="CF850" s="1818"/>
      <c r="CG850" s="1818"/>
      <c r="CH850" s="1818"/>
      <c r="CI850" s="1818"/>
      <c r="CJ850" s="1818"/>
      <c r="CK850" s="1818"/>
      <c r="CL850" s="1818"/>
      <c r="CM850" s="1818"/>
      <c r="CN850" s="1818"/>
      <c r="CO850" s="1818"/>
      <c r="CP850" s="1818"/>
      <c r="CQ850" s="1818"/>
      <c r="CR850" s="1818"/>
      <c r="CS850" s="1818"/>
      <c r="CT850" s="1818"/>
      <c r="CU850" s="1818"/>
      <c r="CV850" s="1818"/>
      <c r="CW850" s="1818"/>
      <c r="CX850" s="1818"/>
      <c r="CY850" s="1818"/>
      <c r="CZ850" s="1818"/>
      <c r="DA850" s="1818"/>
      <c r="DB850" s="1818"/>
      <c r="DC850" s="1818"/>
      <c r="DD850" s="1818"/>
      <c r="DE850" s="1818"/>
      <c r="DF850" s="1818"/>
      <c r="DG850" s="1818"/>
      <c r="DH850" s="1818"/>
      <c r="DI850" s="1818"/>
      <c r="DJ850" s="1818"/>
      <c r="DK850" s="1818"/>
      <c r="DL850" s="1818"/>
      <c r="DM850" s="1818"/>
      <c r="DN850" s="1818"/>
      <c r="DO850" s="1818"/>
      <c r="DP850" s="1818"/>
      <c r="DQ850" s="1818"/>
      <c r="DR850" s="1818"/>
      <c r="DS850" s="1818"/>
      <c r="DT850" s="1818"/>
      <c r="DU850" s="1818"/>
      <c r="DV850" s="1818"/>
      <c r="DW850" s="1818"/>
      <c r="DX850" s="1818"/>
      <c r="DY850" s="1818"/>
      <c r="DZ850" s="1818"/>
      <c r="EA850" s="1818"/>
      <c r="EB850" s="1818"/>
      <c r="EC850" s="1818"/>
      <c r="ED850" s="1818"/>
      <c r="EE850" s="1818"/>
      <c r="EF850" s="1818"/>
      <c r="EG850" s="1818"/>
      <c r="EH850" s="1818"/>
      <c r="EI850" s="1818"/>
      <c r="EJ850" s="1818"/>
      <c r="EK850" s="1818"/>
      <c r="EL850" s="1818"/>
      <c r="EM850" s="1818"/>
      <c r="EN850" s="1818"/>
      <c r="EO850" s="1818"/>
      <c r="EP850" s="1818"/>
      <c r="EQ850" s="1818"/>
      <c r="ER850" s="1818"/>
      <c r="ES850" s="1818"/>
      <c r="ET850" s="1818"/>
      <c r="EU850" s="1818"/>
      <c r="EV850" s="1818"/>
      <c r="EW850" s="1818"/>
      <c r="EX850" s="1818"/>
      <c r="EY850" s="1818"/>
      <c r="EZ850" s="1818"/>
      <c r="FA850" s="1818"/>
      <c r="FB850" s="1818"/>
      <c r="FC850" s="1818"/>
      <c r="FD850" s="1818"/>
      <c r="FE850" s="1818"/>
      <c r="FF850" s="1818"/>
      <c r="FG850" s="1818"/>
      <c r="FH850" s="1818"/>
      <c r="FI850" s="1818"/>
      <c r="FJ850" s="1818"/>
      <c r="FK850" s="1818"/>
      <c r="FL850" s="1818"/>
      <c r="FM850" s="1818"/>
      <c r="FN850" s="1818"/>
      <c r="FO850" s="1818"/>
      <c r="FP850" s="1818"/>
      <c r="FQ850" s="1818"/>
      <c r="FR850" s="1818"/>
      <c r="FS850" s="1818"/>
      <c r="FT850" s="1818"/>
    </row>
    <row r="851" spans="1:176" s="1965" customFormat="1" ht="32.1" customHeight="1">
      <c r="A851" s="2535"/>
      <c r="B851" s="1803"/>
      <c r="C851" s="1817"/>
      <c r="D851" s="1817"/>
      <c r="E851" s="1813"/>
      <c r="F851" s="1813"/>
      <c r="G851" s="1813"/>
      <c r="H851" s="1813"/>
      <c r="I851" s="2434"/>
      <c r="J851" s="2244"/>
      <c r="K851" s="2244"/>
      <c r="L851" s="2244"/>
      <c r="M851" s="2244"/>
      <c r="N851" s="2244"/>
      <c r="O851" s="2244"/>
      <c r="P851" s="2245"/>
      <c r="Q851" s="2245"/>
      <c r="R851" s="2435"/>
      <c r="S851" s="2244"/>
      <c r="T851" s="2244"/>
      <c r="U851" s="2244"/>
      <c r="V851" s="2244"/>
      <c r="W851" s="2244"/>
      <c r="X851" s="2244"/>
      <c r="Y851" s="1818"/>
      <c r="Z851" s="1818"/>
      <c r="AA851" s="1818"/>
      <c r="AB851" s="1818"/>
      <c r="AC851" s="1818"/>
      <c r="AD851" s="1818"/>
      <c r="AE851" s="1818"/>
      <c r="AF851" s="1818"/>
      <c r="AG851" s="1818"/>
      <c r="AH851" s="1818"/>
      <c r="AI851" s="1818"/>
      <c r="AJ851" s="1818"/>
      <c r="AK851" s="1818"/>
      <c r="AL851" s="1818"/>
      <c r="AM851" s="1818"/>
      <c r="AN851" s="1818"/>
      <c r="AO851" s="1818"/>
      <c r="AP851" s="1818"/>
      <c r="AQ851" s="1818"/>
      <c r="AR851" s="1818"/>
      <c r="AS851" s="1818"/>
      <c r="AT851" s="1818"/>
      <c r="AU851" s="1818"/>
      <c r="AV851" s="1818"/>
      <c r="AW851" s="1818"/>
      <c r="AX851" s="1818"/>
      <c r="AY851" s="1818"/>
      <c r="AZ851" s="1818"/>
      <c r="BA851" s="1818"/>
      <c r="BB851" s="1818"/>
      <c r="BC851" s="1818"/>
      <c r="BD851" s="1818"/>
      <c r="BE851" s="1818"/>
      <c r="BF851" s="1818"/>
      <c r="BG851" s="1818"/>
      <c r="BH851" s="1818"/>
      <c r="BI851" s="1818"/>
      <c r="BJ851" s="1818"/>
      <c r="BK851" s="1818"/>
      <c r="BL851" s="1818"/>
      <c r="BM851" s="1818"/>
      <c r="BN851" s="1818"/>
      <c r="BO851" s="1818"/>
      <c r="BP851" s="1818"/>
      <c r="BQ851" s="1818"/>
      <c r="BR851" s="1818"/>
      <c r="BS851" s="1818"/>
      <c r="BT851" s="1818"/>
      <c r="BU851" s="1818"/>
      <c r="BV851" s="1818"/>
      <c r="BW851" s="1818"/>
      <c r="BX851" s="1818"/>
      <c r="BY851" s="1818"/>
      <c r="BZ851" s="1818"/>
      <c r="CA851" s="1818"/>
      <c r="CB851" s="1818"/>
      <c r="CC851" s="1818"/>
      <c r="CD851" s="1818"/>
      <c r="CE851" s="1818"/>
      <c r="CF851" s="1818"/>
      <c r="CG851" s="1818"/>
      <c r="CH851" s="1818"/>
      <c r="CI851" s="1818"/>
      <c r="CJ851" s="1818"/>
      <c r="CK851" s="1818"/>
      <c r="CL851" s="1818"/>
      <c r="CM851" s="1818"/>
      <c r="CN851" s="1818"/>
      <c r="CO851" s="1818"/>
      <c r="CP851" s="1818"/>
      <c r="CQ851" s="1818"/>
      <c r="CR851" s="1818"/>
      <c r="CS851" s="1818"/>
      <c r="CT851" s="1818"/>
      <c r="CU851" s="1818"/>
      <c r="CV851" s="1818"/>
      <c r="CW851" s="1818"/>
      <c r="CX851" s="1818"/>
      <c r="CY851" s="1818"/>
      <c r="CZ851" s="1818"/>
      <c r="DA851" s="1818"/>
      <c r="DB851" s="1818"/>
      <c r="DC851" s="1818"/>
      <c r="DD851" s="1818"/>
      <c r="DE851" s="1818"/>
      <c r="DF851" s="1818"/>
      <c r="DG851" s="1818"/>
      <c r="DH851" s="1818"/>
      <c r="DI851" s="1818"/>
      <c r="DJ851" s="1818"/>
      <c r="DK851" s="1818"/>
      <c r="DL851" s="1818"/>
      <c r="DM851" s="1818"/>
      <c r="DN851" s="1818"/>
      <c r="DO851" s="1818"/>
      <c r="DP851" s="1818"/>
      <c r="DQ851" s="1818"/>
      <c r="DR851" s="1818"/>
      <c r="DS851" s="1818"/>
      <c r="DT851" s="1818"/>
      <c r="DU851" s="1818"/>
      <c r="DV851" s="1818"/>
      <c r="DW851" s="1818"/>
      <c r="DX851" s="1818"/>
      <c r="DY851" s="1818"/>
      <c r="DZ851" s="1818"/>
      <c r="EA851" s="1818"/>
      <c r="EB851" s="1818"/>
      <c r="EC851" s="1818"/>
      <c r="ED851" s="1818"/>
      <c r="EE851" s="1818"/>
      <c r="EF851" s="1818"/>
      <c r="EG851" s="1818"/>
      <c r="EH851" s="1818"/>
      <c r="EI851" s="1818"/>
      <c r="EJ851" s="1818"/>
      <c r="EK851" s="1818"/>
      <c r="EL851" s="1818"/>
      <c r="EM851" s="1818"/>
      <c r="EN851" s="1818"/>
      <c r="EO851" s="1818"/>
      <c r="EP851" s="1818"/>
      <c r="EQ851" s="1818"/>
      <c r="ER851" s="1818"/>
      <c r="ES851" s="1818"/>
      <c r="ET851" s="1818"/>
      <c r="EU851" s="1818"/>
      <c r="EV851" s="1818"/>
      <c r="EW851" s="1818"/>
      <c r="EX851" s="1818"/>
      <c r="EY851" s="1818"/>
      <c r="EZ851" s="1818"/>
      <c r="FA851" s="1818"/>
      <c r="FB851" s="1818"/>
      <c r="FC851" s="1818"/>
      <c r="FD851" s="1818"/>
      <c r="FE851" s="1818"/>
      <c r="FF851" s="1818"/>
      <c r="FG851" s="1818"/>
      <c r="FH851" s="1818"/>
      <c r="FI851" s="1818"/>
      <c r="FJ851" s="1818"/>
      <c r="FK851" s="1818"/>
      <c r="FL851" s="1818"/>
      <c r="FM851" s="1818"/>
      <c r="FN851" s="1818"/>
      <c r="FO851" s="1818"/>
      <c r="FP851" s="1818"/>
      <c r="FQ851" s="1818"/>
      <c r="FR851" s="1818"/>
      <c r="FS851" s="1818"/>
      <c r="FT851" s="1818"/>
    </row>
    <row r="852" spans="1:176" s="1965" customFormat="1" ht="32.1" customHeight="1">
      <c r="A852" s="2535"/>
      <c r="B852" s="1803"/>
      <c r="C852" s="1817"/>
      <c r="D852" s="1817"/>
      <c r="E852" s="1813"/>
      <c r="F852" s="1813"/>
      <c r="G852" s="1813"/>
      <c r="H852" s="1813"/>
      <c r="I852" s="2434"/>
      <c r="J852" s="2244"/>
      <c r="K852" s="2244"/>
      <c r="L852" s="2244"/>
      <c r="M852" s="2244"/>
      <c r="N852" s="2244"/>
      <c r="O852" s="2244"/>
      <c r="P852" s="2245"/>
      <c r="Q852" s="2245"/>
      <c r="R852" s="2435"/>
      <c r="S852" s="2244"/>
      <c r="T852" s="2244"/>
      <c r="U852" s="2244"/>
      <c r="V852" s="2244"/>
      <c r="W852" s="2244"/>
      <c r="X852" s="2244"/>
      <c r="Y852" s="1818"/>
      <c r="Z852" s="1818"/>
      <c r="AA852" s="1818"/>
      <c r="AB852" s="1818"/>
      <c r="AC852" s="1818"/>
      <c r="AD852" s="1818"/>
      <c r="AE852" s="1818"/>
      <c r="AF852" s="1818"/>
      <c r="AG852" s="1818"/>
      <c r="AH852" s="1818"/>
      <c r="AI852" s="1818"/>
      <c r="AJ852" s="1818"/>
      <c r="AK852" s="1818"/>
      <c r="AL852" s="1818"/>
      <c r="AM852" s="1818"/>
      <c r="AN852" s="1818"/>
      <c r="AO852" s="1818"/>
      <c r="AP852" s="1818"/>
      <c r="AQ852" s="1818"/>
      <c r="AR852" s="1818"/>
      <c r="AS852" s="1818"/>
      <c r="AT852" s="1818"/>
      <c r="AU852" s="1818"/>
      <c r="AV852" s="1818"/>
      <c r="AW852" s="1818"/>
      <c r="AX852" s="1818"/>
      <c r="AY852" s="1818"/>
      <c r="AZ852" s="1818"/>
      <c r="BA852" s="1818"/>
      <c r="BB852" s="1818"/>
      <c r="BC852" s="1818"/>
      <c r="BD852" s="1818"/>
      <c r="BE852" s="1818"/>
      <c r="BF852" s="1818"/>
      <c r="BG852" s="1818"/>
      <c r="BH852" s="1818"/>
      <c r="BI852" s="1818"/>
      <c r="BJ852" s="1818"/>
      <c r="BK852" s="1818"/>
      <c r="BL852" s="1818"/>
      <c r="BM852" s="1818"/>
      <c r="BN852" s="1818"/>
      <c r="BO852" s="1818"/>
      <c r="BP852" s="1818"/>
      <c r="BQ852" s="1818"/>
      <c r="BR852" s="1818"/>
      <c r="BS852" s="1818"/>
      <c r="BT852" s="1818"/>
      <c r="BU852" s="1818"/>
      <c r="BV852" s="1818"/>
      <c r="BW852" s="1818"/>
      <c r="BX852" s="1818"/>
      <c r="BY852" s="1818"/>
      <c r="BZ852" s="1818"/>
      <c r="CA852" s="1818"/>
      <c r="CB852" s="1818"/>
      <c r="CC852" s="1818"/>
      <c r="CD852" s="1818"/>
      <c r="CE852" s="1818"/>
      <c r="CF852" s="1818"/>
      <c r="CG852" s="1818"/>
      <c r="CH852" s="1818"/>
      <c r="CI852" s="1818"/>
      <c r="CJ852" s="1818"/>
      <c r="CK852" s="1818"/>
      <c r="CL852" s="1818"/>
      <c r="CM852" s="1818"/>
      <c r="CN852" s="1818"/>
      <c r="CO852" s="1818"/>
      <c r="CP852" s="1818"/>
      <c r="CQ852" s="1818"/>
      <c r="CR852" s="1818"/>
      <c r="CS852" s="1818"/>
      <c r="CT852" s="1818"/>
      <c r="CU852" s="1818"/>
      <c r="CV852" s="1818"/>
      <c r="CW852" s="1818"/>
      <c r="CX852" s="1818"/>
      <c r="CY852" s="1818"/>
      <c r="CZ852" s="1818"/>
      <c r="DA852" s="1818"/>
      <c r="DB852" s="1818"/>
      <c r="DC852" s="1818"/>
      <c r="DD852" s="1818"/>
      <c r="DE852" s="1818"/>
      <c r="DF852" s="1818"/>
      <c r="DG852" s="1818"/>
      <c r="DH852" s="1818"/>
      <c r="DI852" s="1818"/>
      <c r="DJ852" s="1818"/>
      <c r="DK852" s="1818"/>
      <c r="DL852" s="1818"/>
      <c r="DM852" s="1818"/>
      <c r="DN852" s="1818"/>
      <c r="DO852" s="1818"/>
      <c r="DP852" s="1818"/>
      <c r="DQ852" s="1818"/>
      <c r="DR852" s="1818"/>
      <c r="DS852" s="1818"/>
      <c r="DT852" s="1818"/>
      <c r="DU852" s="1818"/>
      <c r="DV852" s="1818"/>
      <c r="DW852" s="1818"/>
      <c r="DX852" s="1818"/>
      <c r="DY852" s="1818"/>
      <c r="DZ852" s="1818"/>
      <c r="EA852" s="1818"/>
      <c r="EB852" s="1818"/>
      <c r="EC852" s="1818"/>
      <c r="ED852" s="1818"/>
      <c r="EE852" s="1818"/>
      <c r="EF852" s="1818"/>
      <c r="EG852" s="1818"/>
      <c r="EH852" s="1818"/>
      <c r="EI852" s="1818"/>
      <c r="EJ852" s="1818"/>
      <c r="EK852" s="1818"/>
      <c r="EL852" s="1818"/>
      <c r="EM852" s="1818"/>
      <c r="EN852" s="1818"/>
      <c r="EO852" s="1818"/>
      <c r="EP852" s="1818"/>
      <c r="EQ852" s="1818"/>
      <c r="ER852" s="1818"/>
      <c r="ES852" s="1818"/>
      <c r="ET852" s="1818"/>
      <c r="EU852" s="1818"/>
      <c r="EV852" s="1818"/>
      <c r="EW852" s="1818"/>
      <c r="EX852" s="1818"/>
      <c r="EY852" s="1818"/>
      <c r="EZ852" s="1818"/>
      <c r="FA852" s="1818"/>
      <c r="FB852" s="1818"/>
      <c r="FC852" s="1818"/>
      <c r="FD852" s="1818"/>
      <c r="FE852" s="1818"/>
      <c r="FF852" s="1818"/>
      <c r="FG852" s="1818"/>
      <c r="FH852" s="1818"/>
      <c r="FI852" s="1818"/>
      <c r="FJ852" s="1818"/>
      <c r="FK852" s="1818"/>
      <c r="FL852" s="1818"/>
      <c r="FM852" s="1818"/>
      <c r="FN852" s="1818"/>
      <c r="FO852" s="1818"/>
      <c r="FP852" s="1818"/>
      <c r="FQ852" s="1818"/>
      <c r="FR852" s="1818"/>
      <c r="FS852" s="1818"/>
      <c r="FT852" s="1818"/>
    </row>
    <row r="853" spans="1:176" s="1965" customFormat="1" ht="32.1" customHeight="1">
      <c r="A853" s="2535"/>
      <c r="B853" s="1803"/>
      <c r="C853" s="1817"/>
      <c r="D853" s="1817"/>
      <c r="E853" s="1813"/>
      <c r="F853" s="1813"/>
      <c r="G853" s="1813"/>
      <c r="H853" s="1813"/>
      <c r="I853" s="2434"/>
      <c r="J853" s="2244"/>
      <c r="K853" s="2244"/>
      <c r="L853" s="2244"/>
      <c r="M853" s="2244"/>
      <c r="N853" s="2244"/>
      <c r="O853" s="2244"/>
      <c r="P853" s="2245"/>
      <c r="Q853" s="2245"/>
      <c r="R853" s="2435"/>
      <c r="S853" s="2244"/>
      <c r="T853" s="2244"/>
      <c r="U853" s="2244"/>
      <c r="V853" s="2244"/>
      <c r="W853" s="2244"/>
      <c r="X853" s="2244"/>
      <c r="Y853" s="1818"/>
      <c r="Z853" s="1818"/>
      <c r="AA853" s="1818"/>
      <c r="AB853" s="1818"/>
      <c r="AC853" s="1818"/>
      <c r="AD853" s="1818"/>
      <c r="AE853" s="1818"/>
      <c r="AF853" s="1818"/>
      <c r="AG853" s="1818"/>
      <c r="AH853" s="1818"/>
      <c r="AI853" s="1818"/>
      <c r="AJ853" s="1818"/>
      <c r="AK853" s="1818"/>
      <c r="AL853" s="1818"/>
      <c r="AM853" s="1818"/>
      <c r="AN853" s="1818"/>
      <c r="AO853" s="1818"/>
      <c r="AP853" s="1818"/>
      <c r="AQ853" s="1818"/>
      <c r="AR853" s="1818"/>
      <c r="AS853" s="1818"/>
      <c r="AT853" s="1818"/>
      <c r="AU853" s="1818"/>
      <c r="AV853" s="1818"/>
      <c r="AW853" s="1818"/>
      <c r="AX853" s="1818"/>
      <c r="AY853" s="1818"/>
      <c r="AZ853" s="1818"/>
      <c r="BA853" s="1818"/>
      <c r="BB853" s="1818"/>
      <c r="BC853" s="1818"/>
      <c r="BD853" s="1818"/>
      <c r="BE853" s="1818"/>
      <c r="BF853" s="1818"/>
      <c r="BG853" s="1818"/>
      <c r="BH853" s="1818"/>
      <c r="BI853" s="1818"/>
      <c r="BJ853" s="1818"/>
      <c r="BK853" s="1818"/>
      <c r="BL853" s="1818"/>
      <c r="BM853" s="1818"/>
      <c r="BN853" s="1818"/>
      <c r="BO853" s="1818"/>
      <c r="BP853" s="1818"/>
      <c r="BQ853" s="1818"/>
      <c r="BR853" s="1818"/>
      <c r="BS853" s="1818"/>
      <c r="BT853" s="1818"/>
      <c r="BU853" s="1818"/>
      <c r="BV853" s="1818"/>
      <c r="BW853" s="1818"/>
      <c r="BX853" s="1818"/>
      <c r="BY853" s="1818"/>
      <c r="BZ853" s="1818"/>
      <c r="CA853" s="1818"/>
      <c r="CB853" s="1818"/>
      <c r="CC853" s="1818"/>
      <c r="CD853" s="1818"/>
      <c r="CE853" s="1818"/>
      <c r="CF853" s="1818"/>
      <c r="CG853" s="1818"/>
      <c r="CH853" s="1818"/>
      <c r="CI853" s="1818"/>
      <c r="CJ853" s="1818"/>
      <c r="CK853" s="1818"/>
      <c r="CL853" s="1818"/>
      <c r="CM853" s="1818"/>
      <c r="CN853" s="1818"/>
      <c r="CO853" s="1818"/>
      <c r="CP853" s="1818"/>
      <c r="CQ853" s="1818"/>
      <c r="CR853" s="1818"/>
      <c r="CS853" s="1818"/>
      <c r="CT853" s="1818"/>
      <c r="CU853" s="1818"/>
      <c r="CV853" s="1818"/>
      <c r="CW853" s="1818"/>
      <c r="CX853" s="1818"/>
      <c r="CY853" s="1818"/>
      <c r="CZ853" s="1818"/>
      <c r="DA853" s="1818"/>
      <c r="DB853" s="1818"/>
      <c r="DC853" s="1818"/>
      <c r="DD853" s="1818"/>
      <c r="DE853" s="1818"/>
      <c r="DF853" s="1818"/>
      <c r="DG853" s="1818"/>
      <c r="DH853" s="1818"/>
      <c r="DI853" s="1818"/>
      <c r="DJ853" s="1818"/>
      <c r="DK853" s="1818"/>
      <c r="DL853" s="1818"/>
      <c r="DM853" s="1818"/>
      <c r="DN853" s="1818"/>
      <c r="DO853" s="1818"/>
      <c r="DP853" s="1818"/>
      <c r="DQ853" s="1818"/>
      <c r="DR853" s="1818"/>
      <c r="DS853" s="1818"/>
      <c r="DT853" s="1818"/>
      <c r="DU853" s="1818"/>
      <c r="DV853" s="1818"/>
      <c r="DW853" s="1818"/>
      <c r="DX853" s="1818"/>
      <c r="DY853" s="1818"/>
      <c r="DZ853" s="1818"/>
      <c r="EA853" s="1818"/>
      <c r="EB853" s="1818"/>
      <c r="EC853" s="1818"/>
      <c r="ED853" s="1818"/>
      <c r="EE853" s="1818"/>
      <c r="EF853" s="1818"/>
      <c r="EG853" s="1818"/>
      <c r="EH853" s="1818"/>
      <c r="EI853" s="1818"/>
      <c r="EJ853" s="1818"/>
      <c r="EK853" s="1818"/>
      <c r="EL853" s="1818"/>
      <c r="EM853" s="1818"/>
      <c r="EN853" s="1818"/>
      <c r="EO853" s="1818"/>
      <c r="EP853" s="1818"/>
      <c r="EQ853" s="1818"/>
      <c r="ER853" s="1818"/>
      <c r="ES853" s="1818"/>
      <c r="ET853" s="1818"/>
      <c r="EU853" s="1818"/>
      <c r="EV853" s="1818"/>
      <c r="EW853" s="1818"/>
      <c r="EX853" s="1818"/>
      <c r="EY853" s="1818"/>
      <c r="EZ853" s="1818"/>
      <c r="FA853" s="1818"/>
      <c r="FB853" s="1818"/>
      <c r="FC853" s="1818"/>
      <c r="FD853" s="1818"/>
      <c r="FE853" s="1818"/>
      <c r="FF853" s="1818"/>
      <c r="FG853" s="1818"/>
      <c r="FH853" s="1818"/>
      <c r="FI853" s="1818"/>
      <c r="FJ853" s="1818"/>
      <c r="FK853" s="1818"/>
      <c r="FL853" s="1818"/>
      <c r="FM853" s="1818"/>
      <c r="FN853" s="1818"/>
      <c r="FO853" s="1818"/>
      <c r="FP853" s="1818"/>
      <c r="FQ853" s="1818"/>
      <c r="FR853" s="1818"/>
      <c r="FS853" s="1818"/>
      <c r="FT853" s="1818"/>
    </row>
    <row r="854" spans="1:176" s="1965" customFormat="1" ht="32.1" customHeight="1">
      <c r="A854" s="2535"/>
      <c r="B854" s="1803"/>
      <c r="C854" s="1817"/>
      <c r="D854" s="1817"/>
      <c r="E854" s="1813"/>
      <c r="F854" s="1813"/>
      <c r="G854" s="1813"/>
      <c r="H854" s="1813"/>
      <c r="I854" s="2434"/>
      <c r="J854" s="2244"/>
      <c r="K854" s="2244"/>
      <c r="L854" s="2244"/>
      <c r="M854" s="2244"/>
      <c r="N854" s="2244"/>
      <c r="O854" s="2244"/>
      <c r="P854" s="2245"/>
      <c r="Q854" s="2245"/>
      <c r="R854" s="2435"/>
      <c r="S854" s="2244"/>
      <c r="T854" s="2244"/>
      <c r="U854" s="2244"/>
      <c r="V854" s="2244"/>
      <c r="W854" s="2244"/>
      <c r="X854" s="2244"/>
      <c r="Y854" s="1818"/>
      <c r="Z854" s="1818"/>
      <c r="AA854" s="1818"/>
      <c r="AB854" s="1818"/>
      <c r="AC854" s="1818"/>
      <c r="AD854" s="1818"/>
      <c r="AE854" s="1818"/>
      <c r="AF854" s="1818"/>
      <c r="AG854" s="1818"/>
      <c r="AH854" s="1818"/>
      <c r="AI854" s="1818"/>
      <c r="AJ854" s="1818"/>
      <c r="AK854" s="1818"/>
      <c r="AL854" s="1818"/>
      <c r="AM854" s="1818"/>
      <c r="AN854" s="1818"/>
      <c r="AO854" s="1818"/>
      <c r="AP854" s="1818"/>
      <c r="AQ854" s="1818"/>
      <c r="AR854" s="1818"/>
      <c r="AS854" s="1818"/>
      <c r="AT854" s="1818"/>
      <c r="AU854" s="1818"/>
      <c r="AV854" s="1818"/>
      <c r="AW854" s="1818"/>
      <c r="AX854" s="1818"/>
      <c r="AY854" s="1818"/>
      <c r="AZ854" s="1818"/>
      <c r="BA854" s="1818"/>
      <c r="BB854" s="1818"/>
      <c r="BC854" s="1818"/>
      <c r="BD854" s="1818"/>
      <c r="BE854" s="1818"/>
      <c r="BF854" s="1818"/>
      <c r="BG854" s="1818"/>
      <c r="BH854" s="1818"/>
      <c r="BI854" s="1818"/>
      <c r="BJ854" s="1818"/>
      <c r="BK854" s="1818"/>
      <c r="BL854" s="1818"/>
      <c r="BM854" s="1818"/>
      <c r="BN854" s="1818"/>
      <c r="BO854" s="1818"/>
      <c r="BP854" s="1818"/>
      <c r="BQ854" s="1818"/>
      <c r="BR854" s="1818"/>
      <c r="BS854" s="1818"/>
      <c r="BT854" s="1818"/>
      <c r="BU854" s="1818"/>
      <c r="BV854" s="1818"/>
      <c r="BW854" s="1818"/>
      <c r="BX854" s="1818"/>
      <c r="BY854" s="1818"/>
      <c r="BZ854" s="1818"/>
      <c r="CA854" s="1818"/>
      <c r="CB854" s="1818"/>
      <c r="CC854" s="1818"/>
      <c r="CD854" s="1818"/>
      <c r="CE854" s="1818"/>
      <c r="CF854" s="1818"/>
      <c r="CG854" s="1818"/>
      <c r="CH854" s="1818"/>
      <c r="CI854" s="1818"/>
      <c r="CJ854" s="1818"/>
      <c r="CK854" s="1818"/>
      <c r="CL854" s="1818"/>
      <c r="CM854" s="1818"/>
      <c r="CN854" s="1818"/>
      <c r="CO854" s="1818"/>
      <c r="CP854" s="1818"/>
      <c r="CQ854" s="1818"/>
      <c r="CR854" s="1818"/>
      <c r="CS854" s="1818"/>
      <c r="CT854" s="1818"/>
      <c r="CU854" s="1818"/>
      <c r="CV854" s="1818"/>
      <c r="CW854" s="1818"/>
      <c r="CX854" s="1818"/>
      <c r="CY854" s="1818"/>
      <c r="CZ854" s="1818"/>
      <c r="DA854" s="1818"/>
      <c r="DB854" s="1818"/>
      <c r="DC854" s="1818"/>
      <c r="DD854" s="1818"/>
      <c r="DE854" s="1818"/>
      <c r="DF854" s="1818"/>
      <c r="DG854" s="1818"/>
      <c r="DH854" s="1818"/>
      <c r="DI854" s="1818"/>
      <c r="DJ854" s="1818"/>
      <c r="DK854" s="1818"/>
      <c r="DL854" s="1818"/>
      <c r="DM854" s="1818"/>
      <c r="DN854" s="1818"/>
      <c r="DO854" s="1818"/>
      <c r="DP854" s="1818"/>
      <c r="DQ854" s="1818"/>
      <c r="DR854" s="1818"/>
      <c r="DS854" s="1818"/>
      <c r="DT854" s="1818"/>
      <c r="DU854" s="1818"/>
      <c r="DV854" s="1818"/>
      <c r="DW854" s="1818"/>
      <c r="DX854" s="1818"/>
      <c r="DY854" s="1818"/>
      <c r="DZ854" s="1818"/>
      <c r="EA854" s="1818"/>
      <c r="EB854" s="1818"/>
      <c r="EC854" s="1818"/>
      <c r="ED854" s="1818"/>
      <c r="EE854" s="1818"/>
      <c r="EF854" s="1818"/>
      <c r="EG854" s="1818"/>
      <c r="EH854" s="1818"/>
      <c r="EI854" s="1818"/>
      <c r="EJ854" s="1818"/>
      <c r="EK854" s="1818"/>
      <c r="EL854" s="1818"/>
      <c r="EM854" s="1818"/>
      <c r="EN854" s="1818"/>
      <c r="EO854" s="1818"/>
      <c r="EP854" s="1818"/>
      <c r="EQ854" s="1818"/>
      <c r="ER854" s="1818"/>
      <c r="ES854" s="1818"/>
      <c r="ET854" s="1818"/>
      <c r="EU854" s="1818"/>
      <c r="EV854" s="1818"/>
      <c r="EW854" s="1818"/>
      <c r="EX854" s="1818"/>
      <c r="EY854" s="1818"/>
      <c r="EZ854" s="1818"/>
      <c r="FA854" s="1818"/>
      <c r="FB854" s="1818"/>
      <c r="FC854" s="1818"/>
      <c r="FD854" s="1818"/>
      <c r="FE854" s="1818"/>
      <c r="FF854" s="1818"/>
      <c r="FG854" s="1818"/>
      <c r="FH854" s="1818"/>
      <c r="FI854" s="1818"/>
      <c r="FJ854" s="1818"/>
      <c r="FK854" s="1818"/>
      <c r="FL854" s="1818"/>
      <c r="FM854" s="1818"/>
      <c r="FN854" s="1818"/>
      <c r="FO854" s="1818"/>
      <c r="FP854" s="1818"/>
      <c r="FQ854" s="1818"/>
      <c r="FR854" s="1818"/>
      <c r="FS854" s="1818"/>
      <c r="FT854" s="1818"/>
    </row>
    <row r="855" spans="1:176" s="1965" customFormat="1" ht="32.1" customHeight="1">
      <c r="A855" s="2535"/>
      <c r="B855" s="1803"/>
      <c r="C855" s="1817"/>
      <c r="D855" s="1817"/>
      <c r="E855" s="1813"/>
      <c r="F855" s="1813"/>
      <c r="G855" s="1813"/>
      <c r="H855" s="1813"/>
      <c r="I855" s="2434"/>
      <c r="J855" s="2244"/>
      <c r="K855" s="2244"/>
      <c r="L855" s="2244"/>
      <c r="M855" s="2244"/>
      <c r="N855" s="2244"/>
      <c r="O855" s="2244"/>
      <c r="P855" s="2245"/>
      <c r="Q855" s="2245"/>
      <c r="R855" s="2435"/>
      <c r="S855" s="2244"/>
      <c r="T855" s="2244"/>
      <c r="U855" s="2244"/>
      <c r="V855" s="2244"/>
      <c r="W855" s="2244"/>
      <c r="X855" s="2244"/>
      <c r="Y855" s="1818"/>
      <c r="Z855" s="1818"/>
      <c r="AA855" s="1818"/>
      <c r="AB855" s="1818"/>
      <c r="AC855" s="1818"/>
      <c r="AD855" s="1818"/>
      <c r="AE855" s="1818"/>
      <c r="AF855" s="1818"/>
      <c r="AG855" s="1818"/>
      <c r="AH855" s="1818"/>
      <c r="AI855" s="1818"/>
      <c r="AJ855" s="1818"/>
      <c r="AK855" s="1818"/>
      <c r="AL855" s="1818"/>
      <c r="AM855" s="1818"/>
      <c r="AN855" s="1818"/>
      <c r="AO855" s="1818"/>
      <c r="AP855" s="1818"/>
      <c r="AQ855" s="1818"/>
      <c r="AR855" s="1818"/>
      <c r="AS855" s="1818"/>
      <c r="AT855" s="1818"/>
      <c r="AU855" s="1818"/>
      <c r="AV855" s="1818"/>
      <c r="AW855" s="1818"/>
      <c r="AX855" s="1818"/>
      <c r="AY855" s="1818"/>
      <c r="AZ855" s="1818"/>
      <c r="BA855" s="1818"/>
      <c r="BB855" s="1818"/>
      <c r="BC855" s="1818"/>
      <c r="BD855" s="1818"/>
      <c r="BE855" s="1818"/>
      <c r="BF855" s="1818"/>
      <c r="BG855" s="1818"/>
      <c r="BH855" s="1818"/>
      <c r="BI855" s="1818"/>
      <c r="BJ855" s="1818"/>
      <c r="BK855" s="1818"/>
      <c r="BL855" s="1818"/>
      <c r="BM855" s="1818"/>
      <c r="BN855" s="1818"/>
      <c r="BO855" s="1818"/>
      <c r="BP855" s="1818"/>
      <c r="BQ855" s="1818"/>
      <c r="BR855" s="1818"/>
      <c r="BS855" s="1818"/>
      <c r="BT855" s="1818"/>
      <c r="BU855" s="1818"/>
      <c r="BV855" s="1818"/>
      <c r="BW855" s="1818"/>
      <c r="BX855" s="1818"/>
      <c r="BY855" s="1818"/>
      <c r="BZ855" s="1818"/>
      <c r="CA855" s="1818"/>
      <c r="CB855" s="1818"/>
      <c r="CC855" s="1818"/>
      <c r="CD855" s="1818"/>
      <c r="CE855" s="1818"/>
      <c r="CF855" s="1818"/>
      <c r="CG855" s="1818"/>
      <c r="CH855" s="1818"/>
      <c r="CI855" s="1818"/>
      <c r="CJ855" s="1818"/>
      <c r="CK855" s="1818"/>
      <c r="CL855" s="1818"/>
      <c r="CM855" s="1818"/>
      <c r="CN855" s="1818"/>
      <c r="CO855" s="1818"/>
      <c r="CP855" s="1818"/>
      <c r="CQ855" s="1818"/>
      <c r="CR855" s="1818"/>
      <c r="CS855" s="1818"/>
      <c r="CT855" s="1818"/>
      <c r="CU855" s="1818"/>
      <c r="CV855" s="1818"/>
      <c r="CW855" s="1818"/>
      <c r="CX855" s="1818"/>
      <c r="CY855" s="1818"/>
      <c r="CZ855" s="1818"/>
      <c r="DA855" s="1818"/>
      <c r="DB855" s="1818"/>
      <c r="DC855" s="1818"/>
      <c r="DD855" s="1818"/>
      <c r="DE855" s="1818"/>
      <c r="DF855" s="1818"/>
      <c r="DG855" s="1818"/>
      <c r="DH855" s="1818"/>
      <c r="DI855" s="1818"/>
      <c r="DJ855" s="1818"/>
      <c r="DK855" s="1818"/>
      <c r="DL855" s="1818"/>
      <c r="DM855" s="1818"/>
      <c r="DN855" s="1818"/>
      <c r="DO855" s="1818"/>
      <c r="DP855" s="1818"/>
      <c r="DQ855" s="1818"/>
      <c r="DR855" s="1818"/>
      <c r="DS855" s="1818"/>
      <c r="DT855" s="1818"/>
      <c r="DU855" s="1818"/>
      <c r="DV855" s="1818"/>
      <c r="DW855" s="1818"/>
      <c r="DX855" s="1818"/>
      <c r="DY855" s="1818"/>
      <c r="DZ855" s="1818"/>
      <c r="EA855" s="1818"/>
      <c r="EB855" s="1818"/>
      <c r="EC855" s="1818"/>
      <c r="ED855" s="1818"/>
      <c r="EE855" s="1818"/>
      <c r="EF855" s="1818"/>
      <c r="EG855" s="1818"/>
      <c r="EH855" s="1818"/>
      <c r="EI855" s="1818"/>
      <c r="EJ855" s="1818"/>
      <c r="EK855" s="1818"/>
      <c r="EL855" s="1818"/>
      <c r="EM855" s="1818"/>
      <c r="EN855" s="1818"/>
      <c r="EO855" s="1818"/>
      <c r="EP855" s="1818"/>
      <c r="EQ855" s="1818"/>
      <c r="ER855" s="1818"/>
      <c r="ES855" s="1818"/>
      <c r="ET855" s="1818"/>
      <c r="EU855" s="1818"/>
      <c r="EV855" s="1818"/>
      <c r="EW855" s="1818"/>
      <c r="EX855" s="1818"/>
      <c r="EY855" s="1818"/>
      <c r="EZ855" s="1818"/>
      <c r="FA855" s="1818"/>
      <c r="FB855" s="1818"/>
      <c r="FC855" s="1818"/>
      <c r="FD855" s="1818"/>
      <c r="FE855" s="1818"/>
      <c r="FF855" s="1818"/>
      <c r="FG855" s="1818"/>
      <c r="FH855" s="1818"/>
      <c r="FI855" s="1818"/>
      <c r="FJ855" s="1818"/>
      <c r="FK855" s="1818"/>
      <c r="FL855" s="1818"/>
      <c r="FM855" s="1818"/>
      <c r="FN855" s="1818"/>
      <c r="FO855" s="1818"/>
      <c r="FP855" s="1818"/>
      <c r="FQ855" s="1818"/>
      <c r="FR855" s="1818"/>
      <c r="FS855" s="1818"/>
      <c r="FT855" s="1818"/>
    </row>
    <row r="856" spans="1:176" s="1965" customFormat="1" ht="32.1" customHeight="1">
      <c r="A856" s="2535"/>
      <c r="B856" s="1803"/>
      <c r="C856" s="1817"/>
      <c r="D856" s="1817"/>
      <c r="E856" s="1813"/>
      <c r="F856" s="1813"/>
      <c r="G856" s="1813"/>
      <c r="H856" s="1813"/>
      <c r="I856" s="2434"/>
      <c r="J856" s="2244"/>
      <c r="K856" s="2244"/>
      <c r="L856" s="2244"/>
      <c r="M856" s="2244"/>
      <c r="N856" s="2244"/>
      <c r="O856" s="2244"/>
      <c r="P856" s="2245"/>
      <c r="Q856" s="2245"/>
      <c r="R856" s="2435"/>
      <c r="S856" s="2244"/>
      <c r="T856" s="2244"/>
      <c r="U856" s="2244"/>
      <c r="V856" s="2244"/>
      <c r="W856" s="2244"/>
      <c r="X856" s="2244"/>
      <c r="Y856" s="1818"/>
      <c r="Z856" s="1818"/>
      <c r="AA856" s="1818"/>
      <c r="AB856" s="1818"/>
      <c r="AC856" s="1818"/>
      <c r="AD856" s="1818"/>
      <c r="AE856" s="1818"/>
      <c r="AF856" s="1818"/>
      <c r="AG856" s="1818"/>
      <c r="AH856" s="1818"/>
      <c r="AI856" s="1818"/>
      <c r="AJ856" s="1818"/>
      <c r="AK856" s="1818"/>
      <c r="AL856" s="1818"/>
      <c r="AM856" s="1818"/>
      <c r="AN856" s="1818"/>
      <c r="AO856" s="1818"/>
      <c r="AP856" s="1818"/>
      <c r="AQ856" s="1818"/>
      <c r="AR856" s="1818"/>
      <c r="AS856" s="1818"/>
      <c r="AT856" s="1818"/>
      <c r="AU856" s="1818"/>
      <c r="AV856" s="1818"/>
      <c r="AW856" s="1818"/>
      <c r="AX856" s="1818"/>
      <c r="AY856" s="1818"/>
      <c r="AZ856" s="1818"/>
      <c r="BA856" s="1818"/>
      <c r="BB856" s="1818"/>
      <c r="BC856" s="1818"/>
      <c r="BD856" s="1818"/>
      <c r="BE856" s="1818"/>
      <c r="BF856" s="1818"/>
      <c r="BG856" s="1818"/>
      <c r="BH856" s="1818"/>
      <c r="BI856" s="1818"/>
      <c r="BJ856" s="1818"/>
      <c r="BK856" s="1818"/>
      <c r="BL856" s="1818"/>
      <c r="BM856" s="1818"/>
      <c r="BN856" s="1818"/>
      <c r="BO856" s="1818"/>
      <c r="BP856" s="1818"/>
      <c r="BQ856" s="1818"/>
      <c r="BR856" s="1818"/>
      <c r="BS856" s="1818"/>
      <c r="BT856" s="1818"/>
      <c r="BU856" s="1818"/>
      <c r="BV856" s="1818"/>
      <c r="BW856" s="1818"/>
      <c r="BX856" s="1818"/>
      <c r="BY856" s="1818"/>
      <c r="BZ856" s="1818"/>
      <c r="CA856" s="1818"/>
      <c r="CB856" s="1818"/>
      <c r="CC856" s="1818"/>
      <c r="CD856" s="1818"/>
      <c r="CE856" s="1818"/>
      <c r="CF856" s="1818"/>
      <c r="CG856" s="1818"/>
      <c r="CH856" s="1818"/>
      <c r="CI856" s="1818"/>
      <c r="CJ856" s="1818"/>
      <c r="CK856" s="1818"/>
      <c r="CL856" s="1818"/>
      <c r="CM856" s="1818"/>
      <c r="CN856" s="1818"/>
      <c r="CO856" s="1818"/>
      <c r="CP856" s="1818"/>
      <c r="CQ856" s="1818"/>
      <c r="CR856" s="1818"/>
      <c r="CS856" s="1818"/>
      <c r="CT856" s="1818"/>
      <c r="CU856" s="1818"/>
      <c r="CV856" s="1818"/>
      <c r="CW856" s="1818"/>
      <c r="CX856" s="1818"/>
      <c r="CY856" s="1818"/>
      <c r="CZ856" s="1818"/>
      <c r="DA856" s="1818"/>
      <c r="DB856" s="1818"/>
      <c r="DC856" s="1818"/>
      <c r="DD856" s="1818"/>
      <c r="DE856" s="1818"/>
      <c r="DF856" s="1818"/>
      <c r="DG856" s="1818"/>
      <c r="DH856" s="1818"/>
      <c r="DI856" s="1818"/>
      <c r="DJ856" s="1818"/>
      <c r="DK856" s="1818"/>
      <c r="DL856" s="1818"/>
      <c r="DM856" s="1818"/>
      <c r="DN856" s="1818"/>
      <c r="DO856" s="1818"/>
      <c r="DP856" s="1818"/>
      <c r="DQ856" s="1818"/>
      <c r="DR856" s="1818"/>
      <c r="DS856" s="1818"/>
      <c r="DT856" s="1818"/>
      <c r="DU856" s="1818"/>
      <c r="DV856" s="1818"/>
      <c r="DW856" s="1818"/>
      <c r="DX856" s="1818"/>
      <c r="DY856" s="1818"/>
      <c r="DZ856" s="1818"/>
      <c r="EA856" s="1818"/>
      <c r="EB856" s="1818"/>
      <c r="EC856" s="1818"/>
      <c r="ED856" s="1818"/>
      <c r="EE856" s="1818"/>
      <c r="EF856" s="1818"/>
      <c r="EG856" s="1818"/>
      <c r="EH856" s="1818"/>
      <c r="EI856" s="1818"/>
      <c r="EJ856" s="1818"/>
      <c r="EK856" s="1818"/>
      <c r="EL856" s="1818"/>
      <c r="EM856" s="1818"/>
      <c r="EN856" s="1818"/>
      <c r="EO856" s="1818"/>
      <c r="EP856" s="1818"/>
      <c r="EQ856" s="1818"/>
      <c r="ER856" s="1818"/>
      <c r="ES856" s="1818"/>
      <c r="ET856" s="1818"/>
      <c r="EU856" s="1818"/>
      <c r="EV856" s="1818"/>
      <c r="EW856" s="1818"/>
      <c r="EX856" s="1818"/>
      <c r="EY856" s="1818"/>
      <c r="EZ856" s="1818"/>
      <c r="FA856" s="1818"/>
      <c r="FB856" s="1818"/>
      <c r="FC856" s="1818"/>
      <c r="FD856" s="1818"/>
      <c r="FE856" s="1818"/>
      <c r="FF856" s="1818"/>
      <c r="FG856" s="1818"/>
      <c r="FH856" s="1818"/>
      <c r="FI856" s="1818"/>
      <c r="FJ856" s="1818"/>
      <c r="FK856" s="1818"/>
      <c r="FL856" s="1818"/>
      <c r="FM856" s="1818"/>
      <c r="FN856" s="1818"/>
      <c r="FO856" s="1818"/>
      <c r="FP856" s="1818"/>
      <c r="FQ856" s="1818"/>
      <c r="FR856" s="1818"/>
      <c r="FS856" s="1818"/>
      <c r="FT856" s="1818"/>
    </row>
    <row r="857" spans="1:176" s="1965" customFormat="1" ht="32.1" customHeight="1">
      <c r="A857" s="2535"/>
      <c r="B857" s="1803"/>
      <c r="C857" s="1817"/>
      <c r="D857" s="1817"/>
      <c r="E857" s="1813"/>
      <c r="F857" s="1813"/>
      <c r="G857" s="1813"/>
      <c r="H857" s="1813"/>
      <c r="I857" s="2434"/>
      <c r="J857" s="2244"/>
      <c r="K857" s="2244"/>
      <c r="L857" s="2244"/>
      <c r="M857" s="2244"/>
      <c r="N857" s="2244"/>
      <c r="O857" s="2244"/>
      <c r="P857" s="2245"/>
      <c r="Q857" s="2245"/>
      <c r="R857" s="2435"/>
      <c r="S857" s="2244"/>
      <c r="T857" s="2244"/>
      <c r="U857" s="2244"/>
      <c r="V857" s="2244"/>
      <c r="W857" s="2244"/>
      <c r="X857" s="2244"/>
      <c r="Y857" s="1818"/>
      <c r="Z857" s="1818"/>
      <c r="AA857" s="1818"/>
      <c r="AB857" s="1818"/>
      <c r="AC857" s="1818"/>
      <c r="AD857" s="1818"/>
      <c r="AE857" s="1818"/>
      <c r="AF857" s="1818"/>
      <c r="AG857" s="1818"/>
      <c r="AH857" s="1818"/>
      <c r="AI857" s="1818"/>
      <c r="AJ857" s="1818"/>
      <c r="AK857" s="1818"/>
      <c r="AL857" s="1818"/>
      <c r="AM857" s="1818"/>
      <c r="AN857" s="1818"/>
      <c r="AO857" s="1818"/>
      <c r="AP857" s="1818"/>
      <c r="AQ857" s="1818"/>
      <c r="AR857" s="1818"/>
      <c r="AS857" s="1818"/>
      <c r="AT857" s="1818"/>
      <c r="AU857" s="1818"/>
      <c r="AV857" s="1818"/>
      <c r="AW857" s="1818"/>
      <c r="AX857" s="1818"/>
      <c r="AY857" s="1818"/>
      <c r="AZ857" s="1818"/>
      <c r="BA857" s="1818"/>
      <c r="BB857" s="1818"/>
      <c r="BC857" s="1818"/>
      <c r="BD857" s="1818"/>
      <c r="BE857" s="1818"/>
      <c r="BF857" s="1818"/>
      <c r="BG857" s="1818"/>
      <c r="BH857" s="1818"/>
      <c r="BI857" s="1818"/>
      <c r="BJ857" s="1818"/>
      <c r="BK857" s="1818"/>
      <c r="BL857" s="1818"/>
      <c r="BM857" s="1818"/>
      <c r="BN857" s="1818"/>
      <c r="BO857" s="1818"/>
      <c r="BP857" s="1818"/>
      <c r="BQ857" s="1818"/>
      <c r="BR857" s="1818"/>
      <c r="BS857" s="1818"/>
      <c r="BT857" s="1818"/>
      <c r="BU857" s="1818"/>
      <c r="BV857" s="1818"/>
      <c r="BW857" s="1818"/>
      <c r="BX857" s="1818"/>
      <c r="BY857" s="1818"/>
      <c r="BZ857" s="1818"/>
      <c r="CA857" s="1818"/>
      <c r="CB857" s="1818"/>
      <c r="CC857" s="1818"/>
      <c r="CD857" s="1818"/>
      <c r="CE857" s="1818"/>
      <c r="CF857" s="1818"/>
      <c r="CG857" s="1818"/>
      <c r="CH857" s="1818"/>
      <c r="CI857" s="1818"/>
      <c r="CJ857" s="1818"/>
      <c r="CK857" s="1818"/>
      <c r="CL857" s="1818"/>
      <c r="CM857" s="1818"/>
      <c r="CN857" s="1818"/>
      <c r="CO857" s="1818"/>
      <c r="CP857" s="1818"/>
      <c r="CQ857" s="1818"/>
      <c r="CR857" s="1818"/>
      <c r="CS857" s="1818"/>
      <c r="CT857" s="1818"/>
      <c r="CU857" s="1818"/>
      <c r="CV857" s="1818"/>
      <c r="CW857" s="1818"/>
      <c r="CX857" s="1818"/>
      <c r="CY857" s="1818"/>
      <c r="CZ857" s="1818"/>
      <c r="DA857" s="1818"/>
      <c r="DB857" s="1818"/>
      <c r="DC857" s="1818"/>
      <c r="DD857" s="1818"/>
      <c r="DE857" s="1818"/>
      <c r="DF857" s="1818"/>
      <c r="DG857" s="1818"/>
      <c r="DH857" s="1818"/>
      <c r="DI857" s="1818"/>
      <c r="DJ857" s="1818"/>
      <c r="DK857" s="1818"/>
      <c r="DL857" s="1818"/>
      <c r="DM857" s="1818"/>
      <c r="DN857" s="1818"/>
      <c r="DO857" s="1818"/>
      <c r="DP857" s="1818"/>
      <c r="DQ857" s="1818"/>
      <c r="DR857" s="1818"/>
      <c r="DS857" s="1818"/>
      <c r="DT857" s="1818"/>
      <c r="DU857" s="1818"/>
      <c r="DV857" s="1818"/>
      <c r="DW857" s="1818"/>
      <c r="DX857" s="1818"/>
      <c r="DY857" s="1818"/>
      <c r="DZ857" s="1818"/>
      <c r="EA857" s="1818"/>
      <c r="EB857" s="1818"/>
      <c r="EC857" s="1818"/>
      <c r="ED857" s="1818"/>
      <c r="EE857" s="1818"/>
      <c r="EF857" s="1818"/>
      <c r="EG857" s="1818"/>
      <c r="EH857" s="1818"/>
      <c r="EI857" s="1818"/>
      <c r="EJ857" s="1818"/>
      <c r="EK857" s="1818"/>
      <c r="EL857" s="1818"/>
      <c r="EM857" s="1818"/>
      <c r="EN857" s="1818"/>
      <c r="EO857" s="1818"/>
      <c r="EP857" s="1818"/>
      <c r="EQ857" s="1818"/>
      <c r="ER857" s="1818"/>
      <c r="ES857" s="1818"/>
      <c r="ET857" s="1818"/>
      <c r="EU857" s="1818"/>
      <c r="EV857" s="1818"/>
      <c r="EW857" s="1818"/>
      <c r="EX857" s="1818"/>
      <c r="EY857" s="1818"/>
      <c r="EZ857" s="1818"/>
      <c r="FA857" s="1818"/>
      <c r="FB857" s="1818"/>
      <c r="FC857" s="1818"/>
      <c r="FD857" s="1818"/>
      <c r="FE857" s="1818"/>
      <c r="FF857" s="1818"/>
      <c r="FG857" s="1818"/>
      <c r="FH857" s="1818"/>
      <c r="FI857" s="1818"/>
      <c r="FJ857" s="1818"/>
      <c r="FK857" s="1818"/>
      <c r="FL857" s="1818"/>
      <c r="FM857" s="1818"/>
      <c r="FN857" s="1818"/>
      <c r="FO857" s="1818"/>
      <c r="FP857" s="1818"/>
      <c r="FQ857" s="1818"/>
      <c r="FR857" s="1818"/>
      <c r="FS857" s="1818"/>
      <c r="FT857" s="1818"/>
    </row>
    <row r="858" spans="1:176" s="1965" customFormat="1" ht="32.1" customHeight="1">
      <c r="A858" s="2535"/>
      <c r="B858" s="1803"/>
      <c r="C858" s="1817"/>
      <c r="D858" s="1817"/>
      <c r="E858" s="1813"/>
      <c r="F858" s="1813"/>
      <c r="G858" s="1813"/>
      <c r="H858" s="1813"/>
      <c r="I858" s="2434"/>
      <c r="J858" s="2244"/>
      <c r="K858" s="2244"/>
      <c r="L858" s="2244"/>
      <c r="M858" s="2244"/>
      <c r="N858" s="2244"/>
      <c r="O858" s="2244"/>
      <c r="P858" s="2245"/>
      <c r="Q858" s="2245"/>
      <c r="R858" s="2435"/>
      <c r="S858" s="2244"/>
      <c r="T858" s="2244"/>
      <c r="U858" s="2244"/>
      <c r="V858" s="2244"/>
      <c r="W858" s="2244"/>
      <c r="X858" s="2244"/>
      <c r="Y858" s="1818"/>
      <c r="Z858" s="1818"/>
      <c r="AA858" s="1818"/>
      <c r="AB858" s="1818"/>
      <c r="AC858" s="1818"/>
      <c r="AD858" s="1818"/>
      <c r="AE858" s="1818"/>
      <c r="AF858" s="1818"/>
      <c r="AG858" s="1818"/>
      <c r="AH858" s="1818"/>
      <c r="AI858" s="1818"/>
      <c r="AJ858" s="1818"/>
      <c r="AK858" s="1818"/>
      <c r="AL858" s="1818"/>
      <c r="AM858" s="1818"/>
      <c r="AN858" s="1818"/>
      <c r="AO858" s="1818"/>
      <c r="AP858" s="1818"/>
      <c r="AQ858" s="1818"/>
      <c r="AR858" s="1818"/>
      <c r="AS858" s="1818"/>
      <c r="AT858" s="1818"/>
      <c r="AU858" s="1818"/>
      <c r="AV858" s="1818"/>
      <c r="AW858" s="1818"/>
      <c r="AX858" s="1818"/>
      <c r="AY858" s="1818"/>
      <c r="AZ858" s="1818"/>
      <c r="BA858" s="1818"/>
      <c r="BB858" s="1818"/>
      <c r="BC858" s="1818"/>
      <c r="BD858" s="1818"/>
      <c r="BE858" s="1818"/>
      <c r="BF858" s="1818"/>
      <c r="BG858" s="1818"/>
      <c r="BH858" s="1818"/>
      <c r="BI858" s="1818"/>
      <c r="BJ858" s="1818"/>
      <c r="BK858" s="1818"/>
      <c r="BL858" s="1818"/>
      <c r="BM858" s="1818"/>
      <c r="BN858" s="1818"/>
      <c r="BO858" s="1818"/>
      <c r="BP858" s="1818"/>
      <c r="BQ858" s="1818"/>
      <c r="BR858" s="1818"/>
      <c r="BS858" s="1818"/>
      <c r="BT858" s="1818"/>
      <c r="BU858" s="1818"/>
      <c r="BV858" s="1818"/>
      <c r="BW858" s="1818"/>
      <c r="BX858" s="1818"/>
      <c r="BY858" s="1818"/>
      <c r="BZ858" s="1818"/>
      <c r="CA858" s="1818"/>
      <c r="CB858" s="1818"/>
      <c r="CC858" s="1818"/>
      <c r="CD858" s="1818"/>
      <c r="CE858" s="1818"/>
      <c r="CF858" s="1818"/>
      <c r="CG858" s="1818"/>
      <c r="CH858" s="1818"/>
      <c r="CI858" s="1818"/>
      <c r="CJ858" s="1818"/>
      <c r="CK858" s="1818"/>
      <c r="CL858" s="1818"/>
      <c r="CM858" s="1818"/>
      <c r="CN858" s="1818"/>
      <c r="CO858" s="1818"/>
      <c r="CP858" s="1818"/>
      <c r="CQ858" s="1818"/>
      <c r="CR858" s="1818"/>
      <c r="CS858" s="1818"/>
      <c r="CT858" s="1818"/>
      <c r="CU858" s="1818"/>
      <c r="CV858" s="1818"/>
      <c r="CW858" s="1818"/>
      <c r="CX858" s="1818"/>
      <c r="CY858" s="1818"/>
      <c r="CZ858" s="1818"/>
      <c r="DA858" s="1818"/>
      <c r="DB858" s="1818"/>
      <c r="DC858" s="1818"/>
      <c r="DD858" s="1818"/>
      <c r="DE858" s="1818"/>
      <c r="DF858" s="1818"/>
      <c r="DG858" s="1818"/>
      <c r="DH858" s="1818"/>
      <c r="DI858" s="1818"/>
      <c r="DJ858" s="1818"/>
      <c r="DK858" s="1818"/>
      <c r="DL858" s="1818"/>
      <c r="DM858" s="1818"/>
      <c r="DN858" s="1818"/>
      <c r="DO858" s="1818"/>
      <c r="DP858" s="1818"/>
      <c r="DQ858" s="1818"/>
      <c r="DR858" s="1818"/>
      <c r="DS858" s="1818"/>
      <c r="DT858" s="1818"/>
      <c r="DU858" s="1818"/>
      <c r="DV858" s="1818"/>
      <c r="DW858" s="1818"/>
      <c r="DX858" s="1818"/>
      <c r="DY858" s="1818"/>
      <c r="DZ858" s="1818"/>
      <c r="EA858" s="1818"/>
      <c r="EB858" s="1818"/>
      <c r="EC858" s="1818"/>
      <c r="ED858" s="1818"/>
      <c r="EE858" s="1818"/>
      <c r="EF858" s="1818"/>
      <c r="EG858" s="1818"/>
      <c r="EH858" s="1818"/>
      <c r="EI858" s="1818"/>
      <c r="EJ858" s="1818"/>
      <c r="EK858" s="1818"/>
      <c r="EL858" s="1818"/>
      <c r="EM858" s="1818"/>
      <c r="EN858" s="1818"/>
      <c r="EO858" s="1818"/>
      <c r="EP858" s="1818"/>
      <c r="EQ858" s="1818"/>
      <c r="ER858" s="1818"/>
      <c r="ES858" s="1818"/>
      <c r="ET858" s="1818"/>
      <c r="EU858" s="1818"/>
      <c r="EV858" s="1818"/>
      <c r="EW858" s="1818"/>
      <c r="EX858" s="1818"/>
      <c r="EY858" s="1818"/>
      <c r="EZ858" s="1818"/>
      <c r="FA858" s="1818"/>
      <c r="FB858" s="1818"/>
      <c r="FC858" s="1818"/>
      <c r="FD858" s="1818"/>
      <c r="FE858" s="1818"/>
      <c r="FF858" s="1818"/>
      <c r="FG858" s="1818"/>
      <c r="FH858" s="1818"/>
      <c r="FI858" s="1818"/>
      <c r="FJ858" s="1818"/>
      <c r="FK858" s="1818"/>
      <c r="FL858" s="1818"/>
      <c r="FM858" s="1818"/>
      <c r="FN858" s="1818"/>
      <c r="FO858" s="1818"/>
      <c r="FP858" s="1818"/>
      <c r="FQ858" s="1818"/>
      <c r="FR858" s="1818"/>
      <c r="FS858" s="1818"/>
      <c r="FT858" s="1818"/>
    </row>
    <row r="859" spans="1:176" s="1965" customFormat="1" ht="32.1" customHeight="1">
      <c r="A859" s="2535"/>
      <c r="B859" s="1803"/>
      <c r="C859" s="1817"/>
      <c r="D859" s="1817"/>
      <c r="E859" s="1813"/>
      <c r="F859" s="1813"/>
      <c r="G859" s="1813"/>
      <c r="H859" s="1813"/>
      <c r="I859" s="2434"/>
      <c r="J859" s="2244"/>
      <c r="K859" s="2244"/>
      <c r="L859" s="2244"/>
      <c r="M859" s="2244"/>
      <c r="N859" s="2244"/>
      <c r="O859" s="2244"/>
      <c r="P859" s="2245"/>
      <c r="Q859" s="2245"/>
      <c r="R859" s="2435"/>
      <c r="S859" s="2244"/>
      <c r="T859" s="2244"/>
      <c r="U859" s="2244"/>
      <c r="V859" s="2244"/>
      <c r="W859" s="2244"/>
      <c r="X859" s="2244"/>
      <c r="Y859" s="1818"/>
      <c r="Z859" s="1818"/>
      <c r="AA859" s="1818"/>
      <c r="AB859" s="1818"/>
      <c r="AC859" s="1818"/>
      <c r="AD859" s="1818"/>
      <c r="AE859" s="1818"/>
      <c r="AF859" s="1818"/>
      <c r="AG859" s="1818"/>
      <c r="AH859" s="1818"/>
      <c r="AI859" s="1818"/>
      <c r="AJ859" s="1818"/>
      <c r="AK859" s="1818"/>
      <c r="AL859" s="1818"/>
      <c r="AM859" s="1818"/>
      <c r="AN859" s="1818"/>
      <c r="AO859" s="1818"/>
      <c r="AP859" s="1818"/>
      <c r="AQ859" s="1818"/>
      <c r="AR859" s="1818"/>
      <c r="AS859" s="1818"/>
      <c r="AT859" s="1818"/>
      <c r="AU859" s="1818"/>
      <c r="AV859" s="1818"/>
      <c r="AW859" s="1818"/>
      <c r="AX859" s="1818"/>
      <c r="AY859" s="1818"/>
      <c r="AZ859" s="1818"/>
      <c r="BA859" s="1818"/>
      <c r="BB859" s="1818"/>
      <c r="BC859" s="1818"/>
      <c r="BD859" s="1818"/>
      <c r="BE859" s="1818"/>
      <c r="BF859" s="1818"/>
      <c r="BG859" s="1818"/>
      <c r="BH859" s="1818"/>
      <c r="BI859" s="1818"/>
      <c r="BJ859" s="1818"/>
      <c r="BK859" s="1818"/>
      <c r="BL859" s="1818"/>
      <c r="BM859" s="1818"/>
      <c r="BN859" s="1818"/>
      <c r="BO859" s="1818"/>
      <c r="BP859" s="1818"/>
      <c r="BQ859" s="1818"/>
      <c r="BR859" s="1818"/>
      <c r="BS859" s="1818"/>
      <c r="BT859" s="1818"/>
      <c r="BU859" s="1818"/>
      <c r="BV859" s="1818"/>
      <c r="BW859" s="1818"/>
      <c r="BX859" s="1818"/>
      <c r="BY859" s="1818"/>
      <c r="BZ859" s="1818"/>
      <c r="CA859" s="1818"/>
      <c r="CB859" s="1818"/>
      <c r="CC859" s="1818"/>
      <c r="CD859" s="1818"/>
      <c r="CE859" s="1818"/>
      <c r="CF859" s="1818"/>
      <c r="CG859" s="1818"/>
      <c r="CH859" s="1818"/>
      <c r="CI859" s="1818"/>
      <c r="CJ859" s="1818"/>
      <c r="CK859" s="1818"/>
      <c r="CL859" s="1818"/>
      <c r="CM859" s="1818"/>
      <c r="CN859" s="1818"/>
      <c r="CO859" s="1818"/>
      <c r="CP859" s="1818"/>
      <c r="CQ859" s="1818"/>
      <c r="CR859" s="1818"/>
      <c r="CS859" s="1818"/>
      <c r="CT859" s="1818"/>
      <c r="CU859" s="1818"/>
      <c r="CV859" s="1818"/>
      <c r="CW859" s="1818"/>
      <c r="CX859" s="1818"/>
      <c r="CY859" s="1818"/>
      <c r="CZ859" s="1818"/>
      <c r="DA859" s="1818"/>
      <c r="DB859" s="1818"/>
      <c r="DC859" s="1818"/>
      <c r="DD859" s="1818"/>
      <c r="DE859" s="1818"/>
      <c r="DF859" s="1818"/>
      <c r="DG859" s="1818"/>
      <c r="DH859" s="1818"/>
      <c r="DI859" s="1818"/>
      <c r="DJ859" s="1818"/>
      <c r="DK859" s="1818"/>
      <c r="DL859" s="1818"/>
      <c r="DM859" s="1818"/>
      <c r="DN859" s="1818"/>
      <c r="DO859" s="1818"/>
      <c r="DP859" s="1818"/>
      <c r="DQ859" s="1818"/>
      <c r="DR859" s="1818"/>
      <c r="DS859" s="1818"/>
      <c r="DT859" s="1818"/>
      <c r="DU859" s="1818"/>
      <c r="DV859" s="1818"/>
      <c r="DW859" s="1818"/>
      <c r="DX859" s="1818"/>
      <c r="DY859" s="1818"/>
      <c r="DZ859" s="1818"/>
      <c r="EA859" s="1818"/>
      <c r="EB859" s="1818"/>
      <c r="EC859" s="1818"/>
      <c r="ED859" s="1818"/>
      <c r="EE859" s="1818"/>
      <c r="EF859" s="1818"/>
      <c r="EG859" s="1818"/>
      <c r="EH859" s="1818"/>
      <c r="EI859" s="1818"/>
      <c r="EJ859" s="1818"/>
      <c r="EK859" s="1818"/>
      <c r="EL859" s="1818"/>
      <c r="EM859" s="1818"/>
      <c r="EN859" s="1818"/>
      <c r="EO859" s="1818"/>
      <c r="EP859" s="1818"/>
      <c r="EQ859" s="1818"/>
      <c r="ER859" s="1818"/>
      <c r="ES859" s="1818"/>
      <c r="ET859" s="1818"/>
      <c r="EU859" s="1818"/>
      <c r="EV859" s="1818"/>
      <c r="EW859" s="1818"/>
      <c r="EX859" s="1818"/>
      <c r="EY859" s="1818"/>
      <c r="EZ859" s="1818"/>
      <c r="FA859" s="1818"/>
      <c r="FB859" s="1818"/>
      <c r="FC859" s="1818"/>
      <c r="FD859" s="1818"/>
      <c r="FE859" s="1818"/>
      <c r="FF859" s="1818"/>
      <c r="FG859" s="1818"/>
      <c r="FH859" s="1818"/>
      <c r="FI859" s="1818"/>
      <c r="FJ859" s="1818"/>
      <c r="FK859" s="1818"/>
      <c r="FL859" s="1818"/>
      <c r="FM859" s="1818"/>
      <c r="FN859" s="1818"/>
      <c r="FO859" s="1818"/>
      <c r="FP859" s="1818"/>
      <c r="FQ859" s="1818"/>
      <c r="FR859" s="1818"/>
      <c r="FS859" s="1818"/>
      <c r="FT859" s="1818"/>
    </row>
    <row r="860" spans="1:176" s="1965" customFormat="1" ht="32.1" customHeight="1">
      <c r="A860" s="2535"/>
      <c r="B860" s="1803"/>
      <c r="C860" s="1817"/>
      <c r="D860" s="1817"/>
      <c r="E860" s="1813"/>
      <c r="F860" s="1813"/>
      <c r="G860" s="1813"/>
      <c r="H860" s="1813"/>
      <c r="I860" s="2434"/>
      <c r="J860" s="2244"/>
      <c r="K860" s="2244"/>
      <c r="L860" s="2244"/>
      <c r="M860" s="2244"/>
      <c r="N860" s="2244"/>
      <c r="O860" s="2244"/>
      <c r="P860" s="2245"/>
      <c r="Q860" s="2245"/>
      <c r="R860" s="2435"/>
      <c r="S860" s="2244"/>
      <c r="T860" s="2244"/>
      <c r="U860" s="2244"/>
      <c r="V860" s="2244"/>
      <c r="W860" s="2244"/>
      <c r="X860" s="2244"/>
      <c r="Y860" s="1818"/>
      <c r="Z860" s="1818"/>
      <c r="AA860" s="1818"/>
      <c r="AB860" s="1818"/>
      <c r="AC860" s="1818"/>
      <c r="AD860" s="1818"/>
      <c r="AE860" s="1818"/>
      <c r="AF860" s="1818"/>
      <c r="AG860" s="1818"/>
      <c r="AH860" s="1818"/>
      <c r="AI860" s="1818"/>
      <c r="AJ860" s="1818"/>
      <c r="AK860" s="1818"/>
      <c r="AL860" s="1818"/>
      <c r="AM860" s="1818"/>
      <c r="AN860" s="1818"/>
      <c r="AO860" s="1818"/>
      <c r="AP860" s="1818"/>
      <c r="AQ860" s="1818"/>
      <c r="AR860" s="1818"/>
      <c r="AS860" s="1818"/>
      <c r="AT860" s="1818"/>
      <c r="AU860" s="1818"/>
      <c r="AV860" s="1818"/>
      <c r="AW860" s="1818"/>
      <c r="AX860" s="1818"/>
      <c r="AY860" s="1818"/>
      <c r="AZ860" s="1818"/>
      <c r="BA860" s="1818"/>
      <c r="BB860" s="1818"/>
      <c r="BC860" s="1818"/>
      <c r="BD860" s="1818"/>
      <c r="BE860" s="1818"/>
      <c r="BF860" s="1818"/>
      <c r="BG860" s="1818"/>
      <c r="BH860" s="1818"/>
      <c r="BI860" s="1818"/>
      <c r="BJ860" s="1818"/>
      <c r="BK860" s="1818"/>
      <c r="BL860" s="1818"/>
      <c r="BM860" s="1818"/>
      <c r="BN860" s="1818"/>
      <c r="BO860" s="1818"/>
      <c r="BP860" s="1818"/>
      <c r="BQ860" s="1818"/>
      <c r="BR860" s="1818"/>
      <c r="BS860" s="1818"/>
      <c r="BT860" s="1818"/>
      <c r="BU860" s="1818"/>
      <c r="BV860" s="1818"/>
      <c r="BW860" s="1818"/>
      <c r="BX860" s="1818"/>
      <c r="BY860" s="1818"/>
      <c r="BZ860" s="1818"/>
      <c r="CA860" s="1818"/>
      <c r="CB860" s="1818"/>
      <c r="CC860" s="1818"/>
      <c r="CD860" s="1818"/>
      <c r="CE860" s="1818"/>
      <c r="CF860" s="1818"/>
      <c r="CG860" s="1818"/>
      <c r="CH860" s="1818"/>
      <c r="CI860" s="1818"/>
      <c r="CJ860" s="1818"/>
      <c r="CK860" s="1818"/>
      <c r="CL860" s="1818"/>
      <c r="CM860" s="1818"/>
      <c r="CN860" s="1818"/>
      <c r="CO860" s="1818"/>
      <c r="CP860" s="1818"/>
      <c r="CQ860" s="1818"/>
      <c r="CR860" s="1818"/>
      <c r="CS860" s="1818"/>
      <c r="CT860" s="1818"/>
      <c r="CU860" s="1818"/>
      <c r="CV860" s="1818"/>
      <c r="CW860" s="1818"/>
      <c r="CX860" s="1818"/>
      <c r="CY860" s="1818"/>
      <c r="CZ860" s="1818"/>
      <c r="DA860" s="1818"/>
      <c r="DB860" s="1818"/>
      <c r="DC860" s="1818"/>
      <c r="DD860" s="1818"/>
      <c r="DE860" s="1818"/>
      <c r="DF860" s="1818"/>
      <c r="DG860" s="1818"/>
      <c r="DH860" s="1818"/>
      <c r="DI860" s="1818"/>
      <c r="DJ860" s="1818"/>
      <c r="DK860" s="1818"/>
      <c r="DL860" s="1818"/>
      <c r="DM860" s="1818"/>
      <c r="DN860" s="1818"/>
      <c r="DO860" s="1818"/>
      <c r="DP860" s="1818"/>
      <c r="DQ860" s="1818"/>
      <c r="DR860" s="1818"/>
      <c r="DS860" s="1818"/>
      <c r="DT860" s="1818"/>
      <c r="DU860" s="1818"/>
      <c r="DV860" s="1818"/>
      <c r="DW860" s="1818"/>
      <c r="DX860" s="1818"/>
      <c r="DY860" s="1818"/>
      <c r="DZ860" s="1818"/>
      <c r="EA860" s="1818"/>
      <c r="EB860" s="1818"/>
      <c r="EC860" s="1818"/>
      <c r="ED860" s="1818"/>
      <c r="EE860" s="1818"/>
      <c r="EF860" s="1818"/>
      <c r="EG860" s="1818"/>
      <c r="EH860" s="1818"/>
      <c r="EI860" s="1818"/>
      <c r="EJ860" s="1818"/>
      <c r="EK860" s="1818"/>
      <c r="EL860" s="1818"/>
      <c r="EM860" s="1818"/>
      <c r="EN860" s="1818"/>
      <c r="EO860" s="1818"/>
      <c r="EP860" s="1818"/>
      <c r="EQ860" s="1818"/>
      <c r="ER860" s="1818"/>
      <c r="ES860" s="1818"/>
      <c r="ET860" s="1818"/>
      <c r="EU860" s="1818"/>
      <c r="EV860" s="1818"/>
      <c r="EW860" s="1818"/>
      <c r="EX860" s="1818"/>
      <c r="EY860" s="1818"/>
      <c r="EZ860" s="1818"/>
      <c r="FA860" s="1818"/>
      <c r="FB860" s="1818"/>
      <c r="FC860" s="1818"/>
      <c r="FD860" s="1818"/>
      <c r="FE860" s="1818"/>
      <c r="FF860" s="1818"/>
      <c r="FG860" s="1818"/>
      <c r="FH860" s="1818"/>
      <c r="FI860" s="1818"/>
      <c r="FJ860" s="1818"/>
      <c r="FK860" s="1818"/>
      <c r="FL860" s="1818"/>
      <c r="FM860" s="1818"/>
      <c r="FN860" s="1818"/>
      <c r="FO860" s="1818"/>
      <c r="FP860" s="1818"/>
      <c r="FQ860" s="1818"/>
      <c r="FR860" s="1818"/>
      <c r="FS860" s="1818"/>
      <c r="FT860" s="1818"/>
    </row>
    <row r="861" spans="1:176" s="1965" customFormat="1" ht="32.1" customHeight="1">
      <c r="A861" s="2535"/>
      <c r="B861" s="1803"/>
      <c r="C861" s="1817"/>
      <c r="D861" s="1817"/>
      <c r="E861" s="1813"/>
      <c r="F861" s="1813"/>
      <c r="G861" s="1813"/>
      <c r="H861" s="1813"/>
      <c r="I861" s="2434"/>
      <c r="J861" s="2244"/>
      <c r="K861" s="2244"/>
      <c r="L861" s="2244"/>
      <c r="M861" s="2244"/>
      <c r="N861" s="2244"/>
      <c r="O861" s="2244"/>
      <c r="P861" s="2245"/>
      <c r="Q861" s="2245"/>
      <c r="R861" s="2435"/>
      <c r="S861" s="2244"/>
      <c r="T861" s="2244"/>
      <c r="U861" s="2244"/>
      <c r="V861" s="2244"/>
      <c r="W861" s="2244"/>
      <c r="X861" s="2244"/>
      <c r="Y861" s="1818"/>
      <c r="Z861" s="1818"/>
      <c r="AA861" s="1818"/>
      <c r="AB861" s="1818"/>
      <c r="AC861" s="1818"/>
      <c r="AD861" s="1818"/>
      <c r="AE861" s="1818"/>
      <c r="AF861" s="1818"/>
      <c r="AG861" s="1818"/>
      <c r="AH861" s="1818"/>
      <c r="AI861" s="1818"/>
      <c r="AJ861" s="1818"/>
      <c r="AK861" s="1818"/>
      <c r="AL861" s="1818"/>
      <c r="AM861" s="1818"/>
      <c r="AN861" s="1818"/>
      <c r="AO861" s="1818"/>
      <c r="AP861" s="1818"/>
      <c r="AQ861" s="1818"/>
      <c r="AR861" s="1818"/>
      <c r="AS861" s="1818"/>
      <c r="AT861" s="1818"/>
      <c r="AU861" s="1818"/>
      <c r="AV861" s="1818"/>
      <c r="AW861" s="1818"/>
      <c r="AX861" s="1818"/>
      <c r="AY861" s="1818"/>
      <c r="AZ861" s="1818"/>
      <c r="BA861" s="1818"/>
      <c r="BB861" s="1818"/>
      <c r="BC861" s="1818"/>
      <c r="BD861" s="1818"/>
      <c r="BE861" s="1818"/>
      <c r="BF861" s="1818"/>
      <c r="BG861" s="1818"/>
      <c r="BH861" s="1818"/>
      <c r="BI861" s="1818"/>
      <c r="BJ861" s="1818"/>
      <c r="BK861" s="1818"/>
      <c r="BL861" s="1818"/>
      <c r="BM861" s="1818"/>
      <c r="BN861" s="1818"/>
      <c r="BO861" s="1818"/>
      <c r="BP861" s="1818"/>
      <c r="BQ861" s="1818"/>
      <c r="BR861" s="1818"/>
      <c r="BS861" s="1818"/>
      <c r="BT861" s="1818"/>
      <c r="BU861" s="1818"/>
      <c r="BV861" s="1818"/>
      <c r="BW861" s="1818"/>
      <c r="BX861" s="1818"/>
      <c r="BY861" s="1818"/>
      <c r="BZ861" s="1818"/>
      <c r="CA861" s="1818"/>
      <c r="CB861" s="1818"/>
      <c r="CC861" s="1818"/>
      <c r="CD861" s="1818"/>
      <c r="CE861" s="1818"/>
      <c r="CF861" s="1818"/>
      <c r="CG861" s="1818"/>
      <c r="CH861" s="1818"/>
      <c r="CI861" s="1818"/>
      <c r="CJ861" s="1818"/>
      <c r="CK861" s="1818"/>
      <c r="CL861" s="1818"/>
      <c r="CM861" s="1818"/>
      <c r="CN861" s="1818"/>
      <c r="CO861" s="1818"/>
      <c r="CP861" s="1818"/>
      <c r="CQ861" s="1818"/>
      <c r="CR861" s="1818"/>
      <c r="CS861" s="1818"/>
      <c r="CT861" s="1818"/>
      <c r="CU861" s="1818"/>
      <c r="CV861" s="1818"/>
      <c r="CW861" s="1818"/>
      <c r="CX861" s="1818"/>
      <c r="CY861" s="1818"/>
      <c r="CZ861" s="1818"/>
      <c r="DA861" s="1818"/>
      <c r="DB861" s="1818"/>
      <c r="DC861" s="1818"/>
      <c r="DD861" s="1818"/>
      <c r="DE861" s="1818"/>
      <c r="DF861" s="1818"/>
      <c r="DG861" s="1818"/>
      <c r="DH861" s="1818"/>
      <c r="DI861" s="1818"/>
      <c r="DJ861" s="1818"/>
      <c r="DK861" s="1818"/>
      <c r="DL861" s="1818"/>
      <c r="DM861" s="1818"/>
      <c r="DN861" s="1818"/>
      <c r="DO861" s="1818"/>
      <c r="DP861" s="1818"/>
      <c r="DQ861" s="1818"/>
      <c r="DR861" s="1818"/>
      <c r="DS861" s="1818"/>
      <c r="DT861" s="1818"/>
      <c r="DU861" s="1818"/>
      <c r="DV861" s="1818"/>
      <c r="DW861" s="1818"/>
      <c r="DX861" s="1818"/>
      <c r="DY861" s="1818"/>
      <c r="DZ861" s="1818"/>
      <c r="EA861" s="1818"/>
      <c r="EB861" s="1818"/>
      <c r="EC861" s="1818"/>
      <c r="ED861" s="1818"/>
      <c r="EE861" s="1818"/>
      <c r="EF861" s="1818"/>
      <c r="EG861" s="1818"/>
      <c r="EH861" s="1818"/>
      <c r="EI861" s="1818"/>
      <c r="EJ861" s="1818"/>
      <c r="EK861" s="1818"/>
      <c r="EL861" s="1818"/>
      <c r="EM861" s="1818"/>
      <c r="EN861" s="1818"/>
      <c r="EO861" s="1818"/>
      <c r="EP861" s="1818"/>
      <c r="EQ861" s="1818"/>
      <c r="ER861" s="1818"/>
      <c r="ES861" s="1818"/>
      <c r="ET861" s="1818"/>
      <c r="EU861" s="1818"/>
      <c r="EV861" s="1818"/>
      <c r="EW861" s="1818"/>
      <c r="EX861" s="1818"/>
      <c r="EY861" s="1818"/>
      <c r="EZ861" s="1818"/>
      <c r="FA861" s="1818"/>
      <c r="FB861" s="1818"/>
      <c r="FC861" s="1818"/>
      <c r="FD861" s="1818"/>
      <c r="FE861" s="1818"/>
      <c r="FF861" s="1818"/>
      <c r="FG861" s="1818"/>
      <c r="FH861" s="1818"/>
      <c r="FI861" s="1818"/>
      <c r="FJ861" s="1818"/>
      <c r="FK861" s="1818"/>
      <c r="FL861" s="1818"/>
      <c r="FM861" s="1818"/>
      <c r="FN861" s="1818"/>
      <c r="FO861" s="1818"/>
      <c r="FP861" s="1818"/>
      <c r="FQ861" s="1818"/>
      <c r="FR861" s="1818"/>
      <c r="FS861" s="1818"/>
      <c r="FT861" s="1818"/>
    </row>
    <row r="862" spans="1:176" s="1965" customFormat="1" ht="32.1" customHeight="1">
      <c r="A862" s="2535"/>
      <c r="B862" s="1803"/>
      <c r="C862" s="1817"/>
      <c r="D862" s="1817"/>
      <c r="E862" s="1813"/>
      <c r="F862" s="1813"/>
      <c r="G862" s="1813"/>
      <c r="H862" s="1813"/>
      <c r="I862" s="2434"/>
      <c r="J862" s="2244"/>
      <c r="K862" s="2244"/>
      <c r="L862" s="2244"/>
      <c r="M862" s="2244"/>
      <c r="N862" s="2244"/>
      <c r="O862" s="2244"/>
      <c r="P862" s="2245"/>
      <c r="Q862" s="2245"/>
      <c r="R862" s="2435"/>
      <c r="S862" s="2244"/>
      <c r="T862" s="2244"/>
      <c r="U862" s="2244"/>
      <c r="V862" s="2244"/>
      <c r="W862" s="2244"/>
      <c r="X862" s="2244"/>
      <c r="Y862" s="1818"/>
      <c r="Z862" s="1818"/>
      <c r="AA862" s="1818"/>
      <c r="AB862" s="1818"/>
      <c r="AC862" s="1818"/>
      <c r="AD862" s="1818"/>
      <c r="AE862" s="1818"/>
      <c r="AF862" s="1818"/>
      <c r="AG862" s="1818"/>
      <c r="AH862" s="1818"/>
      <c r="AI862" s="1818"/>
      <c r="AJ862" s="1818"/>
      <c r="AK862" s="1818"/>
      <c r="AL862" s="1818"/>
      <c r="AM862" s="1818"/>
      <c r="AN862" s="1818"/>
      <c r="AO862" s="1818"/>
      <c r="AP862" s="1818"/>
      <c r="AQ862" s="1818"/>
      <c r="AR862" s="1818"/>
      <c r="AS862" s="1818"/>
      <c r="AT862" s="1818"/>
      <c r="AU862" s="1818"/>
      <c r="AV862" s="1818"/>
      <c r="AW862" s="1818"/>
      <c r="AX862" s="1818"/>
      <c r="AY862" s="1818"/>
      <c r="AZ862" s="1818"/>
      <c r="BA862" s="1818"/>
      <c r="BB862" s="1818"/>
      <c r="BC862" s="1818"/>
      <c r="BD862" s="1818"/>
      <c r="BE862" s="1818"/>
      <c r="BF862" s="1818"/>
      <c r="BG862" s="1818"/>
      <c r="BH862" s="1818"/>
      <c r="BI862" s="1818"/>
      <c r="BJ862" s="1818"/>
      <c r="BK862" s="1818"/>
      <c r="BL862" s="1818"/>
      <c r="BM862" s="1818"/>
      <c r="BN862" s="1818"/>
      <c r="BO862" s="1818"/>
      <c r="BP862" s="1818"/>
      <c r="BQ862" s="1818"/>
      <c r="BR862" s="1818"/>
      <c r="BS862" s="1818"/>
      <c r="BT862" s="1818"/>
      <c r="BU862" s="1818"/>
      <c r="BV862" s="1818"/>
      <c r="BW862" s="1818"/>
      <c r="BX862" s="1818"/>
      <c r="BY862" s="1818"/>
      <c r="BZ862" s="1818"/>
      <c r="CA862" s="1818"/>
      <c r="CB862" s="1818"/>
      <c r="CC862" s="1818"/>
      <c r="CD862" s="1818"/>
      <c r="CE862" s="1818"/>
      <c r="CF862" s="1818"/>
      <c r="CG862" s="1818"/>
      <c r="CH862" s="1818"/>
      <c r="CI862" s="1818"/>
      <c r="CJ862" s="1818"/>
      <c r="CK862" s="1818"/>
      <c r="CL862" s="1818"/>
      <c r="CM862" s="1818"/>
      <c r="CN862" s="1818"/>
      <c r="CO862" s="1818"/>
      <c r="CP862" s="1818"/>
      <c r="CQ862" s="1818"/>
      <c r="CR862" s="1818"/>
      <c r="CS862" s="1818"/>
      <c r="CT862" s="1818"/>
      <c r="CU862" s="1818"/>
      <c r="CV862" s="1818"/>
      <c r="CW862" s="1818"/>
      <c r="CX862" s="1818"/>
      <c r="CY862" s="1818"/>
      <c r="CZ862" s="1818"/>
      <c r="DA862" s="1818"/>
      <c r="DB862" s="1818"/>
      <c r="DC862" s="1818"/>
      <c r="DD862" s="1818"/>
      <c r="DE862" s="1818"/>
      <c r="DF862" s="1818"/>
      <c r="DG862" s="1818"/>
      <c r="DH862" s="1818"/>
      <c r="DI862" s="1818"/>
      <c r="DJ862" s="1818"/>
      <c r="DK862" s="1818"/>
      <c r="DL862" s="1818"/>
      <c r="DM862" s="1818"/>
      <c r="DN862" s="1818"/>
      <c r="DO862" s="1818"/>
      <c r="DP862" s="1818"/>
      <c r="DQ862" s="1818"/>
      <c r="DR862" s="1818"/>
      <c r="DS862" s="1818"/>
      <c r="DT862" s="1818"/>
      <c r="DU862" s="1818"/>
      <c r="DV862" s="1818"/>
      <c r="DW862" s="1818"/>
      <c r="DX862" s="1818"/>
      <c r="DY862" s="1818"/>
      <c r="DZ862" s="1818"/>
      <c r="EA862" s="1818"/>
      <c r="EB862" s="1818"/>
      <c r="EC862" s="1818"/>
      <c r="ED862" s="1818"/>
      <c r="EE862" s="1818"/>
      <c r="EF862" s="1818"/>
      <c r="EG862" s="1818"/>
      <c r="EH862" s="1818"/>
      <c r="EI862" s="1818"/>
      <c r="EJ862" s="1818"/>
      <c r="EK862" s="1818"/>
      <c r="EL862" s="1818"/>
      <c r="EM862" s="1818"/>
      <c r="EN862" s="1818"/>
      <c r="EO862" s="1818"/>
      <c r="EP862" s="1818"/>
      <c r="EQ862" s="1818"/>
      <c r="ER862" s="1818"/>
      <c r="ES862" s="1818"/>
      <c r="ET862" s="1818"/>
      <c r="EU862" s="1818"/>
      <c r="EV862" s="1818"/>
      <c r="EW862" s="1818"/>
      <c r="EX862" s="1818"/>
      <c r="EY862" s="1818"/>
      <c r="EZ862" s="1818"/>
      <c r="FA862" s="1818"/>
      <c r="FB862" s="1818"/>
      <c r="FC862" s="1818"/>
      <c r="FD862" s="1818"/>
      <c r="FE862" s="1818"/>
      <c r="FF862" s="1818"/>
      <c r="FG862" s="1818"/>
      <c r="FH862" s="1818"/>
      <c r="FI862" s="1818"/>
      <c r="FJ862" s="1818"/>
      <c r="FK862" s="1818"/>
      <c r="FL862" s="1818"/>
      <c r="FM862" s="1818"/>
      <c r="FN862" s="1818"/>
      <c r="FO862" s="1818"/>
      <c r="FP862" s="1818"/>
      <c r="FQ862" s="1818"/>
      <c r="FR862" s="1818"/>
      <c r="FS862" s="1818"/>
      <c r="FT862" s="1818"/>
    </row>
    <row r="863" spans="1:176" s="1965" customFormat="1" ht="32.1" customHeight="1">
      <c r="A863" s="2535"/>
      <c r="B863" s="1803"/>
      <c r="C863" s="1817"/>
      <c r="D863" s="1817"/>
      <c r="E863" s="1813"/>
      <c r="F863" s="1813"/>
      <c r="G863" s="1813"/>
      <c r="H863" s="1813"/>
      <c r="I863" s="2434"/>
      <c r="J863" s="2244"/>
      <c r="K863" s="2244"/>
      <c r="L863" s="2244"/>
      <c r="M863" s="2244"/>
      <c r="N863" s="2244"/>
      <c r="O863" s="2244"/>
      <c r="P863" s="2245"/>
      <c r="Q863" s="2245"/>
      <c r="R863" s="2435"/>
      <c r="S863" s="2244"/>
      <c r="T863" s="2244"/>
      <c r="U863" s="2244"/>
      <c r="V863" s="2244"/>
      <c r="W863" s="2244"/>
      <c r="X863" s="2244"/>
      <c r="Y863" s="1818"/>
      <c r="Z863" s="1818"/>
      <c r="AA863" s="1818"/>
      <c r="AB863" s="1818"/>
      <c r="AC863" s="1818"/>
      <c r="AD863" s="1818"/>
      <c r="AE863" s="1818"/>
      <c r="AF863" s="1818"/>
      <c r="AG863" s="1818"/>
      <c r="AH863" s="1818"/>
      <c r="AI863" s="1818"/>
      <c r="AJ863" s="1818"/>
      <c r="AK863" s="1818"/>
      <c r="AL863" s="1818"/>
      <c r="AM863" s="1818"/>
      <c r="AN863" s="1818"/>
      <c r="AO863" s="1818"/>
      <c r="AP863" s="1818"/>
      <c r="AQ863" s="1818"/>
      <c r="AR863" s="1818"/>
      <c r="AS863" s="1818"/>
      <c r="AT863" s="1818"/>
      <c r="AU863" s="1818"/>
      <c r="AV863" s="1818"/>
      <c r="AW863" s="1818"/>
      <c r="AX863" s="1818"/>
      <c r="AY863" s="1818"/>
      <c r="AZ863" s="1818"/>
      <c r="BA863" s="1818"/>
      <c r="BB863" s="1818"/>
      <c r="BC863" s="1818"/>
      <c r="BD863" s="1818"/>
      <c r="BE863" s="1818"/>
      <c r="BF863" s="1818"/>
      <c r="BG863" s="1818"/>
      <c r="BH863" s="1818"/>
      <c r="BI863" s="1818"/>
      <c r="BJ863" s="1818"/>
      <c r="BK863" s="1818"/>
      <c r="BL863" s="1818"/>
      <c r="BM863" s="1818"/>
      <c r="BN863" s="1818"/>
      <c r="BO863" s="1818"/>
      <c r="BP863" s="1818"/>
      <c r="BQ863" s="1818"/>
      <c r="BR863" s="1818"/>
      <c r="BS863" s="1818"/>
      <c r="BT863" s="1818"/>
      <c r="BU863" s="1818"/>
      <c r="BV863" s="1818"/>
      <c r="BW863" s="1818"/>
      <c r="BX863" s="1818"/>
      <c r="BY863" s="1818"/>
      <c r="BZ863" s="1818"/>
      <c r="CA863" s="1818"/>
      <c r="CB863" s="1818"/>
      <c r="CC863" s="1818"/>
      <c r="CD863" s="1818"/>
      <c r="CE863" s="1818"/>
      <c r="CF863" s="1818"/>
      <c r="CG863" s="1818"/>
      <c r="CH863" s="1818"/>
      <c r="CI863" s="1818"/>
      <c r="CJ863" s="1818"/>
      <c r="CK863" s="1818"/>
      <c r="CL863" s="1818"/>
      <c r="CM863" s="1818"/>
      <c r="CN863" s="1818"/>
      <c r="CO863" s="1818"/>
      <c r="CP863" s="1818"/>
      <c r="CQ863" s="1818"/>
      <c r="CR863" s="1818"/>
      <c r="CS863" s="1818"/>
      <c r="CT863" s="1818"/>
      <c r="CU863" s="1818"/>
      <c r="CV863" s="1818"/>
      <c r="CW863" s="1818"/>
      <c r="CX863" s="1818"/>
      <c r="CY863" s="1818"/>
      <c r="CZ863" s="1818"/>
      <c r="DA863" s="1818"/>
      <c r="DB863" s="1818"/>
      <c r="DC863" s="1818"/>
      <c r="DD863" s="1818"/>
      <c r="DE863" s="1818"/>
      <c r="DF863" s="1818"/>
      <c r="DG863" s="1818"/>
      <c r="DH863" s="1818"/>
      <c r="DI863" s="1818"/>
      <c r="DJ863" s="1818"/>
      <c r="DK863" s="1818"/>
      <c r="DL863" s="1818"/>
      <c r="DM863" s="1818"/>
      <c r="DN863" s="1818"/>
      <c r="DO863" s="1818"/>
      <c r="DP863" s="1818"/>
      <c r="DQ863" s="1818"/>
      <c r="DR863" s="1818"/>
      <c r="DS863" s="1818"/>
      <c r="DT863" s="1818"/>
      <c r="DU863" s="1818"/>
      <c r="DV863" s="1818"/>
      <c r="DW863" s="1818"/>
      <c r="DX863" s="1818"/>
      <c r="DY863" s="1818"/>
      <c r="DZ863" s="1818"/>
      <c r="EA863" s="1818"/>
      <c r="EB863" s="1818"/>
      <c r="EC863" s="1818"/>
      <c r="ED863" s="1818"/>
      <c r="EE863" s="1818"/>
      <c r="EF863" s="1818"/>
      <c r="EG863" s="1818"/>
      <c r="EH863" s="1818"/>
      <c r="EI863" s="1818"/>
      <c r="EJ863" s="1818"/>
      <c r="EK863" s="1818"/>
      <c r="EL863" s="1818"/>
      <c r="EM863" s="1818"/>
      <c r="EN863" s="1818"/>
      <c r="EO863" s="1818"/>
      <c r="EP863" s="1818"/>
      <c r="EQ863" s="1818"/>
      <c r="ER863" s="1818"/>
      <c r="ES863" s="1818"/>
      <c r="ET863" s="1818"/>
      <c r="EU863" s="1818"/>
      <c r="EV863" s="1818"/>
      <c r="EW863" s="1818"/>
      <c r="EX863" s="1818"/>
      <c r="EY863" s="1818"/>
      <c r="EZ863" s="1818"/>
      <c r="FA863" s="1818"/>
      <c r="FB863" s="1818"/>
      <c r="FC863" s="1818"/>
      <c r="FD863" s="1818"/>
      <c r="FE863" s="1818"/>
      <c r="FF863" s="1818"/>
      <c r="FG863" s="1818"/>
      <c r="FH863" s="1818"/>
      <c r="FI863" s="1818"/>
      <c r="FJ863" s="1818"/>
      <c r="FK863" s="1818"/>
      <c r="FL863" s="1818"/>
      <c r="FM863" s="1818"/>
      <c r="FN863" s="1818"/>
      <c r="FO863" s="1818"/>
      <c r="FP863" s="1818"/>
      <c r="FQ863" s="1818"/>
      <c r="FR863" s="1818"/>
      <c r="FS863" s="1818"/>
      <c r="FT863" s="1818"/>
    </row>
    <row r="864" spans="1:176" s="1965" customFormat="1" ht="32.1" customHeight="1">
      <c r="A864" s="2535"/>
      <c r="B864" s="1803"/>
      <c r="C864" s="1817"/>
      <c r="D864" s="1817"/>
      <c r="E864" s="1813"/>
      <c r="F864" s="1813"/>
      <c r="G864" s="1813"/>
      <c r="H864" s="1813"/>
      <c r="I864" s="2434"/>
      <c r="J864" s="2244"/>
      <c r="K864" s="2244"/>
      <c r="L864" s="2244"/>
      <c r="M864" s="2244"/>
      <c r="N864" s="2244"/>
      <c r="O864" s="2244"/>
      <c r="P864" s="2245"/>
      <c r="Q864" s="2245"/>
      <c r="R864" s="2435"/>
      <c r="S864" s="2244"/>
      <c r="T864" s="2244"/>
      <c r="U864" s="2244"/>
      <c r="V864" s="2244"/>
      <c r="W864" s="2244"/>
      <c r="X864" s="2244"/>
      <c r="Y864" s="1818"/>
      <c r="Z864" s="1818"/>
      <c r="AA864" s="1818"/>
      <c r="AB864" s="1818"/>
      <c r="AC864" s="1818"/>
      <c r="AD864" s="1818"/>
      <c r="AE864" s="1818"/>
      <c r="AF864" s="1818"/>
      <c r="AG864" s="1818"/>
      <c r="AH864" s="1818"/>
      <c r="AI864" s="1818"/>
      <c r="AJ864" s="1818"/>
      <c r="AK864" s="1818"/>
      <c r="AL864" s="1818"/>
      <c r="AM864" s="1818"/>
      <c r="AN864" s="1818"/>
      <c r="AO864" s="1818"/>
      <c r="AP864" s="1818"/>
      <c r="AQ864" s="1818"/>
      <c r="AR864" s="1818"/>
      <c r="AS864" s="1818"/>
      <c r="AT864" s="1818"/>
      <c r="AU864" s="1818"/>
      <c r="AV864" s="1818"/>
      <c r="AW864" s="1818"/>
      <c r="AX864" s="1818"/>
      <c r="AY864" s="1818"/>
      <c r="AZ864" s="1818"/>
      <c r="BA864" s="1818"/>
      <c r="BB864" s="1818"/>
      <c r="BC864" s="1818"/>
      <c r="BD864" s="1818"/>
      <c r="BE864" s="1818"/>
      <c r="BF864" s="1818"/>
      <c r="BG864" s="1818"/>
      <c r="BH864" s="1818"/>
      <c r="BI864" s="1818"/>
      <c r="BJ864" s="1818"/>
      <c r="BK864" s="1818"/>
      <c r="BL864" s="1818"/>
      <c r="BM864" s="1818"/>
      <c r="BN864" s="1818"/>
      <c r="BO864" s="1818"/>
      <c r="BP864" s="1818"/>
      <c r="BQ864" s="1818"/>
      <c r="BR864" s="1818"/>
      <c r="BS864" s="1818"/>
      <c r="BT864" s="1818"/>
      <c r="BU864" s="1818"/>
      <c r="BV864" s="1818"/>
      <c r="BW864" s="1818"/>
      <c r="BX864" s="1818"/>
      <c r="BY864" s="1818"/>
      <c r="BZ864" s="1818"/>
      <c r="CA864" s="1818"/>
      <c r="CB864" s="1818"/>
      <c r="CC864" s="1818"/>
      <c r="CD864" s="1818"/>
      <c r="CE864" s="1818"/>
      <c r="CF864" s="1818"/>
      <c r="CG864" s="1818"/>
      <c r="CH864" s="1818"/>
      <c r="CI864" s="1818"/>
      <c r="CJ864" s="1818"/>
      <c r="CK864" s="1818"/>
      <c r="CL864" s="1818"/>
      <c r="CM864" s="1818"/>
      <c r="CN864" s="1818"/>
      <c r="CO864" s="1818"/>
      <c r="CP864" s="1818"/>
      <c r="CQ864" s="1818"/>
      <c r="CR864" s="1818"/>
      <c r="CS864" s="1818"/>
      <c r="CT864" s="1818"/>
      <c r="CU864" s="1818"/>
      <c r="CV864" s="1818"/>
      <c r="CW864" s="1818"/>
      <c r="CX864" s="1818"/>
      <c r="CY864" s="1818"/>
      <c r="CZ864" s="1818"/>
      <c r="DA864" s="1818"/>
      <c r="DB864" s="1818"/>
      <c r="DC864" s="1818"/>
      <c r="DD864" s="1818"/>
      <c r="DE864" s="1818"/>
      <c r="DF864" s="1818"/>
      <c r="DG864" s="1818"/>
      <c r="DH864" s="1818"/>
      <c r="DI864" s="1818"/>
      <c r="DJ864" s="1818"/>
      <c r="DK864" s="1818"/>
      <c r="DL864" s="1818"/>
      <c r="DM864" s="1818"/>
      <c r="DN864" s="1818"/>
      <c r="DO864" s="1818"/>
      <c r="DP864" s="1818"/>
      <c r="DQ864" s="1818"/>
      <c r="DR864" s="1818"/>
      <c r="DS864" s="1818"/>
      <c r="DT864" s="1818"/>
      <c r="DU864" s="1818"/>
      <c r="DV864" s="1818"/>
      <c r="DW864" s="1818"/>
      <c r="DX864" s="1818"/>
      <c r="DY864" s="1818"/>
      <c r="DZ864" s="1818"/>
      <c r="EA864" s="1818"/>
      <c r="EB864" s="1818"/>
      <c r="EC864" s="1818"/>
      <c r="ED864" s="1818"/>
      <c r="EE864" s="1818"/>
      <c r="EF864" s="1818"/>
      <c r="EG864" s="1818"/>
      <c r="EH864" s="1818"/>
      <c r="EI864" s="1818"/>
      <c r="EJ864" s="1818"/>
      <c r="EK864" s="1818"/>
      <c r="EL864" s="1818"/>
      <c r="EM864" s="1818"/>
      <c r="EN864" s="1818"/>
      <c r="EO864" s="1818"/>
      <c r="EP864" s="1818"/>
      <c r="EQ864" s="1818"/>
      <c r="ER864" s="1818"/>
      <c r="ES864" s="1818"/>
      <c r="ET864" s="1818"/>
      <c r="EU864" s="1818"/>
      <c r="EV864" s="1818"/>
      <c r="EW864" s="1818"/>
      <c r="EX864" s="1818"/>
      <c r="EY864" s="1818"/>
      <c r="EZ864" s="1818"/>
      <c r="FA864" s="1818"/>
      <c r="FB864" s="1818"/>
      <c r="FC864" s="1818"/>
      <c r="FD864" s="1818"/>
      <c r="FE864" s="1818"/>
      <c r="FF864" s="1818"/>
      <c r="FG864" s="1818"/>
      <c r="FH864" s="1818"/>
      <c r="FI864" s="1818"/>
      <c r="FJ864" s="1818"/>
      <c r="FK864" s="1818"/>
      <c r="FL864" s="1818"/>
      <c r="FM864" s="1818"/>
      <c r="FN864" s="1818"/>
      <c r="FO864" s="1818"/>
      <c r="FP864" s="1818"/>
      <c r="FQ864" s="1818"/>
      <c r="FR864" s="1818"/>
      <c r="FS864" s="1818"/>
      <c r="FT864" s="1818"/>
    </row>
    <row r="865" spans="1:176" s="1965" customFormat="1" ht="32.1" customHeight="1">
      <c r="A865" s="2535"/>
      <c r="B865" s="1803"/>
      <c r="C865" s="1817"/>
      <c r="D865" s="1817"/>
      <c r="E865" s="1813"/>
      <c r="F865" s="1813"/>
      <c r="G865" s="1813"/>
      <c r="H865" s="1813"/>
      <c r="I865" s="2434"/>
      <c r="J865" s="2244"/>
      <c r="K865" s="2244"/>
      <c r="L865" s="2244"/>
      <c r="M865" s="2244"/>
      <c r="N865" s="2244"/>
      <c r="O865" s="2244"/>
      <c r="P865" s="2245"/>
      <c r="Q865" s="2245"/>
      <c r="R865" s="2435"/>
      <c r="S865" s="2244"/>
      <c r="T865" s="2244"/>
      <c r="U865" s="2244"/>
      <c r="V865" s="2244"/>
      <c r="W865" s="2244"/>
      <c r="X865" s="2244"/>
      <c r="Y865" s="1818"/>
      <c r="Z865" s="1818"/>
      <c r="AA865" s="1818"/>
      <c r="AB865" s="1818"/>
      <c r="AC865" s="1818"/>
      <c r="AD865" s="1818"/>
      <c r="AE865" s="1818"/>
      <c r="AF865" s="1818"/>
      <c r="AG865" s="1818"/>
      <c r="AH865" s="1818"/>
      <c r="AI865" s="1818"/>
      <c r="AJ865" s="1818"/>
      <c r="AK865" s="1818"/>
      <c r="AL865" s="1818"/>
      <c r="AM865" s="1818"/>
      <c r="AN865" s="1818"/>
      <c r="AO865" s="1818"/>
      <c r="AP865" s="1818"/>
      <c r="AQ865" s="1818"/>
      <c r="AR865" s="1818"/>
      <c r="AS865" s="1818"/>
      <c r="AT865" s="1818"/>
      <c r="AU865" s="1818"/>
      <c r="AV865" s="1818"/>
      <c r="AW865" s="1818"/>
      <c r="AX865" s="1818"/>
      <c r="AY865" s="1818"/>
      <c r="AZ865" s="1818"/>
      <c r="BA865" s="1818"/>
      <c r="BB865" s="1818"/>
      <c r="BC865" s="1818"/>
      <c r="BD865" s="1818"/>
      <c r="BE865" s="1818"/>
      <c r="BF865" s="1818"/>
      <c r="BG865" s="1818"/>
      <c r="BH865" s="1818"/>
      <c r="BI865" s="1818"/>
      <c r="BJ865" s="1818"/>
      <c r="BK865" s="1818"/>
      <c r="BL865" s="1818"/>
      <c r="BM865" s="1818"/>
      <c r="BN865" s="1818"/>
      <c r="BO865" s="1818"/>
      <c r="BP865" s="1818"/>
      <c r="BQ865" s="1818"/>
      <c r="BR865" s="1818"/>
      <c r="BS865" s="1818"/>
      <c r="BT865" s="1818"/>
      <c r="BU865" s="1818"/>
      <c r="BV865" s="1818"/>
      <c r="BW865" s="1818"/>
      <c r="BX865" s="1818"/>
      <c r="BY865" s="1818"/>
      <c r="BZ865" s="1818"/>
      <c r="CA865" s="1818"/>
      <c r="CB865" s="1818"/>
      <c r="CC865" s="1818"/>
      <c r="CD865" s="1818"/>
      <c r="CE865" s="1818"/>
      <c r="CF865" s="1818"/>
      <c r="CG865" s="1818"/>
      <c r="CH865" s="1818"/>
      <c r="CI865" s="1818"/>
      <c r="CJ865" s="1818"/>
      <c r="CK865" s="1818"/>
      <c r="CL865" s="1818"/>
      <c r="CM865" s="1818"/>
      <c r="CN865" s="1818"/>
      <c r="CO865" s="1818"/>
      <c r="CP865" s="1818"/>
      <c r="CQ865" s="1818"/>
      <c r="CR865" s="1818"/>
      <c r="CS865" s="1818"/>
      <c r="CT865" s="1818"/>
      <c r="CU865" s="1818"/>
      <c r="CV865" s="1818"/>
      <c r="CW865" s="1818"/>
      <c r="CX865" s="1818"/>
      <c r="CY865" s="1818"/>
      <c r="CZ865" s="1818"/>
      <c r="DA865" s="1818"/>
      <c r="DB865" s="1818"/>
      <c r="DC865" s="1818"/>
      <c r="DD865" s="1818"/>
      <c r="DE865" s="1818"/>
      <c r="DF865" s="1818"/>
      <c r="DG865" s="1818"/>
      <c r="DH865" s="1818"/>
      <c r="DI865" s="1818"/>
      <c r="DJ865" s="1818"/>
      <c r="DK865" s="1818"/>
      <c r="DL865" s="1818"/>
      <c r="DM865" s="1818"/>
      <c r="DN865" s="1818"/>
      <c r="DO865" s="1818"/>
      <c r="DP865" s="1818"/>
      <c r="DQ865" s="1818"/>
      <c r="DR865" s="1818"/>
      <c r="DS865" s="1818"/>
      <c r="DT865" s="1818"/>
      <c r="DU865" s="1818"/>
      <c r="DV865" s="1818"/>
      <c r="DW865" s="1818"/>
      <c r="DX865" s="1818"/>
      <c r="DY865" s="1818"/>
      <c r="DZ865" s="1818"/>
      <c r="EA865" s="1818"/>
      <c r="EB865" s="1818"/>
      <c r="EC865" s="1818"/>
      <c r="ED865" s="1818"/>
      <c r="EE865" s="1818"/>
      <c r="EF865" s="1818"/>
      <c r="EG865" s="1818"/>
      <c r="EH865" s="1818"/>
      <c r="EI865" s="1818"/>
      <c r="EJ865" s="1818"/>
      <c r="EK865" s="1818"/>
      <c r="EL865" s="1818"/>
      <c r="EM865" s="1818"/>
      <c r="EN865" s="1818"/>
      <c r="EO865" s="1818"/>
      <c r="EP865" s="1818"/>
      <c r="EQ865" s="1818"/>
      <c r="ER865" s="1818"/>
      <c r="ES865" s="1818"/>
      <c r="ET865" s="1818"/>
      <c r="EU865" s="1818"/>
      <c r="EV865" s="1818"/>
      <c r="EW865" s="1818"/>
      <c r="EX865" s="1818"/>
      <c r="EY865" s="1818"/>
      <c r="EZ865" s="1818"/>
      <c r="FA865" s="1818"/>
      <c r="FB865" s="1818"/>
      <c r="FC865" s="1818"/>
      <c r="FD865" s="1818"/>
      <c r="FE865" s="1818"/>
      <c r="FF865" s="1818"/>
      <c r="FG865" s="1818"/>
      <c r="FH865" s="1818"/>
      <c r="FI865" s="1818"/>
      <c r="FJ865" s="1818"/>
      <c r="FK865" s="1818"/>
      <c r="FL865" s="1818"/>
      <c r="FM865" s="1818"/>
      <c r="FN865" s="1818"/>
      <c r="FO865" s="1818"/>
      <c r="FP865" s="1818"/>
      <c r="FQ865" s="1818"/>
      <c r="FR865" s="1818"/>
      <c r="FS865" s="1818"/>
      <c r="FT865" s="1818"/>
    </row>
    <row r="866" spans="1:176" s="1965" customFormat="1" ht="32.1" customHeight="1">
      <c r="A866" s="2535"/>
      <c r="B866" s="1803"/>
      <c r="C866" s="1817"/>
      <c r="D866" s="1817"/>
      <c r="E866" s="1813"/>
      <c r="F866" s="1813"/>
      <c r="G866" s="1813"/>
      <c r="H866" s="1813"/>
      <c r="I866" s="2434"/>
      <c r="J866" s="2244"/>
      <c r="K866" s="2244"/>
      <c r="L866" s="2244"/>
      <c r="M866" s="2244"/>
      <c r="N866" s="2244"/>
      <c r="O866" s="2244"/>
      <c r="P866" s="2245"/>
      <c r="Q866" s="2245"/>
      <c r="R866" s="2435"/>
      <c r="S866" s="2244"/>
      <c r="T866" s="2244"/>
      <c r="U866" s="2244"/>
      <c r="V866" s="2244"/>
      <c r="W866" s="2244"/>
      <c r="X866" s="2244"/>
      <c r="Y866" s="1818"/>
      <c r="Z866" s="1818"/>
      <c r="AA866" s="1818"/>
      <c r="AB866" s="1818"/>
      <c r="AC866" s="1818"/>
      <c r="AD866" s="1818"/>
      <c r="AE866" s="1818"/>
      <c r="AF866" s="1818"/>
      <c r="AG866" s="1818"/>
      <c r="AH866" s="1818"/>
      <c r="AI866" s="1818"/>
      <c r="AJ866" s="1818"/>
      <c r="AK866" s="1818"/>
      <c r="AL866" s="1818"/>
      <c r="AM866" s="1818"/>
      <c r="AN866" s="1818"/>
      <c r="AO866" s="1818"/>
      <c r="AP866" s="1818"/>
      <c r="AQ866" s="1818"/>
      <c r="AR866" s="1818"/>
      <c r="AS866" s="1818"/>
      <c r="AT866" s="1818"/>
      <c r="AU866" s="1818"/>
      <c r="AV866" s="1818"/>
      <c r="AW866" s="1818"/>
      <c r="AX866" s="1818"/>
      <c r="AY866" s="1818"/>
      <c r="AZ866" s="1818"/>
      <c r="BA866" s="1818"/>
      <c r="BB866" s="1818"/>
      <c r="BC866" s="1818"/>
      <c r="BD866" s="1818"/>
      <c r="BE866" s="1818"/>
      <c r="BF866" s="1818"/>
      <c r="BG866" s="1818"/>
      <c r="BH866" s="1818"/>
      <c r="BI866" s="1818"/>
      <c r="BJ866" s="1818"/>
      <c r="BK866" s="1818"/>
      <c r="BL866" s="1818"/>
      <c r="BM866" s="1818"/>
      <c r="BN866" s="1818"/>
      <c r="BO866" s="1818"/>
      <c r="BP866" s="1818"/>
      <c r="BQ866" s="1818"/>
      <c r="BR866" s="1818"/>
      <c r="BS866" s="1818"/>
      <c r="BT866" s="1818"/>
      <c r="BU866" s="1818"/>
      <c r="BV866" s="1818"/>
      <c r="BW866" s="1818"/>
      <c r="BX866" s="1818"/>
      <c r="BY866" s="1818"/>
      <c r="BZ866" s="1818"/>
      <c r="CA866" s="1818"/>
      <c r="CB866" s="1818"/>
      <c r="CC866" s="1818"/>
      <c r="CD866" s="1818"/>
      <c r="CE866" s="1818"/>
      <c r="CF866" s="1818"/>
      <c r="CG866" s="1818"/>
      <c r="CH866" s="1818"/>
      <c r="CI866" s="1818"/>
      <c r="CJ866" s="1818"/>
      <c r="CK866" s="1818"/>
      <c r="CL866" s="1818"/>
      <c r="CM866" s="1818"/>
      <c r="CN866" s="1818"/>
      <c r="CO866" s="1818"/>
      <c r="CP866" s="1818"/>
      <c r="CQ866" s="1818"/>
      <c r="CR866" s="1818"/>
      <c r="CS866" s="1818"/>
      <c r="CT866" s="1818"/>
      <c r="CU866" s="1818"/>
      <c r="CV866" s="1818"/>
      <c r="CW866" s="1818"/>
      <c r="CX866" s="1818"/>
      <c r="CY866" s="1818"/>
      <c r="CZ866" s="1818"/>
      <c r="DA866" s="1818"/>
      <c r="DB866" s="1818"/>
      <c r="DC866" s="1818"/>
      <c r="DD866" s="1818"/>
      <c r="DE866" s="1818"/>
      <c r="DF866" s="1818"/>
      <c r="DG866" s="1818"/>
      <c r="DH866" s="1818"/>
      <c r="DI866" s="1818"/>
      <c r="DJ866" s="1818"/>
      <c r="DK866" s="1818"/>
      <c r="DL866" s="1818"/>
      <c r="DM866" s="1818"/>
      <c r="DN866" s="1818"/>
      <c r="DO866" s="1818"/>
      <c r="DP866" s="1818"/>
      <c r="DQ866" s="1818"/>
      <c r="DR866" s="1818"/>
      <c r="DS866" s="1818"/>
      <c r="DT866" s="1818"/>
      <c r="DU866" s="1818"/>
      <c r="DV866" s="1818"/>
      <c r="DW866" s="1818"/>
      <c r="DX866" s="1818"/>
      <c r="DY866" s="1818"/>
      <c r="DZ866" s="1818"/>
      <c r="EA866" s="1818"/>
      <c r="EB866" s="1818"/>
      <c r="EC866" s="1818"/>
      <c r="ED866" s="1818"/>
      <c r="EE866" s="1818"/>
      <c r="EF866" s="1818"/>
      <c r="EG866" s="1818"/>
      <c r="EH866" s="1818"/>
      <c r="EI866" s="1818"/>
      <c r="EJ866" s="1818"/>
      <c r="EK866" s="1818"/>
      <c r="EL866" s="1818"/>
      <c r="EM866" s="1818"/>
      <c r="EN866" s="1818"/>
      <c r="EO866" s="1818"/>
      <c r="EP866" s="1818"/>
      <c r="EQ866" s="1818"/>
      <c r="ER866" s="1818"/>
      <c r="ES866" s="1818"/>
      <c r="ET866" s="1818"/>
      <c r="EU866" s="1818"/>
      <c r="EV866" s="1818"/>
      <c r="EW866" s="1818"/>
      <c r="EX866" s="1818"/>
      <c r="EY866" s="1818"/>
      <c r="EZ866" s="1818"/>
      <c r="FA866" s="1818"/>
      <c r="FB866" s="1818"/>
      <c r="FC866" s="1818"/>
      <c r="FD866" s="1818"/>
      <c r="FE866" s="1818"/>
      <c r="FF866" s="1818"/>
      <c r="FG866" s="1818"/>
      <c r="FH866" s="1818"/>
      <c r="FI866" s="1818"/>
      <c r="FJ866" s="1818"/>
      <c r="FK866" s="1818"/>
      <c r="FL866" s="1818"/>
      <c r="FM866" s="1818"/>
      <c r="FN866" s="1818"/>
      <c r="FO866" s="1818"/>
      <c r="FP866" s="1818"/>
      <c r="FQ866" s="1818"/>
      <c r="FR866" s="1818"/>
      <c r="FS866" s="1818"/>
      <c r="FT866" s="1818"/>
    </row>
    <row r="867" spans="1:176" s="1965" customFormat="1" ht="32.1" customHeight="1">
      <c r="A867" s="2535"/>
      <c r="B867" s="1803"/>
      <c r="C867" s="1817"/>
      <c r="D867" s="1817"/>
      <c r="E867" s="1813"/>
      <c r="F867" s="1813"/>
      <c r="G867" s="1813"/>
      <c r="H867" s="1813"/>
      <c r="I867" s="2434"/>
      <c r="J867" s="2244"/>
      <c r="K867" s="2244"/>
      <c r="L867" s="2244"/>
      <c r="M867" s="2244"/>
      <c r="N867" s="2244"/>
      <c r="O867" s="2244"/>
      <c r="P867" s="2245"/>
      <c r="Q867" s="2245"/>
      <c r="R867" s="2435"/>
      <c r="S867" s="2244"/>
      <c r="T867" s="2244"/>
      <c r="U867" s="2244"/>
      <c r="V867" s="2244"/>
      <c r="W867" s="2244"/>
      <c r="X867" s="2244"/>
      <c r="Y867" s="1818"/>
      <c r="Z867" s="1818"/>
      <c r="AA867" s="1818"/>
      <c r="AB867" s="1818"/>
      <c r="AC867" s="1818"/>
      <c r="AD867" s="1818"/>
      <c r="AE867" s="1818"/>
      <c r="AF867" s="1818"/>
      <c r="AG867" s="1818"/>
      <c r="AH867" s="1818"/>
      <c r="AI867" s="1818"/>
      <c r="AJ867" s="1818"/>
      <c r="AK867" s="1818"/>
      <c r="AL867" s="1818"/>
      <c r="AM867" s="1818"/>
      <c r="AN867" s="1818"/>
      <c r="AO867" s="1818"/>
      <c r="AP867" s="1818"/>
      <c r="AQ867" s="1818"/>
      <c r="AR867" s="1818"/>
      <c r="AS867" s="1818"/>
      <c r="AT867" s="1818"/>
      <c r="AU867" s="1818"/>
      <c r="AV867" s="1818"/>
      <c r="AW867" s="1818"/>
      <c r="AX867" s="1818"/>
      <c r="AY867" s="1818"/>
      <c r="AZ867" s="1818"/>
      <c r="BA867" s="1818"/>
      <c r="BB867" s="1818"/>
      <c r="BC867" s="1818"/>
      <c r="BD867" s="1818"/>
      <c r="BE867" s="1818"/>
      <c r="BF867" s="1818"/>
      <c r="BG867" s="1818"/>
      <c r="BH867" s="1818"/>
      <c r="BI867" s="1818"/>
      <c r="BJ867" s="1818"/>
      <c r="BK867" s="1818"/>
      <c r="BL867" s="1818"/>
      <c r="BM867" s="1818"/>
      <c r="BN867" s="1818"/>
      <c r="BO867" s="1818"/>
      <c r="BP867" s="1818"/>
      <c r="BQ867" s="1818"/>
      <c r="BR867" s="1818"/>
      <c r="BS867" s="1818"/>
      <c r="BT867" s="1818"/>
      <c r="BU867" s="1818"/>
      <c r="BV867" s="1818"/>
      <c r="BW867" s="1818"/>
      <c r="BX867" s="1818"/>
      <c r="BY867" s="1818"/>
      <c r="BZ867" s="1818"/>
      <c r="CA867" s="1818"/>
      <c r="CB867" s="1818"/>
      <c r="CC867" s="1818"/>
      <c r="CD867" s="1818"/>
      <c r="CE867" s="1818"/>
      <c r="CF867" s="1818"/>
      <c r="CG867" s="1818"/>
      <c r="CH867" s="1818"/>
      <c r="CI867" s="1818"/>
      <c r="CJ867" s="1818"/>
      <c r="CK867" s="1818"/>
      <c r="CL867" s="1818"/>
      <c r="CM867" s="1818"/>
      <c r="CN867" s="1818"/>
      <c r="CO867" s="1818"/>
      <c r="CP867" s="1818"/>
      <c r="CQ867" s="1818"/>
      <c r="CR867" s="1818"/>
      <c r="CS867" s="1818"/>
      <c r="CT867" s="1818"/>
      <c r="CU867" s="1818"/>
      <c r="CV867" s="1818"/>
      <c r="CW867" s="1818"/>
      <c r="CX867" s="1818"/>
      <c r="CY867" s="1818"/>
      <c r="CZ867" s="1818"/>
      <c r="DA867" s="1818"/>
      <c r="DB867" s="1818"/>
      <c r="DC867" s="1818"/>
      <c r="DD867" s="1818"/>
      <c r="DE867" s="1818"/>
      <c r="DF867" s="1818"/>
      <c r="DG867" s="1818"/>
      <c r="DH867" s="1818"/>
      <c r="DI867" s="1818"/>
      <c r="DJ867" s="1818"/>
      <c r="DK867" s="1818"/>
      <c r="DL867" s="1818"/>
      <c r="DM867" s="1818"/>
      <c r="DN867" s="1818"/>
      <c r="DO867" s="1818"/>
      <c r="DP867" s="1818"/>
      <c r="DQ867" s="1818"/>
      <c r="DR867" s="1818"/>
      <c r="DS867" s="1818"/>
      <c r="DT867" s="1818"/>
      <c r="DU867" s="1818"/>
      <c r="DV867" s="1818"/>
      <c r="DW867" s="1818"/>
      <c r="DX867" s="1818"/>
      <c r="DY867" s="1818"/>
      <c r="DZ867" s="1818"/>
      <c r="EA867" s="1818"/>
      <c r="EB867" s="1818"/>
      <c r="EC867" s="1818"/>
      <c r="ED867" s="1818"/>
      <c r="EE867" s="1818"/>
      <c r="EF867" s="1818"/>
      <c r="EG867" s="1818"/>
      <c r="EH867" s="1818"/>
      <c r="EI867" s="1818"/>
      <c r="EJ867" s="1818"/>
      <c r="EK867" s="1818"/>
      <c r="EL867" s="1818"/>
      <c r="EM867" s="1818"/>
      <c r="EN867" s="1818"/>
      <c r="EO867" s="1818"/>
      <c r="EP867" s="1818"/>
      <c r="EQ867" s="1818"/>
      <c r="ER867" s="1818"/>
      <c r="ES867" s="1818"/>
      <c r="ET867" s="1818"/>
      <c r="EU867" s="1818"/>
      <c r="EV867" s="1818"/>
      <c r="EW867" s="1818"/>
      <c r="EX867" s="1818"/>
      <c r="EY867" s="1818"/>
      <c r="EZ867" s="1818"/>
      <c r="FA867" s="1818"/>
      <c r="FB867" s="1818"/>
      <c r="FC867" s="1818"/>
      <c r="FD867" s="1818"/>
      <c r="FE867" s="1818"/>
      <c r="FF867" s="1818"/>
      <c r="FG867" s="1818"/>
      <c r="FH867" s="1818"/>
      <c r="FI867" s="1818"/>
      <c r="FJ867" s="1818"/>
      <c r="FK867" s="1818"/>
      <c r="FL867" s="1818"/>
      <c r="FM867" s="1818"/>
      <c r="FN867" s="1818"/>
      <c r="FO867" s="1818"/>
      <c r="FP867" s="1818"/>
      <c r="FQ867" s="1818"/>
      <c r="FR867" s="1818"/>
      <c r="FS867" s="1818"/>
      <c r="FT867" s="1818"/>
    </row>
    <row r="868" spans="1:176" s="1965" customFormat="1" ht="32.1" customHeight="1">
      <c r="A868" s="2535"/>
      <c r="B868" s="1803"/>
      <c r="C868" s="1817"/>
      <c r="D868" s="1817"/>
      <c r="E868" s="1813"/>
      <c r="F868" s="1813"/>
      <c r="G868" s="1813"/>
      <c r="H868" s="1813"/>
      <c r="I868" s="2434"/>
      <c r="J868" s="2244"/>
      <c r="K868" s="2244"/>
      <c r="L868" s="2244"/>
      <c r="M868" s="2244"/>
      <c r="N868" s="2244"/>
      <c r="O868" s="2244"/>
      <c r="P868" s="2245"/>
      <c r="Q868" s="2245"/>
      <c r="R868" s="2435"/>
      <c r="S868" s="2244"/>
      <c r="T868" s="2244"/>
      <c r="U868" s="2244"/>
      <c r="V868" s="2244"/>
      <c r="W868" s="2244"/>
      <c r="X868" s="2244"/>
      <c r="Y868" s="1818"/>
      <c r="Z868" s="1818"/>
      <c r="AA868" s="1818"/>
      <c r="AB868" s="1818"/>
      <c r="AC868" s="1818"/>
      <c r="AD868" s="1818"/>
      <c r="AE868" s="1818"/>
      <c r="AF868" s="1818"/>
      <c r="AG868" s="1818"/>
      <c r="AH868" s="1818"/>
      <c r="AI868" s="1818"/>
      <c r="AJ868" s="1818"/>
      <c r="AK868" s="1818"/>
      <c r="AL868" s="1818"/>
      <c r="AM868" s="1818"/>
      <c r="AN868" s="1818"/>
      <c r="AO868" s="1818"/>
      <c r="AP868" s="1818"/>
      <c r="AQ868" s="1818"/>
      <c r="AR868" s="1818"/>
      <c r="AS868" s="1818"/>
      <c r="AT868" s="1818"/>
      <c r="AU868" s="1818"/>
      <c r="AV868" s="1818"/>
      <c r="AW868" s="1818"/>
      <c r="AX868" s="1818"/>
      <c r="AY868" s="1818"/>
      <c r="AZ868" s="1818"/>
      <c r="BA868" s="1818"/>
      <c r="BB868" s="1818"/>
      <c r="BC868" s="1818"/>
      <c r="BD868" s="1818"/>
      <c r="BE868" s="1818"/>
      <c r="BF868" s="1818"/>
      <c r="BG868" s="1818"/>
      <c r="BH868" s="1818"/>
      <c r="BI868" s="1818"/>
      <c r="BJ868" s="1818"/>
      <c r="BK868" s="1818"/>
      <c r="BL868" s="1818"/>
      <c r="BM868" s="1818"/>
      <c r="BN868" s="1818"/>
      <c r="BO868" s="1818"/>
      <c r="BP868" s="1818"/>
      <c r="BQ868" s="1818"/>
      <c r="BR868" s="1818"/>
      <c r="BS868" s="1818"/>
      <c r="BT868" s="1818"/>
      <c r="BU868" s="1818"/>
      <c r="BV868" s="1818"/>
      <c r="BW868" s="1818"/>
      <c r="BX868" s="1818"/>
      <c r="BY868" s="1818"/>
      <c r="BZ868" s="1818"/>
      <c r="CA868" s="1818"/>
      <c r="CB868" s="1818"/>
      <c r="CC868" s="1818"/>
      <c r="CD868" s="1818"/>
      <c r="CE868" s="1818"/>
      <c r="CF868" s="1818"/>
      <c r="CG868" s="1818"/>
      <c r="CH868" s="1818"/>
      <c r="CI868" s="1818"/>
      <c r="CJ868" s="1818"/>
      <c r="CK868" s="1818"/>
      <c r="CL868" s="1818"/>
      <c r="CM868" s="1818"/>
      <c r="CN868" s="1818"/>
      <c r="CO868" s="1818"/>
      <c r="CP868" s="1818"/>
      <c r="CQ868" s="1818"/>
      <c r="CR868" s="1818"/>
      <c r="CS868" s="1818"/>
      <c r="CT868" s="1818"/>
      <c r="CU868" s="1818"/>
      <c r="CV868" s="1818"/>
      <c r="CW868" s="1818"/>
      <c r="CX868" s="1818"/>
      <c r="CY868" s="1818"/>
      <c r="CZ868" s="1818"/>
      <c r="DA868" s="1818"/>
      <c r="DB868" s="1818"/>
      <c r="DC868" s="1818"/>
      <c r="DD868" s="1818"/>
      <c r="DE868" s="1818"/>
      <c r="DF868" s="1818"/>
      <c r="DG868" s="1818"/>
      <c r="DH868" s="1818"/>
      <c r="DI868" s="1818"/>
      <c r="DJ868" s="1818"/>
      <c r="DK868" s="1818"/>
      <c r="DL868" s="1818"/>
      <c r="DM868" s="1818"/>
      <c r="DN868" s="1818"/>
      <c r="DO868" s="1818"/>
      <c r="DP868" s="1818"/>
      <c r="DQ868" s="1818"/>
      <c r="DR868" s="1818"/>
      <c r="DS868" s="1818"/>
      <c r="DT868" s="1818"/>
      <c r="DU868" s="1818"/>
      <c r="DV868" s="1818"/>
      <c r="DW868" s="1818"/>
      <c r="DX868" s="1818"/>
      <c r="DY868" s="1818"/>
      <c r="DZ868" s="1818"/>
      <c r="EA868" s="1818"/>
      <c r="EB868" s="1818"/>
      <c r="EC868" s="1818"/>
      <c r="ED868" s="1818"/>
      <c r="EE868" s="1818"/>
      <c r="EF868" s="1818"/>
      <c r="EG868" s="1818"/>
      <c r="EH868" s="1818"/>
      <c r="EI868" s="1818"/>
      <c r="EJ868" s="1818"/>
      <c r="EK868" s="1818"/>
      <c r="EL868" s="1818"/>
      <c r="EM868" s="1818"/>
      <c r="EN868" s="1818"/>
      <c r="EO868" s="1818"/>
      <c r="EP868" s="1818"/>
      <c r="EQ868" s="1818"/>
      <c r="ER868" s="1818"/>
      <c r="ES868" s="1818"/>
      <c r="ET868" s="1818"/>
      <c r="EU868" s="1818"/>
      <c r="EV868" s="1818"/>
      <c r="EW868" s="1818"/>
      <c r="EX868" s="1818"/>
      <c r="EY868" s="1818"/>
      <c r="EZ868" s="1818"/>
      <c r="FA868" s="1818"/>
      <c r="FB868" s="1818"/>
      <c r="FC868" s="1818"/>
      <c r="FD868" s="1818"/>
      <c r="FE868" s="1818"/>
      <c r="FF868" s="1818"/>
      <c r="FG868" s="1818"/>
      <c r="FH868" s="1818"/>
      <c r="FI868" s="1818"/>
      <c r="FJ868" s="1818"/>
      <c r="FK868" s="1818"/>
      <c r="FL868" s="1818"/>
      <c r="FM868" s="1818"/>
      <c r="FN868" s="1818"/>
      <c r="FO868" s="1818"/>
      <c r="FP868" s="1818"/>
      <c r="FQ868" s="1818"/>
      <c r="FR868" s="1818"/>
      <c r="FS868" s="1818"/>
      <c r="FT868" s="1818"/>
    </row>
    <row r="869" spans="1:176" s="1965" customFormat="1" ht="32.1" customHeight="1">
      <c r="A869" s="2535"/>
      <c r="B869" s="1803"/>
      <c r="C869" s="1817"/>
      <c r="D869" s="1817"/>
      <c r="E869" s="1813"/>
      <c r="F869" s="1813"/>
      <c r="G869" s="1813"/>
      <c r="H869" s="1813"/>
      <c r="I869" s="2434"/>
      <c r="J869" s="2244"/>
      <c r="K869" s="2244"/>
      <c r="L869" s="2244"/>
      <c r="M869" s="2244"/>
      <c r="N869" s="2244"/>
      <c r="O869" s="2244"/>
      <c r="P869" s="2245"/>
      <c r="Q869" s="2245"/>
      <c r="R869" s="2435"/>
      <c r="S869" s="2244"/>
      <c r="T869" s="2244"/>
      <c r="U869" s="2244"/>
      <c r="V869" s="2244"/>
      <c r="W869" s="2244"/>
      <c r="X869" s="2244"/>
      <c r="Y869" s="1818"/>
      <c r="Z869" s="1818"/>
      <c r="AA869" s="1818"/>
      <c r="AB869" s="1818"/>
      <c r="AC869" s="1818"/>
      <c r="AD869" s="1818"/>
      <c r="AE869" s="1818"/>
      <c r="AF869" s="1818"/>
      <c r="AG869" s="1818"/>
      <c r="AH869" s="1818"/>
      <c r="AI869" s="1818"/>
      <c r="AJ869" s="1818"/>
      <c r="AK869" s="1818"/>
      <c r="AL869" s="1818"/>
      <c r="AM869" s="1818"/>
      <c r="AN869" s="1818"/>
      <c r="AO869" s="1818"/>
      <c r="AP869" s="1818"/>
      <c r="AQ869" s="1818"/>
      <c r="AR869" s="1818"/>
      <c r="AS869" s="1818"/>
      <c r="AT869" s="1818"/>
      <c r="AU869" s="1818"/>
      <c r="AV869" s="1818"/>
      <c r="AW869" s="1818"/>
      <c r="AX869" s="1818"/>
      <c r="AY869" s="1818"/>
      <c r="AZ869" s="1818"/>
      <c r="BA869" s="1818"/>
      <c r="BB869" s="1818"/>
      <c r="BC869" s="1818"/>
      <c r="BD869" s="1818"/>
      <c r="BE869" s="1818"/>
      <c r="BF869" s="1818"/>
      <c r="BG869" s="1818"/>
      <c r="BH869" s="1818"/>
      <c r="BI869" s="1818"/>
      <c r="BJ869" s="1818"/>
      <c r="BK869" s="1818"/>
      <c r="BL869" s="1818"/>
      <c r="BM869" s="1818"/>
      <c r="BN869" s="1818"/>
      <c r="BO869" s="1818"/>
      <c r="BP869" s="1818"/>
      <c r="BQ869" s="1818"/>
      <c r="BR869" s="1818"/>
      <c r="BS869" s="1818"/>
      <c r="BT869" s="1818"/>
      <c r="BU869" s="1818"/>
      <c r="BV869" s="1818"/>
      <c r="BW869" s="1818"/>
      <c r="BX869" s="1818"/>
      <c r="BY869" s="1818"/>
      <c r="BZ869" s="1818"/>
      <c r="CA869" s="1818"/>
      <c r="CB869" s="1818"/>
      <c r="CC869" s="1818"/>
      <c r="CD869" s="1818"/>
      <c r="CE869" s="1818"/>
      <c r="CF869" s="1818"/>
      <c r="CG869" s="1818"/>
      <c r="CH869" s="1818"/>
      <c r="CI869" s="1818"/>
      <c r="CJ869" s="1818"/>
      <c r="CK869" s="1818"/>
      <c r="CL869" s="1818"/>
      <c r="CM869" s="1818"/>
      <c r="CN869" s="1818"/>
      <c r="CO869" s="1818"/>
      <c r="CP869" s="1818"/>
      <c r="CQ869" s="1818"/>
      <c r="CR869" s="1818"/>
      <c r="CS869" s="1818"/>
      <c r="CT869" s="1818"/>
      <c r="CU869" s="1818"/>
      <c r="CV869" s="1818"/>
      <c r="CW869" s="1818"/>
      <c r="CX869" s="1818"/>
      <c r="CY869" s="1818"/>
      <c r="CZ869" s="1818"/>
      <c r="DA869" s="1818"/>
      <c r="DB869" s="1818"/>
      <c r="DC869" s="1818"/>
      <c r="DD869" s="1818"/>
      <c r="DE869" s="1818"/>
      <c r="DF869" s="1818"/>
      <c r="DG869" s="1818"/>
      <c r="DH869" s="1818"/>
      <c r="DI869" s="1818"/>
      <c r="DJ869" s="1818"/>
      <c r="DK869" s="1818"/>
      <c r="DL869" s="1818"/>
      <c r="DM869" s="1818"/>
      <c r="DN869" s="1818"/>
      <c r="DO869" s="1818"/>
      <c r="DP869" s="1818"/>
      <c r="DQ869" s="1818"/>
      <c r="DR869" s="1818"/>
      <c r="DS869" s="1818"/>
      <c r="DT869" s="1818"/>
      <c r="DU869" s="1818"/>
      <c r="DV869" s="1818"/>
      <c r="DW869" s="1818"/>
      <c r="DX869" s="1818"/>
      <c r="DY869" s="1818"/>
      <c r="DZ869" s="1818"/>
      <c r="EA869" s="1818"/>
      <c r="EB869" s="1818"/>
      <c r="EC869" s="1818"/>
      <c r="ED869" s="1818"/>
      <c r="EE869" s="1818"/>
      <c r="EF869" s="1818"/>
      <c r="EG869" s="1818"/>
      <c r="EH869" s="1818"/>
      <c r="EI869" s="1818"/>
      <c r="EJ869" s="1818"/>
      <c r="EK869" s="1818"/>
      <c r="EL869" s="1818"/>
      <c r="EM869" s="1818"/>
      <c r="EN869" s="1818"/>
      <c r="EO869" s="1818"/>
      <c r="EP869" s="1818"/>
      <c r="EQ869" s="1818"/>
      <c r="ER869" s="1818"/>
      <c r="ES869" s="1818"/>
      <c r="ET869" s="1818"/>
      <c r="EU869" s="1818"/>
      <c r="EV869" s="1818"/>
      <c r="EW869" s="1818"/>
      <c r="EX869" s="1818"/>
      <c r="EY869" s="1818"/>
      <c r="EZ869" s="1818"/>
      <c r="FA869" s="1818"/>
      <c r="FB869" s="1818"/>
      <c r="FC869" s="1818"/>
      <c r="FD869" s="1818"/>
      <c r="FE869" s="1818"/>
      <c r="FF869" s="1818"/>
      <c r="FG869" s="1818"/>
      <c r="FH869" s="1818"/>
      <c r="FI869" s="1818"/>
      <c r="FJ869" s="1818"/>
      <c r="FK869" s="1818"/>
      <c r="FL869" s="1818"/>
      <c r="FM869" s="1818"/>
      <c r="FN869" s="1818"/>
      <c r="FO869" s="1818"/>
      <c r="FP869" s="1818"/>
      <c r="FQ869" s="1818"/>
      <c r="FR869" s="1818"/>
      <c r="FS869" s="1818"/>
      <c r="FT869" s="1818"/>
    </row>
    <row r="870" spans="1:176" s="1965" customFormat="1" ht="32.1" customHeight="1">
      <c r="A870" s="2535"/>
      <c r="B870" s="1803"/>
      <c r="C870" s="1817"/>
      <c r="D870" s="1817"/>
      <c r="E870" s="1813"/>
      <c r="F870" s="1813"/>
      <c r="G870" s="1813"/>
      <c r="H870" s="1813"/>
      <c r="I870" s="2434"/>
      <c r="J870" s="2244"/>
      <c r="K870" s="2244"/>
      <c r="L870" s="2244"/>
      <c r="M870" s="2244"/>
      <c r="N870" s="2244"/>
      <c r="O870" s="2244"/>
      <c r="P870" s="2245"/>
      <c r="Q870" s="2245"/>
      <c r="R870" s="2435"/>
      <c r="S870" s="2244"/>
      <c r="T870" s="2244"/>
      <c r="U870" s="2244"/>
      <c r="V870" s="2244"/>
      <c r="W870" s="2244"/>
      <c r="X870" s="2244"/>
      <c r="Y870" s="1818"/>
      <c r="Z870" s="1818"/>
      <c r="AA870" s="1818"/>
      <c r="AB870" s="1818"/>
      <c r="AC870" s="1818"/>
      <c r="AD870" s="1818"/>
      <c r="AE870" s="1818"/>
      <c r="AF870" s="1818"/>
      <c r="AG870" s="1818"/>
      <c r="AH870" s="1818"/>
      <c r="AI870" s="1818"/>
      <c r="AJ870" s="1818"/>
      <c r="AK870" s="1818"/>
      <c r="AL870" s="1818"/>
      <c r="AM870" s="1818"/>
      <c r="AN870" s="1818"/>
      <c r="AO870" s="1818"/>
      <c r="AP870" s="1818"/>
      <c r="AQ870" s="1818"/>
      <c r="AR870" s="1818"/>
      <c r="AS870" s="1818"/>
      <c r="AT870" s="1818"/>
      <c r="AU870" s="1818"/>
      <c r="AV870" s="1818"/>
      <c r="AW870" s="1818"/>
      <c r="AX870" s="1818"/>
      <c r="AY870" s="1818"/>
      <c r="AZ870" s="1818"/>
      <c r="BA870" s="1818"/>
      <c r="BB870" s="1818"/>
      <c r="BC870" s="1818"/>
      <c r="BD870" s="1818"/>
      <c r="BE870" s="1818"/>
      <c r="BF870" s="1818"/>
      <c r="BG870" s="1818"/>
      <c r="BH870" s="1818"/>
      <c r="BI870" s="1818"/>
      <c r="BJ870" s="1818"/>
      <c r="BK870" s="1818"/>
      <c r="BL870" s="1818"/>
      <c r="BM870" s="1818"/>
      <c r="BN870" s="1818"/>
      <c r="BO870" s="1818"/>
      <c r="BP870" s="1818"/>
      <c r="BQ870" s="1818"/>
      <c r="BR870" s="1818"/>
      <c r="BS870" s="1818"/>
      <c r="BT870" s="1818"/>
      <c r="BU870" s="1818"/>
      <c r="BV870" s="1818"/>
      <c r="BW870" s="1818"/>
      <c r="BX870" s="1818"/>
      <c r="BY870" s="1818"/>
      <c r="BZ870" s="1818"/>
      <c r="CA870" s="1818"/>
      <c r="CB870" s="1818"/>
      <c r="CC870" s="1818"/>
      <c r="CD870" s="1818"/>
      <c r="CE870" s="1818"/>
      <c r="CF870" s="1818"/>
      <c r="CG870" s="1818"/>
      <c r="CH870" s="1818"/>
      <c r="CI870" s="1818"/>
      <c r="CJ870" s="1818"/>
      <c r="CK870" s="1818"/>
      <c r="CL870" s="1818"/>
      <c r="CM870" s="1818"/>
      <c r="CN870" s="1818"/>
      <c r="CO870" s="1818"/>
      <c r="CP870" s="1818"/>
      <c r="CQ870" s="1818"/>
      <c r="CR870" s="1818"/>
      <c r="CS870" s="1818"/>
      <c r="CT870" s="1818"/>
      <c r="CU870" s="1818"/>
      <c r="CV870" s="1818"/>
      <c r="CW870" s="1818"/>
      <c r="CX870" s="1818"/>
      <c r="CY870" s="1818"/>
      <c r="CZ870" s="1818"/>
      <c r="DA870" s="1818"/>
      <c r="DB870" s="1818"/>
      <c r="DC870" s="1818"/>
      <c r="DD870" s="1818"/>
      <c r="DE870" s="1818"/>
      <c r="DF870" s="1818"/>
      <c r="DG870" s="1818"/>
      <c r="DH870" s="1818"/>
      <c r="DI870" s="1818"/>
      <c r="DJ870" s="1818"/>
      <c r="DK870" s="1818"/>
      <c r="DL870" s="1818"/>
      <c r="DM870" s="1818"/>
      <c r="DN870" s="1818"/>
      <c r="DO870" s="1818"/>
      <c r="DP870" s="1818"/>
      <c r="DQ870" s="1818"/>
      <c r="DR870" s="1818"/>
      <c r="DS870" s="1818"/>
      <c r="DT870" s="1818"/>
      <c r="DU870" s="1818"/>
      <c r="DV870" s="1818"/>
      <c r="DW870" s="1818"/>
      <c r="DX870" s="1818"/>
      <c r="DY870" s="1818"/>
      <c r="DZ870" s="1818"/>
      <c r="EA870" s="1818"/>
      <c r="EB870" s="1818"/>
      <c r="EC870" s="1818"/>
      <c r="ED870" s="1818"/>
      <c r="EE870" s="1818"/>
      <c r="EF870" s="1818"/>
      <c r="EG870" s="1818"/>
      <c r="EH870" s="1818"/>
      <c r="EI870" s="1818"/>
      <c r="EJ870" s="1818"/>
      <c r="EK870" s="1818"/>
      <c r="EL870" s="1818"/>
      <c r="EM870" s="1818"/>
      <c r="EN870" s="1818"/>
      <c r="EO870" s="1818"/>
      <c r="EP870" s="1818"/>
      <c r="EQ870" s="1818"/>
      <c r="ER870" s="1818"/>
      <c r="ES870" s="1818"/>
      <c r="ET870" s="1818"/>
      <c r="EU870" s="1818"/>
      <c r="EV870" s="1818"/>
      <c r="EW870" s="1818"/>
      <c r="EX870" s="1818"/>
      <c r="EY870" s="1818"/>
      <c r="EZ870" s="1818"/>
      <c r="FA870" s="1818"/>
      <c r="FB870" s="1818"/>
      <c r="FC870" s="1818"/>
      <c r="FD870" s="1818"/>
      <c r="FE870" s="1818"/>
      <c r="FF870" s="1818"/>
      <c r="FG870" s="1818"/>
      <c r="FH870" s="1818"/>
      <c r="FI870" s="1818"/>
      <c r="FJ870" s="1818"/>
      <c r="FK870" s="1818"/>
      <c r="FL870" s="1818"/>
      <c r="FM870" s="1818"/>
      <c r="FN870" s="1818"/>
      <c r="FO870" s="1818"/>
      <c r="FP870" s="1818"/>
      <c r="FQ870" s="1818"/>
      <c r="FR870" s="1818"/>
      <c r="FS870" s="1818"/>
      <c r="FT870" s="1818"/>
    </row>
    <row r="871" spans="1:176" s="1965" customFormat="1" ht="32.1" customHeight="1">
      <c r="A871" s="2535"/>
      <c r="B871" s="1803"/>
      <c r="C871" s="1817"/>
      <c r="D871" s="1817"/>
      <c r="E871" s="1813"/>
      <c r="F871" s="1813"/>
      <c r="G871" s="1813"/>
      <c r="H871" s="1813"/>
      <c r="I871" s="2434"/>
      <c r="J871" s="2244"/>
      <c r="K871" s="2244"/>
      <c r="L871" s="2244"/>
      <c r="M871" s="2244"/>
      <c r="N871" s="2244"/>
      <c r="O871" s="2244"/>
      <c r="P871" s="2245"/>
      <c r="Q871" s="2245"/>
      <c r="R871" s="2435"/>
      <c r="S871" s="2244"/>
      <c r="T871" s="2244"/>
      <c r="U871" s="2244"/>
      <c r="V871" s="2244"/>
      <c r="W871" s="2244"/>
      <c r="X871" s="2244"/>
      <c r="Y871" s="1818"/>
      <c r="Z871" s="1818"/>
      <c r="AA871" s="1818"/>
      <c r="AB871" s="1818"/>
      <c r="AC871" s="1818"/>
      <c r="AD871" s="1818"/>
      <c r="AE871" s="1818"/>
      <c r="AF871" s="1818"/>
      <c r="AG871" s="1818"/>
      <c r="AH871" s="1818"/>
      <c r="AI871" s="1818"/>
      <c r="AJ871" s="1818"/>
      <c r="AK871" s="1818"/>
      <c r="AL871" s="1818"/>
      <c r="AM871" s="1818"/>
      <c r="AN871" s="1818"/>
      <c r="AO871" s="1818"/>
      <c r="AP871" s="1818"/>
      <c r="AQ871" s="1818"/>
      <c r="AR871" s="1818"/>
      <c r="AS871" s="1818"/>
      <c r="AT871" s="1818"/>
      <c r="AU871" s="1818"/>
      <c r="AV871" s="1818"/>
      <c r="AW871" s="1818"/>
      <c r="AX871" s="1818"/>
      <c r="AY871" s="1818"/>
      <c r="AZ871" s="1818"/>
      <c r="BA871" s="1818"/>
      <c r="BB871" s="1818"/>
      <c r="BC871" s="1818"/>
      <c r="BD871" s="1818"/>
      <c r="BE871" s="1818"/>
      <c r="BF871" s="1818"/>
      <c r="BG871" s="1818"/>
      <c r="BH871" s="1818"/>
      <c r="BI871" s="1818"/>
      <c r="BJ871" s="1818"/>
      <c r="BK871" s="1818"/>
      <c r="BL871" s="1818"/>
      <c r="BM871" s="1818"/>
      <c r="BN871" s="1818"/>
      <c r="BO871" s="1818"/>
      <c r="BP871" s="1818"/>
      <c r="BQ871" s="1818"/>
      <c r="BR871" s="1818"/>
      <c r="BS871" s="1818"/>
      <c r="BT871" s="1818"/>
      <c r="BU871" s="1818"/>
      <c r="BV871" s="1818"/>
      <c r="BW871" s="1818"/>
      <c r="BX871" s="1818"/>
      <c r="BY871" s="1818"/>
      <c r="BZ871" s="1818"/>
      <c r="CA871" s="1818"/>
      <c r="CB871" s="1818"/>
      <c r="CC871" s="1818"/>
      <c r="CD871" s="1818"/>
      <c r="CE871" s="1818"/>
      <c r="CF871" s="1818"/>
      <c r="CG871" s="1818"/>
      <c r="CH871" s="1818"/>
      <c r="CI871" s="1818"/>
      <c r="CJ871" s="1818"/>
      <c r="CK871" s="1818"/>
      <c r="CL871" s="1818"/>
      <c r="CM871" s="1818"/>
      <c r="CN871" s="1818"/>
      <c r="CO871" s="1818"/>
      <c r="CP871" s="1818"/>
      <c r="CQ871" s="1818"/>
      <c r="CR871" s="1818"/>
      <c r="CS871" s="1818"/>
      <c r="CT871" s="1818"/>
      <c r="CU871" s="1818"/>
      <c r="CV871" s="1818"/>
      <c r="CW871" s="1818"/>
      <c r="CX871" s="1818"/>
      <c r="CY871" s="1818"/>
      <c r="CZ871" s="1818"/>
      <c r="DA871" s="1818"/>
      <c r="DB871" s="1818"/>
      <c r="DC871" s="1818"/>
      <c r="DD871" s="1818"/>
      <c r="DE871" s="1818"/>
      <c r="DF871" s="1818"/>
      <c r="DG871" s="1818"/>
      <c r="DH871" s="1818"/>
      <c r="DI871" s="1818"/>
      <c r="DJ871" s="1818"/>
      <c r="DK871" s="1818"/>
      <c r="DL871" s="1818"/>
      <c r="DM871" s="1818"/>
      <c r="DN871" s="1818"/>
      <c r="DO871" s="1818"/>
      <c r="DP871" s="1818"/>
      <c r="DQ871" s="1818"/>
      <c r="DR871" s="1818"/>
      <c r="DS871" s="1818"/>
      <c r="DT871" s="1818"/>
      <c r="DU871" s="1818"/>
      <c r="DV871" s="1818"/>
      <c r="DW871" s="1818"/>
      <c r="DX871" s="1818"/>
      <c r="DY871" s="1818"/>
      <c r="DZ871" s="1818"/>
      <c r="EA871" s="1818"/>
      <c r="EB871" s="1818"/>
      <c r="EC871" s="1818"/>
      <c r="ED871" s="1818"/>
      <c r="EE871" s="1818"/>
      <c r="EF871" s="1818"/>
      <c r="EG871" s="1818"/>
      <c r="EH871" s="1818"/>
      <c r="EI871" s="1818"/>
      <c r="EJ871" s="1818"/>
      <c r="EK871" s="1818"/>
      <c r="EL871" s="1818"/>
      <c r="EM871" s="1818"/>
      <c r="EN871" s="1818"/>
      <c r="EO871" s="1818"/>
      <c r="EP871" s="1818"/>
      <c r="EQ871" s="1818"/>
      <c r="ER871" s="1818"/>
      <c r="ES871" s="1818"/>
      <c r="ET871" s="1818"/>
      <c r="EU871" s="1818"/>
      <c r="EV871" s="1818"/>
      <c r="EW871" s="1818"/>
      <c r="EX871" s="1818"/>
      <c r="EY871" s="1818"/>
      <c r="EZ871" s="1818"/>
      <c r="FA871" s="1818"/>
      <c r="FB871" s="1818"/>
      <c r="FC871" s="1818"/>
      <c r="FD871" s="1818"/>
      <c r="FE871" s="1818"/>
      <c r="FF871" s="1818"/>
      <c r="FG871" s="1818"/>
      <c r="FH871" s="1818"/>
      <c r="FI871" s="1818"/>
      <c r="FJ871" s="1818"/>
      <c r="FK871" s="1818"/>
      <c r="FL871" s="1818"/>
      <c r="FM871" s="1818"/>
      <c r="FN871" s="1818"/>
      <c r="FO871" s="1818"/>
      <c r="FP871" s="1818"/>
      <c r="FQ871" s="1818"/>
      <c r="FR871" s="1818"/>
      <c r="FS871" s="1818"/>
      <c r="FT871" s="1818"/>
    </row>
    <row r="872" spans="1:176" s="1965" customFormat="1" ht="32.1" customHeight="1">
      <c r="A872" s="2535"/>
      <c r="B872" s="1803"/>
      <c r="C872" s="1817"/>
      <c r="D872" s="1817"/>
      <c r="E872" s="1813"/>
      <c r="F872" s="1813"/>
      <c r="G872" s="1813"/>
      <c r="H872" s="1813"/>
      <c r="I872" s="2434"/>
      <c r="J872" s="2244"/>
      <c r="K872" s="2244"/>
      <c r="L872" s="2244"/>
      <c r="M872" s="2244"/>
      <c r="N872" s="2244"/>
      <c r="O872" s="2244"/>
      <c r="P872" s="2245"/>
      <c r="Q872" s="2245"/>
      <c r="R872" s="2435"/>
      <c r="S872" s="2244"/>
      <c r="T872" s="2244"/>
      <c r="U872" s="2244"/>
      <c r="V872" s="2244"/>
      <c r="W872" s="2244"/>
      <c r="X872" s="2244"/>
      <c r="Y872" s="1818"/>
      <c r="Z872" s="1818"/>
      <c r="AA872" s="1818"/>
      <c r="AB872" s="1818"/>
      <c r="AC872" s="1818"/>
      <c r="AD872" s="1818"/>
      <c r="AE872" s="1818"/>
      <c r="AF872" s="1818"/>
      <c r="AG872" s="1818"/>
      <c r="AH872" s="1818"/>
      <c r="AI872" s="1818"/>
      <c r="AJ872" s="1818"/>
      <c r="AK872" s="1818"/>
      <c r="AL872" s="1818"/>
      <c r="AM872" s="1818"/>
      <c r="AN872" s="1818"/>
      <c r="AO872" s="1818"/>
      <c r="AP872" s="1818"/>
      <c r="AQ872" s="1818"/>
      <c r="AR872" s="1818"/>
      <c r="AS872" s="1818"/>
      <c r="AT872" s="1818"/>
      <c r="AU872" s="1818"/>
      <c r="AV872" s="1818"/>
      <c r="AW872" s="1818"/>
      <c r="AX872" s="1818"/>
      <c r="AY872" s="1818"/>
      <c r="AZ872" s="1818"/>
      <c r="BA872" s="1818"/>
      <c r="BB872" s="1818"/>
      <c r="BC872" s="1818"/>
      <c r="BD872" s="1818"/>
      <c r="BE872" s="1818"/>
      <c r="BF872" s="1818"/>
      <c r="BG872" s="1818"/>
      <c r="BH872" s="1818"/>
      <c r="BI872" s="1818"/>
      <c r="BJ872" s="1818"/>
      <c r="BK872" s="1818"/>
      <c r="BL872" s="1818"/>
      <c r="BM872" s="1818"/>
      <c r="BN872" s="1818"/>
      <c r="BO872" s="1818"/>
      <c r="BP872" s="1818"/>
      <c r="BQ872" s="1818"/>
      <c r="BR872" s="1818"/>
      <c r="BS872" s="1818"/>
      <c r="BT872" s="1818"/>
      <c r="BU872" s="1818"/>
      <c r="BV872" s="1818"/>
      <c r="BW872" s="1818"/>
      <c r="BX872" s="1818"/>
      <c r="BY872" s="1818"/>
      <c r="BZ872" s="1818"/>
      <c r="CA872" s="1818"/>
      <c r="CB872" s="1818"/>
      <c r="CC872" s="1818"/>
      <c r="CD872" s="1818"/>
      <c r="CE872" s="1818"/>
      <c r="CF872" s="1818"/>
      <c r="CG872" s="1818"/>
      <c r="CH872" s="1818"/>
      <c r="CI872" s="1818"/>
      <c r="CJ872" s="1818"/>
      <c r="CK872" s="1818"/>
      <c r="CL872" s="1818"/>
      <c r="CM872" s="1818"/>
      <c r="CN872" s="1818"/>
      <c r="CO872" s="1818"/>
      <c r="CP872" s="1818"/>
      <c r="CQ872" s="1818"/>
      <c r="CR872" s="1818"/>
      <c r="CS872" s="1818"/>
      <c r="CT872" s="1818"/>
      <c r="CU872" s="1818"/>
      <c r="CV872" s="1818"/>
      <c r="CW872" s="1818"/>
      <c r="CX872" s="1818"/>
      <c r="CY872" s="1818"/>
      <c r="CZ872" s="1818"/>
      <c r="DA872" s="1818"/>
      <c r="DB872" s="1818"/>
      <c r="DC872" s="1818"/>
      <c r="DD872" s="1818"/>
      <c r="DE872" s="1818"/>
      <c r="DF872" s="1818"/>
      <c r="DG872" s="1818"/>
      <c r="DH872" s="1818"/>
      <c r="DI872" s="1818"/>
      <c r="DJ872" s="1818"/>
      <c r="DK872" s="1818"/>
      <c r="DL872" s="1818"/>
      <c r="DM872" s="1818"/>
      <c r="DN872" s="1818"/>
      <c r="DO872" s="1818"/>
      <c r="DP872" s="1818"/>
      <c r="DQ872" s="1818"/>
      <c r="DR872" s="1818"/>
      <c r="DS872" s="1818"/>
      <c r="DT872" s="1818"/>
      <c r="DU872" s="1818"/>
      <c r="DV872" s="1818"/>
      <c r="DW872" s="1818"/>
      <c r="DX872" s="1818"/>
      <c r="DY872" s="1818"/>
      <c r="DZ872" s="1818"/>
      <c r="EA872" s="1818"/>
      <c r="EB872" s="1818"/>
      <c r="EC872" s="1818"/>
      <c r="ED872" s="1818"/>
      <c r="EE872" s="1818"/>
      <c r="EF872" s="1818"/>
      <c r="EG872" s="1818"/>
      <c r="EH872" s="1818"/>
      <c r="EI872" s="1818"/>
      <c r="EJ872" s="1818"/>
      <c r="EK872" s="1818"/>
      <c r="EL872" s="1818"/>
      <c r="EM872" s="1818"/>
      <c r="EN872" s="1818"/>
      <c r="EO872" s="1818"/>
      <c r="EP872" s="1818"/>
      <c r="EQ872" s="1818"/>
      <c r="ER872" s="1818"/>
      <c r="ES872" s="1818"/>
      <c r="ET872" s="1818"/>
      <c r="EU872" s="1818"/>
      <c r="EV872" s="1818"/>
      <c r="EW872" s="1818"/>
      <c r="EX872" s="1818"/>
      <c r="EY872" s="1818"/>
      <c r="EZ872" s="1818"/>
      <c r="FA872" s="1818"/>
      <c r="FB872" s="1818"/>
      <c r="FC872" s="1818"/>
      <c r="FD872" s="1818"/>
      <c r="FE872" s="1818"/>
      <c r="FF872" s="1818"/>
      <c r="FG872" s="1818"/>
      <c r="FH872" s="1818"/>
      <c r="FI872" s="1818"/>
      <c r="FJ872" s="1818"/>
      <c r="FK872" s="1818"/>
      <c r="FL872" s="1818"/>
      <c r="FM872" s="1818"/>
      <c r="FN872" s="1818"/>
      <c r="FO872" s="1818"/>
      <c r="FP872" s="1818"/>
      <c r="FQ872" s="1818"/>
      <c r="FR872" s="1818"/>
      <c r="FS872" s="1818"/>
      <c r="FT872" s="1818"/>
    </row>
    <row r="873" spans="1:176" s="1965" customFormat="1" ht="32.1" customHeight="1">
      <c r="A873" s="2535"/>
      <c r="B873" s="1803"/>
      <c r="C873" s="1817"/>
      <c r="D873" s="1817"/>
      <c r="E873" s="1813"/>
      <c r="F873" s="1813"/>
      <c r="G873" s="1813"/>
      <c r="H873" s="1813"/>
      <c r="I873" s="2434"/>
      <c r="J873" s="2244"/>
      <c r="K873" s="2244"/>
      <c r="L873" s="2244"/>
      <c r="M873" s="2244"/>
      <c r="N873" s="2244"/>
      <c r="O873" s="2244"/>
      <c r="P873" s="2245"/>
      <c r="Q873" s="2245"/>
      <c r="R873" s="2435"/>
      <c r="S873" s="2244"/>
      <c r="T873" s="2244"/>
      <c r="U873" s="2244"/>
      <c r="V873" s="2244"/>
      <c r="W873" s="2244"/>
      <c r="X873" s="2244"/>
      <c r="Y873" s="1818"/>
      <c r="Z873" s="1818"/>
      <c r="AA873" s="1818"/>
      <c r="AB873" s="1818"/>
      <c r="AC873" s="1818"/>
      <c r="AD873" s="1818"/>
      <c r="AE873" s="1818"/>
      <c r="AF873" s="1818"/>
      <c r="AG873" s="1818"/>
      <c r="AH873" s="1818"/>
      <c r="AI873" s="1818"/>
      <c r="AJ873" s="1818"/>
      <c r="AK873" s="1818"/>
      <c r="AL873" s="1818"/>
      <c r="AM873" s="1818"/>
      <c r="AN873" s="1818"/>
      <c r="AO873" s="1818"/>
      <c r="AP873" s="1818"/>
      <c r="AQ873" s="1818"/>
      <c r="AR873" s="1818"/>
      <c r="AS873" s="1818"/>
      <c r="AT873" s="1818"/>
      <c r="AU873" s="1818"/>
      <c r="AV873" s="1818"/>
      <c r="AW873" s="1818"/>
      <c r="AX873" s="1818"/>
      <c r="AY873" s="1818"/>
      <c r="AZ873" s="1818"/>
      <c r="BA873" s="1818"/>
      <c r="BB873" s="1818"/>
      <c r="BC873" s="1818"/>
      <c r="BD873" s="1818"/>
      <c r="BE873" s="1818"/>
      <c r="BF873" s="1818"/>
      <c r="BG873" s="1818"/>
      <c r="BH873" s="1818"/>
      <c r="BI873" s="1818"/>
      <c r="BJ873" s="1818"/>
      <c r="BK873" s="1818"/>
      <c r="BL873" s="1818"/>
      <c r="BM873" s="1818"/>
      <c r="BN873" s="1818"/>
      <c r="BO873" s="1818"/>
      <c r="BP873" s="1818"/>
      <c r="BQ873" s="1818"/>
      <c r="BR873" s="1818"/>
      <c r="BS873" s="1818"/>
      <c r="BT873" s="1818"/>
      <c r="BU873" s="1818"/>
      <c r="BV873" s="1818"/>
      <c r="BW873" s="1818"/>
      <c r="BX873" s="1818"/>
      <c r="BY873" s="1818"/>
      <c r="BZ873" s="1818"/>
      <c r="CA873" s="1818"/>
      <c r="CB873" s="1818"/>
      <c r="CC873" s="1818"/>
      <c r="CD873" s="1818"/>
      <c r="CE873" s="1818"/>
      <c r="CF873" s="1818"/>
      <c r="CG873" s="1818"/>
      <c r="CH873" s="1818"/>
      <c r="CI873" s="1818"/>
      <c r="CJ873" s="1818"/>
      <c r="CK873" s="1818"/>
      <c r="CL873" s="1818"/>
      <c r="CM873" s="1818"/>
      <c r="CN873" s="1818"/>
      <c r="CO873" s="1818"/>
      <c r="CP873" s="1818"/>
      <c r="CQ873" s="1818"/>
      <c r="CR873" s="1818"/>
      <c r="CS873" s="1818"/>
      <c r="CT873" s="1818"/>
      <c r="CU873" s="1818"/>
      <c r="CV873" s="1818"/>
      <c r="CW873" s="1818"/>
      <c r="CX873" s="1818"/>
      <c r="CY873" s="1818"/>
      <c r="CZ873" s="1818"/>
      <c r="DA873" s="1818"/>
      <c r="DB873" s="1818"/>
      <c r="DC873" s="1818"/>
      <c r="DD873" s="1818"/>
      <c r="DE873" s="1818"/>
      <c r="DF873" s="1818"/>
      <c r="DG873" s="1818"/>
      <c r="DH873" s="1818"/>
      <c r="DI873" s="1818"/>
      <c r="DJ873" s="1818"/>
      <c r="DK873" s="1818"/>
      <c r="DL873" s="1818"/>
      <c r="DM873" s="1818"/>
      <c r="DN873" s="1818"/>
      <c r="DO873" s="1818"/>
      <c r="DP873" s="1818"/>
      <c r="DQ873" s="1818"/>
      <c r="DR873" s="1818"/>
      <c r="DS873" s="1818"/>
      <c r="DT873" s="1818"/>
      <c r="DU873" s="1818"/>
      <c r="DV873" s="1818"/>
      <c r="DW873" s="1818"/>
      <c r="DX873" s="1818"/>
      <c r="DY873" s="1818"/>
      <c r="DZ873" s="1818"/>
      <c r="EA873" s="1818"/>
      <c r="EB873" s="1818"/>
      <c r="EC873" s="1818"/>
      <c r="ED873" s="1818"/>
      <c r="EE873" s="1818"/>
      <c r="EF873" s="1818"/>
      <c r="EG873" s="1818"/>
      <c r="EH873" s="1818"/>
      <c r="EI873" s="1818"/>
      <c r="EJ873" s="1818"/>
      <c r="EK873" s="1818"/>
      <c r="EL873" s="1818"/>
      <c r="EM873" s="1818"/>
      <c r="EN873" s="1818"/>
      <c r="EO873" s="1818"/>
      <c r="EP873" s="1818"/>
      <c r="EQ873" s="1818"/>
      <c r="ER873" s="1818"/>
      <c r="ES873" s="1818"/>
      <c r="ET873" s="1818"/>
      <c r="EU873" s="1818"/>
      <c r="EV873" s="1818"/>
      <c r="EW873" s="1818"/>
      <c r="EX873" s="1818"/>
      <c r="EY873" s="1818"/>
      <c r="EZ873" s="1818"/>
      <c r="FA873" s="1818"/>
      <c r="FB873" s="1818"/>
      <c r="FC873" s="1818"/>
      <c r="FD873" s="1818"/>
      <c r="FE873" s="1818"/>
      <c r="FF873" s="1818"/>
      <c r="FG873" s="1818"/>
      <c r="FH873" s="1818"/>
      <c r="FI873" s="1818"/>
      <c r="FJ873" s="1818"/>
      <c r="FK873" s="1818"/>
      <c r="FL873" s="1818"/>
      <c r="FM873" s="1818"/>
      <c r="FN873" s="1818"/>
      <c r="FO873" s="1818"/>
      <c r="FP873" s="1818"/>
      <c r="FQ873" s="1818"/>
      <c r="FR873" s="1818"/>
      <c r="FS873" s="1818"/>
      <c r="FT873" s="1818"/>
    </row>
    <row r="874" spans="1:176" s="1965" customFormat="1" ht="32.1" customHeight="1">
      <c r="A874" s="2535"/>
      <c r="B874" s="1803"/>
      <c r="C874" s="1817"/>
      <c r="D874" s="1817"/>
      <c r="E874" s="1813"/>
      <c r="F874" s="1813"/>
      <c r="G874" s="1813"/>
      <c r="H874" s="1813"/>
      <c r="I874" s="2434"/>
      <c r="J874" s="2244"/>
      <c r="K874" s="2244"/>
      <c r="L874" s="2244"/>
      <c r="M874" s="2244"/>
      <c r="N874" s="2244"/>
      <c r="O874" s="2244"/>
      <c r="P874" s="2245"/>
      <c r="Q874" s="2245"/>
      <c r="R874" s="2435"/>
      <c r="S874" s="2244"/>
      <c r="T874" s="2244"/>
      <c r="U874" s="2244"/>
      <c r="V874" s="2244"/>
      <c r="W874" s="2244"/>
      <c r="X874" s="2244"/>
      <c r="Y874" s="1818"/>
      <c r="Z874" s="1818"/>
      <c r="AA874" s="1818"/>
      <c r="AB874" s="1818"/>
      <c r="AC874" s="1818"/>
      <c r="AD874" s="1818"/>
      <c r="AE874" s="1818"/>
      <c r="AF874" s="1818"/>
      <c r="AG874" s="1818"/>
      <c r="AH874" s="1818"/>
      <c r="AI874" s="1818"/>
      <c r="AJ874" s="1818"/>
      <c r="AK874" s="1818"/>
      <c r="AL874" s="1818"/>
      <c r="AM874" s="1818"/>
      <c r="AN874" s="1818"/>
      <c r="AO874" s="1818"/>
      <c r="AP874" s="1818"/>
      <c r="AQ874" s="1818"/>
      <c r="AR874" s="1818"/>
      <c r="AS874" s="1818"/>
      <c r="AT874" s="1818"/>
      <c r="AU874" s="1818"/>
      <c r="AV874" s="1818"/>
      <c r="AW874" s="1818"/>
      <c r="AX874" s="1818"/>
      <c r="AY874" s="1818"/>
      <c r="AZ874" s="1818"/>
      <c r="BA874" s="1818"/>
      <c r="BB874" s="1818"/>
      <c r="BC874" s="1818"/>
      <c r="BD874" s="1818"/>
      <c r="BE874" s="1818"/>
      <c r="BF874" s="1818"/>
      <c r="BG874" s="1818"/>
      <c r="BH874" s="1818"/>
      <c r="BI874" s="1818"/>
      <c r="BJ874" s="1818"/>
      <c r="BK874" s="1818"/>
      <c r="BL874" s="1818"/>
      <c r="BM874" s="1818"/>
      <c r="BN874" s="1818"/>
      <c r="BO874" s="1818"/>
      <c r="BP874" s="1818"/>
      <c r="BQ874" s="1818"/>
      <c r="BR874" s="1818"/>
      <c r="BS874" s="1818"/>
      <c r="BT874" s="1818"/>
      <c r="BU874" s="1818"/>
      <c r="BV874" s="1818"/>
      <c r="BW874" s="1818"/>
      <c r="BX874" s="1818"/>
      <c r="BY874" s="1818"/>
      <c r="BZ874" s="1818"/>
      <c r="CA874" s="1818"/>
      <c r="CB874" s="1818"/>
      <c r="CC874" s="1818"/>
      <c r="CD874" s="1818"/>
      <c r="CE874" s="1818"/>
      <c r="CF874" s="1818"/>
      <c r="CG874" s="1818"/>
      <c r="CH874" s="1818"/>
      <c r="CI874" s="1818"/>
      <c r="CJ874" s="1818"/>
      <c r="CK874" s="1818"/>
      <c r="CL874" s="1818"/>
      <c r="CM874" s="1818"/>
      <c r="CN874" s="1818"/>
      <c r="CO874" s="1818"/>
      <c r="CP874" s="1818"/>
      <c r="CQ874" s="1818"/>
      <c r="CR874" s="1818"/>
      <c r="CS874" s="1818"/>
      <c r="CT874" s="1818"/>
      <c r="CU874" s="1818"/>
      <c r="CV874" s="1818"/>
      <c r="CW874" s="1818"/>
      <c r="CX874" s="1818"/>
      <c r="CY874" s="1818"/>
      <c r="CZ874" s="1818"/>
      <c r="DA874" s="1818"/>
      <c r="DB874" s="1818"/>
      <c r="DC874" s="1818"/>
      <c r="DD874" s="1818"/>
      <c r="DE874" s="1818"/>
      <c r="DF874" s="1818"/>
      <c r="DG874" s="1818"/>
      <c r="DH874" s="1818"/>
      <c r="DI874" s="1818"/>
      <c r="DJ874" s="1818"/>
      <c r="DK874" s="1818"/>
      <c r="DL874" s="1818"/>
      <c r="DM874" s="1818"/>
      <c r="DN874" s="1818"/>
      <c r="DO874" s="1818"/>
      <c r="DP874" s="1818"/>
      <c r="DQ874" s="1818"/>
      <c r="DR874" s="1818"/>
      <c r="DS874" s="1818"/>
      <c r="DT874" s="1818"/>
      <c r="DU874" s="1818"/>
      <c r="DV874" s="1818"/>
      <c r="DW874" s="1818"/>
      <c r="DX874" s="1818"/>
      <c r="DY874" s="1818"/>
      <c r="DZ874" s="1818"/>
      <c r="EA874" s="1818"/>
      <c r="EB874" s="1818"/>
      <c r="EC874" s="1818"/>
      <c r="ED874" s="1818"/>
      <c r="EE874" s="1818"/>
      <c r="EF874" s="1818"/>
      <c r="EG874" s="1818"/>
      <c r="EH874" s="1818"/>
      <c r="EI874" s="1818"/>
      <c r="EJ874" s="1818"/>
      <c r="EK874" s="1818"/>
      <c r="EL874" s="1818"/>
      <c r="EM874" s="1818"/>
      <c r="EN874" s="1818"/>
      <c r="EO874" s="1818"/>
      <c r="EP874" s="1818"/>
      <c r="EQ874" s="1818"/>
      <c r="ER874" s="1818"/>
      <c r="ES874" s="1818"/>
      <c r="ET874" s="1818"/>
      <c r="EU874" s="1818"/>
      <c r="EV874" s="1818"/>
      <c r="EW874" s="1818"/>
      <c r="EX874" s="1818"/>
      <c r="EY874" s="1818"/>
      <c r="EZ874" s="1818"/>
      <c r="FA874" s="1818"/>
      <c r="FB874" s="1818"/>
      <c r="FC874" s="1818"/>
      <c r="FD874" s="1818"/>
      <c r="FE874" s="1818"/>
      <c r="FF874" s="1818"/>
      <c r="FG874" s="1818"/>
      <c r="FH874" s="1818"/>
      <c r="FI874" s="1818"/>
      <c r="FJ874" s="1818"/>
      <c r="FK874" s="1818"/>
      <c r="FL874" s="1818"/>
      <c r="FM874" s="1818"/>
      <c r="FN874" s="1818"/>
      <c r="FO874" s="1818"/>
      <c r="FP874" s="1818"/>
      <c r="FQ874" s="1818"/>
      <c r="FR874" s="1818"/>
      <c r="FS874" s="1818"/>
      <c r="FT874" s="1818"/>
    </row>
    <row r="875" spans="1:176" s="1965" customFormat="1" ht="32.1" customHeight="1">
      <c r="A875" s="2535"/>
      <c r="B875" s="1803"/>
      <c r="C875" s="1813"/>
      <c r="D875" s="1813"/>
      <c r="E875" s="1813"/>
      <c r="F875" s="1813"/>
      <c r="G875" s="1813"/>
      <c r="H875" s="1813"/>
      <c r="I875" s="2434"/>
      <c r="J875" s="2244"/>
      <c r="K875" s="2244"/>
      <c r="L875" s="2244"/>
      <c r="M875" s="2244"/>
      <c r="N875" s="2244"/>
      <c r="O875" s="2244"/>
      <c r="P875" s="2245"/>
      <c r="Q875" s="2245"/>
      <c r="R875" s="2435"/>
      <c r="S875" s="2244"/>
      <c r="T875" s="2244"/>
      <c r="U875" s="2244"/>
      <c r="V875" s="2244"/>
      <c r="W875" s="2244"/>
      <c r="X875" s="2244"/>
      <c r="Y875" s="1818"/>
      <c r="Z875" s="1818"/>
      <c r="AA875" s="1818"/>
      <c r="AB875" s="1818"/>
      <c r="AC875" s="1818"/>
      <c r="AD875" s="1818"/>
      <c r="AE875" s="1818"/>
      <c r="AF875" s="1818"/>
      <c r="AG875" s="1818"/>
      <c r="AH875" s="1818"/>
      <c r="AI875" s="1818"/>
      <c r="AJ875" s="1818"/>
      <c r="AK875" s="1818"/>
      <c r="AL875" s="1818"/>
      <c r="AM875" s="1818"/>
      <c r="AN875" s="1818"/>
      <c r="AO875" s="1818"/>
      <c r="AP875" s="1818"/>
      <c r="AQ875" s="1818"/>
      <c r="AR875" s="1818"/>
      <c r="AS875" s="1818"/>
      <c r="AT875" s="1818"/>
      <c r="AU875" s="1818"/>
      <c r="AV875" s="1818"/>
      <c r="AW875" s="1818"/>
      <c r="AX875" s="1818"/>
      <c r="AY875" s="1818"/>
      <c r="AZ875" s="1818"/>
      <c r="BA875" s="1818"/>
      <c r="BB875" s="1818"/>
      <c r="BC875" s="1818"/>
      <c r="BD875" s="1818"/>
      <c r="BE875" s="1818"/>
      <c r="BF875" s="1818"/>
      <c r="BG875" s="1818"/>
      <c r="BH875" s="1818"/>
      <c r="BI875" s="1818"/>
      <c r="BJ875" s="1818"/>
      <c r="BK875" s="1818"/>
      <c r="BL875" s="1818"/>
      <c r="BM875" s="1818"/>
      <c r="BN875" s="1818"/>
      <c r="BO875" s="1818"/>
      <c r="BP875" s="1818"/>
      <c r="BQ875" s="1818"/>
      <c r="BR875" s="1818"/>
      <c r="BS875" s="1818"/>
      <c r="BT875" s="1818"/>
      <c r="BU875" s="1818"/>
      <c r="BV875" s="1818"/>
      <c r="BW875" s="1818"/>
      <c r="BX875" s="1818"/>
      <c r="BY875" s="1818"/>
      <c r="BZ875" s="1818"/>
      <c r="CA875" s="1818"/>
      <c r="CB875" s="1818"/>
      <c r="CC875" s="1818"/>
      <c r="CD875" s="1818"/>
      <c r="CE875" s="1818"/>
      <c r="CF875" s="1818"/>
      <c r="CG875" s="1818"/>
      <c r="CH875" s="1818"/>
      <c r="CI875" s="1818"/>
      <c r="CJ875" s="1818"/>
      <c r="CK875" s="1818"/>
      <c r="CL875" s="1818"/>
      <c r="CM875" s="1818"/>
      <c r="CN875" s="1818"/>
      <c r="CO875" s="1818"/>
      <c r="CP875" s="1818"/>
      <c r="CQ875" s="1818"/>
      <c r="CR875" s="1818"/>
      <c r="CS875" s="1818"/>
      <c r="CT875" s="1818"/>
      <c r="CU875" s="1818"/>
      <c r="CV875" s="1818"/>
      <c r="CW875" s="1818"/>
      <c r="CX875" s="1818"/>
      <c r="CY875" s="1818"/>
      <c r="CZ875" s="1818"/>
      <c r="DA875" s="1818"/>
      <c r="DB875" s="1818"/>
      <c r="DC875" s="1818"/>
      <c r="DD875" s="1818"/>
      <c r="DE875" s="1818"/>
      <c r="DF875" s="1818"/>
      <c r="DG875" s="1818"/>
      <c r="DH875" s="1818"/>
      <c r="DI875" s="1818"/>
      <c r="DJ875" s="1818"/>
      <c r="DK875" s="1818"/>
      <c r="DL875" s="1818"/>
      <c r="DM875" s="1818"/>
      <c r="DN875" s="1818"/>
      <c r="DO875" s="1818"/>
      <c r="DP875" s="1818"/>
      <c r="DQ875" s="1818"/>
      <c r="DR875" s="1818"/>
      <c r="DS875" s="1818"/>
      <c r="DT875" s="1818"/>
      <c r="DU875" s="1818"/>
      <c r="DV875" s="1818"/>
      <c r="DW875" s="1818"/>
      <c r="DX875" s="1818"/>
      <c r="DY875" s="1818"/>
      <c r="DZ875" s="1818"/>
      <c r="EA875" s="1818"/>
      <c r="EB875" s="1818"/>
      <c r="EC875" s="1818"/>
      <c r="ED875" s="1818"/>
      <c r="EE875" s="1818"/>
      <c r="EF875" s="1818"/>
      <c r="EG875" s="1818"/>
      <c r="EH875" s="1818"/>
      <c r="EI875" s="1818"/>
      <c r="EJ875" s="1818"/>
      <c r="EK875" s="1818"/>
      <c r="EL875" s="1818"/>
      <c r="EM875" s="1818"/>
      <c r="EN875" s="1818"/>
      <c r="EO875" s="1818"/>
      <c r="EP875" s="1818"/>
      <c r="EQ875" s="1818"/>
      <c r="ER875" s="1818"/>
      <c r="ES875" s="1818"/>
      <c r="ET875" s="1818"/>
      <c r="EU875" s="1818"/>
      <c r="EV875" s="1818"/>
      <c r="EW875" s="1818"/>
      <c r="EX875" s="1818"/>
      <c r="EY875" s="1818"/>
      <c r="EZ875" s="1818"/>
      <c r="FA875" s="1818"/>
      <c r="FB875" s="1818"/>
      <c r="FC875" s="1818"/>
      <c r="FD875" s="1818"/>
      <c r="FE875" s="1818"/>
      <c r="FF875" s="1818"/>
      <c r="FG875" s="1818"/>
      <c r="FH875" s="1818"/>
      <c r="FI875" s="1818"/>
      <c r="FJ875" s="1818"/>
      <c r="FK875" s="1818"/>
      <c r="FL875" s="1818"/>
      <c r="FM875" s="1818"/>
      <c r="FN875" s="1818"/>
      <c r="FO875" s="1818"/>
      <c r="FP875" s="1818"/>
      <c r="FQ875" s="1818"/>
      <c r="FR875" s="1818"/>
      <c r="FS875" s="1818"/>
      <c r="FT875" s="1818"/>
    </row>
    <row r="876" spans="1:176" s="1965" customFormat="1" ht="32.1" customHeight="1">
      <c r="A876" s="2535"/>
      <c r="B876" s="1803"/>
      <c r="C876" s="1813"/>
      <c r="D876" s="1813"/>
      <c r="E876" s="1813"/>
      <c r="F876" s="1813"/>
      <c r="G876" s="1813"/>
      <c r="H876" s="1813"/>
      <c r="I876" s="2434"/>
      <c r="J876" s="2244"/>
      <c r="K876" s="2244"/>
      <c r="L876" s="2244"/>
      <c r="M876" s="2244"/>
      <c r="N876" s="2244"/>
      <c r="O876" s="2244"/>
      <c r="P876" s="2245"/>
      <c r="Q876" s="2245"/>
      <c r="R876" s="2435"/>
      <c r="S876" s="2244"/>
      <c r="T876" s="2244"/>
      <c r="U876" s="2244"/>
      <c r="V876" s="2244"/>
      <c r="W876" s="2244"/>
      <c r="X876" s="2244"/>
      <c r="Y876" s="1818"/>
      <c r="Z876" s="1818"/>
      <c r="AA876" s="1818"/>
      <c r="AB876" s="1818"/>
      <c r="AC876" s="1818"/>
      <c r="AD876" s="1818"/>
      <c r="AE876" s="1818"/>
      <c r="AF876" s="1818"/>
      <c r="AG876" s="1818"/>
      <c r="AH876" s="1818"/>
      <c r="AI876" s="1818"/>
      <c r="AJ876" s="1818"/>
      <c r="AK876" s="1818"/>
      <c r="AL876" s="1818"/>
      <c r="AM876" s="1818"/>
      <c r="AN876" s="1818"/>
      <c r="AO876" s="1818"/>
      <c r="AP876" s="1818"/>
      <c r="AQ876" s="1818"/>
      <c r="AR876" s="1818"/>
      <c r="AS876" s="1818"/>
      <c r="AT876" s="1818"/>
      <c r="AU876" s="1818"/>
      <c r="AV876" s="1818"/>
      <c r="AW876" s="1818"/>
      <c r="AX876" s="1818"/>
      <c r="AY876" s="1818"/>
      <c r="AZ876" s="1818"/>
      <c r="BA876" s="1818"/>
      <c r="BB876" s="1818"/>
      <c r="BC876" s="1818"/>
      <c r="BD876" s="1818"/>
      <c r="BE876" s="1818"/>
      <c r="BF876" s="1818"/>
      <c r="BG876" s="1818"/>
      <c r="BH876" s="1818"/>
      <c r="BI876" s="1818"/>
      <c r="BJ876" s="1818"/>
      <c r="BK876" s="1818"/>
      <c r="BL876" s="1818"/>
      <c r="BM876" s="1818"/>
      <c r="BN876" s="1818"/>
      <c r="BO876" s="1818"/>
      <c r="BP876" s="1818"/>
      <c r="BQ876" s="1818"/>
      <c r="BR876" s="1818"/>
      <c r="BS876" s="1818"/>
      <c r="BT876" s="1818"/>
      <c r="BU876" s="1818"/>
      <c r="BV876" s="1818"/>
      <c r="BW876" s="1818"/>
      <c r="BX876" s="1818"/>
      <c r="BY876" s="1818"/>
      <c r="BZ876" s="1818"/>
      <c r="CA876" s="1818"/>
      <c r="CB876" s="1818"/>
      <c r="CC876" s="1818"/>
      <c r="CD876" s="1818"/>
      <c r="CE876" s="1818"/>
      <c r="CF876" s="1818"/>
      <c r="CG876" s="1818"/>
      <c r="CH876" s="1818"/>
      <c r="CI876" s="1818"/>
      <c r="CJ876" s="1818"/>
      <c r="CK876" s="1818"/>
      <c r="CL876" s="1818"/>
      <c r="CM876" s="1818"/>
      <c r="CN876" s="1818"/>
      <c r="CO876" s="1818"/>
      <c r="CP876" s="1818"/>
      <c r="CQ876" s="1818"/>
      <c r="CR876" s="1818"/>
      <c r="CS876" s="1818"/>
      <c r="CT876" s="1818"/>
      <c r="CU876" s="1818"/>
      <c r="CV876" s="1818"/>
      <c r="CW876" s="1818"/>
      <c r="CX876" s="1818"/>
      <c r="CY876" s="1818"/>
      <c r="CZ876" s="1818"/>
      <c r="DA876" s="1818"/>
      <c r="DB876" s="1818"/>
      <c r="DC876" s="1818"/>
      <c r="DD876" s="1818"/>
      <c r="DE876" s="1818"/>
      <c r="DF876" s="1818"/>
      <c r="DG876" s="1818"/>
      <c r="DH876" s="1818"/>
      <c r="DI876" s="1818"/>
      <c r="DJ876" s="1818"/>
      <c r="DK876" s="1818"/>
      <c r="DL876" s="1818"/>
      <c r="DM876" s="1818"/>
      <c r="DN876" s="1818"/>
      <c r="DO876" s="1818"/>
      <c r="DP876" s="1818"/>
      <c r="DQ876" s="1818"/>
      <c r="DR876" s="1818"/>
      <c r="DS876" s="1818"/>
      <c r="DT876" s="1818"/>
      <c r="DU876" s="1818"/>
      <c r="DV876" s="1818"/>
      <c r="DW876" s="1818"/>
      <c r="DX876" s="1818"/>
      <c r="DY876" s="1818"/>
      <c r="DZ876" s="1818"/>
      <c r="EA876" s="1818"/>
      <c r="EB876" s="1818"/>
      <c r="EC876" s="1818"/>
      <c r="ED876" s="1818"/>
      <c r="EE876" s="1818"/>
      <c r="EF876" s="1818"/>
      <c r="EG876" s="1818"/>
      <c r="EH876" s="1818"/>
      <c r="EI876" s="1818"/>
      <c r="EJ876" s="1818"/>
      <c r="EK876" s="1818"/>
      <c r="EL876" s="1818"/>
      <c r="EM876" s="1818"/>
      <c r="EN876" s="1818"/>
      <c r="EO876" s="1818"/>
      <c r="EP876" s="1818"/>
      <c r="EQ876" s="1818"/>
      <c r="ER876" s="1818"/>
      <c r="ES876" s="1818"/>
      <c r="ET876" s="1818"/>
      <c r="EU876" s="1818"/>
      <c r="EV876" s="1818"/>
      <c r="EW876" s="1818"/>
      <c r="EX876" s="1818"/>
      <c r="EY876" s="1818"/>
      <c r="EZ876" s="1818"/>
      <c r="FA876" s="1818"/>
      <c r="FB876" s="1818"/>
      <c r="FC876" s="1818"/>
      <c r="FD876" s="1818"/>
      <c r="FE876" s="1818"/>
      <c r="FF876" s="1818"/>
      <c r="FG876" s="1818"/>
      <c r="FH876" s="1818"/>
      <c r="FI876" s="1818"/>
      <c r="FJ876" s="1818"/>
      <c r="FK876" s="1818"/>
      <c r="FL876" s="1818"/>
      <c r="FM876" s="1818"/>
      <c r="FN876" s="1818"/>
      <c r="FO876" s="1818"/>
      <c r="FP876" s="1818"/>
      <c r="FQ876" s="1818"/>
      <c r="FR876" s="1818"/>
      <c r="FS876" s="1818"/>
      <c r="FT876" s="1818"/>
    </row>
    <row r="877" spans="1:176" s="1965" customFormat="1" ht="32.1" customHeight="1">
      <c r="A877" s="2535"/>
      <c r="B877" s="1803"/>
      <c r="C877" s="1813"/>
      <c r="D877" s="1813"/>
      <c r="E877" s="1813"/>
      <c r="F877" s="1813"/>
      <c r="G877" s="1813"/>
      <c r="H877" s="1813"/>
      <c r="I877" s="2434"/>
      <c r="J877" s="2244"/>
      <c r="K877" s="2244"/>
      <c r="L877" s="2244"/>
      <c r="M877" s="2244"/>
      <c r="N877" s="2244"/>
      <c r="O877" s="2244"/>
      <c r="P877" s="2245"/>
      <c r="Q877" s="2245"/>
      <c r="R877" s="2435"/>
      <c r="S877" s="2244"/>
      <c r="T877" s="2244"/>
      <c r="U877" s="2244"/>
      <c r="V877" s="2244"/>
      <c r="W877" s="2244"/>
      <c r="X877" s="2244"/>
      <c r="Y877" s="1818"/>
      <c r="Z877" s="1818"/>
      <c r="AA877" s="1818"/>
      <c r="AB877" s="1818"/>
      <c r="AC877" s="1818"/>
      <c r="AD877" s="1818"/>
      <c r="AE877" s="1818"/>
      <c r="AF877" s="1818"/>
      <c r="AG877" s="1818"/>
      <c r="AH877" s="1818"/>
      <c r="AI877" s="1818"/>
      <c r="AJ877" s="1818"/>
      <c r="AK877" s="1818"/>
      <c r="AL877" s="1818"/>
      <c r="AM877" s="1818"/>
      <c r="AN877" s="1818"/>
      <c r="AO877" s="1818"/>
      <c r="AP877" s="1818"/>
      <c r="AQ877" s="1818"/>
      <c r="AR877" s="1818"/>
      <c r="AS877" s="1818"/>
      <c r="AT877" s="1818"/>
      <c r="AU877" s="1818"/>
      <c r="AV877" s="1818"/>
      <c r="AW877" s="1818"/>
      <c r="AX877" s="1818"/>
      <c r="AY877" s="1818"/>
      <c r="AZ877" s="1818"/>
      <c r="BA877" s="1818"/>
      <c r="BB877" s="1818"/>
      <c r="BC877" s="1818"/>
      <c r="BD877" s="1818"/>
      <c r="BE877" s="1818"/>
      <c r="BF877" s="1818"/>
      <c r="BG877" s="1818"/>
      <c r="BH877" s="1818"/>
      <c r="BI877" s="1818"/>
      <c r="BJ877" s="1818"/>
      <c r="BK877" s="1818"/>
      <c r="BL877" s="1818"/>
      <c r="BM877" s="1818"/>
      <c r="BN877" s="1818"/>
      <c r="BO877" s="1818"/>
      <c r="BP877" s="1818"/>
      <c r="BQ877" s="1818"/>
      <c r="BR877" s="1818"/>
      <c r="BS877" s="1818"/>
      <c r="BT877" s="1818"/>
      <c r="BU877" s="1818"/>
      <c r="BV877" s="1818"/>
      <c r="BW877" s="1818"/>
      <c r="BX877" s="1818"/>
      <c r="BY877" s="1818"/>
      <c r="BZ877" s="1818"/>
      <c r="CA877" s="1818"/>
      <c r="CB877" s="1818"/>
      <c r="CC877" s="1818"/>
      <c r="CD877" s="1818"/>
      <c r="CE877" s="1818"/>
      <c r="CF877" s="1818"/>
      <c r="CG877" s="1818"/>
      <c r="CH877" s="1818"/>
      <c r="CI877" s="1818"/>
      <c r="CJ877" s="1818"/>
      <c r="CK877" s="1818"/>
      <c r="CL877" s="1818"/>
      <c r="CM877" s="1818"/>
      <c r="CN877" s="1818"/>
      <c r="CO877" s="1818"/>
      <c r="CP877" s="1818"/>
      <c r="CQ877" s="1818"/>
      <c r="CR877" s="1818"/>
      <c r="CS877" s="1818"/>
      <c r="CT877" s="1818"/>
      <c r="CU877" s="1818"/>
      <c r="CV877" s="1818"/>
      <c r="CW877" s="1818"/>
      <c r="CX877" s="1818"/>
      <c r="CY877" s="1818"/>
      <c r="CZ877" s="1818"/>
      <c r="DA877" s="1818"/>
      <c r="DB877" s="1818"/>
      <c r="DC877" s="1818"/>
      <c r="DD877" s="1818"/>
      <c r="DE877" s="1818"/>
      <c r="DF877" s="1818"/>
      <c r="DG877" s="1818"/>
      <c r="DH877" s="1818"/>
      <c r="DI877" s="1818"/>
      <c r="DJ877" s="1818"/>
      <c r="DK877" s="1818"/>
      <c r="DL877" s="1818"/>
      <c r="DM877" s="1818"/>
      <c r="DN877" s="1818"/>
      <c r="DO877" s="1818"/>
      <c r="DP877" s="1818"/>
      <c r="DQ877" s="1818"/>
      <c r="DR877" s="1818"/>
      <c r="DS877" s="1818"/>
      <c r="DT877" s="1818"/>
      <c r="DU877" s="1818"/>
      <c r="DV877" s="1818"/>
      <c r="DW877" s="1818"/>
      <c r="DX877" s="1818"/>
      <c r="DY877" s="1818"/>
      <c r="DZ877" s="1818"/>
      <c r="EA877" s="1818"/>
      <c r="EB877" s="1818"/>
      <c r="EC877" s="1818"/>
      <c r="ED877" s="1818"/>
      <c r="EE877" s="1818"/>
      <c r="EF877" s="1818"/>
      <c r="EG877" s="1818"/>
      <c r="EH877" s="1818"/>
      <c r="EI877" s="1818"/>
      <c r="EJ877" s="1818"/>
      <c r="EK877" s="1818"/>
      <c r="EL877" s="1818"/>
      <c r="EM877" s="1818"/>
      <c r="EN877" s="1818"/>
      <c r="EO877" s="1818"/>
      <c r="EP877" s="1818"/>
      <c r="EQ877" s="1818"/>
      <c r="ER877" s="1818"/>
      <c r="ES877" s="1818"/>
      <c r="ET877" s="1818"/>
      <c r="EU877" s="1818"/>
      <c r="EV877" s="1818"/>
      <c r="EW877" s="1818"/>
      <c r="EX877" s="1818"/>
      <c r="EY877" s="1818"/>
      <c r="EZ877" s="1818"/>
      <c r="FA877" s="1818"/>
      <c r="FB877" s="1818"/>
      <c r="FC877" s="1818"/>
      <c r="FD877" s="1818"/>
      <c r="FE877" s="1818"/>
      <c r="FF877" s="1818"/>
      <c r="FG877" s="1818"/>
      <c r="FH877" s="1818"/>
      <c r="FI877" s="1818"/>
      <c r="FJ877" s="1818"/>
      <c r="FK877" s="1818"/>
      <c r="FL877" s="1818"/>
      <c r="FM877" s="1818"/>
      <c r="FN877" s="1818"/>
      <c r="FO877" s="1818"/>
      <c r="FP877" s="1818"/>
      <c r="FQ877" s="1818"/>
      <c r="FR877" s="1818"/>
      <c r="FS877" s="1818"/>
      <c r="FT877" s="1818"/>
    </row>
    <row r="878" spans="1:176" s="1965" customFormat="1" ht="32.1" customHeight="1">
      <c r="A878" s="2535"/>
      <c r="B878" s="1803"/>
      <c r="C878" s="1813"/>
      <c r="D878" s="1813"/>
      <c r="E878" s="1813"/>
      <c r="F878" s="1813"/>
      <c r="G878" s="1813"/>
      <c r="H878" s="1813"/>
      <c r="I878" s="2434"/>
      <c r="J878" s="2244"/>
      <c r="K878" s="2244"/>
      <c r="L878" s="2244"/>
      <c r="M878" s="2244"/>
      <c r="N878" s="2244"/>
      <c r="O878" s="2244"/>
      <c r="P878" s="2245"/>
      <c r="Q878" s="2245"/>
      <c r="R878" s="2435"/>
      <c r="S878" s="2244"/>
      <c r="T878" s="2244"/>
      <c r="U878" s="2244"/>
      <c r="V878" s="2244"/>
      <c r="W878" s="2244"/>
      <c r="X878" s="2244"/>
      <c r="Y878" s="1818"/>
      <c r="Z878" s="1818"/>
      <c r="AA878" s="1818"/>
      <c r="AB878" s="1818"/>
      <c r="AC878" s="1818"/>
      <c r="AD878" s="1818"/>
      <c r="AE878" s="1818"/>
      <c r="AF878" s="1818"/>
      <c r="AG878" s="1818"/>
      <c r="AH878" s="1818"/>
      <c r="AI878" s="1818"/>
      <c r="AJ878" s="1818"/>
      <c r="AK878" s="1818"/>
      <c r="AL878" s="1818"/>
      <c r="AM878" s="1818"/>
      <c r="AN878" s="1818"/>
      <c r="AO878" s="1818"/>
      <c r="AP878" s="1818"/>
      <c r="AQ878" s="1818"/>
      <c r="AR878" s="1818"/>
      <c r="AS878" s="1818"/>
      <c r="AT878" s="1818"/>
      <c r="AU878" s="1818"/>
      <c r="AV878" s="1818"/>
      <c r="AW878" s="1818"/>
      <c r="AX878" s="1818"/>
      <c r="AY878" s="1818"/>
      <c r="AZ878" s="1818"/>
      <c r="BA878" s="1818"/>
      <c r="BB878" s="1818"/>
      <c r="BC878" s="1818"/>
      <c r="BD878" s="1818"/>
      <c r="BE878" s="1818"/>
      <c r="BF878" s="1818"/>
      <c r="BG878" s="1818"/>
      <c r="BH878" s="1818"/>
      <c r="BI878" s="1818"/>
      <c r="BJ878" s="1818"/>
      <c r="BK878" s="1818"/>
      <c r="BL878" s="1818"/>
      <c r="BM878" s="1818"/>
      <c r="BN878" s="1818"/>
      <c r="BO878" s="1818"/>
      <c r="BP878" s="1818"/>
      <c r="BQ878" s="1818"/>
      <c r="BR878" s="1818"/>
      <c r="BS878" s="1818"/>
      <c r="BT878" s="1818"/>
      <c r="BU878" s="1818"/>
      <c r="BV878" s="1818"/>
      <c r="BW878" s="1818"/>
      <c r="BX878" s="1818"/>
      <c r="BY878" s="1818"/>
      <c r="BZ878" s="1818"/>
      <c r="CA878" s="1818"/>
      <c r="CB878" s="1818"/>
      <c r="CC878" s="1818"/>
      <c r="CD878" s="1818"/>
      <c r="CE878" s="1818"/>
      <c r="CF878" s="1818"/>
      <c r="CG878" s="1818"/>
      <c r="CH878" s="1818"/>
      <c r="CI878" s="1818"/>
      <c r="CJ878" s="1818"/>
      <c r="CK878" s="1818"/>
      <c r="CL878" s="1818"/>
      <c r="CM878" s="1818"/>
      <c r="CN878" s="1818"/>
      <c r="CO878" s="1818"/>
      <c r="CP878" s="1818"/>
      <c r="CQ878" s="1818"/>
      <c r="CR878" s="1818"/>
      <c r="CS878" s="1818"/>
      <c r="CT878" s="1818"/>
      <c r="CU878" s="1818"/>
      <c r="CV878" s="1818"/>
      <c r="CW878" s="1818"/>
      <c r="CX878" s="1818"/>
      <c r="CY878" s="1818"/>
      <c r="CZ878" s="1818"/>
      <c r="DA878" s="1818"/>
      <c r="DB878" s="1818"/>
      <c r="DC878" s="1818"/>
      <c r="DD878" s="1818"/>
      <c r="DE878" s="1818"/>
      <c r="DF878" s="1818"/>
      <c r="DG878" s="1818"/>
      <c r="DH878" s="1818"/>
      <c r="DI878" s="1818"/>
      <c r="DJ878" s="1818"/>
      <c r="DK878" s="1818"/>
      <c r="DL878" s="1818"/>
      <c r="DM878" s="1818"/>
      <c r="DN878" s="1818"/>
      <c r="DO878" s="1818"/>
      <c r="DP878" s="1818"/>
      <c r="DQ878" s="1818"/>
      <c r="DR878" s="1818"/>
      <c r="DS878" s="1818"/>
      <c r="DT878" s="1818"/>
      <c r="DU878" s="1818"/>
      <c r="DV878" s="1818"/>
      <c r="DW878" s="1818"/>
      <c r="DX878" s="1818"/>
      <c r="DY878" s="1818"/>
      <c r="DZ878" s="1818"/>
      <c r="EA878" s="1818"/>
      <c r="EB878" s="1818"/>
      <c r="EC878" s="1818"/>
      <c r="ED878" s="1818"/>
      <c r="EE878" s="1818"/>
      <c r="EF878" s="1818"/>
      <c r="EG878" s="1818"/>
      <c r="EH878" s="1818"/>
      <c r="EI878" s="1818"/>
      <c r="EJ878" s="1818"/>
      <c r="EK878" s="1818"/>
      <c r="EL878" s="1818"/>
      <c r="EM878" s="1818"/>
      <c r="EN878" s="1818"/>
      <c r="EO878" s="1818"/>
      <c r="EP878" s="1818"/>
      <c r="EQ878" s="1818"/>
      <c r="ER878" s="1818"/>
      <c r="ES878" s="1818"/>
      <c r="ET878" s="1818"/>
      <c r="EU878" s="1818"/>
      <c r="EV878" s="1818"/>
      <c r="EW878" s="1818"/>
      <c r="EX878" s="1818"/>
      <c r="EY878" s="1818"/>
      <c r="EZ878" s="1818"/>
      <c r="FA878" s="1818"/>
      <c r="FB878" s="1818"/>
      <c r="FC878" s="1818"/>
      <c r="FD878" s="1818"/>
      <c r="FE878" s="1818"/>
      <c r="FF878" s="1818"/>
      <c r="FG878" s="1818"/>
      <c r="FH878" s="1818"/>
      <c r="FI878" s="1818"/>
      <c r="FJ878" s="1818"/>
      <c r="FK878" s="1818"/>
      <c r="FL878" s="1818"/>
      <c r="FM878" s="1818"/>
      <c r="FN878" s="1818"/>
      <c r="FO878" s="1818"/>
      <c r="FP878" s="1818"/>
      <c r="FQ878" s="1818"/>
      <c r="FR878" s="1818"/>
      <c r="FS878" s="1818"/>
      <c r="FT878" s="1818"/>
    </row>
    <row r="879" spans="1:176" s="1965" customFormat="1" ht="32.1" customHeight="1">
      <c r="A879" s="2535"/>
      <c r="B879" s="1803"/>
      <c r="C879" s="1813"/>
      <c r="D879" s="1813"/>
      <c r="E879" s="1813"/>
      <c r="F879" s="1813"/>
      <c r="G879" s="1813"/>
      <c r="H879" s="1813"/>
      <c r="I879" s="2434"/>
      <c r="J879" s="2244"/>
      <c r="K879" s="2244"/>
      <c r="L879" s="2244"/>
      <c r="M879" s="2244"/>
      <c r="N879" s="2244"/>
      <c r="O879" s="2244"/>
      <c r="P879" s="2245"/>
      <c r="Q879" s="2245"/>
      <c r="R879" s="2435"/>
      <c r="S879" s="2244"/>
      <c r="T879" s="2244"/>
      <c r="U879" s="2244"/>
      <c r="V879" s="2244"/>
      <c r="W879" s="2244"/>
      <c r="X879" s="2244"/>
      <c r="Y879" s="1818"/>
      <c r="Z879" s="1818"/>
      <c r="AA879" s="1818"/>
      <c r="AB879" s="1818"/>
      <c r="AC879" s="1818"/>
      <c r="AD879" s="1818"/>
      <c r="AE879" s="1818"/>
      <c r="AF879" s="1818"/>
      <c r="AG879" s="1818"/>
      <c r="AH879" s="1818"/>
      <c r="AI879" s="1818"/>
      <c r="AJ879" s="1818"/>
      <c r="AK879" s="1818"/>
      <c r="AL879" s="1818"/>
      <c r="AM879" s="1818"/>
      <c r="AN879" s="1818"/>
      <c r="AO879" s="1818"/>
      <c r="AP879" s="1818"/>
      <c r="AQ879" s="1818"/>
      <c r="AR879" s="1818"/>
      <c r="AS879" s="1818"/>
      <c r="AT879" s="1818"/>
      <c r="AU879" s="1818"/>
      <c r="AV879" s="1818"/>
      <c r="AW879" s="1818"/>
      <c r="AX879" s="1818"/>
      <c r="AY879" s="1818"/>
      <c r="AZ879" s="1818"/>
      <c r="BA879" s="1818"/>
      <c r="BB879" s="1818"/>
      <c r="BC879" s="1818"/>
      <c r="BD879" s="1818"/>
      <c r="BE879" s="1818"/>
      <c r="BF879" s="1818"/>
      <c r="BG879" s="1818"/>
      <c r="BH879" s="1818"/>
      <c r="BI879" s="1818"/>
      <c r="BJ879" s="1818"/>
      <c r="BK879" s="1818"/>
      <c r="BL879" s="1818"/>
      <c r="BM879" s="1818"/>
      <c r="BN879" s="1818"/>
      <c r="BO879" s="1818"/>
      <c r="BP879" s="1818"/>
      <c r="BQ879" s="1818"/>
      <c r="BR879" s="1818"/>
      <c r="BS879" s="1818"/>
      <c r="BT879" s="1818"/>
      <c r="BU879" s="1818"/>
      <c r="BV879" s="1818"/>
      <c r="BW879" s="1818"/>
      <c r="BX879" s="1818"/>
      <c r="BY879" s="1818"/>
      <c r="BZ879" s="1818"/>
      <c r="CA879" s="1818"/>
      <c r="CB879" s="1818"/>
      <c r="CC879" s="1818"/>
      <c r="CD879" s="1818"/>
      <c r="CE879" s="1818"/>
      <c r="CF879" s="1818"/>
      <c r="CG879" s="1818"/>
      <c r="CH879" s="1818"/>
      <c r="CI879" s="1818"/>
      <c r="CJ879" s="1818"/>
      <c r="CK879" s="1818"/>
      <c r="CL879" s="1818"/>
      <c r="CM879" s="1818"/>
      <c r="CN879" s="1818"/>
      <c r="CO879" s="1818"/>
      <c r="CP879" s="1818"/>
      <c r="CQ879" s="1818"/>
      <c r="CR879" s="1818"/>
      <c r="CS879" s="1818"/>
      <c r="CT879" s="1818"/>
      <c r="CU879" s="1818"/>
      <c r="CV879" s="1818"/>
      <c r="CW879" s="1818"/>
      <c r="CX879" s="1818"/>
      <c r="CY879" s="1818"/>
      <c r="CZ879" s="1818"/>
      <c r="DA879" s="1818"/>
      <c r="DB879" s="1818"/>
      <c r="DC879" s="1818"/>
      <c r="DD879" s="1818"/>
      <c r="DE879" s="1818"/>
      <c r="DF879" s="1818"/>
      <c r="DG879" s="1818"/>
      <c r="DH879" s="1818"/>
      <c r="DI879" s="1818"/>
      <c r="DJ879" s="1818"/>
      <c r="DK879" s="1818"/>
      <c r="DL879" s="1818"/>
      <c r="DM879" s="1818"/>
      <c r="DN879" s="1818"/>
      <c r="DO879" s="1818"/>
      <c r="DP879" s="1818"/>
      <c r="DQ879" s="1818"/>
      <c r="DR879" s="1818"/>
      <c r="DS879" s="1818"/>
      <c r="DT879" s="1818"/>
      <c r="DU879" s="1818"/>
      <c r="DV879" s="1818"/>
      <c r="DW879" s="1818"/>
      <c r="DX879" s="1818"/>
      <c r="DY879" s="1818"/>
      <c r="DZ879" s="1818"/>
      <c r="EA879" s="1818"/>
      <c r="EB879" s="1818"/>
      <c r="EC879" s="1818"/>
      <c r="ED879" s="1818"/>
      <c r="EE879" s="1818"/>
      <c r="EF879" s="1818"/>
      <c r="EG879" s="1818"/>
      <c r="EH879" s="1818"/>
      <c r="EI879" s="1818"/>
      <c r="EJ879" s="1818"/>
      <c r="EK879" s="1818"/>
      <c r="EL879" s="1818"/>
      <c r="EM879" s="1818"/>
      <c r="EN879" s="1818"/>
      <c r="EO879" s="1818"/>
      <c r="EP879" s="1818"/>
      <c r="EQ879" s="1818"/>
      <c r="ER879" s="1818"/>
      <c r="ES879" s="1818"/>
      <c r="ET879" s="1818"/>
      <c r="EU879" s="1818"/>
      <c r="EV879" s="1818"/>
      <c r="EW879" s="1818"/>
      <c r="EX879" s="1818"/>
      <c r="EY879" s="1818"/>
      <c r="EZ879" s="1818"/>
      <c r="FA879" s="1818"/>
      <c r="FB879" s="1818"/>
      <c r="FC879" s="1818"/>
      <c r="FD879" s="1818"/>
      <c r="FE879" s="1818"/>
      <c r="FF879" s="1818"/>
      <c r="FG879" s="1818"/>
      <c r="FH879" s="1818"/>
      <c r="FI879" s="1818"/>
      <c r="FJ879" s="1818"/>
      <c r="FK879" s="1818"/>
      <c r="FL879" s="1818"/>
      <c r="FM879" s="1818"/>
      <c r="FN879" s="1818"/>
      <c r="FO879" s="1818"/>
      <c r="FP879" s="1818"/>
      <c r="FQ879" s="1818"/>
      <c r="FR879" s="1818"/>
      <c r="FS879" s="1818"/>
      <c r="FT879" s="1818"/>
    </row>
    <row r="880" spans="1:176" s="1965" customFormat="1" ht="32.1" customHeight="1">
      <c r="A880" s="2535"/>
      <c r="B880" s="1803"/>
      <c r="C880" s="1813"/>
      <c r="D880" s="1813"/>
      <c r="E880" s="1813"/>
      <c r="F880" s="1813"/>
      <c r="G880" s="1813"/>
      <c r="H880" s="1813"/>
      <c r="I880" s="2434"/>
      <c r="J880" s="2244"/>
      <c r="K880" s="2244"/>
      <c r="L880" s="2244"/>
      <c r="M880" s="2244"/>
      <c r="N880" s="2244"/>
      <c r="O880" s="2244"/>
      <c r="P880" s="2245"/>
      <c r="Q880" s="2245"/>
      <c r="R880" s="2435"/>
      <c r="S880" s="2244"/>
      <c r="T880" s="2244"/>
      <c r="U880" s="2244"/>
      <c r="V880" s="2244"/>
      <c r="W880" s="2244"/>
      <c r="X880" s="2244"/>
      <c r="Y880" s="1818"/>
      <c r="Z880" s="1818"/>
      <c r="AA880" s="1818"/>
      <c r="AB880" s="1818"/>
      <c r="AC880" s="1818"/>
      <c r="AD880" s="1818"/>
      <c r="AE880" s="1818"/>
      <c r="AF880" s="1818"/>
      <c r="AG880" s="1818"/>
      <c r="AH880" s="1818"/>
      <c r="AI880" s="1818"/>
      <c r="AJ880" s="1818"/>
      <c r="AK880" s="1818"/>
      <c r="AL880" s="1818"/>
      <c r="AM880" s="1818"/>
      <c r="AN880" s="1818"/>
      <c r="AO880" s="1818"/>
      <c r="AP880" s="1818"/>
      <c r="AQ880" s="1818"/>
      <c r="AR880" s="1818"/>
      <c r="AS880" s="1818"/>
      <c r="AT880" s="1818"/>
      <c r="AU880" s="1818"/>
      <c r="AV880" s="1818"/>
      <c r="AW880" s="1818"/>
      <c r="AX880" s="1818"/>
      <c r="AY880" s="1818"/>
      <c r="AZ880" s="1818"/>
      <c r="BA880" s="1818"/>
      <c r="BB880" s="1818"/>
      <c r="BC880" s="1818"/>
      <c r="BD880" s="1818"/>
      <c r="BE880" s="1818"/>
      <c r="BF880" s="1818"/>
      <c r="BG880" s="1818"/>
      <c r="BH880" s="1818"/>
      <c r="BI880" s="1818"/>
      <c r="BJ880" s="1818"/>
      <c r="BK880" s="1818"/>
      <c r="BL880" s="1818"/>
      <c r="BM880" s="1818"/>
      <c r="BN880" s="1818"/>
      <c r="BO880" s="1818"/>
      <c r="BP880" s="1818"/>
      <c r="BQ880" s="1818"/>
      <c r="BR880" s="1818"/>
      <c r="BS880" s="1818"/>
      <c r="BT880" s="1818"/>
      <c r="BU880" s="1818"/>
      <c r="BV880" s="1818"/>
      <c r="BW880" s="1818"/>
      <c r="BX880" s="1818"/>
      <c r="BY880" s="1818"/>
      <c r="BZ880" s="1818"/>
      <c r="CA880" s="1818"/>
      <c r="CB880" s="1818"/>
      <c r="CC880" s="1818"/>
      <c r="CD880" s="1818"/>
      <c r="CE880" s="1818"/>
      <c r="CF880" s="1818"/>
      <c r="CG880" s="1818"/>
      <c r="CH880" s="1818"/>
      <c r="CI880" s="1818"/>
      <c r="CJ880" s="1818"/>
      <c r="CK880" s="1818"/>
      <c r="CL880" s="1818"/>
      <c r="CM880" s="1818"/>
      <c r="CN880" s="1818"/>
      <c r="CO880" s="1818"/>
      <c r="CP880" s="1818"/>
      <c r="CQ880" s="1818"/>
      <c r="CR880" s="1818"/>
      <c r="CS880" s="1818"/>
      <c r="CT880" s="1818"/>
      <c r="CU880" s="1818"/>
      <c r="CV880" s="1818"/>
      <c r="CW880" s="1818"/>
      <c r="CX880" s="1818"/>
      <c r="CY880" s="1818"/>
      <c r="CZ880" s="1818"/>
      <c r="DA880" s="1818"/>
      <c r="DB880" s="1818"/>
      <c r="DC880" s="1818"/>
      <c r="DD880" s="1818"/>
      <c r="DE880" s="1818"/>
      <c r="DF880" s="1818"/>
      <c r="DG880" s="1818"/>
      <c r="DH880" s="1818"/>
      <c r="DI880" s="1818"/>
      <c r="DJ880" s="1818"/>
      <c r="DK880" s="1818"/>
      <c r="DL880" s="1818"/>
      <c r="DM880" s="1818"/>
      <c r="DN880" s="1818"/>
      <c r="DO880" s="1818"/>
      <c r="DP880" s="1818"/>
      <c r="DQ880" s="1818"/>
      <c r="DR880" s="1818"/>
      <c r="DS880" s="1818"/>
      <c r="DT880" s="1818"/>
      <c r="DU880" s="1818"/>
      <c r="DV880" s="1818"/>
      <c r="DW880" s="1818"/>
      <c r="DX880" s="1818"/>
      <c r="DY880" s="1818"/>
      <c r="DZ880" s="1818"/>
      <c r="EA880" s="1818"/>
      <c r="EB880" s="1818"/>
      <c r="EC880" s="1818"/>
      <c r="ED880" s="1818"/>
      <c r="EE880" s="1818"/>
      <c r="EF880" s="1818"/>
      <c r="EG880" s="1818"/>
      <c r="EH880" s="1818"/>
      <c r="EI880" s="1818"/>
      <c r="EJ880" s="1818"/>
      <c r="EK880" s="1818"/>
      <c r="EL880" s="1818"/>
      <c r="EM880" s="1818"/>
      <c r="EN880" s="1818"/>
      <c r="EO880" s="1818"/>
      <c r="EP880" s="1818"/>
      <c r="EQ880" s="1818"/>
      <c r="ER880" s="1818"/>
      <c r="ES880" s="1818"/>
      <c r="ET880" s="1818"/>
      <c r="EU880" s="1818"/>
      <c r="EV880" s="1818"/>
      <c r="EW880" s="1818"/>
      <c r="EX880" s="1818"/>
      <c r="EY880" s="1818"/>
      <c r="EZ880" s="1818"/>
      <c r="FA880" s="1818"/>
      <c r="FB880" s="1818"/>
      <c r="FC880" s="1818"/>
      <c r="FD880" s="1818"/>
      <c r="FE880" s="1818"/>
      <c r="FF880" s="1818"/>
      <c r="FG880" s="1818"/>
      <c r="FH880" s="1818"/>
      <c r="FI880" s="1818"/>
      <c r="FJ880" s="1818"/>
      <c r="FK880" s="1818"/>
      <c r="FL880" s="1818"/>
      <c r="FM880" s="1818"/>
      <c r="FN880" s="1818"/>
      <c r="FO880" s="1818"/>
      <c r="FP880" s="1818"/>
      <c r="FQ880" s="1818"/>
      <c r="FR880" s="1818"/>
      <c r="FS880" s="1818"/>
      <c r="FT880" s="1818"/>
    </row>
    <row r="881" spans="1:176" s="1965" customFormat="1" ht="32.1" customHeight="1">
      <c r="A881" s="2535"/>
      <c r="B881" s="1803"/>
      <c r="C881" s="1813"/>
      <c r="D881" s="1813"/>
      <c r="E881" s="1813"/>
      <c r="F881" s="1813"/>
      <c r="G881" s="1813"/>
      <c r="H881" s="1813"/>
      <c r="I881" s="2434"/>
      <c r="J881" s="2244"/>
      <c r="K881" s="2244"/>
      <c r="L881" s="2244"/>
      <c r="M881" s="2244"/>
      <c r="N881" s="2244"/>
      <c r="O881" s="2244"/>
      <c r="P881" s="2245"/>
      <c r="Q881" s="2245"/>
      <c r="R881" s="2435"/>
      <c r="S881" s="2244"/>
      <c r="T881" s="2244"/>
      <c r="U881" s="2244"/>
      <c r="V881" s="2244"/>
      <c r="W881" s="2244"/>
      <c r="X881" s="2244"/>
      <c r="Y881" s="1818"/>
      <c r="Z881" s="1818"/>
      <c r="AA881" s="1818"/>
      <c r="AB881" s="1818"/>
      <c r="AC881" s="1818"/>
      <c r="AD881" s="1818"/>
      <c r="AE881" s="1818"/>
      <c r="AF881" s="1818"/>
      <c r="AG881" s="1818"/>
      <c r="AH881" s="1818"/>
      <c r="AI881" s="1818"/>
      <c r="AJ881" s="1818"/>
      <c r="AK881" s="1818"/>
      <c r="AL881" s="1818"/>
      <c r="AM881" s="1818"/>
      <c r="AN881" s="1818"/>
      <c r="AO881" s="1818"/>
      <c r="AP881" s="1818"/>
      <c r="AQ881" s="1818"/>
      <c r="AR881" s="1818"/>
      <c r="AS881" s="1818"/>
      <c r="AT881" s="1818"/>
      <c r="AU881" s="1818"/>
      <c r="AV881" s="1818"/>
      <c r="AW881" s="1818"/>
      <c r="AX881" s="1818"/>
      <c r="AY881" s="1818"/>
      <c r="AZ881" s="1818"/>
      <c r="BA881" s="1818"/>
      <c r="BB881" s="1818"/>
      <c r="BC881" s="1818"/>
      <c r="BD881" s="1818"/>
      <c r="BE881" s="1818"/>
      <c r="BF881" s="1818"/>
      <c r="BG881" s="1818"/>
      <c r="BH881" s="1818"/>
      <c r="BI881" s="1818"/>
      <c r="BJ881" s="1818"/>
      <c r="BK881" s="1818"/>
      <c r="BL881" s="1818"/>
      <c r="BM881" s="1818"/>
      <c r="BN881" s="1818"/>
      <c r="BO881" s="1818"/>
      <c r="BP881" s="1818"/>
      <c r="BQ881" s="1818"/>
      <c r="BR881" s="1818"/>
      <c r="BS881" s="1818"/>
      <c r="BT881" s="1818"/>
      <c r="BU881" s="1818"/>
      <c r="BV881" s="1818"/>
      <c r="BW881" s="1818"/>
      <c r="BX881" s="1818"/>
      <c r="BY881" s="1818"/>
      <c r="BZ881" s="1818"/>
      <c r="CA881" s="1818"/>
      <c r="CB881" s="1818"/>
      <c r="CC881" s="1818"/>
      <c r="CD881" s="1818"/>
      <c r="CE881" s="1818"/>
      <c r="CF881" s="1818"/>
      <c r="CG881" s="1818"/>
      <c r="CH881" s="1818"/>
      <c r="CI881" s="1818"/>
      <c r="CJ881" s="1818"/>
      <c r="CK881" s="1818"/>
      <c r="CL881" s="1818"/>
      <c r="CM881" s="1818"/>
      <c r="CN881" s="1818"/>
      <c r="CO881" s="1818"/>
      <c r="CP881" s="1818"/>
      <c r="CQ881" s="1818"/>
      <c r="CR881" s="1818"/>
      <c r="CS881" s="1818"/>
      <c r="CT881" s="1818"/>
      <c r="CU881" s="1818"/>
      <c r="CV881" s="1818"/>
      <c r="CW881" s="1818"/>
      <c r="CX881" s="1818"/>
      <c r="CY881" s="1818"/>
      <c r="CZ881" s="1818"/>
      <c r="DA881" s="1818"/>
      <c r="DB881" s="1818"/>
      <c r="DC881" s="1818"/>
      <c r="DD881" s="1818"/>
      <c r="DE881" s="1818"/>
      <c r="DF881" s="1818"/>
      <c r="DG881" s="1818"/>
      <c r="DH881" s="1818"/>
      <c r="DI881" s="1818"/>
      <c r="DJ881" s="1818"/>
      <c r="DK881" s="1818"/>
      <c r="DL881" s="1818"/>
      <c r="DM881" s="1818"/>
      <c r="DN881" s="1818"/>
      <c r="DO881" s="1818"/>
      <c r="DP881" s="1818"/>
      <c r="DQ881" s="1818"/>
      <c r="DR881" s="1818"/>
      <c r="DS881" s="1818"/>
      <c r="DT881" s="1818"/>
      <c r="DU881" s="1818"/>
      <c r="DV881" s="1818"/>
      <c r="DW881" s="1818"/>
      <c r="DX881" s="1818"/>
      <c r="DY881" s="1818"/>
      <c r="DZ881" s="1818"/>
      <c r="EA881" s="1818"/>
      <c r="EB881" s="1818"/>
      <c r="EC881" s="1818"/>
      <c r="ED881" s="1818"/>
      <c r="EE881" s="1818"/>
      <c r="EF881" s="1818"/>
      <c r="EG881" s="1818"/>
      <c r="EH881" s="1818"/>
      <c r="EI881" s="1818"/>
      <c r="EJ881" s="1818"/>
      <c r="EK881" s="1818"/>
      <c r="EL881" s="1818"/>
      <c r="EM881" s="1818"/>
      <c r="EN881" s="1818"/>
      <c r="EO881" s="1818"/>
      <c r="EP881" s="1818"/>
      <c r="EQ881" s="1818"/>
      <c r="ER881" s="1818"/>
      <c r="ES881" s="1818"/>
      <c r="ET881" s="1818"/>
      <c r="EU881" s="1818"/>
      <c r="EV881" s="1818"/>
      <c r="EW881" s="1818"/>
      <c r="EX881" s="1818"/>
      <c r="EY881" s="1818"/>
      <c r="EZ881" s="1818"/>
      <c r="FA881" s="1818"/>
      <c r="FB881" s="1818"/>
      <c r="FC881" s="1818"/>
      <c r="FD881" s="1818"/>
      <c r="FE881" s="1818"/>
      <c r="FF881" s="1818"/>
      <c r="FG881" s="1818"/>
      <c r="FH881" s="1818"/>
      <c r="FI881" s="1818"/>
      <c r="FJ881" s="1818"/>
      <c r="FK881" s="1818"/>
      <c r="FL881" s="1818"/>
      <c r="FM881" s="1818"/>
      <c r="FN881" s="1818"/>
      <c r="FO881" s="1818"/>
      <c r="FP881" s="1818"/>
      <c r="FQ881" s="1818"/>
      <c r="FR881" s="1818"/>
      <c r="FS881" s="1818"/>
      <c r="FT881" s="1818"/>
    </row>
    <row r="882" spans="1:176" s="1965" customFormat="1" ht="32.1" customHeight="1">
      <c r="A882" s="2535"/>
      <c r="B882" s="1803"/>
      <c r="C882" s="1813"/>
      <c r="D882" s="1813"/>
      <c r="E882" s="1813"/>
      <c r="F882" s="1813"/>
      <c r="G882" s="1813"/>
      <c r="H882" s="1813"/>
      <c r="I882" s="2434"/>
      <c r="J882" s="2244"/>
      <c r="K882" s="2244"/>
      <c r="L882" s="2244"/>
      <c r="M882" s="2244"/>
      <c r="N882" s="2244"/>
      <c r="O882" s="2244"/>
      <c r="P882" s="2245"/>
      <c r="Q882" s="2245"/>
      <c r="R882" s="2435"/>
      <c r="S882" s="2244"/>
      <c r="T882" s="2244"/>
      <c r="U882" s="2244"/>
      <c r="V882" s="2244"/>
      <c r="W882" s="2244"/>
      <c r="X882" s="2244"/>
      <c r="Y882" s="1818"/>
      <c r="Z882" s="1818"/>
      <c r="AA882" s="1818"/>
      <c r="AB882" s="1818"/>
      <c r="AC882" s="1818"/>
      <c r="AD882" s="1818"/>
      <c r="AE882" s="1818"/>
      <c r="AF882" s="1818"/>
      <c r="AG882" s="1818"/>
      <c r="AH882" s="1818"/>
      <c r="AI882" s="1818"/>
      <c r="AJ882" s="1818"/>
      <c r="AK882" s="1818"/>
      <c r="AL882" s="1818"/>
      <c r="AM882" s="1818"/>
      <c r="AN882" s="1818"/>
      <c r="AO882" s="1818"/>
      <c r="AP882" s="1818"/>
      <c r="AQ882" s="1818"/>
      <c r="AR882" s="1818"/>
      <c r="AS882" s="1818"/>
      <c r="AT882" s="1818"/>
      <c r="AU882" s="1818"/>
      <c r="AV882" s="1818"/>
      <c r="AW882" s="1818"/>
      <c r="AX882" s="1818"/>
      <c r="AY882" s="1818"/>
      <c r="AZ882" s="1818"/>
      <c r="BA882" s="1818"/>
      <c r="BB882" s="1818"/>
      <c r="BC882" s="1818"/>
      <c r="BD882" s="1818"/>
      <c r="BE882" s="1818"/>
      <c r="BF882" s="1818"/>
      <c r="BG882" s="1818"/>
      <c r="BH882" s="1818"/>
      <c r="BI882" s="1818"/>
      <c r="BJ882" s="1818"/>
      <c r="BK882" s="1818"/>
      <c r="BL882" s="1818"/>
      <c r="BM882" s="1818"/>
      <c r="BN882" s="1818"/>
      <c r="BO882" s="1818"/>
      <c r="BP882" s="1818"/>
      <c r="BQ882" s="1818"/>
      <c r="BR882" s="1818"/>
      <c r="BS882" s="1818"/>
      <c r="BT882" s="1818"/>
      <c r="BU882" s="1818"/>
      <c r="BV882" s="1818"/>
      <c r="BW882" s="1818"/>
      <c r="BX882" s="1818"/>
      <c r="BY882" s="1818"/>
      <c r="BZ882" s="1818"/>
      <c r="CA882" s="1818"/>
      <c r="CB882" s="1818"/>
      <c r="CC882" s="1818"/>
      <c r="CD882" s="1818"/>
      <c r="CE882" s="1818"/>
      <c r="CF882" s="1818"/>
      <c r="CG882" s="1818"/>
      <c r="CH882" s="1818"/>
      <c r="CI882" s="1818"/>
      <c r="CJ882" s="1818"/>
      <c r="CK882" s="1818"/>
      <c r="CL882" s="1818"/>
      <c r="CM882" s="1818"/>
      <c r="CN882" s="1818"/>
      <c r="CO882" s="1818"/>
      <c r="CP882" s="1818"/>
      <c r="CQ882" s="1818"/>
      <c r="CR882" s="1818"/>
      <c r="CS882" s="1818"/>
      <c r="CT882" s="1818"/>
      <c r="CU882" s="1818"/>
      <c r="CV882" s="1818"/>
      <c r="CW882" s="1818"/>
      <c r="CX882" s="1818"/>
      <c r="CY882" s="1818"/>
      <c r="CZ882" s="1818"/>
      <c r="DA882" s="1818"/>
      <c r="DB882" s="1818"/>
      <c r="DC882" s="1818"/>
      <c r="DD882" s="1818"/>
      <c r="DE882" s="1818"/>
      <c r="DF882" s="1818"/>
      <c r="DG882" s="1818"/>
      <c r="DH882" s="1818"/>
      <c r="DI882" s="1818"/>
      <c r="DJ882" s="1818"/>
      <c r="DK882" s="1818"/>
      <c r="DL882" s="1818"/>
      <c r="DM882" s="1818"/>
      <c r="DN882" s="1818"/>
      <c r="DO882" s="1818"/>
      <c r="DP882" s="1818"/>
      <c r="DQ882" s="1818"/>
      <c r="DR882" s="1818"/>
      <c r="DS882" s="1818"/>
      <c r="DT882" s="1818"/>
      <c r="DU882" s="1818"/>
      <c r="DV882" s="1818"/>
      <c r="DW882" s="1818"/>
      <c r="DX882" s="1818"/>
      <c r="DY882" s="1818"/>
      <c r="DZ882" s="1818"/>
      <c r="EA882" s="1818"/>
      <c r="EB882" s="1818"/>
      <c r="EC882" s="1818"/>
      <c r="ED882" s="1818"/>
      <c r="EE882" s="1818"/>
      <c r="EF882" s="1818"/>
      <c r="EG882" s="1818"/>
      <c r="EH882" s="1818"/>
      <c r="EI882" s="1818"/>
      <c r="EJ882" s="1818"/>
      <c r="EK882" s="1818"/>
      <c r="EL882" s="1818"/>
      <c r="EM882" s="1818"/>
      <c r="EN882" s="1818"/>
      <c r="EO882" s="1818"/>
      <c r="EP882" s="1818"/>
      <c r="EQ882" s="1818"/>
      <c r="ER882" s="1818"/>
      <c r="ES882" s="1818"/>
      <c r="ET882" s="1818"/>
      <c r="EU882" s="1818"/>
      <c r="EV882" s="1818"/>
      <c r="EW882" s="1818"/>
      <c r="EX882" s="1818"/>
      <c r="EY882" s="1818"/>
      <c r="EZ882" s="1818"/>
      <c r="FA882" s="1818"/>
      <c r="FB882" s="1818"/>
      <c r="FC882" s="1818"/>
      <c r="FD882" s="1818"/>
      <c r="FE882" s="1818"/>
      <c r="FF882" s="1818"/>
      <c r="FG882" s="1818"/>
      <c r="FH882" s="1818"/>
      <c r="FI882" s="1818"/>
      <c r="FJ882" s="1818"/>
      <c r="FK882" s="1818"/>
      <c r="FL882" s="1818"/>
      <c r="FM882" s="1818"/>
      <c r="FN882" s="1818"/>
      <c r="FO882" s="1818"/>
      <c r="FP882" s="1818"/>
      <c r="FQ882" s="1818"/>
      <c r="FR882" s="1818"/>
      <c r="FS882" s="1818"/>
      <c r="FT882" s="1818"/>
    </row>
    <row r="883" spans="1:176" s="1965" customFormat="1" ht="32.1" customHeight="1">
      <c r="A883" s="2535"/>
      <c r="B883" s="1803"/>
      <c r="C883" s="1813"/>
      <c r="D883" s="1813"/>
      <c r="E883" s="1813"/>
      <c r="F883" s="1813"/>
      <c r="G883" s="1813"/>
      <c r="H883" s="1813"/>
      <c r="I883" s="2434"/>
      <c r="J883" s="2244"/>
      <c r="K883" s="2244"/>
      <c r="L883" s="2244"/>
      <c r="M883" s="2244"/>
      <c r="N883" s="2244"/>
      <c r="O883" s="2244"/>
      <c r="P883" s="2245"/>
      <c r="Q883" s="2245"/>
      <c r="R883" s="2435"/>
      <c r="S883" s="2244"/>
      <c r="T883" s="2244"/>
      <c r="U883" s="2244"/>
      <c r="V883" s="2244"/>
      <c r="W883" s="2244"/>
      <c r="X883" s="2244"/>
      <c r="Y883" s="1818"/>
      <c r="Z883" s="1818"/>
      <c r="AA883" s="1818"/>
      <c r="AB883" s="1818"/>
      <c r="AC883" s="1818"/>
      <c r="AD883" s="1818"/>
      <c r="AE883" s="1818"/>
      <c r="AF883" s="1818"/>
      <c r="AG883" s="1818"/>
      <c r="AH883" s="1818"/>
      <c r="AI883" s="1818"/>
      <c r="AJ883" s="1818"/>
      <c r="AK883" s="1818"/>
      <c r="AL883" s="1818"/>
      <c r="AM883" s="1818"/>
      <c r="AN883" s="1818"/>
      <c r="AO883" s="1818"/>
      <c r="AP883" s="1818"/>
      <c r="AQ883" s="1818"/>
      <c r="AR883" s="1818"/>
      <c r="AS883" s="1818"/>
      <c r="AT883" s="1818"/>
      <c r="AU883" s="1818"/>
      <c r="AV883" s="1818"/>
      <c r="AW883" s="1818"/>
      <c r="AX883" s="1818"/>
      <c r="AY883" s="1818"/>
      <c r="AZ883" s="1818"/>
      <c r="BA883" s="1818"/>
      <c r="BB883" s="1818"/>
      <c r="BC883" s="1818"/>
      <c r="BD883" s="1818"/>
      <c r="BE883" s="1818"/>
      <c r="BF883" s="1818"/>
      <c r="BG883" s="1818"/>
      <c r="BH883" s="1818"/>
      <c r="BI883" s="1818"/>
      <c r="BJ883" s="1818"/>
      <c r="BK883" s="1818"/>
      <c r="BL883" s="1818"/>
      <c r="BM883" s="1818"/>
      <c r="BN883" s="1818"/>
      <c r="BO883" s="1818"/>
      <c r="BP883" s="1818"/>
      <c r="BQ883" s="1818"/>
      <c r="BR883" s="1818"/>
      <c r="BS883" s="1818"/>
      <c r="BT883" s="1818"/>
      <c r="BU883" s="1818"/>
      <c r="BV883" s="1818"/>
      <c r="BW883" s="1818"/>
      <c r="BX883" s="1818"/>
      <c r="BY883" s="1818"/>
      <c r="BZ883" s="1818"/>
      <c r="CA883" s="1818"/>
      <c r="CB883" s="1818"/>
      <c r="CC883" s="1818"/>
      <c r="CD883" s="1818"/>
      <c r="CE883" s="1818"/>
      <c r="CF883" s="1818"/>
      <c r="CG883" s="1818"/>
      <c r="CH883" s="1818"/>
      <c r="CI883" s="1818"/>
      <c r="CJ883" s="1818"/>
      <c r="CK883" s="1818"/>
      <c r="CL883" s="1818"/>
      <c r="CM883" s="1818"/>
      <c r="CN883" s="1818"/>
      <c r="CO883" s="1818"/>
      <c r="CP883" s="1818"/>
      <c r="CQ883" s="1818"/>
      <c r="CR883" s="1818"/>
      <c r="CS883" s="1818"/>
      <c r="CT883" s="1818"/>
      <c r="CU883" s="1818"/>
      <c r="CV883" s="1818"/>
      <c r="CW883" s="1818"/>
      <c r="CX883" s="1818"/>
      <c r="CY883" s="1818"/>
      <c r="CZ883" s="1818"/>
      <c r="DA883" s="1818"/>
      <c r="DB883" s="1818"/>
      <c r="DC883" s="1818"/>
      <c r="DD883" s="1818"/>
      <c r="DE883" s="1818"/>
      <c r="DF883" s="1818"/>
      <c r="DG883" s="1818"/>
      <c r="DH883" s="1818"/>
      <c r="DI883" s="1818"/>
      <c r="DJ883" s="1818"/>
      <c r="DK883" s="1818"/>
      <c r="DL883" s="1818"/>
      <c r="DM883" s="1818"/>
      <c r="DN883" s="1818"/>
      <c r="DO883" s="1818"/>
      <c r="DP883" s="1818"/>
      <c r="DQ883" s="1818"/>
      <c r="DR883" s="1818"/>
      <c r="DS883" s="1818"/>
      <c r="DT883" s="1818"/>
      <c r="DU883" s="1818"/>
      <c r="DV883" s="1818"/>
      <c r="DW883" s="1818"/>
      <c r="DX883" s="1818"/>
      <c r="DY883" s="1818"/>
      <c r="DZ883" s="1818"/>
      <c r="EA883" s="1818"/>
      <c r="EB883" s="1818"/>
      <c r="EC883" s="1818"/>
      <c r="ED883" s="1818"/>
      <c r="EE883" s="1818"/>
      <c r="EF883" s="1818"/>
      <c r="EG883" s="1818"/>
      <c r="EH883" s="1818"/>
      <c r="EI883" s="1818"/>
      <c r="EJ883" s="1818"/>
      <c r="EK883" s="1818"/>
      <c r="EL883" s="1818"/>
      <c r="EM883" s="1818"/>
      <c r="EN883" s="1818"/>
      <c r="EO883" s="1818"/>
      <c r="EP883" s="1818"/>
      <c r="EQ883" s="1818"/>
      <c r="ER883" s="1818"/>
      <c r="ES883" s="1818"/>
      <c r="ET883" s="1818"/>
      <c r="EU883" s="1818"/>
      <c r="EV883" s="1818"/>
      <c r="EW883" s="1818"/>
      <c r="EX883" s="1818"/>
      <c r="EY883" s="1818"/>
      <c r="EZ883" s="1818"/>
      <c r="FA883" s="1818"/>
      <c r="FB883" s="1818"/>
      <c r="FC883" s="1818"/>
      <c r="FD883" s="1818"/>
      <c r="FE883" s="1818"/>
      <c r="FF883" s="1818"/>
      <c r="FG883" s="1818"/>
      <c r="FH883" s="1818"/>
      <c r="FI883" s="1818"/>
      <c r="FJ883" s="1818"/>
      <c r="FK883" s="1818"/>
      <c r="FL883" s="1818"/>
      <c r="FM883" s="1818"/>
      <c r="FN883" s="1818"/>
      <c r="FO883" s="1818"/>
      <c r="FP883" s="1818"/>
      <c r="FQ883" s="1818"/>
      <c r="FR883" s="1818"/>
      <c r="FS883" s="1818"/>
      <c r="FT883" s="1818"/>
    </row>
    <row r="884" spans="1:176" s="1965" customFormat="1" ht="32.1" customHeight="1">
      <c r="A884" s="2535"/>
      <c r="B884" s="1803"/>
      <c r="C884" s="1813"/>
      <c r="D884" s="1813"/>
      <c r="E884" s="1813"/>
      <c r="F884" s="1813"/>
      <c r="G884" s="1813"/>
      <c r="H884" s="1813"/>
      <c r="I884" s="2434"/>
      <c r="J884" s="2244"/>
      <c r="K884" s="2244"/>
      <c r="L884" s="2244"/>
      <c r="M884" s="2244"/>
      <c r="N884" s="2244"/>
      <c r="O884" s="2244"/>
      <c r="P884" s="2245"/>
      <c r="Q884" s="2245"/>
      <c r="R884" s="2435"/>
      <c r="S884" s="2244"/>
      <c r="T884" s="2244"/>
      <c r="U884" s="2244"/>
      <c r="V884" s="2244"/>
      <c r="W884" s="2244"/>
      <c r="X884" s="2244"/>
      <c r="Y884" s="1818"/>
      <c r="Z884" s="1818"/>
      <c r="AA884" s="1818"/>
      <c r="AB884" s="1818"/>
      <c r="AC884" s="1818"/>
      <c r="AD884" s="1818"/>
      <c r="AE884" s="1818"/>
      <c r="AF884" s="1818"/>
      <c r="AG884" s="1818"/>
      <c r="AH884" s="1818"/>
      <c r="AI884" s="1818"/>
      <c r="AJ884" s="1818"/>
      <c r="AK884" s="1818"/>
      <c r="AL884" s="1818"/>
      <c r="AM884" s="1818"/>
      <c r="AN884" s="1818"/>
      <c r="AO884" s="1818"/>
      <c r="AP884" s="1818"/>
      <c r="AQ884" s="1818"/>
      <c r="AR884" s="1818"/>
      <c r="AS884" s="1818"/>
      <c r="AT884" s="1818"/>
      <c r="AU884" s="1818"/>
      <c r="AV884" s="1818"/>
      <c r="AW884" s="1818"/>
      <c r="AX884" s="1818"/>
      <c r="AY884" s="1818"/>
      <c r="AZ884" s="1818"/>
      <c r="BA884" s="1818"/>
      <c r="BB884" s="1818"/>
      <c r="BC884" s="1818"/>
      <c r="BD884" s="1818"/>
      <c r="BE884" s="1818"/>
      <c r="BF884" s="1818"/>
      <c r="BG884" s="1818"/>
      <c r="BH884" s="1818"/>
      <c r="BI884" s="1818"/>
      <c r="BJ884" s="1818"/>
      <c r="BK884" s="1818"/>
      <c r="BL884" s="1818"/>
      <c r="BM884" s="1818"/>
      <c r="BN884" s="1818"/>
      <c r="BO884" s="1818"/>
      <c r="BP884" s="1818"/>
      <c r="BQ884" s="1818"/>
      <c r="BR884" s="1818"/>
      <c r="BS884" s="1818"/>
      <c r="BT884" s="1818"/>
      <c r="BU884" s="1818"/>
      <c r="BV884" s="1818"/>
      <c r="BW884" s="1818"/>
      <c r="BX884" s="1818"/>
      <c r="BY884" s="1818"/>
      <c r="BZ884" s="1818"/>
      <c r="CA884" s="1818"/>
      <c r="CB884" s="1818"/>
      <c r="CC884" s="1818"/>
      <c r="CD884" s="1818"/>
      <c r="CE884" s="1818"/>
      <c r="CF884" s="1818"/>
      <c r="CG884" s="1818"/>
      <c r="CH884" s="1818"/>
      <c r="CI884" s="1818"/>
      <c r="CJ884" s="1818"/>
      <c r="CK884" s="1818"/>
      <c r="CL884" s="1818"/>
      <c r="CM884" s="1818"/>
      <c r="CN884" s="1818"/>
      <c r="CO884" s="1818"/>
      <c r="CP884" s="1818"/>
      <c r="CQ884" s="1818"/>
      <c r="CR884" s="1818"/>
      <c r="CS884" s="1818"/>
      <c r="CT884" s="1818"/>
      <c r="CU884" s="1818"/>
      <c r="CV884" s="1818"/>
      <c r="CW884" s="1818"/>
      <c r="CX884" s="1818"/>
      <c r="CY884" s="1818"/>
      <c r="CZ884" s="1818"/>
      <c r="DA884" s="1818"/>
      <c r="DB884" s="1818"/>
      <c r="DC884" s="1818"/>
      <c r="DD884" s="1818"/>
      <c r="DE884" s="1818"/>
      <c r="DF884" s="1818"/>
      <c r="DG884" s="1818"/>
      <c r="DH884" s="1818"/>
      <c r="DI884" s="1818"/>
      <c r="DJ884" s="1818"/>
      <c r="DK884" s="1818"/>
      <c r="DL884" s="1818"/>
      <c r="DM884" s="1818"/>
      <c r="DN884" s="1818"/>
      <c r="DO884" s="1818"/>
      <c r="DP884" s="1818"/>
      <c r="DQ884" s="1818"/>
      <c r="DR884" s="1818"/>
      <c r="DS884" s="1818"/>
      <c r="DT884" s="1818"/>
      <c r="DU884" s="1818"/>
      <c r="DV884" s="1818"/>
      <c r="DW884" s="1818"/>
      <c r="DX884" s="1818"/>
      <c r="DY884" s="1818"/>
      <c r="DZ884" s="1818"/>
      <c r="EA884" s="1818"/>
      <c r="EB884" s="1818"/>
      <c r="EC884" s="1818"/>
      <c r="ED884" s="1818"/>
      <c r="EE884" s="1818"/>
      <c r="EF884" s="1818"/>
      <c r="EG884" s="1818"/>
      <c r="EH884" s="1818"/>
      <c r="EI884" s="1818"/>
      <c r="EJ884" s="1818"/>
      <c r="EK884" s="1818"/>
      <c r="EL884" s="1818"/>
      <c r="EM884" s="1818"/>
      <c r="EN884" s="1818"/>
      <c r="EO884" s="1818"/>
      <c r="EP884" s="1818"/>
      <c r="EQ884" s="1818"/>
      <c r="ER884" s="1818"/>
      <c r="ES884" s="1818"/>
      <c r="ET884" s="1818"/>
      <c r="EU884" s="1818"/>
      <c r="EV884" s="1818"/>
      <c r="EW884" s="1818"/>
      <c r="EX884" s="1818"/>
      <c r="EY884" s="1818"/>
      <c r="EZ884" s="1818"/>
      <c r="FA884" s="1818"/>
      <c r="FB884" s="1818"/>
      <c r="FC884" s="1818"/>
      <c r="FD884" s="1818"/>
      <c r="FE884" s="1818"/>
      <c r="FF884" s="1818"/>
      <c r="FG884" s="1818"/>
      <c r="FH884" s="1818"/>
      <c r="FI884" s="1818"/>
      <c r="FJ884" s="1818"/>
      <c r="FK884" s="1818"/>
      <c r="FL884" s="1818"/>
      <c r="FM884" s="1818"/>
      <c r="FN884" s="1818"/>
      <c r="FO884" s="1818"/>
      <c r="FP884" s="1818"/>
      <c r="FQ884" s="1818"/>
      <c r="FR884" s="1818"/>
      <c r="FS884" s="1818"/>
      <c r="FT884" s="1818"/>
    </row>
    <row r="885" spans="1:176" s="1965" customFormat="1" ht="32.1" customHeight="1">
      <c r="A885" s="2535"/>
      <c r="B885" s="1803"/>
      <c r="C885" s="1813"/>
      <c r="D885" s="1813"/>
      <c r="E885" s="1813"/>
      <c r="F885" s="1813"/>
      <c r="G885" s="1813"/>
      <c r="H885" s="1813"/>
      <c r="I885" s="2434"/>
      <c r="J885" s="2244"/>
      <c r="K885" s="2244"/>
      <c r="L885" s="2244"/>
      <c r="M885" s="2244"/>
      <c r="N885" s="2244"/>
      <c r="O885" s="2244"/>
      <c r="P885" s="2245"/>
      <c r="Q885" s="2245"/>
      <c r="R885" s="2435"/>
      <c r="S885" s="2244"/>
      <c r="T885" s="2244"/>
      <c r="U885" s="2244"/>
      <c r="V885" s="2244"/>
      <c r="W885" s="2244"/>
      <c r="X885" s="2244"/>
      <c r="Y885" s="1818"/>
      <c r="Z885" s="1818"/>
      <c r="AA885" s="1818"/>
      <c r="AB885" s="1818"/>
      <c r="AC885" s="1818"/>
      <c r="AD885" s="1818"/>
      <c r="AE885" s="1818"/>
      <c r="AF885" s="1818"/>
      <c r="AG885" s="1818"/>
      <c r="AH885" s="1818"/>
      <c r="AI885" s="1818"/>
      <c r="AJ885" s="1818"/>
      <c r="AK885" s="1818"/>
      <c r="AL885" s="1818"/>
      <c r="AM885" s="1818"/>
      <c r="AN885" s="1818"/>
      <c r="AO885" s="1818"/>
      <c r="AP885" s="1818"/>
      <c r="AQ885" s="1818"/>
      <c r="AR885" s="1818"/>
      <c r="AS885" s="1818"/>
      <c r="AT885" s="1818"/>
      <c r="AU885" s="1818"/>
      <c r="AV885" s="1818"/>
      <c r="AW885" s="1818"/>
      <c r="AX885" s="1818"/>
      <c r="AY885" s="1818"/>
      <c r="AZ885" s="1818"/>
      <c r="BA885" s="1818"/>
      <c r="BB885" s="1818"/>
      <c r="BC885" s="1818"/>
      <c r="BD885" s="1818"/>
      <c r="BE885" s="1818"/>
      <c r="BF885" s="1818"/>
      <c r="BG885" s="1818"/>
      <c r="BH885" s="1818"/>
      <c r="BI885" s="1818"/>
      <c r="BJ885" s="1818"/>
      <c r="BK885" s="1818"/>
      <c r="BL885" s="1818"/>
      <c r="BM885" s="1818"/>
      <c r="BN885" s="1818"/>
      <c r="BO885" s="1818"/>
      <c r="BP885" s="1818"/>
      <c r="BQ885" s="1818"/>
      <c r="BR885" s="1818"/>
      <c r="BS885" s="1818"/>
      <c r="BT885" s="1818"/>
      <c r="BU885" s="1818"/>
      <c r="BV885" s="1818"/>
      <c r="BW885" s="1818"/>
      <c r="BX885" s="1818"/>
      <c r="BY885" s="1818"/>
      <c r="BZ885" s="1818"/>
      <c r="CA885" s="1818"/>
      <c r="CB885" s="1818"/>
      <c r="CC885" s="1818"/>
      <c r="CD885" s="1818"/>
      <c r="CE885" s="1818"/>
      <c r="CF885" s="1818"/>
      <c r="CG885" s="1818"/>
      <c r="CH885" s="1818"/>
      <c r="CI885" s="1818"/>
      <c r="CJ885" s="1818"/>
      <c r="CK885" s="1818"/>
      <c r="CL885" s="1818"/>
      <c r="CM885" s="1818"/>
      <c r="CN885" s="1818"/>
      <c r="CO885" s="1818"/>
      <c r="CP885" s="1818"/>
      <c r="CQ885" s="1818"/>
      <c r="CR885" s="1818"/>
      <c r="CS885" s="1818"/>
      <c r="CT885" s="1818"/>
      <c r="CU885" s="1818"/>
      <c r="CV885" s="1818"/>
      <c r="CW885" s="1818"/>
      <c r="CX885" s="1818"/>
      <c r="CY885" s="1818"/>
      <c r="CZ885" s="1818"/>
      <c r="DA885" s="1818"/>
      <c r="DB885" s="1818"/>
      <c r="DC885" s="1818"/>
      <c r="DD885" s="1818"/>
      <c r="DE885" s="1818"/>
      <c r="DF885" s="1818"/>
      <c r="DG885" s="1818"/>
      <c r="DH885" s="1818"/>
      <c r="DI885" s="1818"/>
      <c r="DJ885" s="1818"/>
      <c r="DK885" s="1818"/>
      <c r="DL885" s="1818"/>
      <c r="DM885" s="1818"/>
      <c r="DN885" s="1818"/>
      <c r="DO885" s="1818"/>
      <c r="DP885" s="1818"/>
      <c r="DQ885" s="1818"/>
      <c r="DR885" s="1818"/>
      <c r="DS885" s="1818"/>
      <c r="DT885" s="1818"/>
      <c r="DU885" s="1818"/>
      <c r="DV885" s="1818"/>
      <c r="DW885" s="1818"/>
      <c r="DX885" s="1818"/>
      <c r="DY885" s="1818"/>
      <c r="DZ885" s="1818"/>
      <c r="EA885" s="1818"/>
      <c r="EB885" s="1818"/>
      <c r="EC885" s="1818"/>
      <c r="ED885" s="1818"/>
      <c r="EE885" s="1818"/>
      <c r="EF885" s="1818"/>
      <c r="EG885" s="1818"/>
      <c r="EH885" s="1818"/>
      <c r="EI885" s="1818"/>
      <c r="EJ885" s="1818"/>
      <c r="EK885" s="1818"/>
      <c r="EL885" s="1818"/>
      <c r="EM885" s="1818"/>
      <c r="EN885" s="1818"/>
      <c r="EO885" s="1818"/>
      <c r="EP885" s="1818"/>
      <c r="EQ885" s="1818"/>
      <c r="ER885" s="1818"/>
      <c r="ES885" s="1818"/>
      <c r="ET885" s="1818"/>
      <c r="EU885" s="1818"/>
      <c r="EV885" s="1818"/>
      <c r="EW885" s="1818"/>
      <c r="EX885" s="1818"/>
      <c r="EY885" s="1818"/>
      <c r="EZ885" s="1818"/>
      <c r="FA885" s="1818"/>
      <c r="FB885" s="1818"/>
      <c r="FC885" s="1818"/>
      <c r="FD885" s="1818"/>
      <c r="FE885" s="1818"/>
      <c r="FF885" s="1818"/>
      <c r="FG885" s="1818"/>
      <c r="FH885" s="1818"/>
      <c r="FI885" s="1818"/>
      <c r="FJ885" s="1818"/>
      <c r="FK885" s="1818"/>
      <c r="FL885" s="1818"/>
      <c r="FM885" s="1818"/>
      <c r="FN885" s="1818"/>
      <c r="FO885" s="1818"/>
      <c r="FP885" s="1818"/>
      <c r="FQ885" s="1818"/>
      <c r="FR885" s="1818"/>
      <c r="FS885" s="1818"/>
      <c r="FT885" s="1818"/>
    </row>
    <row r="886" spans="1:176" s="1965" customFormat="1" ht="32.1" customHeight="1">
      <c r="A886" s="2535"/>
      <c r="B886" s="1803"/>
      <c r="C886" s="1813"/>
      <c r="D886" s="1813"/>
      <c r="E886" s="1813"/>
      <c r="F886" s="1813"/>
      <c r="G886" s="1813"/>
      <c r="H886" s="1813"/>
      <c r="I886" s="2434"/>
      <c r="J886" s="2244"/>
      <c r="K886" s="2244"/>
      <c r="L886" s="2244"/>
      <c r="M886" s="2244"/>
      <c r="N886" s="2244"/>
      <c r="O886" s="2244"/>
      <c r="P886" s="2245"/>
      <c r="Q886" s="2245"/>
      <c r="R886" s="2435"/>
      <c r="S886" s="2244"/>
      <c r="T886" s="2244"/>
      <c r="U886" s="2244"/>
      <c r="V886" s="2244"/>
      <c r="W886" s="2244"/>
      <c r="X886" s="2244"/>
      <c r="Y886" s="1818"/>
      <c r="Z886" s="1818"/>
      <c r="AA886" s="1818"/>
      <c r="AB886" s="1818"/>
      <c r="AC886" s="1818"/>
      <c r="AD886" s="1818"/>
      <c r="AE886" s="1818"/>
      <c r="AF886" s="1818"/>
      <c r="AG886" s="1818"/>
      <c r="AH886" s="1818"/>
      <c r="AI886" s="1818"/>
      <c r="AJ886" s="1818"/>
      <c r="AK886" s="1818"/>
      <c r="AL886" s="1818"/>
      <c r="AM886" s="1818"/>
      <c r="AN886" s="1818"/>
      <c r="AO886" s="1818"/>
      <c r="AP886" s="1818"/>
      <c r="AQ886" s="1818"/>
      <c r="AR886" s="1818"/>
      <c r="AS886" s="1818"/>
      <c r="AT886" s="1818"/>
      <c r="AU886" s="1818"/>
      <c r="AV886" s="1818"/>
      <c r="AW886" s="1818"/>
      <c r="AX886" s="1818"/>
      <c r="AY886" s="1818"/>
      <c r="AZ886" s="1818"/>
      <c r="BA886" s="1818"/>
      <c r="BB886" s="1818"/>
      <c r="BC886" s="1818"/>
      <c r="BD886" s="1818"/>
      <c r="BE886" s="1818"/>
      <c r="BF886" s="1818"/>
      <c r="BG886" s="1818"/>
      <c r="BH886" s="1818"/>
      <c r="BI886" s="1818"/>
      <c r="BJ886" s="1818"/>
      <c r="BK886" s="1818"/>
      <c r="BL886" s="1818"/>
      <c r="BM886" s="1818"/>
      <c r="BN886" s="1818"/>
      <c r="BO886" s="1818"/>
      <c r="BP886" s="1818"/>
      <c r="BQ886" s="1818"/>
      <c r="BR886" s="1818"/>
      <c r="BS886" s="1818"/>
      <c r="BT886" s="1818"/>
      <c r="BU886" s="1818"/>
      <c r="BV886" s="1818"/>
      <c r="BW886" s="1818"/>
      <c r="BX886" s="1818"/>
      <c r="BY886" s="1818"/>
      <c r="BZ886" s="1818"/>
      <c r="CA886" s="1818"/>
      <c r="CB886" s="1818"/>
      <c r="CC886" s="1818"/>
      <c r="CD886" s="1818"/>
      <c r="CE886" s="1818"/>
      <c r="CF886" s="1818"/>
      <c r="CG886" s="1818"/>
      <c r="CH886" s="1818"/>
      <c r="CI886" s="1818"/>
      <c r="CJ886" s="1818"/>
      <c r="CK886" s="1818"/>
      <c r="CL886" s="1818"/>
      <c r="CM886" s="1818"/>
      <c r="CN886" s="1818"/>
      <c r="CO886" s="1818"/>
      <c r="CP886" s="1818"/>
      <c r="CQ886" s="1818"/>
      <c r="CR886" s="1818"/>
      <c r="CS886" s="1818"/>
      <c r="CT886" s="1818"/>
      <c r="CU886" s="1818"/>
      <c r="CV886" s="1818"/>
      <c r="CW886" s="1818"/>
      <c r="CX886" s="1818"/>
      <c r="CY886" s="1818"/>
      <c r="CZ886" s="1818"/>
      <c r="DA886" s="1818"/>
      <c r="DB886" s="1818"/>
      <c r="DC886" s="1818"/>
      <c r="DD886" s="1818"/>
      <c r="DE886" s="1818"/>
      <c r="DF886" s="1818"/>
      <c r="DG886" s="1818"/>
      <c r="DH886" s="1818"/>
      <c r="DI886" s="1818"/>
      <c r="DJ886" s="1818"/>
      <c r="DK886" s="1818"/>
      <c r="DL886" s="1818"/>
      <c r="DM886" s="1818"/>
      <c r="DN886" s="1818"/>
      <c r="DO886" s="1818"/>
      <c r="DP886" s="1818"/>
      <c r="DQ886" s="1818"/>
      <c r="DR886" s="1818"/>
      <c r="DS886" s="1818"/>
      <c r="DT886" s="1818"/>
      <c r="DU886" s="1818"/>
      <c r="DV886" s="1818"/>
      <c r="DW886" s="1818"/>
      <c r="DX886" s="1818"/>
      <c r="DY886" s="1818"/>
      <c r="DZ886" s="1818"/>
      <c r="EA886" s="1818"/>
      <c r="EB886" s="1818"/>
      <c r="EC886" s="1818"/>
      <c r="ED886" s="1818"/>
      <c r="EE886" s="1818"/>
      <c r="EF886" s="1818"/>
      <c r="EG886" s="1818"/>
      <c r="EH886" s="1818"/>
      <c r="EI886" s="1818"/>
      <c r="EJ886" s="1818"/>
      <c r="EK886" s="1818"/>
      <c r="EL886" s="1818"/>
      <c r="EM886" s="1818"/>
      <c r="EN886" s="1818"/>
      <c r="EO886" s="1818"/>
      <c r="EP886" s="1818"/>
      <c r="EQ886" s="1818"/>
      <c r="ER886" s="1818"/>
      <c r="ES886" s="1818"/>
      <c r="ET886" s="1818"/>
      <c r="EU886" s="1818"/>
      <c r="EV886" s="1818"/>
      <c r="EW886" s="1818"/>
      <c r="EX886" s="1818"/>
      <c r="EY886" s="1818"/>
      <c r="EZ886" s="1818"/>
      <c r="FA886" s="1818"/>
      <c r="FB886" s="1818"/>
      <c r="FC886" s="1818"/>
      <c r="FD886" s="1818"/>
      <c r="FE886" s="1818"/>
      <c r="FF886" s="1818"/>
      <c r="FG886" s="1818"/>
      <c r="FH886" s="1818"/>
      <c r="FI886" s="1818"/>
      <c r="FJ886" s="1818"/>
      <c r="FK886" s="1818"/>
      <c r="FL886" s="1818"/>
      <c r="FM886" s="1818"/>
      <c r="FN886" s="1818"/>
      <c r="FO886" s="1818"/>
      <c r="FP886" s="1818"/>
      <c r="FQ886" s="1818"/>
      <c r="FR886" s="1818"/>
      <c r="FS886" s="1818"/>
      <c r="FT886" s="1818"/>
    </row>
    <row r="887" spans="1:176" s="1965" customFormat="1" ht="32.1" customHeight="1">
      <c r="A887" s="2535"/>
      <c r="B887" s="1803"/>
      <c r="C887" s="1813"/>
      <c r="D887" s="1813"/>
      <c r="E887" s="1813"/>
      <c r="F887" s="1813"/>
      <c r="G887" s="1813"/>
      <c r="H887" s="1813"/>
      <c r="I887" s="2434"/>
      <c r="J887" s="2244"/>
      <c r="K887" s="2244"/>
      <c r="L887" s="2244"/>
      <c r="M887" s="2244"/>
      <c r="N887" s="2244"/>
      <c r="O887" s="2244"/>
      <c r="P887" s="2245"/>
      <c r="Q887" s="2245"/>
      <c r="R887" s="2435"/>
      <c r="S887" s="2244"/>
      <c r="T887" s="2244"/>
      <c r="U887" s="2244"/>
      <c r="V887" s="2244"/>
      <c r="W887" s="2244"/>
      <c r="X887" s="2244"/>
      <c r="Y887" s="1818"/>
      <c r="Z887" s="1818"/>
      <c r="AA887" s="1818"/>
      <c r="AB887" s="1818"/>
      <c r="AC887" s="1818"/>
      <c r="AD887" s="1818"/>
      <c r="AE887" s="1818"/>
      <c r="AF887" s="1818"/>
      <c r="AG887" s="1818"/>
      <c r="AH887" s="1818"/>
      <c r="AI887" s="1818"/>
      <c r="AJ887" s="1818"/>
      <c r="AK887" s="1818"/>
      <c r="AL887" s="1818"/>
      <c r="AM887" s="1818"/>
      <c r="AN887" s="1818"/>
      <c r="AO887" s="1818"/>
      <c r="AP887" s="1818"/>
      <c r="AQ887" s="1818"/>
      <c r="AR887" s="1818"/>
      <c r="AS887" s="1818"/>
      <c r="AT887" s="1818"/>
      <c r="AU887" s="1818"/>
      <c r="AV887" s="1818"/>
      <c r="AW887" s="1818"/>
      <c r="AX887" s="1818"/>
      <c r="AY887" s="1818"/>
      <c r="AZ887" s="1818"/>
      <c r="BA887" s="1818"/>
      <c r="BB887" s="1818"/>
      <c r="BC887" s="1818"/>
      <c r="BD887" s="1818"/>
      <c r="BE887" s="1818"/>
      <c r="BF887" s="1818"/>
      <c r="BG887" s="1818"/>
      <c r="BH887" s="1818"/>
      <c r="BI887" s="1818"/>
      <c r="BJ887" s="1818"/>
      <c r="BK887" s="1818"/>
      <c r="BL887" s="1818"/>
      <c r="BM887" s="1818"/>
      <c r="BN887" s="1818"/>
      <c r="BO887" s="1818"/>
      <c r="BP887" s="1818"/>
      <c r="BQ887" s="1818"/>
      <c r="BR887" s="1818"/>
      <c r="BS887" s="1818"/>
      <c r="BT887" s="1818"/>
      <c r="BU887" s="1818"/>
      <c r="BV887" s="1818"/>
      <c r="BW887" s="1818"/>
      <c r="BX887" s="1818"/>
      <c r="BY887" s="1818"/>
      <c r="BZ887" s="1818"/>
      <c r="CA887" s="1818"/>
      <c r="CB887" s="1818"/>
      <c r="CC887" s="1818"/>
      <c r="CD887" s="1818"/>
      <c r="CE887" s="1818"/>
      <c r="CF887" s="1818"/>
      <c r="CG887" s="1818"/>
      <c r="CH887" s="1818"/>
      <c r="CI887" s="1818"/>
      <c r="CJ887" s="1818"/>
      <c r="CK887" s="1818"/>
      <c r="CL887" s="1818"/>
      <c r="CM887" s="1818"/>
      <c r="CN887" s="1818"/>
      <c r="CO887" s="1818"/>
      <c r="CP887" s="1818"/>
      <c r="CQ887" s="1818"/>
      <c r="CR887" s="1818"/>
      <c r="CS887" s="1818"/>
      <c r="CT887" s="1818"/>
      <c r="CU887" s="1818"/>
      <c r="CV887" s="1818"/>
      <c r="CW887" s="1818"/>
      <c r="CX887" s="1818"/>
      <c r="CY887" s="1818"/>
      <c r="CZ887" s="1818"/>
      <c r="DA887" s="1818"/>
      <c r="DB887" s="1818"/>
      <c r="DC887" s="1818"/>
      <c r="DD887" s="1818"/>
      <c r="DE887" s="1818"/>
      <c r="DF887" s="1818"/>
      <c r="DG887" s="1818"/>
      <c r="DH887" s="1818"/>
      <c r="DI887" s="1818"/>
      <c r="DJ887" s="1818"/>
      <c r="DK887" s="1818"/>
      <c r="DL887" s="1818"/>
      <c r="DM887" s="1818"/>
      <c r="DN887" s="1818"/>
      <c r="DO887" s="1818"/>
      <c r="DP887" s="1818"/>
      <c r="DQ887" s="1818"/>
      <c r="DR887" s="1818"/>
      <c r="DS887" s="1818"/>
      <c r="DT887" s="1818"/>
      <c r="DU887" s="1818"/>
      <c r="DV887" s="1818"/>
      <c r="DW887" s="1818"/>
      <c r="DX887" s="1818"/>
      <c r="DY887" s="1818"/>
      <c r="DZ887" s="1818"/>
      <c r="EA887" s="1818"/>
      <c r="EB887" s="1818"/>
      <c r="EC887" s="1818"/>
      <c r="ED887" s="1818"/>
      <c r="EE887" s="1818"/>
      <c r="EF887" s="1818"/>
      <c r="EG887" s="1818"/>
      <c r="EH887" s="1818"/>
      <c r="EI887" s="1818"/>
      <c r="EJ887" s="1818"/>
      <c r="EK887" s="1818"/>
      <c r="EL887" s="1818"/>
      <c r="EM887" s="1818"/>
      <c r="EN887" s="1818"/>
      <c r="EO887" s="1818"/>
      <c r="EP887" s="1818"/>
      <c r="EQ887" s="1818"/>
      <c r="ER887" s="1818"/>
      <c r="ES887" s="1818"/>
      <c r="ET887" s="1818"/>
      <c r="EU887" s="1818"/>
      <c r="EV887" s="1818"/>
      <c r="EW887" s="1818"/>
      <c r="EX887" s="1818"/>
      <c r="EY887" s="1818"/>
      <c r="EZ887" s="1818"/>
      <c r="FA887" s="1818"/>
      <c r="FB887" s="1818"/>
      <c r="FC887" s="1818"/>
      <c r="FD887" s="1818"/>
      <c r="FE887" s="1818"/>
      <c r="FF887" s="1818"/>
      <c r="FG887" s="1818"/>
      <c r="FH887" s="1818"/>
      <c r="FI887" s="1818"/>
      <c r="FJ887" s="1818"/>
      <c r="FK887" s="1818"/>
      <c r="FL887" s="1818"/>
      <c r="FM887" s="1818"/>
      <c r="FN887" s="1818"/>
      <c r="FO887" s="1818"/>
      <c r="FP887" s="1818"/>
      <c r="FQ887" s="1818"/>
      <c r="FR887" s="1818"/>
      <c r="FS887" s="1818"/>
      <c r="FT887" s="1818"/>
    </row>
    <row r="888" spans="1:176" s="1965" customFormat="1" ht="32.1" customHeight="1">
      <c r="A888" s="2535"/>
      <c r="B888" s="1803"/>
      <c r="C888" s="1813"/>
      <c r="D888" s="1813"/>
      <c r="E888" s="1813"/>
      <c r="F888" s="1813"/>
      <c r="G888" s="1813"/>
      <c r="H888" s="1813"/>
      <c r="I888" s="2434"/>
      <c r="J888" s="2244"/>
      <c r="K888" s="2244"/>
      <c r="L888" s="2244"/>
      <c r="M888" s="2244"/>
      <c r="N888" s="2244"/>
      <c r="O888" s="2244"/>
      <c r="P888" s="2245"/>
      <c r="Q888" s="2245"/>
      <c r="R888" s="2435"/>
      <c r="S888" s="2244"/>
      <c r="T888" s="2244"/>
      <c r="U888" s="2244"/>
      <c r="V888" s="2244"/>
      <c r="W888" s="2244"/>
      <c r="X888" s="2244"/>
      <c r="Y888" s="1818"/>
      <c r="Z888" s="1818"/>
      <c r="AA888" s="1818"/>
      <c r="AB888" s="1818"/>
      <c r="AC888" s="1818"/>
      <c r="AD888" s="1818"/>
      <c r="AE888" s="1818"/>
      <c r="AF888" s="1818"/>
      <c r="AG888" s="1818"/>
      <c r="AH888" s="1818"/>
      <c r="AI888" s="1818"/>
      <c r="AJ888" s="1818"/>
      <c r="AK888" s="1818"/>
      <c r="AL888" s="1818"/>
      <c r="AM888" s="1818"/>
      <c r="AN888" s="1818"/>
      <c r="AO888" s="1818"/>
      <c r="AP888" s="1818"/>
      <c r="AQ888" s="1818"/>
      <c r="AR888" s="1818"/>
      <c r="AS888" s="1818"/>
      <c r="AT888" s="1818"/>
      <c r="AU888" s="1818"/>
      <c r="AV888" s="1818"/>
      <c r="AW888" s="1818"/>
      <c r="AX888" s="1818"/>
      <c r="AY888" s="1818"/>
      <c r="AZ888" s="1818"/>
      <c r="BA888" s="1818"/>
      <c r="BB888" s="1818"/>
      <c r="BC888" s="1818"/>
      <c r="BD888" s="1818"/>
      <c r="BE888" s="1818"/>
      <c r="BF888" s="1818"/>
      <c r="BG888" s="1818"/>
      <c r="BH888" s="1818"/>
      <c r="BI888" s="1818"/>
      <c r="BJ888" s="1818"/>
      <c r="BK888" s="1818"/>
      <c r="BL888" s="1818"/>
      <c r="BM888" s="1818"/>
      <c r="BN888" s="1818"/>
      <c r="BO888" s="1818"/>
      <c r="BP888" s="1818"/>
      <c r="BQ888" s="1818"/>
      <c r="BR888" s="1818"/>
      <c r="BS888" s="1818"/>
      <c r="BT888" s="1818"/>
      <c r="BU888" s="1818"/>
      <c r="BV888" s="1818"/>
      <c r="BW888" s="1818"/>
      <c r="BX888" s="1818"/>
      <c r="BY888" s="1818"/>
      <c r="BZ888" s="1818"/>
      <c r="CA888" s="1818"/>
      <c r="CB888" s="1818"/>
      <c r="CC888" s="1818"/>
      <c r="CD888" s="1818"/>
      <c r="CE888" s="1818"/>
      <c r="CF888" s="1818"/>
      <c r="CG888" s="1818"/>
      <c r="CH888" s="1818"/>
      <c r="CI888" s="1818"/>
      <c r="CJ888" s="1818"/>
      <c r="CK888" s="1818"/>
      <c r="CL888" s="1818"/>
      <c r="CM888" s="1818"/>
      <c r="CN888" s="1818"/>
      <c r="CO888" s="1818"/>
      <c r="CP888" s="1818"/>
      <c r="CQ888" s="1818"/>
      <c r="CR888" s="1818"/>
      <c r="CS888" s="1818"/>
      <c r="CT888" s="1818"/>
      <c r="CU888" s="1818"/>
      <c r="CV888" s="1818"/>
      <c r="CW888" s="1818"/>
      <c r="CX888" s="1818"/>
      <c r="CY888" s="1818"/>
      <c r="CZ888" s="1818"/>
      <c r="DA888" s="1818"/>
      <c r="DB888" s="1818"/>
      <c r="DC888" s="1818"/>
      <c r="DD888" s="1818"/>
      <c r="DE888" s="1818"/>
      <c r="DF888" s="1818"/>
      <c r="DG888" s="1818"/>
      <c r="DH888" s="1818"/>
      <c r="DI888" s="1818"/>
      <c r="DJ888" s="1818"/>
      <c r="DK888" s="1818"/>
      <c r="DL888" s="1818"/>
      <c r="DM888" s="1818"/>
      <c r="DN888" s="1818"/>
      <c r="DO888" s="1818"/>
      <c r="DP888" s="1818"/>
      <c r="DQ888" s="1818"/>
      <c r="DR888" s="1818"/>
      <c r="DS888" s="1818"/>
      <c r="DT888" s="1818"/>
      <c r="DU888" s="1818"/>
      <c r="DV888" s="1818"/>
      <c r="DW888" s="1818"/>
      <c r="DX888" s="1818"/>
      <c r="DY888" s="1818"/>
      <c r="DZ888" s="1818"/>
      <c r="EA888" s="1818"/>
      <c r="EB888" s="1818"/>
      <c r="EC888" s="1818"/>
      <c r="ED888" s="1818"/>
      <c r="EE888" s="1818"/>
      <c r="EF888" s="1818"/>
      <c r="EG888" s="1818"/>
      <c r="EH888" s="1818"/>
      <c r="EI888" s="1818"/>
      <c r="EJ888" s="1818"/>
      <c r="EK888" s="1818"/>
      <c r="EL888" s="1818"/>
      <c r="EM888" s="1818"/>
      <c r="EN888" s="1818"/>
      <c r="EO888" s="1818"/>
      <c r="EP888" s="1818"/>
      <c r="EQ888" s="1818"/>
      <c r="ER888" s="1818"/>
      <c r="ES888" s="1818"/>
      <c r="ET888" s="1818"/>
      <c r="EU888" s="1818"/>
      <c r="EV888" s="1818"/>
      <c r="EW888" s="1818"/>
      <c r="EX888" s="1818"/>
      <c r="EY888" s="1818"/>
      <c r="EZ888" s="1818"/>
      <c r="FA888" s="1818"/>
      <c r="FB888" s="1818"/>
      <c r="FC888" s="1818"/>
      <c r="FD888" s="1818"/>
      <c r="FE888" s="1818"/>
      <c r="FF888" s="1818"/>
      <c r="FG888" s="1818"/>
      <c r="FH888" s="1818"/>
      <c r="FI888" s="1818"/>
      <c r="FJ888" s="1818"/>
      <c r="FK888" s="1818"/>
      <c r="FL888" s="1818"/>
      <c r="FM888" s="1818"/>
      <c r="FN888" s="1818"/>
      <c r="FO888" s="1818"/>
      <c r="FP888" s="1818"/>
      <c r="FQ888" s="1818"/>
      <c r="FR888" s="1818"/>
      <c r="FS888" s="1818"/>
      <c r="FT888" s="1818"/>
    </row>
    <row r="889" spans="1:176" s="1965" customFormat="1" ht="32.1" customHeight="1">
      <c r="A889" s="2535"/>
      <c r="B889" s="1803"/>
      <c r="C889" s="1813"/>
      <c r="D889" s="1813"/>
      <c r="E889" s="1813"/>
      <c r="F889" s="1813"/>
      <c r="G889" s="1813"/>
      <c r="H889" s="1813"/>
      <c r="I889" s="2434"/>
      <c r="J889" s="2244"/>
      <c r="K889" s="2244"/>
      <c r="L889" s="2244"/>
      <c r="M889" s="2244"/>
      <c r="N889" s="2244"/>
      <c r="O889" s="2244"/>
      <c r="P889" s="2245"/>
      <c r="Q889" s="2245"/>
      <c r="R889" s="2435"/>
      <c r="S889" s="2244"/>
      <c r="T889" s="2244"/>
      <c r="U889" s="2244"/>
      <c r="V889" s="2244"/>
      <c r="W889" s="2244"/>
      <c r="X889" s="2244"/>
      <c r="Y889" s="1818"/>
      <c r="Z889" s="1818"/>
      <c r="AA889" s="1818"/>
      <c r="AB889" s="1818"/>
      <c r="AC889" s="1818"/>
      <c r="AD889" s="1818"/>
      <c r="AE889" s="1818"/>
      <c r="AF889" s="1818"/>
      <c r="AG889" s="1818"/>
      <c r="AH889" s="1818"/>
      <c r="AI889" s="1818"/>
      <c r="AJ889" s="1818"/>
      <c r="AK889" s="1818"/>
      <c r="AL889" s="1818"/>
      <c r="AM889" s="1818"/>
      <c r="AN889" s="1818"/>
      <c r="AO889" s="1818"/>
      <c r="AP889" s="1818"/>
      <c r="AQ889" s="1818"/>
      <c r="AR889" s="1818"/>
      <c r="AS889" s="1818"/>
      <c r="AT889" s="1818"/>
      <c r="AU889" s="1818"/>
      <c r="AV889" s="1818"/>
      <c r="AW889" s="1818"/>
      <c r="AX889" s="1818"/>
      <c r="AY889" s="1818"/>
      <c r="AZ889" s="1818"/>
      <c r="BA889" s="1818"/>
      <c r="BB889" s="1818"/>
      <c r="BC889" s="1818"/>
      <c r="BD889" s="1818"/>
      <c r="BE889" s="1818"/>
      <c r="BF889" s="1818"/>
      <c r="BG889" s="1818"/>
      <c r="BH889" s="1818"/>
      <c r="BI889" s="1818"/>
      <c r="BJ889" s="1818"/>
      <c r="BK889" s="1818"/>
      <c r="BL889" s="1818"/>
      <c r="BM889" s="1818"/>
      <c r="BN889" s="1818"/>
      <c r="BO889" s="1818"/>
      <c r="BP889" s="1818"/>
      <c r="BQ889" s="1818"/>
      <c r="BR889" s="1818"/>
      <c r="BS889" s="1818"/>
      <c r="BT889" s="1818"/>
      <c r="BU889" s="1818"/>
      <c r="BV889" s="1818"/>
      <c r="BW889" s="1818"/>
      <c r="BX889" s="1818"/>
      <c r="BY889" s="1818"/>
      <c r="BZ889" s="1818"/>
      <c r="CA889" s="1818"/>
      <c r="CB889" s="1818"/>
      <c r="CC889" s="1818"/>
      <c r="CD889" s="1818"/>
      <c r="CE889" s="1818"/>
      <c r="CF889" s="1818"/>
      <c r="CG889" s="1818"/>
      <c r="CH889" s="1818"/>
      <c r="CI889" s="1818"/>
      <c r="CJ889" s="1818"/>
      <c r="CK889" s="1818"/>
      <c r="CL889" s="1818"/>
      <c r="CM889" s="1818"/>
      <c r="CN889" s="1818"/>
      <c r="CO889" s="1818"/>
      <c r="CP889" s="1818"/>
      <c r="CQ889" s="1818"/>
      <c r="CR889" s="1818"/>
      <c r="CS889" s="1818"/>
      <c r="CT889" s="1818"/>
      <c r="CU889" s="1818"/>
      <c r="CV889" s="1818"/>
      <c r="CW889" s="1818"/>
      <c r="CX889" s="1818"/>
      <c r="CY889" s="1818"/>
      <c r="CZ889" s="1818"/>
      <c r="DA889" s="1818"/>
      <c r="DB889" s="1818"/>
      <c r="DC889" s="1818"/>
      <c r="DD889" s="1818"/>
      <c r="DE889" s="1818"/>
      <c r="DF889" s="1818"/>
      <c r="DG889" s="1818"/>
      <c r="DH889" s="1818"/>
      <c r="DI889" s="1818"/>
      <c r="DJ889" s="1818"/>
      <c r="DK889" s="1818"/>
      <c r="DL889" s="1818"/>
      <c r="DM889" s="1818"/>
      <c r="DN889" s="1818"/>
      <c r="DO889" s="1818"/>
      <c r="DP889" s="1818"/>
      <c r="DQ889" s="1818"/>
      <c r="DR889" s="1818"/>
      <c r="DS889" s="1818"/>
      <c r="DT889" s="1818"/>
      <c r="DU889" s="1818"/>
      <c r="DV889" s="1818"/>
      <c r="DW889" s="1818"/>
      <c r="DX889" s="1818"/>
      <c r="DY889" s="1818"/>
      <c r="DZ889" s="1818"/>
      <c r="EA889" s="1818"/>
      <c r="EB889" s="1818"/>
      <c r="EC889" s="1818"/>
      <c r="ED889" s="1818"/>
      <c r="EE889" s="1818"/>
      <c r="EF889" s="1818"/>
      <c r="EG889" s="1818"/>
      <c r="EH889" s="1818"/>
      <c r="EI889" s="1818"/>
      <c r="EJ889" s="1818"/>
      <c r="EK889" s="1818"/>
      <c r="EL889" s="1818"/>
      <c r="EM889" s="1818"/>
      <c r="EN889" s="1818"/>
      <c r="EO889" s="1818"/>
      <c r="EP889" s="1818"/>
      <c r="EQ889" s="1818"/>
      <c r="ER889" s="1818"/>
      <c r="ES889" s="1818"/>
      <c r="ET889" s="1818"/>
      <c r="EU889" s="1818"/>
      <c r="EV889" s="1818"/>
      <c r="EW889" s="1818"/>
      <c r="EX889" s="1818"/>
      <c r="EY889" s="1818"/>
      <c r="EZ889" s="1818"/>
      <c r="FA889" s="1818"/>
      <c r="FB889" s="1818"/>
      <c r="FC889" s="1818"/>
      <c r="FD889" s="1818"/>
      <c r="FE889" s="1818"/>
      <c r="FF889" s="1818"/>
      <c r="FG889" s="1818"/>
      <c r="FH889" s="1818"/>
      <c r="FI889" s="1818"/>
      <c r="FJ889" s="1818"/>
      <c r="FK889" s="1818"/>
      <c r="FL889" s="1818"/>
      <c r="FM889" s="1818"/>
      <c r="FN889" s="1818"/>
      <c r="FO889" s="1818"/>
      <c r="FP889" s="1818"/>
      <c r="FQ889" s="1818"/>
      <c r="FR889" s="1818"/>
      <c r="FS889" s="1818"/>
      <c r="FT889" s="1818"/>
    </row>
    <row r="890" spans="1:176" s="1965" customFormat="1" ht="32.1" customHeight="1">
      <c r="A890" s="2535"/>
      <c r="B890" s="1803"/>
      <c r="C890" s="1813"/>
      <c r="D890" s="1813"/>
      <c r="E890" s="1813"/>
      <c r="F890" s="1813"/>
      <c r="G890" s="1813"/>
      <c r="H890" s="1813"/>
      <c r="I890" s="2436"/>
      <c r="J890" s="2244"/>
      <c r="K890" s="2244"/>
      <c r="L890" s="2244"/>
      <c r="M890" s="2244"/>
      <c r="N890" s="2244"/>
      <c r="O890" s="2244"/>
      <c r="P890" s="2245"/>
      <c r="Q890" s="2245"/>
      <c r="R890" s="2435"/>
      <c r="S890" s="2244"/>
      <c r="T890" s="2244"/>
      <c r="U890" s="2244"/>
      <c r="V890" s="2244"/>
      <c r="W890" s="2244"/>
      <c r="X890" s="2244"/>
      <c r="Y890" s="1818"/>
      <c r="Z890" s="1818"/>
      <c r="AA890" s="1818"/>
      <c r="AB890" s="1818"/>
      <c r="AC890" s="1818"/>
      <c r="AD890" s="1818"/>
      <c r="AE890" s="1818"/>
      <c r="AF890" s="1818"/>
      <c r="AG890" s="1818"/>
      <c r="AH890" s="1818"/>
      <c r="AI890" s="1818"/>
      <c r="AJ890" s="1818"/>
      <c r="AK890" s="1818"/>
      <c r="AL890" s="1818"/>
      <c r="AM890" s="1818"/>
      <c r="AN890" s="1818"/>
      <c r="AO890" s="1818"/>
      <c r="AP890" s="1818"/>
      <c r="AQ890" s="1818"/>
      <c r="AR890" s="1818"/>
      <c r="AS890" s="1818"/>
      <c r="AT890" s="1818"/>
      <c r="AU890" s="1818"/>
      <c r="AV890" s="1818"/>
      <c r="AW890" s="1818"/>
      <c r="AX890" s="1818"/>
      <c r="AY890" s="1818"/>
      <c r="AZ890" s="1818"/>
      <c r="BA890" s="1818"/>
      <c r="BB890" s="1818"/>
      <c r="BC890" s="1818"/>
      <c r="BD890" s="1818"/>
      <c r="BE890" s="1818"/>
      <c r="BF890" s="1818"/>
      <c r="BG890" s="1818"/>
      <c r="BH890" s="1818"/>
      <c r="BI890" s="1818"/>
      <c r="BJ890" s="1818"/>
      <c r="BK890" s="1818"/>
      <c r="BL890" s="1818"/>
      <c r="BM890" s="1818"/>
      <c r="BN890" s="1818"/>
      <c r="BO890" s="1818"/>
      <c r="BP890" s="1818"/>
      <c r="BQ890" s="1818"/>
      <c r="BR890" s="1818"/>
      <c r="BS890" s="1818"/>
      <c r="BT890" s="1818"/>
      <c r="BU890" s="1818"/>
      <c r="BV890" s="1818"/>
      <c r="BW890" s="1818"/>
      <c r="BX890" s="1818"/>
      <c r="BY890" s="1818"/>
      <c r="BZ890" s="1818"/>
      <c r="CA890" s="1818"/>
      <c r="CB890" s="1818"/>
      <c r="CC890" s="1818"/>
      <c r="CD890" s="1818"/>
      <c r="CE890" s="1818"/>
      <c r="CF890" s="1818"/>
      <c r="CG890" s="1818"/>
      <c r="CH890" s="1818"/>
      <c r="CI890" s="1818"/>
      <c r="CJ890" s="1818"/>
      <c r="CK890" s="1818"/>
      <c r="CL890" s="1818"/>
      <c r="CM890" s="1818"/>
      <c r="CN890" s="1818"/>
      <c r="CO890" s="1818"/>
      <c r="CP890" s="1818"/>
      <c r="CQ890" s="1818"/>
      <c r="CR890" s="1818"/>
      <c r="CS890" s="1818"/>
      <c r="CT890" s="1818"/>
      <c r="CU890" s="1818"/>
      <c r="CV890" s="1818"/>
      <c r="CW890" s="1818"/>
      <c r="CX890" s="1818"/>
      <c r="CY890" s="1818"/>
      <c r="CZ890" s="1818"/>
      <c r="DA890" s="1818"/>
      <c r="DB890" s="1818"/>
      <c r="DC890" s="1818"/>
      <c r="DD890" s="1818"/>
      <c r="DE890" s="1818"/>
      <c r="DF890" s="1818"/>
      <c r="DG890" s="1818"/>
      <c r="DH890" s="1818"/>
      <c r="DI890" s="1818"/>
      <c r="DJ890" s="1818"/>
      <c r="DK890" s="1818"/>
      <c r="DL890" s="1818"/>
      <c r="DM890" s="1818"/>
      <c r="DN890" s="1818"/>
      <c r="DO890" s="1818"/>
      <c r="DP890" s="1818"/>
      <c r="DQ890" s="1818"/>
      <c r="DR890" s="1818"/>
      <c r="DS890" s="1818"/>
      <c r="DT890" s="1818"/>
      <c r="DU890" s="1818"/>
      <c r="DV890" s="1818"/>
      <c r="DW890" s="1818"/>
      <c r="DX890" s="1818"/>
      <c r="DY890" s="1818"/>
      <c r="DZ890" s="1818"/>
      <c r="EA890" s="1818"/>
      <c r="EB890" s="1818"/>
      <c r="EC890" s="1818"/>
      <c r="ED890" s="1818"/>
      <c r="EE890" s="1818"/>
      <c r="EF890" s="1818"/>
      <c r="EG890" s="1818"/>
      <c r="EH890" s="1818"/>
      <c r="EI890" s="1818"/>
      <c r="EJ890" s="1818"/>
      <c r="EK890" s="1818"/>
      <c r="EL890" s="1818"/>
      <c r="EM890" s="1818"/>
      <c r="EN890" s="1818"/>
      <c r="EO890" s="1818"/>
      <c r="EP890" s="1818"/>
      <c r="EQ890" s="1818"/>
      <c r="ER890" s="1818"/>
      <c r="ES890" s="1818"/>
      <c r="ET890" s="1818"/>
      <c r="EU890" s="1818"/>
      <c r="EV890" s="1818"/>
      <c r="EW890" s="1818"/>
      <c r="EX890" s="1818"/>
      <c r="EY890" s="1818"/>
      <c r="EZ890" s="1818"/>
      <c r="FA890" s="1818"/>
      <c r="FB890" s="1818"/>
      <c r="FC890" s="1818"/>
      <c r="FD890" s="1818"/>
      <c r="FE890" s="1818"/>
      <c r="FF890" s="1818"/>
      <c r="FG890" s="1818"/>
      <c r="FH890" s="1818"/>
      <c r="FI890" s="1818"/>
      <c r="FJ890" s="1818"/>
      <c r="FK890" s="1818"/>
      <c r="FL890" s="1818"/>
      <c r="FM890" s="1818"/>
      <c r="FN890" s="1818"/>
      <c r="FO890" s="1818"/>
      <c r="FP890" s="1818"/>
      <c r="FQ890" s="1818"/>
      <c r="FR890" s="1818"/>
      <c r="FS890" s="1818"/>
      <c r="FT890" s="1818"/>
    </row>
    <row r="891" spans="1:176" s="1965" customFormat="1" ht="32.1" customHeight="1">
      <c r="A891" s="2535"/>
      <c r="B891" s="1803"/>
      <c r="C891" s="1813"/>
      <c r="D891" s="1813"/>
      <c r="E891" s="1813"/>
      <c r="F891" s="1813"/>
      <c r="G891" s="1813"/>
      <c r="H891" s="1813"/>
      <c r="I891" s="2436"/>
      <c r="J891" s="2244"/>
      <c r="K891" s="2244"/>
      <c r="L891" s="2244"/>
      <c r="M891" s="2244"/>
      <c r="N891" s="2244"/>
      <c r="O891" s="2244"/>
      <c r="P891" s="2245"/>
      <c r="Q891" s="2245"/>
      <c r="R891" s="2435"/>
      <c r="S891" s="2244"/>
      <c r="T891" s="2244"/>
      <c r="U891" s="2244"/>
      <c r="V891" s="2244"/>
      <c r="W891" s="2244"/>
      <c r="X891" s="2244"/>
      <c r="Y891" s="1818"/>
      <c r="Z891" s="1818"/>
      <c r="AA891" s="1818"/>
      <c r="AB891" s="1818"/>
      <c r="AC891" s="1818"/>
      <c r="AD891" s="1818"/>
      <c r="AE891" s="1818"/>
      <c r="AF891" s="1818"/>
      <c r="AG891" s="1818"/>
      <c r="AH891" s="1818"/>
      <c r="AI891" s="1818"/>
      <c r="AJ891" s="1818"/>
      <c r="AK891" s="1818"/>
      <c r="AL891" s="1818"/>
      <c r="AM891" s="1818"/>
      <c r="AN891" s="1818"/>
      <c r="AO891" s="1818"/>
      <c r="AP891" s="1818"/>
      <c r="AQ891" s="1818"/>
      <c r="AR891" s="1818"/>
      <c r="AS891" s="1818"/>
      <c r="AT891" s="1818"/>
      <c r="AU891" s="1818"/>
      <c r="AV891" s="1818"/>
      <c r="AW891" s="1818"/>
      <c r="AX891" s="1818"/>
      <c r="AY891" s="1818"/>
      <c r="AZ891" s="1818"/>
      <c r="BA891" s="1818"/>
      <c r="BB891" s="1818"/>
      <c r="BC891" s="1818"/>
      <c r="BD891" s="1818"/>
      <c r="BE891" s="1818"/>
      <c r="BF891" s="1818"/>
      <c r="BG891" s="1818"/>
      <c r="BH891" s="1818"/>
      <c r="BI891" s="1818"/>
      <c r="BJ891" s="1818"/>
      <c r="BK891" s="1818"/>
      <c r="BL891" s="1818"/>
      <c r="BM891" s="1818"/>
      <c r="BN891" s="1818"/>
      <c r="BO891" s="1818"/>
      <c r="BP891" s="1818"/>
      <c r="BQ891" s="1818"/>
      <c r="BR891" s="1818"/>
      <c r="BS891" s="1818"/>
      <c r="BT891" s="1818"/>
      <c r="BU891" s="1818"/>
      <c r="BV891" s="1818"/>
      <c r="BW891" s="1818"/>
      <c r="BX891" s="1818"/>
      <c r="BY891" s="1818"/>
      <c r="BZ891" s="1818"/>
      <c r="CA891" s="1818"/>
      <c r="CB891" s="1818"/>
      <c r="CC891" s="1818"/>
      <c r="CD891" s="1818"/>
      <c r="CE891" s="1818"/>
      <c r="CF891" s="1818"/>
      <c r="CG891" s="1818"/>
      <c r="CH891" s="1818"/>
      <c r="CI891" s="1818"/>
      <c r="CJ891" s="1818"/>
      <c r="CK891" s="1818"/>
      <c r="CL891" s="1818"/>
      <c r="CM891" s="1818"/>
      <c r="CN891" s="1818"/>
      <c r="CO891" s="1818"/>
      <c r="CP891" s="1818"/>
      <c r="CQ891" s="1818"/>
      <c r="CR891" s="1818"/>
      <c r="CS891" s="1818"/>
      <c r="CT891" s="1818"/>
      <c r="CU891" s="1818"/>
      <c r="CV891" s="1818"/>
      <c r="CW891" s="1818"/>
      <c r="CX891" s="1818"/>
      <c r="CY891" s="1818"/>
      <c r="CZ891" s="1818"/>
      <c r="DA891" s="1818"/>
      <c r="DB891" s="1818"/>
      <c r="DC891" s="1818"/>
      <c r="DD891" s="1818"/>
      <c r="DE891" s="1818"/>
      <c r="DF891" s="1818"/>
      <c r="DG891" s="1818"/>
      <c r="DH891" s="1818"/>
      <c r="DI891" s="1818"/>
      <c r="DJ891" s="1818"/>
      <c r="DK891" s="1818"/>
      <c r="DL891" s="1818"/>
      <c r="DM891" s="1818"/>
      <c r="DN891" s="1818"/>
      <c r="DO891" s="1818"/>
      <c r="DP891" s="1818"/>
      <c r="DQ891" s="1818"/>
      <c r="DR891" s="1818"/>
      <c r="DS891" s="1818"/>
      <c r="DT891" s="1818"/>
      <c r="DU891" s="1818"/>
      <c r="DV891" s="1818"/>
      <c r="DW891" s="1818"/>
      <c r="DX891" s="1818"/>
      <c r="DY891" s="1818"/>
      <c r="DZ891" s="1818"/>
      <c r="EA891" s="1818"/>
      <c r="EB891" s="1818"/>
      <c r="EC891" s="1818"/>
      <c r="ED891" s="1818"/>
      <c r="EE891" s="1818"/>
      <c r="EF891" s="1818"/>
      <c r="EG891" s="1818"/>
      <c r="EH891" s="1818"/>
      <c r="EI891" s="1818"/>
      <c r="EJ891" s="1818"/>
      <c r="EK891" s="1818"/>
      <c r="EL891" s="1818"/>
      <c r="EM891" s="1818"/>
      <c r="EN891" s="1818"/>
      <c r="EO891" s="1818"/>
      <c r="EP891" s="1818"/>
      <c r="EQ891" s="1818"/>
      <c r="ER891" s="1818"/>
      <c r="ES891" s="1818"/>
      <c r="ET891" s="1818"/>
      <c r="EU891" s="1818"/>
      <c r="EV891" s="1818"/>
      <c r="EW891" s="1818"/>
      <c r="EX891" s="1818"/>
      <c r="EY891" s="1818"/>
      <c r="EZ891" s="1818"/>
      <c r="FA891" s="1818"/>
      <c r="FB891" s="1818"/>
      <c r="FC891" s="1818"/>
      <c r="FD891" s="1818"/>
      <c r="FE891" s="1818"/>
      <c r="FF891" s="1818"/>
      <c r="FG891" s="1818"/>
      <c r="FH891" s="1818"/>
      <c r="FI891" s="1818"/>
      <c r="FJ891" s="1818"/>
      <c r="FK891" s="1818"/>
      <c r="FL891" s="1818"/>
      <c r="FM891" s="1818"/>
      <c r="FN891" s="1818"/>
      <c r="FO891" s="1818"/>
      <c r="FP891" s="1818"/>
      <c r="FQ891" s="1818"/>
      <c r="FR891" s="1818"/>
      <c r="FS891" s="1818"/>
      <c r="FT891" s="1818"/>
    </row>
    <row r="892" spans="1:176" s="1965" customFormat="1" ht="32.1" customHeight="1">
      <c r="A892" s="2535"/>
      <c r="B892" s="1803"/>
      <c r="C892" s="1813"/>
      <c r="D892" s="1813"/>
      <c r="E892" s="1813"/>
      <c r="F892" s="1813"/>
      <c r="G892" s="1813"/>
      <c r="H892" s="1813"/>
      <c r="I892" s="2436"/>
      <c r="J892" s="2244"/>
      <c r="K892" s="2244"/>
      <c r="L892" s="2244"/>
      <c r="M892" s="2244"/>
      <c r="N892" s="2244"/>
      <c r="O892" s="2244"/>
      <c r="P892" s="2245"/>
      <c r="Q892" s="2245"/>
      <c r="R892" s="2435"/>
      <c r="S892" s="2244"/>
      <c r="T892" s="2244"/>
      <c r="U892" s="2244"/>
      <c r="V892" s="2244"/>
      <c r="W892" s="2244"/>
      <c r="X892" s="2244"/>
      <c r="Y892" s="1818"/>
      <c r="Z892" s="1818"/>
      <c r="AA892" s="1818"/>
      <c r="AB892" s="1818"/>
      <c r="AC892" s="1818"/>
      <c r="AD892" s="1818"/>
      <c r="AE892" s="1818"/>
      <c r="AF892" s="1818"/>
      <c r="AG892" s="1818"/>
      <c r="AH892" s="1818"/>
      <c r="AI892" s="1818"/>
      <c r="AJ892" s="1818"/>
      <c r="AK892" s="1818"/>
      <c r="AL892" s="1818"/>
      <c r="AM892" s="1818"/>
      <c r="AN892" s="1818"/>
      <c r="AO892" s="1818"/>
      <c r="AP892" s="1818"/>
      <c r="AQ892" s="1818"/>
      <c r="AR892" s="1818"/>
      <c r="AS892" s="1818"/>
      <c r="AT892" s="1818"/>
      <c r="AU892" s="1818"/>
      <c r="AV892" s="1818"/>
      <c r="AW892" s="1818"/>
      <c r="AX892" s="1818"/>
      <c r="AY892" s="1818"/>
      <c r="AZ892" s="1818"/>
      <c r="BA892" s="1818"/>
      <c r="BB892" s="1818"/>
      <c r="BC892" s="1818"/>
      <c r="BD892" s="1818"/>
      <c r="BE892" s="1818"/>
      <c r="BF892" s="1818"/>
      <c r="BG892" s="1818"/>
      <c r="BH892" s="1818"/>
      <c r="BI892" s="1818"/>
      <c r="BJ892" s="1818"/>
      <c r="BK892" s="1818"/>
      <c r="BL892" s="1818"/>
      <c r="BM892" s="1818"/>
      <c r="BN892" s="1818"/>
      <c r="BO892" s="1818"/>
      <c r="BP892" s="1818"/>
      <c r="BQ892" s="1818"/>
      <c r="BR892" s="1818"/>
      <c r="BS892" s="1818"/>
      <c r="BT892" s="1818"/>
      <c r="BU892" s="1818"/>
      <c r="BV892" s="1818"/>
      <c r="BW892" s="1818"/>
      <c r="BX892" s="1818"/>
      <c r="BY892" s="1818"/>
      <c r="BZ892" s="1818"/>
      <c r="CA892" s="1818"/>
      <c r="CB892" s="1818"/>
      <c r="CC892" s="1818"/>
      <c r="CD892" s="1818"/>
      <c r="CE892" s="1818"/>
      <c r="CF892" s="1818"/>
      <c r="CG892" s="1818"/>
      <c r="CH892" s="1818"/>
      <c r="CI892" s="1818"/>
      <c r="CJ892" s="1818"/>
      <c r="CK892" s="1818"/>
      <c r="CL892" s="1818"/>
      <c r="CM892" s="1818"/>
      <c r="CN892" s="1818"/>
      <c r="CO892" s="1818"/>
      <c r="CP892" s="1818"/>
      <c r="CQ892" s="1818"/>
      <c r="CR892" s="1818"/>
      <c r="CS892" s="1818"/>
      <c r="CT892" s="1818"/>
      <c r="CU892" s="1818"/>
      <c r="CV892" s="1818"/>
      <c r="CW892" s="1818"/>
      <c r="CX892" s="1818"/>
      <c r="CY892" s="1818"/>
      <c r="CZ892" s="1818"/>
      <c r="DA892" s="1818"/>
      <c r="DB892" s="1818"/>
      <c r="DC892" s="1818"/>
      <c r="DD892" s="1818"/>
      <c r="DE892" s="1818"/>
      <c r="DF892" s="1818"/>
      <c r="DG892" s="1818"/>
      <c r="DH892" s="1818"/>
      <c r="DI892" s="1818"/>
      <c r="DJ892" s="1818"/>
      <c r="DK892" s="1818"/>
      <c r="DL892" s="1818"/>
      <c r="DM892" s="1818"/>
      <c r="DN892" s="1818"/>
      <c r="DO892" s="1818"/>
      <c r="DP892" s="1818"/>
      <c r="DQ892" s="1818"/>
      <c r="DR892" s="1818"/>
      <c r="DS892" s="1818"/>
      <c r="DT892" s="1818"/>
      <c r="DU892" s="1818"/>
      <c r="DV892" s="1818"/>
      <c r="DW892" s="1818"/>
      <c r="DX892" s="1818"/>
      <c r="DY892" s="1818"/>
      <c r="DZ892" s="1818"/>
      <c r="EA892" s="1818"/>
      <c r="EB892" s="1818"/>
      <c r="EC892" s="1818"/>
      <c r="ED892" s="1818"/>
      <c r="EE892" s="1818"/>
      <c r="EF892" s="1818"/>
      <c r="EG892" s="1818"/>
      <c r="EH892" s="1818"/>
      <c r="EI892" s="1818"/>
      <c r="EJ892" s="1818"/>
      <c r="EK892" s="1818"/>
      <c r="EL892" s="1818"/>
      <c r="EM892" s="1818"/>
      <c r="EN892" s="1818"/>
      <c r="EO892" s="1818"/>
      <c r="EP892" s="1818"/>
      <c r="EQ892" s="1818"/>
      <c r="ER892" s="1818"/>
      <c r="ES892" s="1818"/>
      <c r="ET892" s="1818"/>
      <c r="EU892" s="1818"/>
      <c r="EV892" s="1818"/>
      <c r="EW892" s="1818"/>
      <c r="EX892" s="1818"/>
      <c r="EY892" s="1818"/>
      <c r="EZ892" s="1818"/>
      <c r="FA892" s="1818"/>
      <c r="FB892" s="1818"/>
      <c r="FC892" s="1818"/>
      <c r="FD892" s="1818"/>
      <c r="FE892" s="1818"/>
      <c r="FF892" s="1818"/>
      <c r="FG892" s="1818"/>
      <c r="FH892" s="1818"/>
      <c r="FI892" s="1818"/>
      <c r="FJ892" s="1818"/>
      <c r="FK892" s="1818"/>
      <c r="FL892" s="1818"/>
      <c r="FM892" s="1818"/>
      <c r="FN892" s="1818"/>
      <c r="FO892" s="1818"/>
      <c r="FP892" s="1818"/>
      <c r="FQ892" s="1818"/>
      <c r="FR892" s="1818"/>
      <c r="FS892" s="1818"/>
      <c r="FT892" s="1818"/>
    </row>
    <row r="893" spans="1:176" s="1965" customFormat="1" ht="32.1" customHeight="1">
      <c r="A893" s="2535"/>
      <c r="B893" s="1803"/>
      <c r="C893" s="1813"/>
      <c r="D893" s="1813"/>
      <c r="E893" s="1813"/>
      <c r="F893" s="1813"/>
      <c r="G893" s="1813"/>
      <c r="H893" s="1813"/>
      <c r="I893" s="2436"/>
      <c r="J893" s="2244"/>
      <c r="K893" s="2244"/>
      <c r="L893" s="2244"/>
      <c r="M893" s="2244"/>
      <c r="N893" s="2244"/>
      <c r="O893" s="2244"/>
      <c r="P893" s="2245"/>
      <c r="Q893" s="2245"/>
      <c r="R893" s="2435"/>
      <c r="S893" s="2244"/>
      <c r="T893" s="2244"/>
      <c r="U893" s="2244"/>
      <c r="V893" s="2244"/>
      <c r="W893" s="2244"/>
      <c r="X893" s="2244"/>
      <c r="Y893" s="1818"/>
      <c r="Z893" s="1818"/>
      <c r="AA893" s="1818"/>
      <c r="AB893" s="1818"/>
      <c r="AC893" s="1818"/>
      <c r="AD893" s="1818"/>
      <c r="AE893" s="1818"/>
      <c r="AF893" s="1818"/>
      <c r="AG893" s="1818"/>
      <c r="AH893" s="1818"/>
      <c r="AI893" s="1818"/>
      <c r="AJ893" s="1818"/>
      <c r="AK893" s="1818"/>
      <c r="AL893" s="1818"/>
      <c r="AM893" s="1818"/>
      <c r="AN893" s="1818"/>
      <c r="AO893" s="1818"/>
      <c r="AP893" s="1818"/>
      <c r="AQ893" s="1818"/>
      <c r="AR893" s="1818"/>
      <c r="AS893" s="1818"/>
      <c r="AT893" s="1818"/>
      <c r="AU893" s="1818"/>
      <c r="AV893" s="1818"/>
      <c r="AW893" s="1818"/>
      <c r="AX893" s="1818"/>
      <c r="AY893" s="1818"/>
      <c r="AZ893" s="1818"/>
      <c r="BA893" s="1818"/>
      <c r="BB893" s="1818"/>
      <c r="BC893" s="1818"/>
      <c r="BD893" s="1818"/>
      <c r="BE893" s="1818"/>
      <c r="BF893" s="1818"/>
      <c r="BG893" s="1818"/>
      <c r="BH893" s="1818"/>
      <c r="BI893" s="1818"/>
      <c r="BJ893" s="1818"/>
      <c r="BK893" s="1818"/>
      <c r="BL893" s="1818"/>
      <c r="BM893" s="1818"/>
      <c r="BN893" s="1818"/>
      <c r="BO893" s="1818"/>
      <c r="BP893" s="1818"/>
      <c r="BQ893" s="1818"/>
      <c r="BR893" s="1818"/>
      <c r="BS893" s="1818"/>
      <c r="BT893" s="1818"/>
      <c r="BU893" s="1818"/>
      <c r="BV893" s="1818"/>
      <c r="BW893" s="1818"/>
      <c r="BX893" s="1818"/>
      <c r="BY893" s="1818"/>
      <c r="BZ893" s="1818"/>
      <c r="CA893" s="1818"/>
      <c r="CB893" s="1818"/>
      <c r="CC893" s="1818"/>
      <c r="CD893" s="1818"/>
      <c r="CE893" s="1818"/>
      <c r="CF893" s="1818"/>
      <c r="CG893" s="1818"/>
      <c r="CH893" s="1818"/>
      <c r="CI893" s="1818"/>
      <c r="CJ893" s="1818"/>
      <c r="CK893" s="1818"/>
      <c r="CL893" s="1818"/>
      <c r="CM893" s="1818"/>
      <c r="CN893" s="1818"/>
      <c r="CO893" s="1818"/>
      <c r="CP893" s="1818"/>
      <c r="CQ893" s="1818"/>
      <c r="CR893" s="1818"/>
      <c r="CS893" s="1818"/>
      <c r="CT893" s="1818"/>
      <c r="CU893" s="1818"/>
      <c r="CV893" s="1818"/>
      <c r="CW893" s="1818"/>
      <c r="CX893" s="1818"/>
      <c r="CY893" s="1818"/>
      <c r="CZ893" s="1818"/>
      <c r="DA893" s="1818"/>
      <c r="DB893" s="1818"/>
      <c r="DC893" s="1818"/>
      <c r="DD893" s="1818"/>
      <c r="DE893" s="1818"/>
      <c r="DF893" s="1818"/>
      <c r="DG893" s="1818"/>
      <c r="DH893" s="1818"/>
      <c r="DI893" s="1818"/>
      <c r="DJ893" s="1818"/>
      <c r="DK893" s="1818"/>
      <c r="DL893" s="1818"/>
      <c r="DM893" s="1818"/>
      <c r="DN893" s="1818"/>
      <c r="DO893" s="1818"/>
      <c r="DP893" s="1818"/>
      <c r="DQ893" s="1818"/>
      <c r="DR893" s="1818"/>
      <c r="DS893" s="1818"/>
      <c r="DT893" s="1818"/>
      <c r="DU893" s="1818"/>
      <c r="DV893" s="1818"/>
      <c r="DW893" s="1818"/>
      <c r="DX893" s="1818"/>
      <c r="DY893" s="1818"/>
      <c r="DZ893" s="1818"/>
      <c r="EA893" s="1818"/>
      <c r="EB893" s="1818"/>
      <c r="EC893" s="1818"/>
      <c r="ED893" s="1818"/>
      <c r="EE893" s="1818"/>
      <c r="EF893" s="1818"/>
      <c r="EG893" s="1818"/>
      <c r="EH893" s="1818"/>
      <c r="EI893" s="1818"/>
      <c r="EJ893" s="1818"/>
      <c r="EK893" s="1818"/>
      <c r="EL893" s="1818"/>
      <c r="EM893" s="1818"/>
      <c r="EN893" s="1818"/>
      <c r="EO893" s="1818"/>
      <c r="EP893" s="1818"/>
      <c r="EQ893" s="1818"/>
      <c r="ER893" s="1818"/>
      <c r="ES893" s="1818"/>
      <c r="ET893" s="1818"/>
      <c r="EU893" s="1818"/>
      <c r="EV893" s="1818"/>
      <c r="EW893" s="1818"/>
      <c r="EX893" s="1818"/>
      <c r="EY893" s="1818"/>
      <c r="EZ893" s="1818"/>
      <c r="FA893" s="1818"/>
      <c r="FB893" s="1818"/>
      <c r="FC893" s="1818"/>
      <c r="FD893" s="1818"/>
      <c r="FE893" s="1818"/>
      <c r="FF893" s="1818"/>
      <c r="FG893" s="1818"/>
      <c r="FH893" s="1818"/>
      <c r="FI893" s="1818"/>
      <c r="FJ893" s="1818"/>
      <c r="FK893" s="1818"/>
      <c r="FL893" s="1818"/>
      <c r="FM893" s="1818"/>
      <c r="FN893" s="1818"/>
      <c r="FO893" s="1818"/>
      <c r="FP893" s="1818"/>
      <c r="FQ893" s="1818"/>
      <c r="FR893" s="1818"/>
      <c r="FS893" s="1818"/>
      <c r="FT893" s="1818"/>
    </row>
    <row r="894" spans="1:176" s="1965" customFormat="1" ht="32.1" customHeight="1">
      <c r="A894" s="2535"/>
      <c r="B894" s="1803"/>
      <c r="C894" s="1813"/>
      <c r="D894" s="1813"/>
      <c r="E894" s="1813"/>
      <c r="F894" s="1813"/>
      <c r="G894" s="1813"/>
      <c r="H894" s="1813"/>
      <c r="I894" s="2436"/>
      <c r="J894" s="2244"/>
      <c r="K894" s="2244"/>
      <c r="L894" s="2244"/>
      <c r="M894" s="2244"/>
      <c r="N894" s="2244"/>
      <c r="O894" s="2244"/>
      <c r="P894" s="2245"/>
      <c r="Q894" s="2245"/>
      <c r="R894" s="2435"/>
      <c r="S894" s="2244"/>
      <c r="T894" s="2244"/>
      <c r="U894" s="2244"/>
      <c r="V894" s="2244"/>
      <c r="W894" s="2244"/>
      <c r="X894" s="2244"/>
      <c r="Y894" s="1818"/>
      <c r="Z894" s="1818"/>
      <c r="AA894" s="1818"/>
      <c r="AB894" s="1818"/>
      <c r="AC894" s="1818"/>
      <c r="AD894" s="1818"/>
      <c r="AE894" s="1818"/>
      <c r="AF894" s="1818"/>
      <c r="AG894" s="1818"/>
      <c r="AH894" s="1818"/>
      <c r="AI894" s="1818"/>
      <c r="AJ894" s="1818"/>
      <c r="AK894" s="1818"/>
      <c r="AL894" s="1818"/>
      <c r="AM894" s="1818"/>
      <c r="AN894" s="1818"/>
      <c r="AO894" s="1818"/>
      <c r="AP894" s="1818"/>
      <c r="AQ894" s="1818"/>
      <c r="AR894" s="1818"/>
      <c r="AS894" s="1818"/>
      <c r="AT894" s="1818"/>
      <c r="AU894" s="1818"/>
      <c r="AV894" s="1818"/>
      <c r="AW894" s="1818"/>
      <c r="AX894" s="1818"/>
      <c r="AY894" s="1818"/>
      <c r="AZ894" s="1818"/>
      <c r="BA894" s="1818"/>
      <c r="BB894" s="1818"/>
      <c r="BC894" s="1818"/>
      <c r="BD894" s="1818"/>
      <c r="BE894" s="1818"/>
      <c r="BF894" s="1818"/>
      <c r="BG894" s="1818"/>
      <c r="BH894" s="1818"/>
      <c r="BI894" s="1818"/>
      <c r="BJ894" s="1818"/>
      <c r="BK894" s="1818"/>
      <c r="BL894" s="1818"/>
      <c r="BM894" s="1818"/>
      <c r="BN894" s="1818"/>
      <c r="BO894" s="1818"/>
      <c r="BP894" s="1818"/>
      <c r="BQ894" s="1818"/>
      <c r="BR894" s="1818"/>
      <c r="BS894" s="1818"/>
      <c r="BT894" s="1818"/>
      <c r="BU894" s="1818"/>
      <c r="BV894" s="1818"/>
      <c r="BW894" s="1818"/>
      <c r="BX894" s="1818"/>
      <c r="BY894" s="1818"/>
      <c r="BZ894" s="1818"/>
      <c r="CA894" s="1818"/>
      <c r="CB894" s="1818"/>
      <c r="CC894" s="1818"/>
      <c r="CD894" s="1818"/>
      <c r="CE894" s="1818"/>
      <c r="CF894" s="1818"/>
      <c r="CG894" s="1818"/>
      <c r="CH894" s="1818"/>
      <c r="CI894" s="1818"/>
      <c r="CJ894" s="1818"/>
      <c r="CK894" s="1818"/>
      <c r="CL894" s="1818"/>
      <c r="CM894" s="1818"/>
      <c r="CN894" s="1818"/>
      <c r="CO894" s="1818"/>
      <c r="CP894" s="1818"/>
      <c r="CQ894" s="1818"/>
      <c r="CR894" s="1818"/>
      <c r="CS894" s="1818"/>
      <c r="CT894" s="1818"/>
      <c r="CU894" s="1818"/>
      <c r="CV894" s="1818"/>
      <c r="CW894" s="1818"/>
      <c r="CX894" s="1818"/>
      <c r="CY894" s="1818"/>
      <c r="CZ894" s="1818"/>
      <c r="DA894" s="1818"/>
      <c r="DB894" s="1818"/>
      <c r="DC894" s="1818"/>
      <c r="DD894" s="1818"/>
      <c r="DE894" s="1818"/>
      <c r="DF894" s="1818"/>
      <c r="DG894" s="1818"/>
      <c r="DH894" s="1818"/>
      <c r="DI894" s="1818"/>
      <c r="DJ894" s="1818"/>
      <c r="DK894" s="1818"/>
      <c r="DL894" s="1818"/>
      <c r="DM894" s="1818"/>
      <c r="DN894" s="1818"/>
      <c r="DO894" s="1818"/>
      <c r="DP894" s="1818"/>
      <c r="DQ894" s="1818"/>
      <c r="DR894" s="1818"/>
      <c r="DS894" s="1818"/>
      <c r="DT894" s="1818"/>
      <c r="DU894" s="1818"/>
      <c r="DV894" s="1818"/>
      <c r="DW894" s="1818"/>
      <c r="DX894" s="1818"/>
      <c r="DY894" s="1818"/>
      <c r="DZ894" s="1818"/>
      <c r="EA894" s="1818"/>
      <c r="EB894" s="1818"/>
      <c r="EC894" s="1818"/>
      <c r="ED894" s="1818"/>
      <c r="EE894" s="1818"/>
      <c r="EF894" s="1818"/>
      <c r="EG894" s="1818"/>
      <c r="EH894" s="1818"/>
      <c r="EI894" s="1818"/>
      <c r="EJ894" s="1818"/>
      <c r="EK894" s="1818"/>
      <c r="EL894" s="1818"/>
      <c r="EM894" s="1818"/>
      <c r="EN894" s="1818"/>
      <c r="EO894" s="1818"/>
      <c r="EP894" s="1818"/>
      <c r="EQ894" s="1818"/>
      <c r="ER894" s="1818"/>
      <c r="ES894" s="1818"/>
      <c r="ET894" s="1818"/>
      <c r="EU894" s="1818"/>
      <c r="EV894" s="1818"/>
      <c r="EW894" s="1818"/>
      <c r="EX894" s="1818"/>
      <c r="EY894" s="1818"/>
      <c r="EZ894" s="1818"/>
      <c r="FA894" s="1818"/>
      <c r="FB894" s="1818"/>
      <c r="FC894" s="1818"/>
      <c r="FD894" s="1818"/>
      <c r="FE894" s="1818"/>
      <c r="FF894" s="1818"/>
      <c r="FG894" s="1818"/>
      <c r="FH894" s="1818"/>
      <c r="FI894" s="1818"/>
      <c r="FJ894" s="1818"/>
      <c r="FK894" s="1818"/>
      <c r="FL894" s="1818"/>
      <c r="FM894" s="1818"/>
      <c r="FN894" s="1818"/>
      <c r="FO894" s="1818"/>
      <c r="FP894" s="1818"/>
      <c r="FQ894" s="1818"/>
      <c r="FR894" s="1818"/>
      <c r="FS894" s="1818"/>
      <c r="FT894" s="1818"/>
    </row>
    <row r="895" spans="1:176" s="1965" customFormat="1" ht="32.1" customHeight="1">
      <c r="A895" s="2535"/>
      <c r="B895" s="1803"/>
      <c r="C895" s="1813"/>
      <c r="D895" s="1813"/>
      <c r="E895" s="1813"/>
      <c r="F895" s="1813"/>
      <c r="G895" s="1813"/>
      <c r="H895" s="1813"/>
      <c r="I895" s="2436"/>
      <c r="J895" s="2244"/>
      <c r="K895" s="2244"/>
      <c r="L895" s="2244"/>
      <c r="M895" s="2244"/>
      <c r="N895" s="2244"/>
      <c r="O895" s="2244"/>
      <c r="P895" s="2245"/>
      <c r="Q895" s="2245"/>
      <c r="R895" s="2435"/>
      <c r="S895" s="2244"/>
      <c r="T895" s="2244"/>
      <c r="U895" s="2244"/>
      <c r="V895" s="2244"/>
      <c r="W895" s="2244"/>
      <c r="X895" s="2244"/>
      <c r="Y895" s="1818"/>
      <c r="Z895" s="1818"/>
      <c r="AA895" s="1818"/>
      <c r="AB895" s="1818"/>
      <c r="AC895" s="1818"/>
      <c r="AD895" s="1818"/>
      <c r="AE895" s="1818"/>
      <c r="AF895" s="1818"/>
      <c r="AG895" s="1818"/>
      <c r="AH895" s="1818"/>
      <c r="AI895" s="1818"/>
      <c r="AJ895" s="1818"/>
      <c r="AK895" s="1818"/>
      <c r="AL895" s="1818"/>
      <c r="AM895" s="1818"/>
      <c r="AN895" s="1818"/>
      <c r="AO895" s="1818"/>
      <c r="AP895" s="1818"/>
      <c r="AQ895" s="1818"/>
      <c r="AR895" s="1818"/>
      <c r="AS895" s="1818"/>
      <c r="AT895" s="1818"/>
      <c r="AU895" s="1818"/>
      <c r="AV895" s="1818"/>
      <c r="AW895" s="1818"/>
      <c r="AX895" s="1818"/>
      <c r="AY895" s="1818"/>
      <c r="AZ895" s="1818"/>
      <c r="BA895" s="1818"/>
      <c r="BB895" s="1818"/>
      <c r="BC895" s="1818"/>
      <c r="BD895" s="1818"/>
      <c r="BE895" s="1818"/>
      <c r="BF895" s="1818"/>
      <c r="BG895" s="1818"/>
      <c r="BH895" s="1818"/>
      <c r="BI895" s="1818"/>
      <c r="BJ895" s="1818"/>
      <c r="BK895" s="1818"/>
      <c r="BL895" s="1818"/>
      <c r="BM895" s="1818"/>
      <c r="BN895" s="1818"/>
      <c r="BO895" s="1818"/>
      <c r="BP895" s="1818"/>
      <c r="BQ895" s="1818"/>
      <c r="BR895" s="1818"/>
      <c r="BS895" s="1818"/>
      <c r="BT895" s="1818"/>
      <c r="BU895" s="1818"/>
      <c r="BV895" s="1818"/>
      <c r="BW895" s="1818"/>
      <c r="BX895" s="1818"/>
      <c r="BY895" s="1818"/>
      <c r="BZ895" s="1818"/>
      <c r="CA895" s="1818"/>
      <c r="CB895" s="1818"/>
      <c r="CC895" s="1818"/>
      <c r="CD895" s="1818"/>
      <c r="CE895" s="1818"/>
      <c r="CF895" s="1818"/>
      <c r="CG895" s="1818"/>
      <c r="CH895" s="1818"/>
      <c r="CI895" s="1818"/>
      <c r="CJ895" s="1818"/>
      <c r="CK895" s="1818"/>
      <c r="CL895" s="1818"/>
      <c r="CM895" s="1818"/>
      <c r="CN895" s="1818"/>
      <c r="CO895" s="1818"/>
      <c r="CP895" s="1818"/>
      <c r="CQ895" s="1818"/>
      <c r="CR895" s="1818"/>
      <c r="CS895" s="1818"/>
      <c r="CT895" s="1818"/>
      <c r="CU895" s="1818"/>
      <c r="CV895" s="1818"/>
      <c r="CW895" s="1818"/>
      <c r="CX895" s="1818"/>
      <c r="CY895" s="1818"/>
      <c r="CZ895" s="1818"/>
      <c r="DA895" s="1818"/>
      <c r="DB895" s="1818"/>
      <c r="DC895" s="1818"/>
      <c r="DD895" s="1818"/>
      <c r="DE895" s="1818"/>
      <c r="DF895" s="1818"/>
      <c r="DG895" s="1818"/>
      <c r="DH895" s="1818"/>
      <c r="DI895" s="1818"/>
      <c r="DJ895" s="1818"/>
      <c r="DK895" s="1818"/>
      <c r="DL895" s="1818"/>
      <c r="DM895" s="1818"/>
      <c r="DN895" s="1818"/>
      <c r="DO895" s="1818"/>
      <c r="DP895" s="1818"/>
      <c r="DQ895" s="1818"/>
      <c r="DR895" s="1818"/>
      <c r="DS895" s="1818"/>
      <c r="DT895" s="1818"/>
      <c r="DU895" s="1818"/>
      <c r="DV895" s="1818"/>
      <c r="DW895" s="1818"/>
      <c r="DX895" s="1818"/>
      <c r="DY895" s="1818"/>
      <c r="DZ895" s="1818"/>
      <c r="EA895" s="1818"/>
      <c r="EB895" s="1818"/>
      <c r="EC895" s="1818"/>
      <c r="ED895" s="1818"/>
      <c r="EE895" s="1818"/>
      <c r="EF895" s="1818"/>
      <c r="EG895" s="1818"/>
      <c r="EH895" s="1818"/>
      <c r="EI895" s="1818"/>
      <c r="EJ895" s="1818"/>
      <c r="EK895" s="1818"/>
      <c r="EL895" s="1818"/>
      <c r="EM895" s="1818"/>
      <c r="EN895" s="1818"/>
      <c r="EO895" s="1818"/>
      <c r="EP895" s="1818"/>
      <c r="EQ895" s="1818"/>
      <c r="ER895" s="1818"/>
      <c r="ES895" s="1818"/>
      <c r="ET895" s="1818"/>
      <c r="EU895" s="1818"/>
      <c r="EV895" s="1818"/>
      <c r="EW895" s="1818"/>
      <c r="EX895" s="1818"/>
      <c r="EY895" s="1818"/>
      <c r="EZ895" s="1818"/>
      <c r="FA895" s="1818"/>
      <c r="FB895" s="1818"/>
      <c r="FC895" s="1818"/>
      <c r="FD895" s="1818"/>
      <c r="FE895" s="1818"/>
      <c r="FF895" s="1818"/>
      <c r="FG895" s="1818"/>
      <c r="FH895" s="1818"/>
      <c r="FI895" s="1818"/>
      <c r="FJ895" s="1818"/>
      <c r="FK895" s="1818"/>
      <c r="FL895" s="1818"/>
      <c r="FM895" s="1818"/>
      <c r="FN895" s="1818"/>
      <c r="FO895" s="1818"/>
      <c r="FP895" s="1818"/>
      <c r="FQ895" s="1818"/>
      <c r="FR895" s="1818"/>
      <c r="FS895" s="1818"/>
      <c r="FT895" s="1818"/>
    </row>
    <row r="896" spans="1:176" s="1965" customFormat="1" ht="32.1" customHeight="1">
      <c r="A896" s="2535"/>
      <c r="B896" s="1803"/>
      <c r="C896" s="1813"/>
      <c r="D896" s="1813"/>
      <c r="E896" s="1813"/>
      <c r="F896" s="1813"/>
      <c r="G896" s="1813"/>
      <c r="H896" s="1813"/>
      <c r="I896" s="2436"/>
      <c r="J896" s="2244"/>
      <c r="K896" s="2244"/>
      <c r="L896" s="2244"/>
      <c r="M896" s="2244"/>
      <c r="N896" s="2244"/>
      <c r="O896" s="2244"/>
      <c r="P896" s="2245"/>
      <c r="Q896" s="2245"/>
      <c r="R896" s="2435"/>
      <c r="S896" s="2244"/>
      <c r="T896" s="2244"/>
      <c r="U896" s="2244"/>
      <c r="V896" s="2244"/>
      <c r="W896" s="2244"/>
      <c r="X896" s="2244"/>
      <c r="Y896" s="1818"/>
      <c r="Z896" s="1818"/>
      <c r="AA896" s="1818"/>
      <c r="AB896" s="1818"/>
      <c r="AC896" s="1818"/>
      <c r="AD896" s="1818"/>
      <c r="AE896" s="1818"/>
      <c r="AF896" s="1818"/>
      <c r="AG896" s="1818"/>
      <c r="AH896" s="1818"/>
      <c r="AI896" s="1818"/>
      <c r="AJ896" s="1818"/>
      <c r="AK896" s="1818"/>
      <c r="AL896" s="1818"/>
      <c r="AM896" s="1818"/>
      <c r="AN896" s="1818"/>
      <c r="AO896" s="1818"/>
      <c r="AP896" s="1818"/>
      <c r="AQ896" s="1818"/>
      <c r="AR896" s="1818"/>
      <c r="AS896" s="1818"/>
      <c r="AT896" s="1818"/>
      <c r="AU896" s="1818"/>
      <c r="AV896" s="1818"/>
      <c r="AW896" s="1818"/>
      <c r="AX896" s="1818"/>
      <c r="AY896" s="1818"/>
      <c r="AZ896" s="1818"/>
      <c r="BA896" s="1818"/>
      <c r="BB896" s="1818"/>
      <c r="BC896" s="1818"/>
      <c r="BD896" s="1818"/>
      <c r="BE896" s="1818"/>
      <c r="BF896" s="1818"/>
      <c r="BG896" s="1818"/>
      <c r="BH896" s="1818"/>
      <c r="BI896" s="1818"/>
      <c r="BJ896" s="1818"/>
      <c r="BK896" s="1818"/>
      <c r="BL896" s="1818"/>
      <c r="BM896" s="1818"/>
      <c r="BN896" s="1818"/>
      <c r="BO896" s="1818"/>
      <c r="BP896" s="1818"/>
      <c r="BQ896" s="1818"/>
      <c r="BR896" s="1818"/>
      <c r="BS896" s="1818"/>
      <c r="BT896" s="1818"/>
      <c r="BU896" s="1818"/>
      <c r="BV896" s="1818"/>
      <c r="BW896" s="1818"/>
      <c r="BX896" s="1818"/>
      <c r="BY896" s="1818"/>
      <c r="BZ896" s="1818"/>
      <c r="CA896" s="1818"/>
      <c r="CB896" s="1818"/>
      <c r="CC896" s="1818"/>
      <c r="CD896" s="1818"/>
      <c r="CE896" s="1818"/>
      <c r="CF896" s="1818"/>
      <c r="CG896" s="1818"/>
      <c r="CH896" s="1818"/>
      <c r="CI896" s="1818"/>
      <c r="CJ896" s="1818"/>
      <c r="CK896" s="1818"/>
      <c r="CL896" s="1818"/>
      <c r="CM896" s="1818"/>
      <c r="CN896" s="1818"/>
      <c r="CO896" s="1818"/>
      <c r="CP896" s="1818"/>
      <c r="CQ896" s="1818"/>
      <c r="CR896" s="1818"/>
      <c r="CS896" s="1818"/>
      <c r="CT896" s="1818"/>
      <c r="CU896" s="1818"/>
      <c r="CV896" s="1818"/>
      <c r="CW896" s="1818"/>
      <c r="CX896" s="1818"/>
      <c r="CY896" s="1818"/>
      <c r="CZ896" s="1818"/>
      <c r="DA896" s="1818"/>
      <c r="DB896" s="1818"/>
      <c r="DC896" s="1818"/>
      <c r="DD896" s="1818"/>
      <c r="DE896" s="1818"/>
      <c r="DF896" s="1818"/>
      <c r="DG896" s="1818"/>
      <c r="DH896" s="1818"/>
      <c r="DI896" s="1818"/>
      <c r="DJ896" s="1818"/>
      <c r="DK896" s="1818"/>
      <c r="DL896" s="1818"/>
      <c r="DM896" s="1818"/>
      <c r="DN896" s="1818"/>
      <c r="DO896" s="1818"/>
      <c r="DP896" s="1818"/>
      <c r="DQ896" s="1818"/>
      <c r="DR896" s="1818"/>
      <c r="DS896" s="1818"/>
      <c r="DT896" s="1818"/>
      <c r="DU896" s="1818"/>
      <c r="DV896" s="1818"/>
      <c r="DW896" s="1818"/>
      <c r="DX896" s="1818"/>
      <c r="DY896" s="1818"/>
      <c r="DZ896" s="1818"/>
      <c r="EA896" s="1818"/>
      <c r="EB896" s="1818"/>
      <c r="EC896" s="1818"/>
      <c r="ED896" s="1818"/>
      <c r="EE896" s="1818"/>
      <c r="EF896" s="1818"/>
      <c r="EG896" s="1818"/>
      <c r="EH896" s="1818"/>
      <c r="EI896" s="1818"/>
      <c r="EJ896" s="1818"/>
      <c r="EK896" s="1818"/>
      <c r="EL896" s="1818"/>
      <c r="EM896" s="1818"/>
      <c r="EN896" s="1818"/>
      <c r="EO896" s="1818"/>
      <c r="EP896" s="1818"/>
      <c r="EQ896" s="1818"/>
      <c r="ER896" s="1818"/>
      <c r="ES896" s="1818"/>
      <c r="ET896" s="1818"/>
      <c r="EU896" s="1818"/>
      <c r="EV896" s="1818"/>
      <c r="EW896" s="1818"/>
      <c r="EX896" s="1818"/>
      <c r="EY896" s="1818"/>
      <c r="EZ896" s="1818"/>
      <c r="FA896" s="1818"/>
      <c r="FB896" s="1818"/>
      <c r="FC896" s="1818"/>
      <c r="FD896" s="1818"/>
      <c r="FE896" s="1818"/>
      <c r="FF896" s="1818"/>
      <c r="FG896" s="1818"/>
      <c r="FH896" s="1818"/>
      <c r="FI896" s="1818"/>
      <c r="FJ896" s="1818"/>
      <c r="FK896" s="1818"/>
      <c r="FL896" s="1818"/>
      <c r="FM896" s="1818"/>
      <c r="FN896" s="1818"/>
      <c r="FO896" s="1818"/>
      <c r="FP896" s="1818"/>
      <c r="FQ896" s="1818"/>
      <c r="FR896" s="1818"/>
      <c r="FS896" s="1818"/>
      <c r="FT896" s="1818"/>
    </row>
    <row r="897" spans="1:176" s="1965" customFormat="1" ht="32.1" customHeight="1">
      <c r="A897" s="2535"/>
      <c r="B897" s="1803"/>
      <c r="C897" s="1813"/>
      <c r="D897" s="1813"/>
      <c r="E897" s="1813"/>
      <c r="F897" s="1813"/>
      <c r="G897" s="1813"/>
      <c r="H897" s="1813"/>
      <c r="I897" s="2436"/>
      <c r="J897" s="2244"/>
      <c r="K897" s="2244"/>
      <c r="L897" s="2244"/>
      <c r="M897" s="2244"/>
      <c r="N897" s="2244"/>
      <c r="O897" s="2244"/>
      <c r="P897" s="2245"/>
      <c r="Q897" s="2245"/>
      <c r="R897" s="2435"/>
      <c r="S897" s="2244"/>
      <c r="T897" s="2244"/>
      <c r="U897" s="2244"/>
      <c r="V897" s="2244"/>
      <c r="W897" s="2244"/>
      <c r="X897" s="2244"/>
      <c r="Y897" s="1818"/>
      <c r="Z897" s="1818"/>
      <c r="AA897" s="1818"/>
      <c r="AB897" s="1818"/>
      <c r="AC897" s="1818"/>
      <c r="AD897" s="1818"/>
      <c r="AE897" s="1818"/>
      <c r="AF897" s="1818"/>
      <c r="AG897" s="1818"/>
      <c r="AH897" s="1818"/>
      <c r="AI897" s="1818"/>
      <c r="AJ897" s="1818"/>
      <c r="AK897" s="1818"/>
      <c r="AL897" s="1818"/>
      <c r="AM897" s="1818"/>
      <c r="AN897" s="1818"/>
      <c r="AO897" s="1818"/>
      <c r="AP897" s="1818"/>
      <c r="AQ897" s="1818"/>
      <c r="AR897" s="1818"/>
      <c r="AS897" s="1818"/>
      <c r="AT897" s="1818"/>
      <c r="AU897" s="1818"/>
      <c r="AV897" s="1818"/>
      <c r="AW897" s="1818"/>
      <c r="AX897" s="1818"/>
      <c r="AY897" s="1818"/>
      <c r="AZ897" s="1818"/>
      <c r="BA897" s="1818"/>
      <c r="BB897" s="1818"/>
      <c r="BC897" s="1818"/>
      <c r="BD897" s="1818"/>
      <c r="BE897" s="1818"/>
      <c r="BF897" s="1818"/>
      <c r="BG897" s="1818"/>
      <c r="BH897" s="1818"/>
      <c r="BI897" s="1818"/>
      <c r="BJ897" s="1818"/>
      <c r="BK897" s="1818"/>
      <c r="BL897" s="1818"/>
      <c r="BM897" s="1818"/>
      <c r="BN897" s="1818"/>
      <c r="BO897" s="1818"/>
      <c r="BP897" s="1818"/>
      <c r="BQ897" s="1818"/>
      <c r="BR897" s="1818"/>
      <c r="BS897" s="1818"/>
      <c r="BT897" s="1818"/>
      <c r="BU897" s="1818"/>
      <c r="BV897" s="1818"/>
      <c r="BW897" s="1818"/>
      <c r="BX897" s="1818"/>
      <c r="BY897" s="1818"/>
      <c r="BZ897" s="1818"/>
      <c r="CA897" s="1818"/>
      <c r="CB897" s="1818"/>
      <c r="CC897" s="1818"/>
      <c r="CD897" s="1818"/>
      <c r="CE897" s="1818"/>
      <c r="CF897" s="1818"/>
      <c r="CG897" s="1818"/>
      <c r="CH897" s="1818"/>
      <c r="CI897" s="1818"/>
      <c r="CJ897" s="1818"/>
      <c r="CK897" s="1818"/>
      <c r="CL897" s="1818"/>
      <c r="CM897" s="1818"/>
      <c r="CN897" s="1818"/>
      <c r="CO897" s="1818"/>
      <c r="CP897" s="1818"/>
      <c r="CQ897" s="1818"/>
      <c r="CR897" s="1818"/>
      <c r="CS897" s="1818"/>
      <c r="CT897" s="1818"/>
      <c r="CU897" s="1818"/>
      <c r="CV897" s="1818"/>
      <c r="CW897" s="1818"/>
      <c r="CX897" s="1818"/>
      <c r="CY897" s="1818"/>
      <c r="CZ897" s="1818"/>
      <c r="DA897" s="1818"/>
      <c r="DB897" s="1818"/>
      <c r="DC897" s="1818"/>
      <c r="DD897" s="1818"/>
      <c r="DE897" s="1818"/>
      <c r="DF897" s="1818"/>
      <c r="DG897" s="1818"/>
      <c r="DH897" s="1818"/>
      <c r="DI897" s="1818"/>
      <c r="DJ897" s="1818"/>
      <c r="DK897" s="1818"/>
      <c r="DL897" s="1818"/>
      <c r="DM897" s="1818"/>
      <c r="DN897" s="1818"/>
      <c r="DO897" s="1818"/>
      <c r="DP897" s="1818"/>
      <c r="DQ897" s="1818"/>
      <c r="DR897" s="1818"/>
      <c r="DS897" s="1818"/>
      <c r="DT897" s="1818"/>
      <c r="DU897" s="1818"/>
      <c r="DV897" s="1818"/>
      <c r="DW897" s="1818"/>
      <c r="DX897" s="1818"/>
      <c r="DY897" s="1818"/>
      <c r="DZ897" s="1818"/>
      <c r="EA897" s="1818"/>
      <c r="EB897" s="1818"/>
      <c r="EC897" s="1818"/>
      <c r="ED897" s="1818"/>
      <c r="EE897" s="1818"/>
      <c r="EF897" s="1818"/>
      <c r="EG897" s="1818"/>
      <c r="EH897" s="1818"/>
      <c r="EI897" s="1818"/>
      <c r="EJ897" s="1818"/>
      <c r="EK897" s="1818"/>
      <c r="EL897" s="1818"/>
      <c r="EM897" s="1818"/>
      <c r="EN897" s="1818"/>
      <c r="EO897" s="1818"/>
      <c r="EP897" s="1818"/>
      <c r="EQ897" s="1818"/>
      <c r="ER897" s="1818"/>
      <c r="ES897" s="1818"/>
      <c r="ET897" s="1818"/>
      <c r="EU897" s="1818"/>
      <c r="EV897" s="1818"/>
      <c r="EW897" s="1818"/>
      <c r="EX897" s="1818"/>
      <c r="EY897" s="1818"/>
      <c r="EZ897" s="1818"/>
      <c r="FA897" s="1818"/>
      <c r="FB897" s="1818"/>
      <c r="FC897" s="1818"/>
      <c r="FD897" s="1818"/>
      <c r="FE897" s="1818"/>
      <c r="FF897" s="1818"/>
      <c r="FG897" s="1818"/>
      <c r="FH897" s="1818"/>
      <c r="FI897" s="1818"/>
      <c r="FJ897" s="1818"/>
      <c r="FK897" s="1818"/>
      <c r="FL897" s="1818"/>
      <c r="FM897" s="1818"/>
      <c r="FN897" s="1818"/>
      <c r="FO897" s="1818"/>
      <c r="FP897" s="1818"/>
      <c r="FQ897" s="1818"/>
      <c r="FR897" s="1818"/>
      <c r="FS897" s="1818"/>
      <c r="FT897" s="1818"/>
    </row>
    <row r="898" spans="1:176" s="1965" customFormat="1" ht="32.1" customHeight="1">
      <c r="A898" s="2535"/>
      <c r="B898" s="1803"/>
      <c r="C898" s="1813"/>
      <c r="D898" s="1813"/>
      <c r="E898" s="1813"/>
      <c r="F898" s="1813"/>
      <c r="G898" s="1813"/>
      <c r="H898" s="1813"/>
      <c r="I898" s="2436"/>
      <c r="J898" s="2244"/>
      <c r="K898" s="2244"/>
      <c r="L898" s="2244"/>
      <c r="M898" s="2244"/>
      <c r="N898" s="2244"/>
      <c r="O898" s="2244"/>
      <c r="P898" s="2245"/>
      <c r="Q898" s="2245"/>
      <c r="R898" s="2435"/>
      <c r="S898" s="2244"/>
      <c r="T898" s="2244"/>
      <c r="U898" s="2244"/>
      <c r="V898" s="2244"/>
      <c r="W898" s="2244"/>
      <c r="X898" s="2244"/>
      <c r="Y898" s="1818"/>
      <c r="Z898" s="1818"/>
      <c r="AA898" s="1818"/>
      <c r="AB898" s="1818"/>
      <c r="AC898" s="1818"/>
      <c r="AD898" s="1818"/>
      <c r="AE898" s="1818"/>
      <c r="AF898" s="1818"/>
      <c r="AG898" s="1818"/>
      <c r="AH898" s="1818"/>
      <c r="AI898" s="1818"/>
      <c r="AJ898" s="1818"/>
      <c r="AK898" s="1818"/>
      <c r="AL898" s="1818"/>
      <c r="AM898" s="1818"/>
      <c r="AN898" s="1818"/>
      <c r="AO898" s="1818"/>
      <c r="AP898" s="1818"/>
      <c r="AQ898" s="1818"/>
      <c r="AR898" s="1818"/>
      <c r="AS898" s="1818"/>
      <c r="AT898" s="1818"/>
      <c r="AU898" s="1818"/>
      <c r="AV898" s="1818"/>
      <c r="AW898" s="1818"/>
      <c r="AX898" s="1818"/>
      <c r="AY898" s="1818"/>
      <c r="AZ898" s="1818"/>
      <c r="BA898" s="1818"/>
      <c r="BB898" s="1818"/>
      <c r="BC898" s="1818"/>
      <c r="BD898" s="1818"/>
      <c r="BE898" s="1818"/>
      <c r="BF898" s="1818"/>
      <c r="BG898" s="1818"/>
      <c r="BH898" s="1818"/>
      <c r="BI898" s="1818"/>
      <c r="BJ898" s="1818"/>
      <c r="BK898" s="1818"/>
      <c r="BL898" s="1818"/>
      <c r="BM898" s="1818"/>
      <c r="BN898" s="1818"/>
      <c r="BO898" s="1818"/>
      <c r="BP898" s="1818"/>
      <c r="BQ898" s="1818"/>
      <c r="BR898" s="1818"/>
      <c r="BS898" s="1818"/>
      <c r="BT898" s="1818"/>
      <c r="BU898" s="1818"/>
      <c r="BV898" s="1818"/>
      <c r="BW898" s="1818"/>
      <c r="BX898" s="1818"/>
      <c r="BY898" s="1818"/>
      <c r="BZ898" s="1818"/>
      <c r="CA898" s="1818"/>
      <c r="CB898" s="1818"/>
      <c r="CC898" s="1818"/>
      <c r="CD898" s="1818"/>
      <c r="CE898" s="1818"/>
      <c r="CF898" s="1818"/>
      <c r="CG898" s="1818"/>
      <c r="CH898" s="1818"/>
      <c r="CI898" s="1818"/>
      <c r="CJ898" s="1818"/>
      <c r="CK898" s="1818"/>
      <c r="CL898" s="1818"/>
      <c r="CM898" s="1818"/>
      <c r="CN898" s="1818"/>
      <c r="CO898" s="1818"/>
      <c r="CP898" s="1818"/>
      <c r="CQ898" s="1818"/>
      <c r="CR898" s="1818"/>
      <c r="CS898" s="1818"/>
      <c r="CT898" s="1818"/>
      <c r="CU898" s="1818"/>
      <c r="CV898" s="1818"/>
      <c r="CW898" s="1818"/>
      <c r="CX898" s="1818"/>
      <c r="CY898" s="1818"/>
      <c r="CZ898" s="1818"/>
      <c r="DA898" s="1818"/>
      <c r="DB898" s="1818"/>
      <c r="DC898" s="1818"/>
      <c r="DD898" s="1818"/>
      <c r="DE898" s="1818"/>
      <c r="DF898" s="1818"/>
      <c r="DG898" s="1818"/>
      <c r="DH898" s="1818"/>
      <c r="DI898" s="1818"/>
      <c r="DJ898" s="1818"/>
      <c r="DK898" s="1818"/>
      <c r="DL898" s="1818"/>
      <c r="DM898" s="1818"/>
      <c r="DN898" s="1818"/>
      <c r="DO898" s="1818"/>
      <c r="DP898" s="1818"/>
      <c r="DQ898" s="1818"/>
      <c r="DR898" s="1818"/>
      <c r="DS898" s="1818"/>
      <c r="DT898" s="1818"/>
      <c r="DU898" s="1818"/>
      <c r="DV898" s="1818"/>
      <c r="DW898" s="1818"/>
      <c r="DX898" s="1818"/>
      <c r="DY898" s="1818"/>
      <c r="DZ898" s="1818"/>
      <c r="EA898" s="1818"/>
      <c r="EB898" s="1818"/>
      <c r="EC898" s="1818"/>
      <c r="ED898" s="1818"/>
      <c r="EE898" s="1818"/>
      <c r="EF898" s="1818"/>
      <c r="EG898" s="1818"/>
      <c r="EH898" s="1818"/>
      <c r="EI898" s="1818"/>
      <c r="EJ898" s="1818"/>
      <c r="EK898" s="1818"/>
      <c r="EL898" s="1818"/>
      <c r="EM898" s="1818"/>
      <c r="EN898" s="1818"/>
      <c r="EO898" s="1818"/>
      <c r="EP898" s="1818"/>
      <c r="EQ898" s="1818"/>
      <c r="ER898" s="1818"/>
      <c r="ES898" s="1818"/>
      <c r="ET898" s="1818"/>
      <c r="EU898" s="1818"/>
      <c r="EV898" s="1818"/>
      <c r="EW898" s="1818"/>
      <c r="EX898" s="1818"/>
      <c r="EY898" s="1818"/>
      <c r="EZ898" s="1818"/>
      <c r="FA898" s="1818"/>
      <c r="FB898" s="1818"/>
      <c r="FC898" s="1818"/>
      <c r="FD898" s="1818"/>
      <c r="FE898" s="1818"/>
      <c r="FF898" s="1818"/>
      <c r="FG898" s="1818"/>
      <c r="FH898" s="1818"/>
      <c r="FI898" s="1818"/>
      <c r="FJ898" s="1818"/>
      <c r="FK898" s="1818"/>
      <c r="FL898" s="1818"/>
      <c r="FM898" s="1818"/>
      <c r="FN898" s="1818"/>
      <c r="FO898" s="1818"/>
      <c r="FP898" s="1818"/>
      <c r="FQ898" s="1818"/>
      <c r="FR898" s="1818"/>
      <c r="FS898" s="1818"/>
      <c r="FT898" s="1818"/>
    </row>
    <row r="899" spans="1:176" s="1965" customFormat="1" ht="32.1" customHeight="1">
      <c r="A899" s="2535"/>
      <c r="B899" s="1803"/>
      <c r="C899" s="1813"/>
      <c r="D899" s="1813"/>
      <c r="E899" s="1813"/>
      <c r="F899" s="1813"/>
      <c r="G899" s="1813"/>
      <c r="H899" s="1813"/>
      <c r="I899" s="2436"/>
      <c r="J899" s="2244"/>
      <c r="K899" s="2244"/>
      <c r="L899" s="2244"/>
      <c r="M899" s="2244"/>
      <c r="N899" s="2244"/>
      <c r="O899" s="2244"/>
      <c r="P899" s="2245"/>
      <c r="Q899" s="2245"/>
      <c r="R899" s="2435"/>
      <c r="S899" s="2244"/>
      <c r="T899" s="2244"/>
      <c r="U899" s="2244"/>
      <c r="V899" s="2244"/>
      <c r="W899" s="2244"/>
      <c r="X899" s="2244"/>
      <c r="Y899" s="1818"/>
      <c r="Z899" s="1818"/>
      <c r="AA899" s="1818"/>
      <c r="AB899" s="1818"/>
      <c r="AC899" s="1818"/>
      <c r="AD899" s="1818"/>
      <c r="AE899" s="1818"/>
      <c r="AF899" s="1818"/>
      <c r="AG899" s="1818"/>
      <c r="AH899" s="1818"/>
      <c r="AI899" s="1818"/>
      <c r="AJ899" s="1818"/>
      <c r="AK899" s="1818"/>
      <c r="AL899" s="1818"/>
      <c r="AM899" s="1818"/>
      <c r="AN899" s="1818"/>
      <c r="AO899" s="1818"/>
      <c r="AP899" s="1818"/>
      <c r="AQ899" s="1818"/>
      <c r="AR899" s="1818"/>
      <c r="AS899" s="1818"/>
      <c r="AT899" s="1818"/>
      <c r="AU899" s="1818"/>
      <c r="AV899" s="1818"/>
      <c r="AW899" s="1818"/>
      <c r="AX899" s="1818"/>
      <c r="AY899" s="1818"/>
      <c r="AZ899" s="1818"/>
      <c r="BA899" s="1818"/>
      <c r="BB899" s="1818"/>
      <c r="BC899" s="1818"/>
      <c r="BD899" s="1818"/>
      <c r="BE899" s="1818"/>
      <c r="BF899" s="1818"/>
      <c r="BG899" s="1818"/>
      <c r="BH899" s="1818"/>
      <c r="BI899" s="1818"/>
      <c r="BJ899" s="1818"/>
      <c r="BK899" s="1818"/>
      <c r="BL899" s="1818"/>
      <c r="BM899" s="1818"/>
      <c r="BN899" s="1818"/>
      <c r="BO899" s="1818"/>
      <c r="BP899" s="1818"/>
      <c r="BQ899" s="1818"/>
      <c r="BR899" s="1818"/>
      <c r="BS899" s="1818"/>
      <c r="BT899" s="1818"/>
      <c r="BU899" s="1818"/>
      <c r="BV899" s="1818"/>
      <c r="BW899" s="1818"/>
      <c r="BX899" s="1818"/>
      <c r="BY899" s="1818"/>
      <c r="BZ899" s="1818"/>
      <c r="CA899" s="1818"/>
      <c r="CB899" s="1818"/>
      <c r="CC899" s="1818"/>
      <c r="CD899" s="1818"/>
      <c r="CE899" s="1818"/>
      <c r="CF899" s="1818"/>
      <c r="CG899" s="1818"/>
      <c r="CH899" s="1818"/>
      <c r="CI899" s="1818"/>
      <c r="CJ899" s="1818"/>
      <c r="CK899" s="1818"/>
      <c r="CL899" s="1818"/>
      <c r="CM899" s="1818"/>
      <c r="CN899" s="1818"/>
      <c r="CO899" s="1818"/>
      <c r="CP899" s="1818"/>
      <c r="CQ899" s="1818"/>
      <c r="CR899" s="1818"/>
      <c r="CS899" s="1818"/>
      <c r="CT899" s="1818"/>
      <c r="CU899" s="1818"/>
      <c r="CV899" s="1818"/>
      <c r="CW899" s="1818"/>
      <c r="CX899" s="1818"/>
      <c r="CY899" s="1818"/>
      <c r="CZ899" s="1818"/>
      <c r="DA899" s="1818"/>
      <c r="DB899" s="1818"/>
      <c r="DC899" s="1818"/>
      <c r="DD899" s="1818"/>
      <c r="DE899" s="1818"/>
      <c r="DF899" s="1818"/>
      <c r="DG899" s="1818"/>
      <c r="DH899" s="1818"/>
      <c r="DI899" s="1818"/>
      <c r="DJ899" s="1818"/>
      <c r="DK899" s="1818"/>
      <c r="DL899" s="1818"/>
      <c r="DM899" s="1818"/>
      <c r="DN899" s="1818"/>
      <c r="DO899" s="1818"/>
      <c r="DP899" s="1818"/>
      <c r="DQ899" s="1818"/>
      <c r="DR899" s="1818"/>
      <c r="DS899" s="1818"/>
      <c r="DT899" s="1818"/>
      <c r="DU899" s="1818"/>
      <c r="DV899" s="1818"/>
      <c r="DW899" s="1818"/>
      <c r="DX899" s="1818"/>
      <c r="DY899" s="1818"/>
      <c r="DZ899" s="1818"/>
      <c r="EA899" s="1818"/>
      <c r="EB899" s="1818"/>
      <c r="EC899" s="1818"/>
      <c r="ED899" s="1818"/>
      <c r="EE899" s="1818"/>
      <c r="EF899" s="1818"/>
      <c r="EG899" s="1818"/>
      <c r="EH899" s="1818"/>
      <c r="EI899" s="1818"/>
      <c r="EJ899" s="1818"/>
      <c r="EK899" s="1818"/>
      <c r="EL899" s="1818"/>
      <c r="EM899" s="1818"/>
      <c r="EN899" s="1818"/>
      <c r="EO899" s="1818"/>
      <c r="EP899" s="1818"/>
      <c r="EQ899" s="1818"/>
      <c r="ER899" s="1818"/>
      <c r="ES899" s="1818"/>
      <c r="ET899" s="1818"/>
      <c r="EU899" s="1818"/>
      <c r="EV899" s="1818"/>
      <c r="EW899" s="1818"/>
      <c r="EX899" s="1818"/>
      <c r="EY899" s="1818"/>
      <c r="EZ899" s="1818"/>
      <c r="FA899" s="1818"/>
      <c r="FB899" s="1818"/>
      <c r="FC899" s="1818"/>
      <c r="FD899" s="1818"/>
      <c r="FE899" s="1818"/>
      <c r="FF899" s="1818"/>
      <c r="FG899" s="1818"/>
      <c r="FH899" s="1818"/>
      <c r="FI899" s="1818"/>
      <c r="FJ899" s="1818"/>
      <c r="FK899" s="1818"/>
      <c r="FL899" s="1818"/>
      <c r="FM899" s="1818"/>
      <c r="FN899" s="1818"/>
      <c r="FO899" s="1818"/>
      <c r="FP899" s="1818"/>
      <c r="FQ899" s="1818"/>
      <c r="FR899" s="1818"/>
      <c r="FS899" s="1818"/>
      <c r="FT899" s="1818"/>
    </row>
    <row r="900" spans="1:176" s="1965" customFormat="1" ht="32.1" customHeight="1">
      <c r="A900" s="2535"/>
      <c r="B900" s="1803"/>
      <c r="C900" s="1813"/>
      <c r="D900" s="1813"/>
      <c r="E900" s="1813"/>
      <c r="F900" s="1813"/>
      <c r="G900" s="1813"/>
      <c r="H900" s="1813"/>
      <c r="I900" s="2436"/>
      <c r="J900" s="2244"/>
      <c r="K900" s="2244"/>
      <c r="L900" s="2244"/>
      <c r="M900" s="2244"/>
      <c r="N900" s="2244"/>
      <c r="O900" s="2244"/>
      <c r="P900" s="2245"/>
      <c r="Q900" s="2245"/>
      <c r="R900" s="2435"/>
      <c r="S900" s="2244"/>
      <c r="T900" s="2244"/>
      <c r="U900" s="2244"/>
      <c r="V900" s="2244"/>
      <c r="W900" s="2244"/>
      <c r="X900" s="2244"/>
      <c r="Y900" s="1818"/>
      <c r="Z900" s="1818"/>
      <c r="AA900" s="1818"/>
      <c r="AB900" s="1818"/>
      <c r="AC900" s="1818"/>
      <c r="AD900" s="1818"/>
      <c r="AE900" s="1818"/>
      <c r="AF900" s="1818"/>
      <c r="AG900" s="1818"/>
      <c r="AH900" s="1818"/>
      <c r="AI900" s="1818"/>
      <c r="AJ900" s="1818"/>
      <c r="AK900" s="1818"/>
      <c r="AL900" s="1818"/>
      <c r="AM900" s="1818"/>
      <c r="AN900" s="1818"/>
      <c r="AO900" s="1818"/>
      <c r="AP900" s="1818"/>
      <c r="AQ900" s="1818"/>
      <c r="AR900" s="1818"/>
      <c r="AS900" s="1818"/>
      <c r="AT900" s="1818"/>
      <c r="AU900" s="1818"/>
      <c r="AV900" s="1818"/>
      <c r="AW900" s="1818"/>
      <c r="AX900" s="1818"/>
      <c r="AY900" s="1818"/>
      <c r="AZ900" s="1818"/>
      <c r="BA900" s="1818"/>
      <c r="BB900" s="1818"/>
      <c r="BC900" s="1818"/>
      <c r="BD900" s="1818"/>
      <c r="BE900" s="1818"/>
      <c r="BF900" s="1818"/>
      <c r="BG900" s="1818"/>
      <c r="BH900" s="1818"/>
      <c r="BI900" s="1818"/>
      <c r="BJ900" s="1818"/>
      <c r="BK900" s="1818"/>
      <c r="BL900" s="1818"/>
      <c r="BM900" s="1818"/>
      <c r="BN900" s="1818"/>
      <c r="BO900" s="1818"/>
      <c r="BP900" s="1818"/>
      <c r="BQ900" s="1818"/>
      <c r="BR900" s="1818"/>
      <c r="BS900" s="1818"/>
      <c r="BT900" s="1818"/>
      <c r="BU900" s="1818"/>
      <c r="BV900" s="1818"/>
      <c r="BW900" s="1818"/>
      <c r="BX900" s="1818"/>
      <c r="BY900" s="1818"/>
      <c r="BZ900" s="1818"/>
      <c r="CA900" s="1818"/>
      <c r="CB900" s="1818"/>
      <c r="CC900" s="1818"/>
      <c r="CD900" s="1818"/>
      <c r="CE900" s="1818"/>
      <c r="CF900" s="1818"/>
      <c r="CG900" s="1818"/>
      <c r="CH900" s="1818"/>
      <c r="CI900" s="1818"/>
      <c r="CJ900" s="1818"/>
      <c r="CK900" s="1818"/>
      <c r="CL900" s="1818"/>
      <c r="CM900" s="1818"/>
      <c r="CN900" s="1818"/>
      <c r="CO900" s="1818"/>
      <c r="CP900" s="1818"/>
      <c r="CQ900" s="1818"/>
      <c r="CR900" s="1818"/>
      <c r="CS900" s="1818"/>
      <c r="CT900" s="1818"/>
      <c r="CU900" s="1818"/>
      <c r="CV900" s="1818"/>
      <c r="CW900" s="1818"/>
      <c r="CX900" s="1818"/>
      <c r="CY900" s="1818"/>
      <c r="CZ900" s="1818"/>
      <c r="DA900" s="1818"/>
      <c r="DB900" s="1818"/>
      <c r="DC900" s="1818"/>
      <c r="DD900" s="1818"/>
      <c r="DE900" s="1818"/>
      <c r="DF900" s="1818"/>
      <c r="DG900" s="1818"/>
      <c r="DH900" s="1818"/>
      <c r="DI900" s="1818"/>
      <c r="DJ900" s="1818"/>
      <c r="DK900" s="1818"/>
      <c r="DL900" s="1818"/>
      <c r="DM900" s="1818"/>
      <c r="DN900" s="1818"/>
      <c r="DO900" s="1818"/>
      <c r="DP900" s="1818"/>
      <c r="DQ900" s="1818"/>
      <c r="DR900" s="1818"/>
      <c r="DS900" s="1818"/>
      <c r="DT900" s="1818"/>
      <c r="DU900" s="1818"/>
      <c r="DV900" s="1818"/>
      <c r="DW900" s="1818"/>
      <c r="DX900" s="1818"/>
      <c r="DY900" s="1818"/>
      <c r="DZ900" s="1818"/>
      <c r="EA900" s="1818"/>
      <c r="EB900" s="1818"/>
      <c r="EC900" s="1818"/>
      <c r="ED900" s="1818"/>
      <c r="EE900" s="1818"/>
      <c r="EF900" s="1818"/>
      <c r="EG900" s="1818"/>
      <c r="EH900" s="1818"/>
      <c r="EI900" s="1818"/>
      <c r="EJ900" s="1818"/>
      <c r="EK900" s="1818"/>
      <c r="EL900" s="1818"/>
      <c r="EM900" s="1818"/>
      <c r="EN900" s="1818"/>
      <c r="EO900" s="1818"/>
      <c r="EP900" s="1818"/>
      <c r="EQ900" s="1818"/>
      <c r="ER900" s="1818"/>
      <c r="ES900" s="1818"/>
      <c r="ET900" s="1818"/>
      <c r="EU900" s="1818"/>
      <c r="EV900" s="1818"/>
      <c r="EW900" s="1818"/>
      <c r="EX900" s="1818"/>
      <c r="EY900" s="1818"/>
      <c r="EZ900" s="1818"/>
      <c r="FA900" s="1818"/>
      <c r="FB900" s="1818"/>
      <c r="FC900" s="1818"/>
      <c r="FD900" s="1818"/>
      <c r="FE900" s="1818"/>
      <c r="FF900" s="1818"/>
      <c r="FG900" s="1818"/>
      <c r="FH900" s="1818"/>
      <c r="FI900" s="1818"/>
      <c r="FJ900" s="1818"/>
      <c r="FK900" s="1818"/>
      <c r="FL900" s="1818"/>
      <c r="FM900" s="1818"/>
      <c r="FN900" s="1818"/>
      <c r="FO900" s="1818"/>
      <c r="FP900" s="1818"/>
      <c r="FQ900" s="1818"/>
      <c r="FR900" s="1818"/>
      <c r="FS900" s="1818"/>
      <c r="FT900" s="1818"/>
    </row>
    <row r="901" spans="1:176" s="1965" customFormat="1" ht="32.1" customHeight="1">
      <c r="A901" s="2535"/>
      <c r="B901" s="1803"/>
      <c r="C901" s="1813"/>
      <c r="D901" s="1813"/>
      <c r="E901" s="1813"/>
      <c r="F901" s="1813"/>
      <c r="G901" s="1813"/>
      <c r="H901" s="1813"/>
      <c r="I901" s="2436"/>
      <c r="J901" s="2244"/>
      <c r="K901" s="2244"/>
      <c r="L901" s="2244"/>
      <c r="M901" s="2244"/>
      <c r="N901" s="2244"/>
      <c r="O901" s="2244"/>
      <c r="P901" s="2245"/>
      <c r="Q901" s="2245"/>
      <c r="R901" s="2435"/>
      <c r="S901" s="2244"/>
      <c r="T901" s="2244"/>
      <c r="U901" s="2244"/>
      <c r="V901" s="2244"/>
      <c r="W901" s="2244"/>
      <c r="X901" s="2244"/>
      <c r="Y901" s="1818"/>
      <c r="Z901" s="1818"/>
      <c r="AA901" s="1818"/>
      <c r="AB901" s="1818"/>
      <c r="AC901" s="1818"/>
      <c r="AD901" s="1818"/>
      <c r="AE901" s="1818"/>
      <c r="AF901" s="1818"/>
      <c r="AG901" s="1818"/>
      <c r="AH901" s="1818"/>
      <c r="AI901" s="1818"/>
      <c r="AJ901" s="1818"/>
      <c r="AK901" s="1818"/>
      <c r="AL901" s="1818"/>
      <c r="AM901" s="1818"/>
      <c r="AN901" s="1818"/>
      <c r="AO901" s="1818"/>
      <c r="AP901" s="1818"/>
      <c r="AQ901" s="1818"/>
      <c r="AR901" s="1818"/>
      <c r="AS901" s="1818"/>
      <c r="AT901" s="1818"/>
      <c r="AU901" s="1818"/>
      <c r="AV901" s="1818"/>
      <c r="AW901" s="1818"/>
      <c r="AX901" s="1818"/>
      <c r="AY901" s="1818"/>
      <c r="AZ901" s="1818"/>
      <c r="BA901" s="1818"/>
      <c r="BB901" s="1818"/>
      <c r="BC901" s="1818"/>
      <c r="BD901" s="1818"/>
      <c r="BE901" s="1818"/>
      <c r="BF901" s="1818"/>
      <c r="BG901" s="1818"/>
      <c r="BH901" s="1818"/>
      <c r="BI901" s="1818"/>
      <c r="BJ901" s="1818"/>
      <c r="BK901" s="1818"/>
      <c r="BL901" s="1818"/>
      <c r="BM901" s="1818"/>
      <c r="BN901" s="1818"/>
      <c r="BO901" s="1818"/>
      <c r="BP901" s="1818"/>
      <c r="BQ901" s="1818"/>
      <c r="BR901" s="1818"/>
      <c r="BS901" s="1818"/>
      <c r="BT901" s="1818"/>
      <c r="BU901" s="1818"/>
      <c r="BV901" s="1818"/>
      <c r="BW901" s="1818"/>
      <c r="BX901" s="1818"/>
      <c r="BY901" s="1818"/>
      <c r="BZ901" s="1818"/>
      <c r="CA901" s="1818"/>
      <c r="CB901" s="1818"/>
      <c r="CC901" s="1818"/>
      <c r="CD901" s="1818"/>
      <c r="CE901" s="1818"/>
      <c r="CF901" s="1818"/>
      <c r="CG901" s="1818"/>
      <c r="CH901" s="1818"/>
      <c r="CI901" s="1818"/>
      <c r="CJ901" s="1818"/>
      <c r="CK901" s="1818"/>
      <c r="CL901" s="1818"/>
      <c r="CM901" s="1818"/>
      <c r="CN901" s="1818"/>
      <c r="CO901" s="1818"/>
      <c r="CP901" s="1818"/>
      <c r="CQ901" s="1818"/>
      <c r="CR901" s="1818"/>
      <c r="CS901" s="1818"/>
      <c r="CT901" s="1818"/>
      <c r="CU901" s="1818"/>
      <c r="CV901" s="1818"/>
      <c r="CW901" s="1818"/>
      <c r="CX901" s="1818"/>
      <c r="CY901" s="1818"/>
      <c r="CZ901" s="1818"/>
      <c r="DA901" s="1818"/>
      <c r="DB901" s="1818"/>
      <c r="DC901" s="1818"/>
      <c r="DD901" s="1818"/>
      <c r="DE901" s="1818"/>
      <c r="DF901" s="1818"/>
      <c r="DG901" s="1818"/>
      <c r="DH901" s="1818"/>
      <c r="DI901" s="1818"/>
      <c r="DJ901" s="1818"/>
      <c r="DK901" s="1818"/>
      <c r="DL901" s="1818"/>
      <c r="DM901" s="1818"/>
      <c r="DN901" s="1818"/>
      <c r="DO901" s="1818"/>
      <c r="DP901" s="1818"/>
      <c r="DQ901" s="1818"/>
      <c r="DR901" s="1818"/>
      <c r="DS901" s="1818"/>
      <c r="DT901" s="1818"/>
      <c r="DU901" s="1818"/>
      <c r="DV901" s="1818"/>
      <c r="DW901" s="1818"/>
      <c r="DX901" s="1818"/>
      <c r="DY901" s="1818"/>
      <c r="DZ901" s="1818"/>
      <c r="EA901" s="1818"/>
      <c r="EB901" s="1818"/>
      <c r="EC901" s="1818"/>
      <c r="ED901" s="1818"/>
      <c r="EE901" s="1818"/>
      <c r="EF901" s="1818"/>
      <c r="EG901" s="1818"/>
      <c r="EH901" s="1818"/>
      <c r="EI901" s="1818"/>
      <c r="EJ901" s="1818"/>
      <c r="EK901" s="1818"/>
      <c r="EL901" s="1818"/>
      <c r="EM901" s="1818"/>
      <c r="EN901" s="1818"/>
      <c r="EO901" s="1818"/>
      <c r="EP901" s="1818"/>
      <c r="EQ901" s="1818"/>
      <c r="ER901" s="1818"/>
      <c r="ES901" s="1818"/>
      <c r="ET901" s="1818"/>
      <c r="EU901" s="1818"/>
      <c r="EV901" s="1818"/>
      <c r="EW901" s="1818"/>
      <c r="EX901" s="1818"/>
      <c r="EY901" s="1818"/>
      <c r="EZ901" s="1818"/>
      <c r="FA901" s="1818"/>
      <c r="FB901" s="1818"/>
      <c r="FC901" s="1818"/>
      <c r="FD901" s="1818"/>
      <c r="FE901" s="1818"/>
      <c r="FF901" s="1818"/>
      <c r="FG901" s="1818"/>
      <c r="FH901" s="1818"/>
      <c r="FI901" s="1818"/>
      <c r="FJ901" s="1818"/>
      <c r="FK901" s="1818"/>
      <c r="FL901" s="1818"/>
      <c r="FM901" s="1818"/>
      <c r="FN901" s="1818"/>
      <c r="FO901" s="1818"/>
      <c r="FP901" s="1818"/>
      <c r="FQ901" s="1818"/>
      <c r="FR901" s="1818"/>
      <c r="FS901" s="1818"/>
      <c r="FT901" s="1818"/>
    </row>
    <row r="902" spans="1:176" s="1965" customFormat="1" ht="32.1" customHeight="1">
      <c r="A902" s="2535"/>
      <c r="B902" s="1803"/>
      <c r="C902" s="1813"/>
      <c r="D902" s="1813"/>
      <c r="E902" s="1813"/>
      <c r="F902" s="1813"/>
      <c r="G902" s="1813"/>
      <c r="H902" s="1813"/>
      <c r="I902" s="2436"/>
      <c r="J902" s="2244"/>
      <c r="K902" s="2244"/>
      <c r="L902" s="2244"/>
      <c r="M902" s="2244"/>
      <c r="N902" s="2244"/>
      <c r="O902" s="2244"/>
      <c r="P902" s="2245"/>
      <c r="Q902" s="2245"/>
      <c r="R902" s="2435"/>
      <c r="S902" s="2244"/>
      <c r="T902" s="2244"/>
      <c r="U902" s="2244"/>
      <c r="V902" s="2244"/>
      <c r="W902" s="2244"/>
      <c r="X902" s="2244"/>
      <c r="Y902" s="1818"/>
      <c r="Z902" s="1818"/>
      <c r="AA902" s="1818"/>
      <c r="AB902" s="1818"/>
      <c r="AC902" s="1818"/>
      <c r="AD902" s="1818"/>
      <c r="AE902" s="1818"/>
      <c r="AF902" s="1818"/>
      <c r="AG902" s="1818"/>
      <c r="AH902" s="1818"/>
      <c r="AI902" s="1818"/>
      <c r="AJ902" s="1818"/>
      <c r="AK902" s="1818"/>
      <c r="AL902" s="1818"/>
      <c r="AM902" s="1818"/>
      <c r="AN902" s="1818"/>
      <c r="AO902" s="1818"/>
      <c r="AP902" s="1818"/>
      <c r="AQ902" s="1818"/>
      <c r="AR902" s="1818"/>
      <c r="AS902" s="1818"/>
      <c r="AT902" s="1818"/>
      <c r="AU902" s="1818"/>
      <c r="AV902" s="1818"/>
      <c r="AW902" s="1818"/>
      <c r="AX902" s="1818"/>
      <c r="AY902" s="1818"/>
      <c r="AZ902" s="1818"/>
      <c r="BA902" s="1818"/>
      <c r="BB902" s="1818"/>
      <c r="BC902" s="1818"/>
      <c r="BD902" s="1818"/>
      <c r="BE902" s="1818"/>
      <c r="BF902" s="1818"/>
      <c r="BG902" s="1818"/>
      <c r="BH902" s="1818"/>
      <c r="BI902" s="1818"/>
      <c r="BJ902" s="1818"/>
      <c r="BK902" s="1818"/>
      <c r="BL902" s="1818"/>
      <c r="BM902" s="1818"/>
      <c r="BN902" s="1818"/>
      <c r="BO902" s="1818"/>
      <c r="BP902" s="1818"/>
      <c r="BQ902" s="1818"/>
      <c r="BR902" s="1818"/>
      <c r="BS902" s="1818"/>
      <c r="BT902" s="1818"/>
      <c r="BU902" s="1818"/>
      <c r="BV902" s="1818"/>
      <c r="BW902" s="1818"/>
      <c r="BX902" s="1818"/>
      <c r="BY902" s="1818"/>
      <c r="BZ902" s="1818"/>
      <c r="CA902" s="1818"/>
      <c r="CB902" s="1818"/>
      <c r="CC902" s="1818"/>
      <c r="CD902" s="1818"/>
      <c r="CE902" s="1818"/>
      <c r="CF902" s="1818"/>
      <c r="CG902" s="1818"/>
      <c r="CH902" s="1818"/>
      <c r="CI902" s="1818"/>
      <c r="CJ902" s="1818"/>
      <c r="CK902" s="1818"/>
      <c r="CL902" s="1818"/>
      <c r="CM902" s="1818"/>
      <c r="CN902" s="1818"/>
      <c r="CO902" s="1818"/>
      <c r="CP902" s="1818"/>
      <c r="CQ902" s="1818"/>
      <c r="CR902" s="1818"/>
      <c r="CS902" s="1818"/>
      <c r="CT902" s="1818"/>
      <c r="CU902" s="1818"/>
      <c r="CV902" s="1818"/>
      <c r="CW902" s="1818"/>
      <c r="CX902" s="1818"/>
      <c r="CY902" s="1818"/>
      <c r="CZ902" s="1818"/>
      <c r="DA902" s="1818"/>
      <c r="DB902" s="1818"/>
      <c r="DC902" s="1818"/>
      <c r="DD902" s="1818"/>
      <c r="DE902" s="1818"/>
      <c r="DF902" s="1818"/>
      <c r="DG902" s="1818"/>
      <c r="DH902" s="1818"/>
      <c r="DI902" s="1818"/>
      <c r="DJ902" s="1818"/>
      <c r="DK902" s="1818"/>
      <c r="DL902" s="1818"/>
      <c r="DM902" s="1818"/>
      <c r="DN902" s="1818"/>
      <c r="DO902" s="1818"/>
      <c r="DP902" s="1818"/>
      <c r="DQ902" s="1818"/>
      <c r="DR902" s="1818"/>
      <c r="DS902" s="1818"/>
      <c r="DT902" s="1818"/>
      <c r="DU902" s="1818"/>
      <c r="DV902" s="1818"/>
      <c r="DW902" s="1818"/>
      <c r="DX902" s="1818"/>
      <c r="DY902" s="1818"/>
      <c r="DZ902" s="1818"/>
      <c r="EA902" s="1818"/>
      <c r="EB902" s="1818"/>
      <c r="EC902" s="1818"/>
      <c r="ED902" s="1818"/>
      <c r="EE902" s="1818"/>
      <c r="EF902" s="1818"/>
      <c r="EG902" s="1818"/>
      <c r="EH902" s="1818"/>
      <c r="EI902" s="1818"/>
      <c r="EJ902" s="1818"/>
      <c r="EK902" s="1818"/>
      <c r="EL902" s="1818"/>
      <c r="EM902" s="1818"/>
      <c r="EN902" s="1818"/>
      <c r="EO902" s="1818"/>
      <c r="EP902" s="1818"/>
      <c r="EQ902" s="1818"/>
      <c r="ER902" s="1818"/>
      <c r="ES902" s="1818"/>
      <c r="ET902" s="1818"/>
      <c r="EU902" s="1818"/>
      <c r="EV902" s="1818"/>
      <c r="EW902" s="1818"/>
      <c r="EX902" s="1818"/>
      <c r="EY902" s="1818"/>
      <c r="EZ902" s="1818"/>
      <c r="FA902" s="1818"/>
      <c r="FB902" s="1818"/>
      <c r="FC902" s="1818"/>
      <c r="FD902" s="1818"/>
      <c r="FE902" s="1818"/>
      <c r="FF902" s="1818"/>
      <c r="FG902" s="1818"/>
      <c r="FH902" s="1818"/>
      <c r="FI902" s="1818"/>
      <c r="FJ902" s="1818"/>
      <c r="FK902" s="1818"/>
      <c r="FL902" s="1818"/>
      <c r="FM902" s="1818"/>
      <c r="FN902" s="1818"/>
      <c r="FO902" s="1818"/>
      <c r="FP902" s="1818"/>
      <c r="FQ902" s="1818"/>
      <c r="FR902" s="1818"/>
      <c r="FS902" s="1818"/>
      <c r="FT902" s="1818"/>
    </row>
    <row r="903" spans="1:176" s="1965" customFormat="1" ht="32.1" customHeight="1">
      <c r="A903" s="2535"/>
      <c r="B903" s="1803"/>
      <c r="C903" s="1813"/>
      <c r="D903" s="1813"/>
      <c r="E903" s="1813"/>
      <c r="F903" s="1813"/>
      <c r="G903" s="1813"/>
      <c r="H903" s="1813"/>
      <c r="I903" s="2436"/>
      <c r="J903" s="2244"/>
      <c r="K903" s="2244"/>
      <c r="L903" s="2244"/>
      <c r="M903" s="2244"/>
      <c r="N903" s="2244"/>
      <c r="O903" s="2244"/>
      <c r="P903" s="2245"/>
      <c r="Q903" s="2245"/>
      <c r="R903" s="2435"/>
      <c r="S903" s="2244"/>
      <c r="T903" s="2244"/>
      <c r="U903" s="2244"/>
      <c r="V903" s="2244"/>
      <c r="W903" s="2244"/>
      <c r="X903" s="2244"/>
      <c r="Y903" s="1818"/>
      <c r="Z903" s="1818"/>
      <c r="AA903" s="1818"/>
      <c r="AB903" s="1818"/>
      <c r="AC903" s="1818"/>
      <c r="AD903" s="1818"/>
      <c r="AE903" s="1818"/>
      <c r="AF903" s="1818"/>
      <c r="AG903" s="1818"/>
      <c r="AH903" s="1818"/>
      <c r="AI903" s="1818"/>
      <c r="AJ903" s="1818"/>
      <c r="AK903" s="1818"/>
      <c r="AL903" s="1818"/>
      <c r="AM903" s="1818"/>
      <c r="AN903" s="1818"/>
      <c r="AO903" s="1818"/>
      <c r="AP903" s="1818"/>
      <c r="AQ903" s="1818"/>
      <c r="AR903" s="1818"/>
      <c r="AS903" s="1818"/>
      <c r="AT903" s="1818"/>
      <c r="AU903" s="1818"/>
      <c r="AV903" s="1818"/>
      <c r="AW903" s="1818"/>
      <c r="AX903" s="1818"/>
      <c r="AY903" s="1818"/>
      <c r="AZ903" s="1818"/>
      <c r="BA903" s="1818"/>
      <c r="BB903" s="1818"/>
      <c r="BC903" s="1818"/>
      <c r="BD903" s="1818"/>
      <c r="BE903" s="1818"/>
      <c r="BF903" s="1818"/>
      <c r="BG903" s="1818"/>
      <c r="BH903" s="1818"/>
      <c r="BI903" s="1818"/>
      <c r="BJ903" s="1818"/>
      <c r="BK903" s="1818"/>
      <c r="BL903" s="1818"/>
      <c r="BM903" s="1818"/>
      <c r="BN903" s="1818"/>
      <c r="BO903" s="1818"/>
      <c r="BP903" s="1818"/>
      <c r="BQ903" s="1818"/>
      <c r="BR903" s="1818"/>
      <c r="BS903" s="1818"/>
      <c r="BT903" s="1818"/>
      <c r="BU903" s="1818"/>
      <c r="BV903" s="1818"/>
      <c r="BW903" s="1818"/>
      <c r="BX903" s="1818"/>
      <c r="BY903" s="1818"/>
      <c r="BZ903" s="1818"/>
      <c r="CA903" s="1818"/>
      <c r="CB903" s="1818"/>
      <c r="CC903" s="1818"/>
      <c r="CD903" s="1818"/>
      <c r="CE903" s="1818"/>
      <c r="CF903" s="1818"/>
      <c r="CG903" s="1818"/>
      <c r="CH903" s="1818"/>
      <c r="CI903" s="1818"/>
      <c r="CJ903" s="1818"/>
      <c r="CK903" s="1818"/>
      <c r="CL903" s="1818"/>
      <c r="CM903" s="1818"/>
      <c r="CN903" s="1818"/>
      <c r="CO903" s="1818"/>
      <c r="CP903" s="1818"/>
      <c r="CQ903" s="1818"/>
      <c r="CR903" s="1818"/>
      <c r="CS903" s="1818"/>
      <c r="CT903" s="1818"/>
      <c r="CU903" s="1818"/>
      <c r="CV903" s="1818"/>
      <c r="CW903" s="1818"/>
      <c r="CX903" s="1818"/>
      <c r="CY903" s="1818"/>
      <c r="CZ903" s="1818"/>
      <c r="DA903" s="1818"/>
      <c r="DB903" s="1818"/>
      <c r="DC903" s="1818"/>
      <c r="DD903" s="1818"/>
      <c r="DE903" s="1818"/>
      <c r="DF903" s="1818"/>
      <c r="DG903" s="1818"/>
      <c r="DH903" s="1818"/>
      <c r="DI903" s="1818"/>
      <c r="DJ903" s="1818"/>
      <c r="DK903" s="1818"/>
      <c r="DL903" s="1818"/>
      <c r="DM903" s="1818"/>
      <c r="DN903" s="1818"/>
      <c r="DO903" s="1818"/>
      <c r="DP903" s="1818"/>
      <c r="DQ903" s="1818"/>
      <c r="DR903" s="1818"/>
      <c r="DS903" s="1818"/>
      <c r="DT903" s="1818"/>
      <c r="DU903" s="1818"/>
      <c r="DV903" s="1818"/>
      <c r="DW903" s="1818"/>
      <c r="DX903" s="1818"/>
      <c r="DY903" s="1818"/>
      <c r="DZ903" s="1818"/>
      <c r="EA903" s="1818"/>
      <c r="EB903" s="1818"/>
      <c r="EC903" s="1818"/>
      <c r="ED903" s="1818"/>
      <c r="EE903" s="1818"/>
      <c r="EF903" s="1818"/>
      <c r="EG903" s="1818"/>
      <c r="EH903" s="1818"/>
      <c r="EI903" s="1818"/>
      <c r="EJ903" s="1818"/>
      <c r="EK903" s="1818"/>
      <c r="EL903" s="1818"/>
      <c r="EM903" s="1818"/>
      <c r="EN903" s="1818"/>
      <c r="EO903" s="1818"/>
      <c r="EP903" s="1818"/>
      <c r="EQ903" s="1818"/>
      <c r="ER903" s="1818"/>
      <c r="ES903" s="1818"/>
      <c r="ET903" s="1818"/>
      <c r="EU903" s="1818"/>
      <c r="EV903" s="1818"/>
      <c r="EW903" s="1818"/>
      <c r="EX903" s="1818"/>
      <c r="EY903" s="1818"/>
      <c r="EZ903" s="1818"/>
      <c r="FA903" s="1818"/>
      <c r="FB903" s="1818"/>
      <c r="FC903" s="1818"/>
      <c r="FD903" s="1818"/>
      <c r="FE903" s="1818"/>
      <c r="FF903" s="1818"/>
      <c r="FG903" s="1818"/>
      <c r="FH903" s="1818"/>
      <c r="FI903" s="1818"/>
      <c r="FJ903" s="1818"/>
      <c r="FK903" s="1818"/>
      <c r="FL903" s="1818"/>
      <c r="FM903" s="1818"/>
      <c r="FN903" s="1818"/>
      <c r="FO903" s="1818"/>
      <c r="FP903" s="1818"/>
      <c r="FQ903" s="1818"/>
      <c r="FR903" s="1818"/>
      <c r="FS903" s="1818"/>
      <c r="FT903" s="1818"/>
    </row>
    <row r="904" spans="1:176" s="1965" customFormat="1" ht="32.1" customHeight="1">
      <c r="A904" s="2535"/>
      <c r="B904" s="1803"/>
      <c r="C904" s="1813"/>
      <c r="D904" s="1813"/>
      <c r="E904" s="1813"/>
      <c r="F904" s="1813"/>
      <c r="G904" s="1813"/>
      <c r="H904" s="1813"/>
      <c r="I904" s="2436"/>
      <c r="J904" s="2244"/>
      <c r="K904" s="2244"/>
      <c r="L904" s="2244"/>
      <c r="M904" s="2244"/>
      <c r="N904" s="2244"/>
      <c r="O904" s="2244"/>
      <c r="P904" s="2245"/>
      <c r="Q904" s="2245"/>
      <c r="R904" s="2435"/>
      <c r="S904" s="2244"/>
      <c r="T904" s="2244"/>
      <c r="U904" s="2244"/>
      <c r="V904" s="2244"/>
      <c r="W904" s="2244"/>
      <c r="X904" s="2244"/>
      <c r="Y904" s="1818"/>
      <c r="Z904" s="1818"/>
      <c r="AA904" s="1818"/>
      <c r="AB904" s="1818"/>
      <c r="AC904" s="1818"/>
      <c r="AD904" s="1818"/>
      <c r="AE904" s="1818"/>
      <c r="AF904" s="1818"/>
      <c r="AG904" s="1818"/>
      <c r="AH904" s="1818"/>
      <c r="AI904" s="1818"/>
      <c r="AJ904" s="1818"/>
      <c r="AK904" s="1818"/>
      <c r="AL904" s="1818"/>
      <c r="AM904" s="1818"/>
      <c r="AN904" s="1818"/>
      <c r="AO904" s="1818"/>
      <c r="AP904" s="1818"/>
      <c r="AQ904" s="1818"/>
      <c r="AR904" s="1818"/>
      <c r="AS904" s="1818"/>
      <c r="AT904" s="1818"/>
      <c r="AU904" s="1818"/>
      <c r="AV904" s="1818"/>
      <c r="AW904" s="1818"/>
      <c r="AX904" s="1818"/>
      <c r="AY904" s="1818"/>
      <c r="AZ904" s="1818"/>
      <c r="BA904" s="1818"/>
      <c r="BB904" s="1818"/>
      <c r="BC904" s="1818"/>
      <c r="BD904" s="1818"/>
      <c r="BE904" s="1818"/>
      <c r="BF904" s="1818"/>
      <c r="BG904" s="1818"/>
      <c r="BH904" s="1818"/>
      <c r="BI904" s="1818"/>
      <c r="BJ904" s="1818"/>
      <c r="BK904" s="1818"/>
      <c r="BL904" s="1818"/>
      <c r="BM904" s="1818"/>
      <c r="BN904" s="1818"/>
      <c r="BO904" s="1818"/>
      <c r="BP904" s="1818"/>
      <c r="BQ904" s="1818"/>
      <c r="BR904" s="1818"/>
      <c r="BS904" s="1818"/>
      <c r="BT904" s="1818"/>
      <c r="BU904" s="1818"/>
      <c r="BV904" s="1818"/>
      <c r="BW904" s="1818"/>
      <c r="BX904" s="1818"/>
      <c r="BY904" s="1818"/>
      <c r="BZ904" s="1818"/>
      <c r="CA904" s="1818"/>
      <c r="CB904" s="1818"/>
      <c r="CC904" s="1818"/>
      <c r="CD904" s="1818"/>
      <c r="CE904" s="1818"/>
      <c r="CF904" s="1818"/>
      <c r="CG904" s="1818"/>
      <c r="CH904" s="1818"/>
      <c r="CI904" s="1818"/>
      <c r="CJ904" s="1818"/>
      <c r="CK904" s="1818"/>
      <c r="CL904" s="1818"/>
      <c r="CM904" s="1818"/>
      <c r="CN904" s="1818"/>
      <c r="CO904" s="1818"/>
      <c r="CP904" s="1818"/>
      <c r="CQ904" s="1818"/>
      <c r="CR904" s="1818"/>
      <c r="CS904" s="1818"/>
      <c r="CT904" s="1818"/>
      <c r="CU904" s="1818"/>
      <c r="CV904" s="1818"/>
      <c r="CW904" s="1818"/>
      <c r="CX904" s="1818"/>
      <c r="CY904" s="1818"/>
      <c r="CZ904" s="1818"/>
      <c r="DA904" s="1818"/>
      <c r="DB904" s="1818"/>
      <c r="DC904" s="1818"/>
      <c r="DD904" s="1818"/>
      <c r="DE904" s="1818"/>
      <c r="DF904" s="1818"/>
      <c r="DG904" s="1818"/>
      <c r="DH904" s="1818"/>
      <c r="DI904" s="1818"/>
      <c r="DJ904" s="1818"/>
      <c r="DK904" s="1818"/>
      <c r="DL904" s="1818"/>
      <c r="DM904" s="1818"/>
      <c r="DN904" s="1818"/>
      <c r="DO904" s="1818"/>
      <c r="DP904" s="1818"/>
      <c r="DQ904" s="1818"/>
      <c r="DR904" s="1818"/>
      <c r="DS904" s="1818"/>
      <c r="DT904" s="1818"/>
      <c r="DU904" s="1818"/>
      <c r="DV904" s="1818"/>
      <c r="DW904" s="1818"/>
      <c r="DX904" s="1818"/>
      <c r="DY904" s="1818"/>
      <c r="DZ904" s="1818"/>
      <c r="EA904" s="1818"/>
      <c r="EB904" s="1818"/>
      <c r="EC904" s="1818"/>
      <c r="ED904" s="1818"/>
      <c r="EE904" s="1818"/>
      <c r="EF904" s="1818"/>
      <c r="EG904" s="1818"/>
      <c r="EH904" s="1818"/>
      <c r="EI904" s="1818"/>
      <c r="EJ904" s="1818"/>
      <c r="EK904" s="1818"/>
      <c r="EL904" s="1818"/>
      <c r="EM904" s="1818"/>
      <c r="EN904" s="1818"/>
      <c r="EO904" s="1818"/>
      <c r="EP904" s="1818"/>
      <c r="EQ904" s="1818"/>
      <c r="ER904" s="1818"/>
      <c r="ES904" s="1818"/>
      <c r="ET904" s="1818"/>
      <c r="EU904" s="1818"/>
      <c r="EV904" s="1818"/>
      <c r="EW904" s="1818"/>
      <c r="EX904" s="1818"/>
      <c r="EY904" s="1818"/>
      <c r="EZ904" s="1818"/>
      <c r="FA904" s="1818"/>
      <c r="FB904" s="1818"/>
      <c r="FC904" s="1818"/>
      <c r="FD904" s="1818"/>
      <c r="FE904" s="1818"/>
      <c r="FF904" s="1818"/>
      <c r="FG904" s="1818"/>
      <c r="FH904" s="1818"/>
      <c r="FI904" s="1818"/>
      <c r="FJ904" s="1818"/>
      <c r="FK904" s="1818"/>
      <c r="FL904" s="1818"/>
      <c r="FM904" s="1818"/>
      <c r="FN904" s="1818"/>
      <c r="FO904" s="1818"/>
      <c r="FP904" s="1818"/>
      <c r="FQ904" s="1818"/>
      <c r="FR904" s="1818"/>
      <c r="FS904" s="1818"/>
      <c r="FT904" s="1818"/>
    </row>
    <row r="905" spans="1:176" s="1965" customFormat="1" ht="32.1" customHeight="1">
      <c r="A905" s="2535"/>
      <c r="B905" s="1803"/>
      <c r="C905" s="1813"/>
      <c r="D905" s="1813"/>
      <c r="E905" s="1813"/>
      <c r="F905" s="1813"/>
      <c r="G905" s="1813"/>
      <c r="H905" s="1813"/>
      <c r="I905" s="2436"/>
      <c r="J905" s="2244"/>
      <c r="K905" s="2244"/>
      <c r="L905" s="2244"/>
      <c r="M905" s="2244"/>
      <c r="N905" s="2244"/>
      <c r="O905" s="2244"/>
      <c r="P905" s="2245"/>
      <c r="Q905" s="2245"/>
      <c r="R905" s="2435"/>
      <c r="S905" s="2244"/>
      <c r="T905" s="2244"/>
      <c r="U905" s="2244"/>
      <c r="V905" s="2244"/>
      <c r="W905" s="2244"/>
      <c r="X905" s="2244"/>
      <c r="Y905" s="1818"/>
      <c r="Z905" s="1818"/>
      <c r="AA905" s="1818"/>
      <c r="AB905" s="1818"/>
      <c r="AC905" s="1818"/>
      <c r="AD905" s="1818"/>
      <c r="AE905" s="1818"/>
      <c r="AF905" s="1818"/>
      <c r="AG905" s="1818"/>
      <c r="AH905" s="1818"/>
      <c r="AI905" s="1818"/>
      <c r="AJ905" s="1818"/>
      <c r="AK905" s="1818"/>
      <c r="AL905" s="1818"/>
      <c r="AM905" s="1818"/>
      <c r="AN905" s="1818"/>
      <c r="AO905" s="1818"/>
      <c r="AP905" s="1818"/>
      <c r="AQ905" s="1818"/>
      <c r="AR905" s="1818"/>
      <c r="AS905" s="1818"/>
      <c r="AT905" s="1818"/>
      <c r="AU905" s="1818"/>
      <c r="AV905" s="1818"/>
      <c r="AW905" s="1818"/>
      <c r="AX905" s="1818"/>
      <c r="AY905" s="1818"/>
      <c r="AZ905" s="1818"/>
      <c r="BA905" s="1818"/>
      <c r="BB905" s="1818"/>
      <c r="BC905" s="1818"/>
      <c r="BD905" s="1818"/>
      <c r="BE905" s="1818"/>
      <c r="BF905" s="1818"/>
      <c r="BG905" s="1818"/>
      <c r="BH905" s="1818"/>
      <c r="BI905" s="1818"/>
      <c r="BJ905" s="1818"/>
      <c r="BK905" s="1818"/>
      <c r="BL905" s="1818"/>
      <c r="BM905" s="1818"/>
      <c r="BN905" s="1818"/>
      <c r="BO905" s="1818"/>
      <c r="BP905" s="1818"/>
      <c r="BQ905" s="1818"/>
      <c r="BR905" s="1818"/>
      <c r="BS905" s="1818"/>
      <c r="BT905" s="1818"/>
      <c r="BU905" s="1818"/>
      <c r="BV905" s="1818"/>
      <c r="BW905" s="1818"/>
      <c r="BX905" s="1818"/>
      <c r="BY905" s="1818"/>
      <c r="BZ905" s="1818"/>
      <c r="CA905" s="1818"/>
      <c r="CB905" s="1818"/>
      <c r="CC905" s="1818"/>
      <c r="CD905" s="1818"/>
      <c r="CE905" s="1818"/>
      <c r="CF905" s="1818"/>
      <c r="CG905" s="1818"/>
      <c r="CH905" s="1818"/>
      <c r="CI905" s="1818"/>
      <c r="CJ905" s="1818"/>
      <c r="CK905" s="1818"/>
      <c r="CL905" s="1818"/>
      <c r="CM905" s="1818"/>
      <c r="CN905" s="1818"/>
      <c r="CO905" s="1818"/>
      <c r="CP905" s="1818"/>
      <c r="CQ905" s="1818"/>
      <c r="CR905" s="1818"/>
      <c r="CS905" s="1818"/>
      <c r="CT905" s="1818"/>
      <c r="CU905" s="1818"/>
      <c r="CV905" s="1818"/>
      <c r="CW905" s="1818"/>
      <c r="CX905" s="1818"/>
      <c r="CY905" s="1818"/>
      <c r="CZ905" s="1818"/>
      <c r="DA905" s="1818"/>
      <c r="DB905" s="1818"/>
      <c r="DC905" s="1818"/>
      <c r="DD905" s="1818"/>
      <c r="DE905" s="1818"/>
      <c r="DF905" s="1818"/>
      <c r="DG905" s="1818"/>
      <c r="DH905" s="1818"/>
      <c r="DI905" s="1818"/>
      <c r="DJ905" s="1818"/>
      <c r="DK905" s="1818"/>
      <c r="DL905" s="1818"/>
      <c r="DM905" s="1818"/>
      <c r="DN905" s="1818"/>
      <c r="DO905" s="1818"/>
      <c r="DP905" s="1818"/>
      <c r="DQ905" s="1818"/>
      <c r="DR905" s="1818"/>
      <c r="DS905" s="1818"/>
      <c r="DT905" s="1818"/>
      <c r="DU905" s="1818"/>
      <c r="DV905" s="1818"/>
      <c r="DW905" s="1818"/>
      <c r="DX905" s="1818"/>
      <c r="DY905" s="1818"/>
      <c r="DZ905" s="1818"/>
      <c r="EA905" s="1818"/>
      <c r="EB905" s="1818"/>
      <c r="EC905" s="1818"/>
      <c r="ED905" s="1818"/>
      <c r="EE905" s="1818"/>
      <c r="EF905" s="1818"/>
      <c r="EG905" s="1818"/>
      <c r="EH905" s="1818"/>
      <c r="EI905" s="1818"/>
      <c r="EJ905" s="1818"/>
      <c r="EK905" s="1818"/>
      <c r="EL905" s="1818"/>
      <c r="EM905" s="1818"/>
      <c r="EN905" s="1818"/>
      <c r="EO905" s="1818"/>
      <c r="EP905" s="1818"/>
      <c r="EQ905" s="1818"/>
      <c r="ER905" s="1818"/>
      <c r="ES905" s="1818"/>
      <c r="ET905" s="1818"/>
      <c r="EU905" s="1818"/>
      <c r="EV905" s="1818"/>
      <c r="EW905" s="1818"/>
      <c r="EX905" s="1818"/>
      <c r="EY905" s="1818"/>
      <c r="EZ905" s="1818"/>
      <c r="FA905" s="1818"/>
      <c r="FB905" s="1818"/>
      <c r="FC905" s="1818"/>
      <c r="FD905" s="1818"/>
      <c r="FE905" s="1818"/>
      <c r="FF905" s="1818"/>
      <c r="FG905" s="1818"/>
      <c r="FH905" s="1818"/>
      <c r="FI905" s="1818"/>
      <c r="FJ905" s="1818"/>
      <c r="FK905" s="1818"/>
      <c r="FL905" s="1818"/>
      <c r="FM905" s="1818"/>
      <c r="FN905" s="1818"/>
      <c r="FO905" s="1818"/>
      <c r="FP905" s="1818"/>
      <c r="FQ905" s="1818"/>
      <c r="FR905" s="1818"/>
      <c r="FS905" s="1818"/>
      <c r="FT905" s="1818"/>
    </row>
    <row r="906" spans="1:176" s="1965" customFormat="1" ht="32.1" customHeight="1">
      <c r="A906" s="2535"/>
      <c r="B906" s="1803"/>
      <c r="C906" s="1813"/>
      <c r="D906" s="1813"/>
      <c r="E906" s="1813"/>
      <c r="F906" s="1813"/>
      <c r="G906" s="1813"/>
      <c r="H906" s="1813"/>
      <c r="I906" s="2436"/>
      <c r="J906" s="2244"/>
      <c r="K906" s="2244"/>
      <c r="L906" s="2244"/>
      <c r="M906" s="2244"/>
      <c r="N906" s="2244"/>
      <c r="O906" s="2244"/>
      <c r="P906" s="2245"/>
      <c r="Q906" s="2245"/>
      <c r="R906" s="2435"/>
      <c r="S906" s="2244"/>
      <c r="T906" s="2244"/>
      <c r="U906" s="2244"/>
      <c r="V906" s="2244"/>
      <c r="W906" s="2244"/>
      <c r="X906" s="2244"/>
      <c r="Y906" s="1818"/>
      <c r="Z906" s="1818"/>
      <c r="AA906" s="1818"/>
      <c r="AB906" s="1818"/>
      <c r="AC906" s="1818"/>
      <c r="AD906" s="1818"/>
      <c r="AE906" s="1818"/>
      <c r="AF906" s="1818"/>
      <c r="AG906" s="1818"/>
      <c r="AH906" s="1818"/>
      <c r="AI906" s="1818"/>
      <c r="AJ906" s="1818"/>
      <c r="AK906" s="1818"/>
      <c r="AL906" s="1818"/>
      <c r="AM906" s="1818"/>
      <c r="AN906" s="1818"/>
      <c r="AO906" s="1818"/>
      <c r="AP906" s="1818"/>
      <c r="AQ906" s="1818"/>
      <c r="AR906" s="1818"/>
      <c r="AS906" s="1818"/>
      <c r="AT906" s="1818"/>
      <c r="AU906" s="1818"/>
      <c r="AV906" s="1818"/>
      <c r="AW906" s="1818"/>
      <c r="AX906" s="1818"/>
      <c r="AY906" s="1818"/>
      <c r="AZ906" s="1818"/>
      <c r="BA906" s="1818"/>
      <c r="BB906" s="1818"/>
      <c r="BC906" s="1818"/>
      <c r="BD906" s="1818"/>
      <c r="BE906" s="1818"/>
      <c r="BF906" s="1818"/>
      <c r="BG906" s="1818"/>
      <c r="BH906" s="1818"/>
      <c r="BI906" s="1818"/>
      <c r="BJ906" s="1818"/>
      <c r="BK906" s="1818"/>
      <c r="BL906" s="1818"/>
      <c r="BM906" s="1818"/>
      <c r="BN906" s="1818"/>
      <c r="BO906" s="1818"/>
      <c r="BP906" s="1818"/>
      <c r="BQ906" s="1818"/>
      <c r="BR906" s="1818"/>
      <c r="BS906" s="1818"/>
      <c r="BT906" s="1818"/>
      <c r="BU906" s="1818"/>
      <c r="BV906" s="1818"/>
      <c r="BW906" s="1818"/>
      <c r="BX906" s="1818"/>
      <c r="BY906" s="1818"/>
      <c r="BZ906" s="1818"/>
      <c r="CA906" s="1818"/>
      <c r="CB906" s="1818"/>
      <c r="CC906" s="1818"/>
      <c r="CD906" s="1818"/>
      <c r="CE906" s="1818"/>
      <c r="CF906" s="1818"/>
      <c r="CG906" s="1818"/>
      <c r="CH906" s="1818"/>
      <c r="CI906" s="1818"/>
      <c r="CJ906" s="1818"/>
      <c r="CK906" s="1818"/>
      <c r="CL906" s="1818"/>
      <c r="CM906" s="1818"/>
      <c r="CN906" s="1818"/>
      <c r="CO906" s="1818"/>
      <c r="CP906" s="1818"/>
      <c r="CQ906" s="1818"/>
      <c r="CR906" s="1818"/>
      <c r="CS906" s="1818"/>
      <c r="CT906" s="1818"/>
      <c r="CU906" s="1818"/>
      <c r="CV906" s="1818"/>
      <c r="CW906" s="1818"/>
      <c r="CX906" s="1818"/>
      <c r="CY906" s="1818"/>
      <c r="CZ906" s="1818"/>
      <c r="DA906" s="1818"/>
      <c r="DB906" s="1818"/>
      <c r="DC906" s="1818"/>
      <c r="DD906" s="1818"/>
      <c r="DE906" s="1818"/>
      <c r="DF906" s="1818"/>
      <c r="DG906" s="1818"/>
      <c r="DH906" s="1818"/>
      <c r="DI906" s="1818"/>
      <c r="DJ906" s="1818"/>
      <c r="DK906" s="1818"/>
      <c r="DL906" s="1818"/>
      <c r="DM906" s="1818"/>
      <c r="DN906" s="1818"/>
      <c r="DO906" s="1818"/>
      <c r="DP906" s="1818"/>
      <c r="DQ906" s="1818"/>
      <c r="DR906" s="1818"/>
      <c r="DS906" s="1818"/>
      <c r="DT906" s="1818"/>
      <c r="DU906" s="1818"/>
      <c r="DV906" s="1818"/>
      <c r="DW906" s="1818"/>
      <c r="DX906" s="1818"/>
      <c r="DY906" s="1818"/>
      <c r="DZ906" s="1818"/>
      <c r="EA906" s="1818"/>
      <c r="EB906" s="1818"/>
      <c r="EC906" s="1818"/>
      <c r="ED906" s="1818"/>
      <c r="EE906" s="1818"/>
      <c r="EF906" s="1818"/>
      <c r="EG906" s="1818"/>
      <c r="EH906" s="1818"/>
      <c r="EI906" s="1818"/>
      <c r="EJ906" s="1818"/>
      <c r="EK906" s="1818"/>
      <c r="EL906" s="1818"/>
      <c r="EM906" s="1818"/>
      <c r="EN906" s="1818"/>
      <c r="EO906" s="1818"/>
      <c r="EP906" s="1818"/>
      <c r="EQ906" s="1818"/>
      <c r="ER906" s="1818"/>
      <c r="ES906" s="1818"/>
      <c r="ET906" s="1818"/>
      <c r="EU906" s="1818"/>
      <c r="EV906" s="1818"/>
      <c r="EW906" s="1818"/>
      <c r="EX906" s="1818"/>
      <c r="EY906" s="1818"/>
      <c r="EZ906" s="1818"/>
      <c r="FA906" s="1818"/>
      <c r="FB906" s="1818"/>
      <c r="FC906" s="1818"/>
      <c r="FD906" s="1818"/>
      <c r="FE906" s="1818"/>
      <c r="FF906" s="1818"/>
      <c r="FG906" s="1818"/>
      <c r="FH906" s="1818"/>
      <c r="FI906" s="1818"/>
      <c r="FJ906" s="1818"/>
      <c r="FK906" s="1818"/>
      <c r="FL906" s="1818"/>
      <c r="FM906" s="1818"/>
      <c r="FN906" s="1818"/>
      <c r="FO906" s="1818"/>
      <c r="FP906" s="1818"/>
      <c r="FQ906" s="1818"/>
      <c r="FR906" s="1818"/>
      <c r="FS906" s="1818"/>
      <c r="FT906" s="1818"/>
    </row>
    <row r="907" spans="1:176" s="1965" customFormat="1" ht="32.1" customHeight="1">
      <c r="A907" s="2535"/>
      <c r="B907" s="1803"/>
      <c r="C907" s="1813"/>
      <c r="D907" s="1813"/>
      <c r="E907" s="1813"/>
      <c r="F907" s="1813"/>
      <c r="G907" s="1813"/>
      <c r="H907" s="1813"/>
      <c r="I907" s="2436"/>
      <c r="J907" s="2244"/>
      <c r="K907" s="2244"/>
      <c r="L907" s="2244"/>
      <c r="M907" s="2244"/>
      <c r="N907" s="2244"/>
      <c r="O907" s="2244"/>
      <c r="P907" s="2245"/>
      <c r="Q907" s="2245"/>
      <c r="R907" s="2435"/>
      <c r="S907" s="2244"/>
      <c r="T907" s="2244"/>
      <c r="U907" s="2244"/>
      <c r="V907" s="2244"/>
      <c r="W907" s="2244"/>
      <c r="X907" s="2244"/>
      <c r="Y907" s="1818"/>
      <c r="Z907" s="1818"/>
      <c r="AA907" s="1818"/>
      <c r="AB907" s="1818"/>
      <c r="AC907" s="1818"/>
      <c r="AD907" s="1818"/>
      <c r="AE907" s="1818"/>
      <c r="AF907" s="1818"/>
      <c r="AG907" s="1818"/>
      <c r="AH907" s="1818"/>
      <c r="AI907" s="1818"/>
      <c r="AJ907" s="1818"/>
      <c r="AK907" s="1818"/>
      <c r="AL907" s="1818"/>
      <c r="AM907" s="1818"/>
      <c r="AN907" s="1818"/>
      <c r="AO907" s="1818"/>
      <c r="AP907" s="1818"/>
      <c r="AQ907" s="1818"/>
      <c r="AR907" s="1818"/>
      <c r="AS907" s="1818"/>
      <c r="AT907" s="1818"/>
      <c r="AU907" s="1818"/>
      <c r="AV907" s="1818"/>
      <c r="AW907" s="1818"/>
      <c r="AX907" s="1818"/>
      <c r="AY907" s="1818"/>
      <c r="AZ907" s="1818"/>
      <c r="BA907" s="1818"/>
      <c r="BB907" s="1818"/>
      <c r="BC907" s="1818"/>
      <c r="BD907" s="1818"/>
      <c r="BE907" s="1818"/>
      <c r="BF907" s="1818"/>
      <c r="BG907" s="1818"/>
      <c r="BH907" s="1818"/>
      <c r="BI907" s="1818"/>
      <c r="BJ907" s="1818"/>
      <c r="BK907" s="1818"/>
      <c r="BL907" s="1818"/>
      <c r="BM907" s="1818"/>
      <c r="BN907" s="1818"/>
      <c r="BO907" s="1818"/>
      <c r="BP907" s="1818"/>
      <c r="BQ907" s="1818"/>
      <c r="BR907" s="1818"/>
      <c r="BS907" s="1818"/>
      <c r="BT907" s="1818"/>
      <c r="BU907" s="1818"/>
      <c r="BV907" s="1818"/>
      <c r="BW907" s="1818"/>
      <c r="BX907" s="1818"/>
      <c r="BY907" s="1818"/>
      <c r="BZ907" s="1818"/>
      <c r="CA907" s="1818"/>
      <c r="CB907" s="1818"/>
      <c r="CC907" s="1818"/>
      <c r="CD907" s="1818"/>
      <c r="CE907" s="1818"/>
      <c r="CF907" s="1818"/>
      <c r="CG907" s="1818"/>
      <c r="CH907" s="1818"/>
      <c r="CI907" s="1818"/>
      <c r="CJ907" s="1818"/>
      <c r="CK907" s="1818"/>
      <c r="CL907" s="1818"/>
      <c r="CM907" s="1818"/>
      <c r="CN907" s="1818"/>
      <c r="CO907" s="1818"/>
      <c r="CP907" s="1818"/>
      <c r="CQ907" s="1818"/>
      <c r="CR907" s="1818"/>
      <c r="CS907" s="1818"/>
      <c r="CT907" s="1818"/>
      <c r="CU907" s="1818"/>
      <c r="CV907" s="1818"/>
      <c r="CW907" s="1818"/>
      <c r="CX907" s="1818"/>
      <c r="CY907" s="1818"/>
      <c r="CZ907" s="1818"/>
      <c r="DA907" s="1818"/>
      <c r="DB907" s="1818"/>
      <c r="DC907" s="1818"/>
      <c r="DD907" s="1818"/>
      <c r="DE907" s="1818"/>
      <c r="DF907" s="1818"/>
      <c r="DG907" s="1818"/>
      <c r="DH907" s="1818"/>
      <c r="DI907" s="1818"/>
      <c r="DJ907" s="1818"/>
      <c r="DK907" s="1818"/>
      <c r="DL907" s="1818"/>
      <c r="DM907" s="1818"/>
      <c r="DN907" s="1818"/>
      <c r="DO907" s="1818"/>
      <c r="DP907" s="1818"/>
      <c r="DQ907" s="1818"/>
      <c r="DR907" s="1818"/>
      <c r="DS907" s="1818"/>
      <c r="DT907" s="1818"/>
      <c r="DU907" s="1818"/>
      <c r="DV907" s="1818"/>
      <c r="DW907" s="1818"/>
      <c r="DX907" s="1818"/>
      <c r="DY907" s="1818"/>
      <c r="DZ907" s="1818"/>
      <c r="EA907" s="1818"/>
      <c r="EB907" s="1818"/>
      <c r="EC907" s="1818"/>
      <c r="ED907" s="1818"/>
      <c r="EE907" s="1818"/>
      <c r="EF907" s="1818"/>
      <c r="EG907" s="1818"/>
      <c r="EH907" s="1818"/>
      <c r="EI907" s="1818"/>
      <c r="EJ907" s="1818"/>
      <c r="EK907" s="1818"/>
      <c r="EL907" s="1818"/>
      <c r="EM907" s="1818"/>
      <c r="EN907" s="1818"/>
      <c r="EO907" s="1818"/>
      <c r="EP907" s="1818"/>
      <c r="EQ907" s="1818"/>
      <c r="ER907" s="1818"/>
      <c r="ES907" s="1818"/>
      <c r="ET907" s="1818"/>
      <c r="EU907" s="1818"/>
      <c r="EV907" s="1818"/>
      <c r="EW907" s="1818"/>
      <c r="EX907" s="1818"/>
      <c r="EY907" s="1818"/>
      <c r="EZ907" s="1818"/>
      <c r="FA907" s="1818"/>
      <c r="FB907" s="1818"/>
      <c r="FC907" s="1818"/>
      <c r="FD907" s="1818"/>
      <c r="FE907" s="1818"/>
      <c r="FF907" s="1818"/>
      <c r="FG907" s="1818"/>
      <c r="FH907" s="1818"/>
      <c r="FI907" s="1818"/>
      <c r="FJ907" s="1818"/>
      <c r="FK907" s="1818"/>
      <c r="FL907" s="1818"/>
      <c r="FM907" s="1818"/>
      <c r="FN907" s="1818"/>
      <c r="FO907" s="1818"/>
      <c r="FP907" s="1818"/>
      <c r="FQ907" s="1818"/>
      <c r="FR907" s="1818"/>
      <c r="FS907" s="1818"/>
      <c r="FT907" s="1818"/>
    </row>
    <row r="908" spans="1:176" s="1965" customFormat="1" ht="32.1" customHeight="1">
      <c r="A908" s="2535"/>
      <c r="B908" s="1803"/>
      <c r="C908" s="1813"/>
      <c r="D908" s="1813"/>
      <c r="E908" s="1813"/>
      <c r="F908" s="1813"/>
      <c r="G908" s="1813"/>
      <c r="H908" s="1813"/>
      <c r="I908" s="2436"/>
      <c r="J908" s="2244"/>
      <c r="K908" s="2244"/>
      <c r="L908" s="2244"/>
      <c r="M908" s="2244"/>
      <c r="N908" s="2244"/>
      <c r="O908" s="2244"/>
      <c r="P908" s="2245"/>
      <c r="Q908" s="2245"/>
      <c r="R908" s="2435"/>
      <c r="S908" s="2244"/>
      <c r="T908" s="2244"/>
      <c r="U908" s="2244"/>
      <c r="V908" s="2244"/>
      <c r="W908" s="2244"/>
      <c r="X908" s="2244"/>
      <c r="Y908" s="1818"/>
      <c r="Z908" s="1818"/>
      <c r="AA908" s="1818"/>
      <c r="AB908" s="1818"/>
      <c r="AC908" s="1818"/>
      <c r="AD908" s="1818"/>
      <c r="AE908" s="1818"/>
      <c r="AF908" s="1818"/>
      <c r="AG908" s="1818"/>
      <c r="AH908" s="1818"/>
      <c r="AI908" s="1818"/>
      <c r="AJ908" s="1818"/>
      <c r="AK908" s="1818"/>
      <c r="AL908" s="1818"/>
      <c r="AM908" s="1818"/>
      <c r="AN908" s="1818"/>
      <c r="AO908" s="1818"/>
      <c r="AP908" s="1818"/>
      <c r="AQ908" s="1818"/>
      <c r="AR908" s="1818"/>
      <c r="AS908" s="1818"/>
      <c r="AT908" s="1818"/>
      <c r="AU908" s="1818"/>
      <c r="AV908" s="1818"/>
      <c r="AW908" s="1818"/>
      <c r="AX908" s="1818"/>
      <c r="AY908" s="1818"/>
      <c r="AZ908" s="1818"/>
      <c r="BA908" s="1818"/>
      <c r="BB908" s="1818"/>
      <c r="BC908" s="1818"/>
      <c r="BD908" s="1818"/>
      <c r="BE908" s="1818"/>
      <c r="BF908" s="1818"/>
      <c r="BG908" s="1818"/>
      <c r="BH908" s="1818"/>
      <c r="BI908" s="1818"/>
      <c r="BJ908" s="1818"/>
      <c r="BK908" s="1818"/>
      <c r="BL908" s="1818"/>
      <c r="BM908" s="1818"/>
      <c r="BN908" s="1818"/>
      <c r="BO908" s="1818"/>
      <c r="BP908" s="1818"/>
      <c r="BQ908" s="1818"/>
      <c r="BR908" s="1818"/>
      <c r="BS908" s="1818"/>
      <c r="BT908" s="1818"/>
      <c r="BU908" s="1818"/>
      <c r="BV908" s="1818"/>
      <c r="BW908" s="1818"/>
      <c r="BX908" s="1818"/>
      <c r="BY908" s="1818"/>
      <c r="BZ908" s="1818"/>
      <c r="CA908" s="1818"/>
      <c r="CB908" s="1818"/>
      <c r="CC908" s="1818"/>
      <c r="CD908" s="1818"/>
      <c r="CE908" s="1818"/>
      <c r="CF908" s="1818"/>
      <c r="CG908" s="1818"/>
      <c r="CH908" s="1818"/>
      <c r="CI908" s="1818"/>
      <c r="CJ908" s="1818"/>
      <c r="CK908" s="1818"/>
      <c r="CL908" s="1818"/>
      <c r="CM908" s="1818"/>
      <c r="CN908" s="1818"/>
      <c r="CO908" s="1818"/>
      <c r="CP908" s="1818"/>
      <c r="CQ908" s="1818"/>
      <c r="CR908" s="1818"/>
      <c r="CS908" s="1818"/>
      <c r="CT908" s="1818"/>
      <c r="CU908" s="1818"/>
      <c r="CV908" s="1818"/>
      <c r="CW908" s="1818"/>
      <c r="CX908" s="1818"/>
      <c r="CY908" s="1818"/>
      <c r="CZ908" s="1818"/>
      <c r="DA908" s="1818"/>
      <c r="DB908" s="1818"/>
      <c r="DC908" s="1818"/>
      <c r="DD908" s="1818"/>
      <c r="DE908" s="1818"/>
      <c r="DF908" s="1818"/>
      <c r="DG908" s="1818"/>
      <c r="DH908" s="1818"/>
      <c r="DI908" s="1818"/>
      <c r="DJ908" s="1818"/>
      <c r="DK908" s="1818"/>
      <c r="DL908" s="1818"/>
      <c r="DM908" s="1818"/>
      <c r="DN908" s="1818"/>
      <c r="DO908" s="1818"/>
      <c r="DP908" s="1818"/>
      <c r="DQ908" s="1818"/>
      <c r="DR908" s="1818"/>
      <c r="DS908" s="1818"/>
      <c r="DT908" s="1818"/>
      <c r="DU908" s="1818"/>
      <c r="DV908" s="1818"/>
      <c r="DW908" s="1818"/>
      <c r="DX908" s="1818"/>
      <c r="DY908" s="1818"/>
      <c r="DZ908" s="1818"/>
      <c r="EA908" s="1818"/>
      <c r="EB908" s="1818"/>
      <c r="EC908" s="1818"/>
      <c r="ED908" s="1818"/>
      <c r="EE908" s="1818"/>
      <c r="EF908" s="1818"/>
      <c r="EG908" s="1818"/>
      <c r="EH908" s="1818"/>
      <c r="EI908" s="1818"/>
      <c r="EJ908" s="1818"/>
      <c r="EK908" s="1818"/>
      <c r="EL908" s="1818"/>
      <c r="EM908" s="1818"/>
      <c r="EN908" s="1818"/>
      <c r="EO908" s="1818"/>
      <c r="EP908" s="1818"/>
      <c r="EQ908" s="1818"/>
      <c r="ER908" s="1818"/>
      <c r="ES908" s="1818"/>
      <c r="ET908" s="1818"/>
      <c r="EU908" s="1818"/>
      <c r="EV908" s="1818"/>
      <c r="EW908" s="1818"/>
      <c r="EX908" s="1818"/>
      <c r="EY908" s="1818"/>
      <c r="EZ908" s="1818"/>
      <c r="FA908" s="1818"/>
      <c r="FB908" s="1818"/>
      <c r="FC908" s="1818"/>
      <c r="FD908" s="1818"/>
      <c r="FE908" s="1818"/>
      <c r="FF908" s="1818"/>
      <c r="FG908" s="1818"/>
      <c r="FH908" s="1818"/>
      <c r="FI908" s="1818"/>
      <c r="FJ908" s="1818"/>
      <c r="FK908" s="1818"/>
      <c r="FL908" s="1818"/>
      <c r="FM908" s="1818"/>
      <c r="FN908" s="1818"/>
      <c r="FO908" s="1818"/>
      <c r="FP908" s="1818"/>
      <c r="FQ908" s="1818"/>
      <c r="FR908" s="1818"/>
      <c r="FS908" s="1818"/>
      <c r="FT908" s="1818"/>
    </row>
    <row r="909" spans="1:176" s="1965" customFormat="1" ht="32.1" customHeight="1">
      <c r="A909" s="2535"/>
      <c r="B909" s="1803"/>
      <c r="C909" s="1813"/>
      <c r="D909" s="1813"/>
      <c r="E909" s="1813"/>
      <c r="F909" s="1813"/>
      <c r="G909" s="1813"/>
      <c r="H909" s="1813"/>
      <c r="I909" s="2436"/>
      <c r="J909" s="2244"/>
      <c r="K909" s="2244"/>
      <c r="L909" s="2244"/>
      <c r="M909" s="2244"/>
      <c r="N909" s="2244"/>
      <c r="O909" s="2244"/>
      <c r="P909" s="2245"/>
      <c r="Q909" s="2245"/>
      <c r="R909" s="2435"/>
      <c r="S909" s="2244"/>
      <c r="T909" s="2244"/>
      <c r="U909" s="2244"/>
      <c r="V909" s="2244"/>
      <c r="W909" s="2244"/>
      <c r="X909" s="2244"/>
      <c r="Y909" s="1818"/>
      <c r="Z909" s="1818"/>
      <c r="AA909" s="1818"/>
      <c r="AB909" s="1818"/>
      <c r="AC909" s="1818"/>
      <c r="AD909" s="1818"/>
      <c r="AE909" s="1818"/>
      <c r="AF909" s="1818"/>
      <c r="AG909" s="1818"/>
      <c r="AH909" s="1818"/>
      <c r="AI909" s="1818"/>
      <c r="AJ909" s="1818"/>
      <c r="AK909" s="1818"/>
      <c r="AL909" s="1818"/>
      <c r="AM909" s="1818"/>
      <c r="AN909" s="1818"/>
      <c r="AO909" s="1818"/>
      <c r="AP909" s="1818"/>
      <c r="AQ909" s="1818"/>
      <c r="AR909" s="1818"/>
      <c r="AS909" s="1818"/>
      <c r="AT909" s="1818"/>
      <c r="AU909" s="1818"/>
      <c r="AV909" s="1818"/>
      <c r="AW909" s="1818"/>
      <c r="AX909" s="1818"/>
      <c r="AY909" s="1818"/>
      <c r="AZ909" s="1818"/>
      <c r="BA909" s="1818"/>
      <c r="BB909" s="1818"/>
      <c r="BC909" s="1818"/>
      <c r="BD909" s="1818"/>
      <c r="BE909" s="1818"/>
      <c r="BF909" s="1818"/>
      <c r="BG909" s="1818"/>
      <c r="BH909" s="1818"/>
      <c r="BI909" s="1818"/>
      <c r="BJ909" s="1818"/>
      <c r="BK909" s="1818"/>
      <c r="BL909" s="1818"/>
      <c r="BM909" s="1818"/>
      <c r="BN909" s="1818"/>
      <c r="BO909" s="1818"/>
      <c r="BP909" s="1818"/>
      <c r="BQ909" s="1818"/>
      <c r="BR909" s="1818"/>
      <c r="BS909" s="1818"/>
      <c r="BT909" s="1818"/>
      <c r="BU909" s="1818"/>
      <c r="BV909" s="1818"/>
      <c r="BW909" s="1818"/>
      <c r="BX909" s="1818"/>
      <c r="BY909" s="1818"/>
      <c r="BZ909" s="1818"/>
      <c r="CA909" s="1818"/>
      <c r="CB909" s="1818"/>
      <c r="CC909" s="1818"/>
      <c r="CD909" s="1818"/>
      <c r="CE909" s="1818"/>
      <c r="CF909" s="1818"/>
      <c r="CG909" s="1818"/>
      <c r="CH909" s="1818"/>
      <c r="CI909" s="1818"/>
      <c r="CJ909" s="1818"/>
      <c r="CK909" s="1818"/>
      <c r="CL909" s="1818"/>
      <c r="CM909" s="1818"/>
      <c r="CN909" s="1818"/>
      <c r="CO909" s="1818"/>
      <c r="CP909" s="1818"/>
      <c r="CQ909" s="1818"/>
      <c r="CR909" s="1818"/>
      <c r="CS909" s="1818"/>
      <c r="CT909" s="1818"/>
      <c r="CU909" s="1818"/>
      <c r="CV909" s="1818"/>
      <c r="CW909" s="1818"/>
      <c r="CX909" s="1818"/>
      <c r="CY909" s="1818"/>
      <c r="CZ909" s="1818"/>
      <c r="DA909" s="1818"/>
      <c r="DB909" s="1818"/>
      <c r="DC909" s="1818"/>
      <c r="DD909" s="1818"/>
      <c r="DE909" s="1818"/>
      <c r="DF909" s="1818"/>
      <c r="DG909" s="1818"/>
      <c r="DH909" s="1818"/>
      <c r="DI909" s="1818"/>
      <c r="DJ909" s="1818"/>
      <c r="DK909" s="1818"/>
      <c r="DL909" s="1818"/>
      <c r="DM909" s="1818"/>
      <c r="DN909" s="1818"/>
      <c r="DO909" s="1818"/>
      <c r="DP909" s="1818"/>
      <c r="DQ909" s="1818"/>
      <c r="DR909" s="1818"/>
      <c r="DS909" s="1818"/>
      <c r="DT909" s="1818"/>
      <c r="DU909" s="1818"/>
      <c r="DV909" s="1818"/>
      <c r="DW909" s="1818"/>
      <c r="DX909" s="1818"/>
      <c r="DY909" s="1818"/>
      <c r="DZ909" s="1818"/>
      <c r="EA909" s="1818"/>
      <c r="EB909" s="1818"/>
      <c r="EC909" s="1818"/>
      <c r="ED909" s="1818"/>
      <c r="EE909" s="1818"/>
      <c r="EF909" s="1818"/>
      <c r="EG909" s="1818"/>
      <c r="EH909" s="1818"/>
      <c r="EI909" s="1818"/>
      <c r="EJ909" s="1818"/>
      <c r="EK909" s="1818"/>
      <c r="EL909" s="1818"/>
      <c r="EM909" s="1818"/>
      <c r="EN909" s="1818"/>
      <c r="EO909" s="1818"/>
      <c r="EP909" s="1818"/>
      <c r="EQ909" s="1818"/>
      <c r="ER909" s="1818"/>
      <c r="ES909" s="1818"/>
      <c r="ET909" s="1818"/>
      <c r="EU909" s="1818"/>
      <c r="EV909" s="1818"/>
      <c r="EW909" s="1818"/>
      <c r="EX909" s="1818"/>
      <c r="EY909" s="1818"/>
      <c r="EZ909" s="1818"/>
      <c r="FA909" s="1818"/>
      <c r="FB909" s="1818"/>
      <c r="FC909" s="1818"/>
      <c r="FD909" s="1818"/>
      <c r="FE909" s="1818"/>
      <c r="FF909" s="1818"/>
      <c r="FG909" s="1818"/>
      <c r="FH909" s="1818"/>
      <c r="FI909" s="1818"/>
      <c r="FJ909" s="1818"/>
      <c r="FK909" s="1818"/>
      <c r="FL909" s="1818"/>
      <c r="FM909" s="1818"/>
      <c r="FN909" s="1818"/>
      <c r="FO909" s="1818"/>
      <c r="FP909" s="1818"/>
      <c r="FQ909" s="1818"/>
      <c r="FR909" s="1818"/>
      <c r="FS909" s="1818"/>
      <c r="FT909" s="1818"/>
    </row>
    <row r="910" spans="1:176" s="1965" customFormat="1" ht="32.1" customHeight="1">
      <c r="A910" s="2535"/>
      <c r="B910" s="1803"/>
      <c r="C910" s="1813"/>
      <c r="D910" s="1813"/>
      <c r="E910" s="1813"/>
      <c r="F910" s="1813"/>
      <c r="G910" s="1813"/>
      <c r="H910" s="1813"/>
      <c r="I910" s="2436"/>
      <c r="J910" s="2244"/>
      <c r="K910" s="2244"/>
      <c r="L910" s="2244"/>
      <c r="M910" s="2244"/>
      <c r="N910" s="2244"/>
      <c r="O910" s="2244"/>
      <c r="P910" s="2245"/>
      <c r="Q910" s="2245"/>
      <c r="R910" s="2435"/>
      <c r="S910" s="2244"/>
      <c r="T910" s="2244"/>
      <c r="U910" s="2244"/>
      <c r="V910" s="2244"/>
      <c r="W910" s="2244"/>
      <c r="X910" s="2244"/>
      <c r="Y910" s="1818"/>
      <c r="Z910" s="1818"/>
      <c r="AA910" s="1818"/>
      <c r="AB910" s="1818"/>
      <c r="AC910" s="1818"/>
      <c r="AD910" s="1818"/>
      <c r="AE910" s="1818"/>
      <c r="AF910" s="1818"/>
      <c r="AG910" s="1818"/>
      <c r="AH910" s="1818"/>
      <c r="AI910" s="1818"/>
      <c r="AJ910" s="1818"/>
      <c r="AK910" s="1818"/>
      <c r="AL910" s="1818"/>
      <c r="AM910" s="1818"/>
      <c r="AN910" s="1818"/>
      <c r="AO910" s="1818"/>
      <c r="AP910" s="1818"/>
      <c r="AQ910" s="1818"/>
      <c r="AR910" s="1818"/>
      <c r="AS910" s="1818"/>
      <c r="AT910" s="1818"/>
      <c r="AU910" s="1818"/>
      <c r="AV910" s="1818"/>
      <c r="AW910" s="1818"/>
      <c r="AX910" s="1818"/>
      <c r="AY910" s="1818"/>
      <c r="AZ910" s="1818"/>
      <c r="BA910" s="1818"/>
      <c r="BB910" s="1818"/>
      <c r="BC910" s="1818"/>
      <c r="BD910" s="1818"/>
      <c r="BE910" s="1818"/>
      <c r="BF910" s="1818"/>
      <c r="BG910" s="1818"/>
      <c r="BH910" s="1818"/>
      <c r="BI910" s="1818"/>
      <c r="BJ910" s="1818"/>
      <c r="BK910" s="1818"/>
      <c r="BL910" s="1818"/>
      <c r="BM910" s="1818"/>
      <c r="BN910" s="1818"/>
      <c r="BO910" s="1818"/>
      <c r="BP910" s="1818"/>
      <c r="BQ910" s="1818"/>
      <c r="BR910" s="1818"/>
      <c r="BS910" s="1818"/>
      <c r="BT910" s="1818"/>
      <c r="BU910" s="1818"/>
      <c r="BV910" s="1818"/>
      <c r="BW910" s="1818"/>
      <c r="BX910" s="1818"/>
      <c r="BY910" s="1818"/>
      <c r="BZ910" s="1818"/>
      <c r="CA910" s="1818"/>
      <c r="CB910" s="1818"/>
      <c r="CC910" s="1818"/>
      <c r="CD910" s="1818"/>
      <c r="CE910" s="1818"/>
      <c r="CF910" s="1818"/>
      <c r="CG910" s="1818"/>
      <c r="CH910" s="1818"/>
      <c r="CI910" s="1818"/>
      <c r="CJ910" s="1818"/>
      <c r="CK910" s="1818"/>
      <c r="CL910" s="1818"/>
      <c r="CM910" s="1818"/>
      <c r="CN910" s="1818"/>
      <c r="CO910" s="1818"/>
      <c r="CP910" s="1818"/>
      <c r="CQ910" s="1818"/>
      <c r="CR910" s="1818"/>
      <c r="CS910" s="1818"/>
      <c r="CT910" s="1818"/>
      <c r="CU910" s="1818"/>
      <c r="CV910" s="1818"/>
      <c r="CW910" s="1818"/>
      <c r="CX910" s="1818"/>
      <c r="CY910" s="1818"/>
      <c r="CZ910" s="1818"/>
      <c r="DA910" s="1818"/>
      <c r="DB910" s="1818"/>
      <c r="DC910" s="1818"/>
      <c r="DD910" s="1818"/>
      <c r="DE910" s="1818"/>
      <c r="DF910" s="1818"/>
      <c r="DG910" s="1818"/>
      <c r="DH910" s="1818"/>
      <c r="DI910" s="1818"/>
      <c r="DJ910" s="1818"/>
      <c r="DK910" s="1818"/>
      <c r="DL910" s="1818"/>
      <c r="DM910" s="1818"/>
      <c r="DN910" s="1818"/>
      <c r="DO910" s="1818"/>
      <c r="DP910" s="1818"/>
      <c r="DQ910" s="1818"/>
      <c r="DR910" s="1818"/>
      <c r="DS910" s="1818"/>
      <c r="DT910" s="1818"/>
      <c r="DU910" s="1818"/>
      <c r="DV910" s="1818"/>
      <c r="DW910" s="1818"/>
      <c r="DX910" s="1818"/>
      <c r="DY910" s="1818"/>
      <c r="DZ910" s="1818"/>
      <c r="EA910" s="1818"/>
      <c r="EB910" s="1818"/>
      <c r="EC910" s="1818"/>
      <c r="ED910" s="1818"/>
      <c r="EE910" s="1818"/>
      <c r="EF910" s="1818"/>
      <c r="EG910" s="1818"/>
      <c r="EH910" s="1818"/>
      <c r="EI910" s="1818"/>
      <c r="EJ910" s="1818"/>
      <c r="EK910" s="1818"/>
      <c r="EL910" s="1818"/>
      <c r="EM910" s="1818"/>
      <c r="EN910" s="1818"/>
      <c r="EO910" s="1818"/>
      <c r="EP910" s="1818"/>
      <c r="EQ910" s="1818"/>
      <c r="ER910" s="1818"/>
      <c r="ES910" s="1818"/>
      <c r="ET910" s="1818"/>
      <c r="EU910" s="1818"/>
      <c r="EV910" s="1818"/>
      <c r="EW910" s="1818"/>
      <c r="EX910" s="1818"/>
      <c r="EY910" s="1818"/>
      <c r="EZ910" s="1818"/>
      <c r="FA910" s="1818"/>
      <c r="FB910" s="1818"/>
      <c r="FC910" s="1818"/>
      <c r="FD910" s="1818"/>
      <c r="FE910" s="1818"/>
      <c r="FF910" s="1818"/>
      <c r="FG910" s="1818"/>
      <c r="FH910" s="1818"/>
      <c r="FI910" s="1818"/>
      <c r="FJ910" s="1818"/>
      <c r="FK910" s="1818"/>
      <c r="FL910" s="1818"/>
      <c r="FM910" s="1818"/>
      <c r="FN910" s="1818"/>
      <c r="FO910" s="1818"/>
      <c r="FP910" s="1818"/>
      <c r="FQ910" s="1818"/>
      <c r="FR910" s="1818"/>
      <c r="FS910" s="1818"/>
      <c r="FT910" s="1818"/>
    </row>
    <row r="911" spans="1:176" s="1965" customFormat="1" ht="32.1" customHeight="1">
      <c r="A911" s="2535"/>
      <c r="B911" s="1803"/>
      <c r="C911" s="1813"/>
      <c r="D911" s="1813"/>
      <c r="E911" s="1813"/>
      <c r="F911" s="1813"/>
      <c r="G911" s="1813"/>
      <c r="H911" s="1813"/>
      <c r="I911" s="2436"/>
      <c r="J911" s="2244"/>
      <c r="K911" s="2244"/>
      <c r="L911" s="2244"/>
      <c r="M911" s="2244"/>
      <c r="N911" s="2244"/>
      <c r="O911" s="2244"/>
      <c r="P911" s="2245"/>
      <c r="Q911" s="2245"/>
      <c r="R911" s="2435"/>
      <c r="S911" s="2244"/>
      <c r="T911" s="2244"/>
      <c r="U911" s="2244"/>
      <c r="V911" s="2244"/>
      <c r="W911" s="2244"/>
      <c r="X911" s="2244"/>
      <c r="Y911" s="1818"/>
      <c r="Z911" s="1818"/>
      <c r="AA911" s="1818"/>
      <c r="AB911" s="1818"/>
      <c r="AC911" s="1818"/>
      <c r="AD911" s="1818"/>
      <c r="AE911" s="1818"/>
      <c r="AF911" s="1818"/>
      <c r="AG911" s="1818"/>
      <c r="AH911" s="1818"/>
      <c r="AI911" s="1818"/>
      <c r="AJ911" s="1818"/>
      <c r="AK911" s="1818"/>
      <c r="AL911" s="1818"/>
      <c r="AM911" s="1818"/>
      <c r="AN911" s="1818"/>
      <c r="AO911" s="1818"/>
      <c r="AP911" s="1818"/>
      <c r="AQ911" s="1818"/>
      <c r="AR911" s="1818"/>
      <c r="AS911" s="1818"/>
      <c r="AT911" s="1818"/>
      <c r="AU911" s="1818"/>
      <c r="AV911" s="1818"/>
      <c r="AW911" s="1818"/>
      <c r="AX911" s="1818"/>
      <c r="AY911" s="1818"/>
      <c r="AZ911" s="1818"/>
      <c r="BA911" s="1818"/>
      <c r="BB911" s="1818"/>
      <c r="BC911" s="1818"/>
      <c r="BD911" s="1818"/>
      <c r="BE911" s="1818"/>
      <c r="BF911" s="1818"/>
      <c r="BG911" s="1818"/>
      <c r="BH911" s="1818"/>
      <c r="BI911" s="1818"/>
      <c r="BJ911" s="1818"/>
      <c r="BK911" s="1818"/>
      <c r="BL911" s="1818"/>
      <c r="BM911" s="1818"/>
      <c r="BN911" s="1818"/>
      <c r="BO911" s="1818"/>
      <c r="BP911" s="1818"/>
      <c r="BQ911" s="1818"/>
      <c r="BR911" s="1818"/>
      <c r="BS911" s="1818"/>
      <c r="BT911" s="1818"/>
      <c r="BU911" s="1818"/>
      <c r="BV911" s="1818"/>
      <c r="BW911" s="1818"/>
      <c r="BX911" s="1818"/>
      <c r="BY911" s="1818"/>
      <c r="BZ911" s="1818"/>
      <c r="CA911" s="1818"/>
      <c r="CB911" s="1818"/>
      <c r="CC911" s="1818"/>
      <c r="CD911" s="1818"/>
      <c r="CE911" s="1818"/>
      <c r="CF911" s="1818"/>
      <c r="CG911" s="1818"/>
      <c r="CH911" s="1818"/>
      <c r="CI911" s="1818"/>
      <c r="CJ911" s="1818"/>
      <c r="CK911" s="1818"/>
      <c r="CL911" s="1818"/>
      <c r="CM911" s="1818"/>
      <c r="CN911" s="1818"/>
      <c r="CO911" s="1818"/>
      <c r="CP911" s="1818"/>
      <c r="CQ911" s="1818"/>
      <c r="CR911" s="1818"/>
      <c r="CS911" s="1818"/>
      <c r="CT911" s="1818"/>
      <c r="CU911" s="1818"/>
      <c r="CV911" s="1818"/>
      <c r="CW911" s="1818"/>
      <c r="CX911" s="1818"/>
      <c r="CY911" s="1818"/>
      <c r="CZ911" s="1818"/>
      <c r="DA911" s="1818"/>
      <c r="DB911" s="1818"/>
      <c r="DC911" s="1818"/>
      <c r="DD911" s="1818"/>
      <c r="DE911" s="1818"/>
      <c r="DF911" s="1818"/>
      <c r="DG911" s="1818"/>
      <c r="DH911" s="1818"/>
      <c r="DI911" s="1818"/>
      <c r="DJ911" s="1818"/>
      <c r="DK911" s="1818"/>
      <c r="DL911" s="1818"/>
      <c r="DM911" s="1818"/>
      <c r="DN911" s="1818"/>
      <c r="DO911" s="1818"/>
      <c r="DP911" s="1818"/>
      <c r="DQ911" s="1818"/>
      <c r="DR911" s="1818"/>
      <c r="DS911" s="1818"/>
      <c r="DT911" s="1818"/>
      <c r="DU911" s="1818"/>
      <c r="DV911" s="1818"/>
      <c r="DW911" s="1818"/>
      <c r="DX911" s="1818"/>
      <c r="DY911" s="1818"/>
      <c r="DZ911" s="1818"/>
      <c r="EA911" s="1818"/>
      <c r="EB911" s="1818"/>
      <c r="EC911" s="1818"/>
      <c r="ED911" s="1818"/>
      <c r="EE911" s="1818"/>
      <c r="EF911" s="1818"/>
      <c r="EG911" s="1818"/>
      <c r="EH911" s="1818"/>
      <c r="EI911" s="1818"/>
      <c r="EJ911" s="1818"/>
      <c r="EK911" s="1818"/>
      <c r="EL911" s="1818"/>
      <c r="EM911" s="1818"/>
      <c r="EN911" s="1818"/>
      <c r="EO911" s="1818"/>
      <c r="EP911" s="1818"/>
      <c r="EQ911" s="1818"/>
      <c r="ER911" s="1818"/>
      <c r="ES911" s="1818"/>
      <c r="ET911" s="1818"/>
      <c r="EU911" s="1818"/>
      <c r="EV911" s="1818"/>
      <c r="EW911" s="1818"/>
      <c r="EX911" s="1818"/>
      <c r="EY911" s="1818"/>
      <c r="EZ911" s="1818"/>
      <c r="FA911" s="1818"/>
      <c r="FB911" s="1818"/>
      <c r="FC911" s="1818"/>
      <c r="FD911" s="1818"/>
      <c r="FE911" s="1818"/>
      <c r="FF911" s="1818"/>
      <c r="FG911" s="1818"/>
      <c r="FH911" s="1818"/>
      <c r="FI911" s="1818"/>
      <c r="FJ911" s="1818"/>
      <c r="FK911" s="1818"/>
      <c r="FL911" s="1818"/>
      <c r="FM911" s="1818"/>
      <c r="FN911" s="1818"/>
      <c r="FO911" s="1818"/>
      <c r="FP911" s="1818"/>
      <c r="FQ911" s="1818"/>
      <c r="FR911" s="1818"/>
      <c r="FS911" s="1818"/>
      <c r="FT911" s="1818"/>
    </row>
    <row r="912" spans="1:176" s="1965" customFormat="1" ht="32.1" customHeight="1">
      <c r="A912" s="2535"/>
      <c r="B912" s="1803"/>
      <c r="C912" s="1813"/>
      <c r="D912" s="1813"/>
      <c r="E912" s="1813"/>
      <c r="F912" s="1813"/>
      <c r="G912" s="1813"/>
      <c r="H912" s="1813"/>
      <c r="I912" s="2436"/>
      <c r="J912" s="2244"/>
      <c r="K912" s="2244"/>
      <c r="L912" s="2244"/>
      <c r="M912" s="2244"/>
      <c r="N912" s="2244"/>
      <c r="O912" s="2244"/>
      <c r="P912" s="2245"/>
      <c r="Q912" s="2245"/>
      <c r="R912" s="2435"/>
      <c r="S912" s="2244"/>
      <c r="T912" s="2244"/>
      <c r="U912" s="2244"/>
      <c r="V912" s="2244"/>
      <c r="W912" s="2244"/>
      <c r="X912" s="2244"/>
      <c r="Y912" s="1818"/>
      <c r="Z912" s="1818"/>
      <c r="AA912" s="1818"/>
      <c r="AB912" s="1818"/>
      <c r="AC912" s="1818"/>
      <c r="AD912" s="1818"/>
      <c r="AE912" s="1818"/>
      <c r="AF912" s="1818"/>
      <c r="AG912" s="1818"/>
      <c r="AH912" s="1818"/>
      <c r="AI912" s="1818"/>
      <c r="AJ912" s="1818"/>
      <c r="AK912" s="1818"/>
      <c r="AL912" s="1818"/>
      <c r="AM912" s="1818"/>
      <c r="AN912" s="1818"/>
      <c r="AO912" s="1818"/>
      <c r="AP912" s="1818"/>
      <c r="AQ912" s="1818"/>
      <c r="AR912" s="1818"/>
      <c r="AS912" s="1818"/>
      <c r="AT912" s="1818"/>
      <c r="AU912" s="1818"/>
      <c r="AV912" s="1818"/>
      <c r="AW912" s="1818"/>
      <c r="AX912" s="1818"/>
      <c r="AY912" s="1818"/>
      <c r="AZ912" s="1818"/>
      <c r="BA912" s="1818"/>
      <c r="BB912" s="1818"/>
      <c r="BC912" s="1818"/>
      <c r="BD912" s="1818"/>
      <c r="BE912" s="1818"/>
      <c r="BF912" s="1818"/>
      <c r="BG912" s="1818"/>
      <c r="BH912" s="1818"/>
      <c r="BI912" s="1818"/>
      <c r="BJ912" s="1818"/>
      <c r="BK912" s="1818"/>
      <c r="BL912" s="1818"/>
      <c r="BM912" s="1818"/>
      <c r="BN912" s="1818"/>
      <c r="BO912" s="1818"/>
      <c r="BP912" s="1818"/>
      <c r="BQ912" s="1818"/>
      <c r="BR912" s="1818"/>
      <c r="BS912" s="1818"/>
      <c r="BT912" s="1818"/>
      <c r="BU912" s="1818"/>
      <c r="BV912" s="1818"/>
      <c r="BW912" s="1818"/>
      <c r="BX912" s="1818"/>
      <c r="BY912" s="1818"/>
      <c r="BZ912" s="1818"/>
      <c r="CA912" s="1818"/>
      <c r="CB912" s="1818"/>
      <c r="CC912" s="1818"/>
      <c r="CD912" s="1818"/>
      <c r="CE912" s="1818"/>
      <c r="CF912" s="1818"/>
      <c r="CG912" s="1818"/>
      <c r="CH912" s="1818"/>
      <c r="CI912" s="1818"/>
      <c r="CJ912" s="1818"/>
      <c r="CK912" s="1818"/>
      <c r="CL912" s="1818"/>
      <c r="CM912" s="1818"/>
      <c r="CN912" s="1818"/>
      <c r="CO912" s="1818"/>
      <c r="CP912" s="1818"/>
      <c r="CQ912" s="1818"/>
      <c r="CR912" s="1818"/>
      <c r="CS912" s="1818"/>
      <c r="CT912" s="1818"/>
      <c r="CU912" s="1818"/>
      <c r="CV912" s="1818"/>
      <c r="CW912" s="1818"/>
      <c r="CX912" s="1818"/>
      <c r="CY912" s="1818"/>
      <c r="CZ912" s="1818"/>
      <c r="DA912" s="1818"/>
      <c r="DB912" s="1818"/>
      <c r="DC912" s="1818"/>
      <c r="DD912" s="1818"/>
      <c r="DE912" s="1818"/>
      <c r="DF912" s="1818"/>
      <c r="DG912" s="1818"/>
      <c r="DH912" s="1818"/>
      <c r="DI912" s="1818"/>
      <c r="DJ912" s="1818"/>
      <c r="DK912" s="1818"/>
      <c r="DL912" s="1818"/>
      <c r="DM912" s="1818"/>
      <c r="DN912" s="1818"/>
      <c r="DO912" s="1818"/>
      <c r="DP912" s="1818"/>
      <c r="DQ912" s="1818"/>
      <c r="DR912" s="1818"/>
      <c r="DS912" s="1818"/>
      <c r="DT912" s="1818"/>
      <c r="DU912" s="1818"/>
      <c r="DV912" s="1818"/>
      <c r="DW912" s="1818"/>
      <c r="DX912" s="1818"/>
      <c r="DY912" s="1818"/>
      <c r="DZ912" s="1818"/>
      <c r="EA912" s="1818"/>
      <c r="EB912" s="1818"/>
      <c r="EC912" s="1818"/>
      <c r="ED912" s="1818"/>
      <c r="EE912" s="1818"/>
      <c r="EF912" s="1818"/>
      <c r="EG912" s="1818"/>
      <c r="EH912" s="1818"/>
      <c r="EI912" s="1818"/>
      <c r="EJ912" s="1818"/>
      <c r="EK912" s="1818"/>
      <c r="EL912" s="1818"/>
      <c r="EM912" s="1818"/>
      <c r="EN912" s="1818"/>
      <c r="EO912" s="1818"/>
      <c r="EP912" s="1818"/>
      <c r="EQ912" s="1818"/>
      <c r="ER912" s="1818"/>
      <c r="ES912" s="1818"/>
      <c r="ET912" s="1818"/>
      <c r="EU912" s="1818"/>
      <c r="EV912" s="1818"/>
      <c r="EW912" s="1818"/>
      <c r="EX912" s="1818"/>
      <c r="EY912" s="1818"/>
      <c r="EZ912" s="1818"/>
      <c r="FA912" s="1818"/>
      <c r="FB912" s="1818"/>
      <c r="FC912" s="1818"/>
      <c r="FD912" s="1818"/>
      <c r="FE912" s="1818"/>
      <c r="FF912" s="1818"/>
      <c r="FG912" s="1818"/>
      <c r="FH912" s="1818"/>
      <c r="FI912" s="1818"/>
      <c r="FJ912" s="1818"/>
      <c r="FK912" s="1818"/>
      <c r="FL912" s="1818"/>
      <c r="FM912" s="1818"/>
      <c r="FN912" s="1818"/>
      <c r="FO912" s="1818"/>
      <c r="FP912" s="1818"/>
      <c r="FQ912" s="1818"/>
      <c r="FR912" s="1818"/>
      <c r="FS912" s="1818"/>
      <c r="FT912" s="1818"/>
    </row>
    <row r="913" spans="1:176" s="1965" customFormat="1" ht="32.1" customHeight="1">
      <c r="A913" s="2535"/>
      <c r="B913" s="1803"/>
      <c r="C913" s="1813"/>
      <c r="D913" s="1813"/>
      <c r="E913" s="1813"/>
      <c r="F913" s="1813"/>
      <c r="G913" s="1813"/>
      <c r="H913" s="1813"/>
      <c r="I913" s="2436"/>
      <c r="J913" s="2244"/>
      <c r="K913" s="2244"/>
      <c r="L913" s="2244"/>
      <c r="M913" s="2244"/>
      <c r="N913" s="2244"/>
      <c r="O913" s="2244"/>
      <c r="P913" s="2245"/>
      <c r="Q913" s="2245"/>
      <c r="R913" s="2435"/>
      <c r="S913" s="2244"/>
      <c r="T913" s="2244"/>
      <c r="U913" s="2244"/>
      <c r="V913" s="2244"/>
      <c r="W913" s="2244"/>
      <c r="X913" s="2244"/>
      <c r="Y913" s="1818"/>
      <c r="Z913" s="1818"/>
      <c r="AA913" s="1818"/>
      <c r="AB913" s="1818"/>
      <c r="AC913" s="1818"/>
      <c r="AD913" s="1818"/>
      <c r="AE913" s="1818"/>
      <c r="AF913" s="1818"/>
      <c r="AG913" s="1818"/>
      <c r="AH913" s="1818"/>
      <c r="AI913" s="1818"/>
      <c r="AJ913" s="1818"/>
      <c r="AK913" s="1818"/>
      <c r="AL913" s="1818"/>
      <c r="AM913" s="1818"/>
      <c r="AN913" s="1818"/>
      <c r="AO913" s="1818"/>
      <c r="AP913" s="1818"/>
      <c r="AQ913" s="1818"/>
      <c r="AR913" s="1818"/>
      <c r="AS913" s="1818"/>
      <c r="AT913" s="1818"/>
      <c r="AU913" s="1818"/>
      <c r="AV913" s="1818"/>
      <c r="AW913" s="1818"/>
      <c r="AX913" s="1818"/>
      <c r="AY913" s="1818"/>
      <c r="AZ913" s="1818"/>
      <c r="BA913" s="1818"/>
      <c r="BB913" s="1818"/>
      <c r="BC913" s="1818"/>
      <c r="BD913" s="1818"/>
      <c r="BE913" s="1818"/>
      <c r="BF913" s="1818"/>
      <c r="BG913" s="1818"/>
      <c r="BH913" s="1818"/>
      <c r="BI913" s="1818"/>
      <c r="BJ913" s="1818"/>
      <c r="BK913" s="1818"/>
      <c r="BL913" s="1818"/>
      <c r="BM913" s="1818"/>
      <c r="BN913" s="1818"/>
      <c r="BO913" s="1818"/>
      <c r="BP913" s="1818"/>
      <c r="BQ913" s="1818"/>
      <c r="BR913" s="1818"/>
      <c r="BS913" s="1818"/>
      <c r="BT913" s="1818"/>
      <c r="BU913" s="1818"/>
      <c r="BV913" s="1818"/>
      <c r="BW913" s="1818"/>
      <c r="BX913" s="1818"/>
      <c r="BY913" s="1818"/>
      <c r="BZ913" s="1818"/>
      <c r="CA913" s="1818"/>
      <c r="CB913" s="1818"/>
      <c r="CC913" s="1818"/>
      <c r="CD913" s="1818"/>
      <c r="CE913" s="1818"/>
      <c r="CF913" s="1818"/>
      <c r="CG913" s="1818"/>
      <c r="CH913" s="1818"/>
      <c r="CI913" s="1818"/>
      <c r="CJ913" s="1818"/>
      <c r="CK913" s="1818"/>
      <c r="CL913" s="1818"/>
      <c r="CM913" s="1818"/>
      <c r="CN913" s="1818"/>
      <c r="CO913" s="1818"/>
      <c r="CP913" s="1818"/>
      <c r="CQ913" s="1818"/>
      <c r="CR913" s="1818"/>
      <c r="CS913" s="1818"/>
      <c r="CT913" s="1818"/>
      <c r="CU913" s="1818"/>
      <c r="CV913" s="1818"/>
      <c r="CW913" s="1818"/>
      <c r="CX913" s="1818"/>
      <c r="CY913" s="1818"/>
      <c r="CZ913" s="1818"/>
      <c r="DA913" s="1818"/>
      <c r="DB913" s="1818"/>
      <c r="DC913" s="1818"/>
      <c r="DD913" s="1818"/>
      <c r="DE913" s="1818"/>
      <c r="DF913" s="1818"/>
      <c r="DG913" s="1818"/>
      <c r="DH913" s="1818"/>
      <c r="DI913" s="1818"/>
      <c r="DJ913" s="1818"/>
      <c r="DK913" s="1818"/>
      <c r="DL913" s="1818"/>
      <c r="DM913" s="1818"/>
      <c r="DN913" s="1818"/>
      <c r="DO913" s="1818"/>
      <c r="DP913" s="1818"/>
      <c r="DQ913" s="1818"/>
      <c r="DR913" s="1818"/>
      <c r="DS913" s="1818"/>
      <c r="DT913" s="1818"/>
      <c r="DU913" s="1818"/>
      <c r="DV913" s="1818"/>
      <c r="DW913" s="1818"/>
      <c r="DX913" s="1818"/>
      <c r="DY913" s="1818"/>
      <c r="DZ913" s="1818"/>
      <c r="EA913" s="1818"/>
      <c r="EB913" s="1818"/>
      <c r="EC913" s="1818"/>
      <c r="ED913" s="1818"/>
      <c r="EE913" s="1818"/>
      <c r="EF913" s="1818"/>
      <c r="EG913" s="1818"/>
      <c r="EH913" s="1818"/>
      <c r="EI913" s="1818"/>
      <c r="EJ913" s="1818"/>
      <c r="EK913" s="1818"/>
      <c r="EL913" s="1818"/>
      <c r="EM913" s="1818"/>
      <c r="EN913" s="1818"/>
      <c r="EO913" s="1818"/>
      <c r="EP913" s="1818"/>
      <c r="EQ913" s="1818"/>
      <c r="ER913" s="1818"/>
      <c r="ES913" s="1818"/>
      <c r="ET913" s="1818"/>
      <c r="EU913" s="1818"/>
      <c r="EV913" s="1818"/>
      <c r="EW913" s="1818"/>
      <c r="EX913" s="1818"/>
      <c r="EY913" s="1818"/>
      <c r="EZ913" s="1818"/>
      <c r="FA913" s="1818"/>
      <c r="FB913" s="1818"/>
      <c r="FC913" s="1818"/>
      <c r="FD913" s="1818"/>
      <c r="FE913" s="1818"/>
      <c r="FF913" s="1818"/>
      <c r="FG913" s="1818"/>
      <c r="FH913" s="1818"/>
      <c r="FI913" s="1818"/>
      <c r="FJ913" s="1818"/>
      <c r="FK913" s="1818"/>
      <c r="FL913" s="1818"/>
      <c r="FM913" s="1818"/>
      <c r="FN913" s="1818"/>
      <c r="FO913" s="1818"/>
      <c r="FP913" s="1818"/>
      <c r="FQ913" s="1818"/>
      <c r="FR913" s="1818"/>
      <c r="FS913" s="1818"/>
      <c r="FT913" s="1818"/>
    </row>
    <row r="914" spans="1:176" s="1965" customFormat="1" ht="32.1" customHeight="1">
      <c r="A914" s="2535"/>
      <c r="B914" s="1803"/>
      <c r="C914" s="1813"/>
      <c r="D914" s="1813"/>
      <c r="E914" s="1813"/>
      <c r="F914" s="1813"/>
      <c r="G914" s="1813"/>
      <c r="H914" s="1813"/>
      <c r="I914" s="2436"/>
      <c r="J914" s="2244"/>
      <c r="K914" s="2244"/>
      <c r="L914" s="2244"/>
      <c r="M914" s="2244"/>
      <c r="N914" s="2244"/>
      <c r="O914" s="2244"/>
      <c r="P914" s="2245"/>
      <c r="Q914" s="2245"/>
      <c r="R914" s="2435"/>
      <c r="S914" s="2244"/>
      <c r="T914" s="2244"/>
      <c r="U914" s="2244"/>
      <c r="V914" s="2244"/>
      <c r="W914" s="2244"/>
      <c r="X914" s="2244"/>
      <c r="Y914" s="1818"/>
      <c r="Z914" s="1818"/>
      <c r="AA914" s="1818"/>
      <c r="AB914" s="1818"/>
      <c r="AC914" s="1818"/>
      <c r="AD914" s="1818"/>
      <c r="AE914" s="1818"/>
      <c r="AF914" s="1818"/>
      <c r="AG914" s="1818"/>
      <c r="AH914" s="1818"/>
      <c r="AI914" s="1818"/>
      <c r="AJ914" s="1818"/>
      <c r="AK914" s="1818"/>
      <c r="AL914" s="1818"/>
      <c r="AM914" s="1818"/>
      <c r="AN914" s="1818"/>
      <c r="AO914" s="1818"/>
      <c r="AP914" s="1818"/>
      <c r="AQ914" s="1818"/>
      <c r="AR914" s="1818"/>
      <c r="AS914" s="1818"/>
      <c r="AT914" s="1818"/>
      <c r="AU914" s="1818"/>
      <c r="AV914" s="1818"/>
      <c r="AW914" s="1818"/>
      <c r="AX914" s="1818"/>
      <c r="AY914" s="1818"/>
      <c r="AZ914" s="1818"/>
      <c r="BA914" s="1818"/>
      <c r="BB914" s="1818"/>
      <c r="BC914" s="1818"/>
      <c r="BD914" s="1818"/>
      <c r="BE914" s="1818"/>
      <c r="BF914" s="1818"/>
      <c r="BG914" s="1818"/>
      <c r="BH914" s="1818"/>
      <c r="BI914" s="1818"/>
      <c r="BJ914" s="1818"/>
      <c r="BK914" s="1818"/>
      <c r="BL914" s="1818"/>
      <c r="BM914" s="1818"/>
      <c r="BN914" s="1818"/>
      <c r="BO914" s="1818"/>
      <c r="BP914" s="1818"/>
      <c r="BQ914" s="1818"/>
      <c r="BR914" s="1818"/>
      <c r="BS914" s="1818"/>
      <c r="BT914" s="1818"/>
      <c r="BU914" s="1818"/>
      <c r="BV914" s="1818"/>
      <c r="BW914" s="1818"/>
      <c r="BX914" s="1818"/>
      <c r="BY914" s="1818"/>
      <c r="BZ914" s="1818"/>
      <c r="CA914" s="1818"/>
      <c r="CB914" s="1818"/>
      <c r="CC914" s="1818"/>
      <c r="CD914" s="1818"/>
      <c r="CE914" s="1818"/>
      <c r="CF914" s="1818"/>
      <c r="CG914" s="1818"/>
      <c r="CH914" s="1818"/>
      <c r="CI914" s="1818"/>
      <c r="CJ914" s="1818"/>
      <c r="CK914" s="1818"/>
      <c r="CL914" s="1818"/>
      <c r="CM914" s="1818"/>
      <c r="CN914" s="1818"/>
      <c r="CO914" s="1818"/>
      <c r="CP914" s="1818"/>
      <c r="CQ914" s="1818"/>
      <c r="CR914" s="1818"/>
      <c r="CS914" s="1818"/>
      <c r="CT914" s="1818"/>
      <c r="CU914" s="1818"/>
      <c r="CV914" s="1818"/>
      <c r="CW914" s="1818"/>
      <c r="CX914" s="1818"/>
      <c r="CY914" s="1818"/>
      <c r="CZ914" s="1818"/>
      <c r="DA914" s="1818"/>
      <c r="DB914" s="1818"/>
      <c r="DC914" s="1818"/>
      <c r="DD914" s="1818"/>
      <c r="DE914" s="1818"/>
      <c r="DF914" s="1818"/>
      <c r="DG914" s="1818"/>
      <c r="DH914" s="1818"/>
      <c r="DI914" s="1818"/>
      <c r="DJ914" s="1818"/>
      <c r="DK914" s="1818"/>
      <c r="DL914" s="1818"/>
      <c r="DM914" s="1818"/>
      <c r="DN914" s="1818"/>
      <c r="DO914" s="1818"/>
      <c r="DP914" s="1818"/>
      <c r="DQ914" s="1818"/>
      <c r="DR914" s="1818"/>
      <c r="DS914" s="1818"/>
      <c r="DT914" s="1818"/>
      <c r="DU914" s="1818"/>
      <c r="DV914" s="1818"/>
      <c r="DW914" s="1818"/>
      <c r="DX914" s="1818"/>
      <c r="DY914" s="1818"/>
      <c r="DZ914" s="1818"/>
      <c r="EA914" s="1818"/>
      <c r="EB914" s="1818"/>
      <c r="EC914" s="1818"/>
      <c r="ED914" s="1818"/>
      <c r="EE914" s="1818"/>
      <c r="EF914" s="1818"/>
      <c r="EG914" s="1818"/>
      <c r="EH914" s="1818"/>
      <c r="EI914" s="1818"/>
      <c r="EJ914" s="1818"/>
      <c r="EK914" s="1818"/>
      <c r="EL914" s="1818"/>
      <c r="EM914" s="1818"/>
      <c r="EN914" s="1818"/>
      <c r="EO914" s="1818"/>
      <c r="EP914" s="1818"/>
      <c r="EQ914" s="1818"/>
      <c r="ER914" s="1818"/>
      <c r="ES914" s="1818"/>
      <c r="ET914" s="1818"/>
      <c r="EU914" s="1818"/>
      <c r="EV914" s="1818"/>
      <c r="EW914" s="1818"/>
      <c r="EX914" s="1818"/>
      <c r="EY914" s="1818"/>
      <c r="EZ914" s="1818"/>
      <c r="FA914" s="1818"/>
      <c r="FB914" s="1818"/>
      <c r="FC914" s="1818"/>
      <c r="FD914" s="1818"/>
      <c r="FE914" s="1818"/>
      <c r="FF914" s="1818"/>
      <c r="FG914" s="1818"/>
      <c r="FH914" s="1818"/>
      <c r="FI914" s="1818"/>
      <c r="FJ914" s="1818"/>
      <c r="FK914" s="1818"/>
      <c r="FL914" s="1818"/>
      <c r="FM914" s="1818"/>
      <c r="FN914" s="1818"/>
      <c r="FO914" s="1818"/>
      <c r="FP914" s="1818"/>
      <c r="FQ914" s="1818"/>
      <c r="FR914" s="1818"/>
      <c r="FS914" s="1818"/>
      <c r="FT914" s="1818"/>
    </row>
    <row r="915" spans="1:176" s="1965" customFormat="1" ht="32.1" customHeight="1">
      <c r="A915" s="2535"/>
      <c r="B915" s="1803"/>
      <c r="C915" s="1813"/>
      <c r="D915" s="1813"/>
      <c r="E915" s="1813"/>
      <c r="F915" s="1813"/>
      <c r="G915" s="1813"/>
      <c r="H915" s="1813"/>
      <c r="I915" s="2436"/>
      <c r="J915" s="2244"/>
      <c r="K915" s="2244"/>
      <c r="L915" s="2244"/>
      <c r="M915" s="2244"/>
      <c r="N915" s="2244"/>
      <c r="O915" s="2244"/>
      <c r="P915" s="2245"/>
      <c r="Q915" s="2245"/>
      <c r="R915" s="2435"/>
      <c r="S915" s="2244"/>
      <c r="T915" s="2244"/>
      <c r="U915" s="2244"/>
      <c r="V915" s="2244"/>
      <c r="W915" s="2244"/>
      <c r="X915" s="2244"/>
      <c r="Y915" s="1818"/>
      <c r="Z915" s="1818"/>
      <c r="AA915" s="1818"/>
      <c r="AB915" s="1818"/>
      <c r="AC915" s="1818"/>
      <c r="AD915" s="1818"/>
      <c r="AE915" s="1818"/>
      <c r="AF915" s="1818"/>
      <c r="AG915" s="1818"/>
      <c r="AH915" s="1818"/>
      <c r="AI915" s="1818"/>
      <c r="AJ915" s="1818"/>
      <c r="AK915" s="1818"/>
      <c r="AL915" s="1818"/>
      <c r="AM915" s="1818"/>
      <c r="AN915" s="1818"/>
      <c r="AO915" s="1818"/>
      <c r="AP915" s="1818"/>
      <c r="AQ915" s="1818"/>
      <c r="AR915" s="1818"/>
      <c r="AS915" s="1818"/>
      <c r="AT915" s="1818"/>
      <c r="AU915" s="1818"/>
      <c r="AV915" s="1818"/>
      <c r="AW915" s="1818"/>
      <c r="AX915" s="1818"/>
      <c r="AY915" s="1818"/>
      <c r="AZ915" s="1818"/>
      <c r="BA915" s="1818"/>
      <c r="BB915" s="1818"/>
      <c r="BC915" s="1818"/>
      <c r="BD915" s="1818"/>
      <c r="BE915" s="1818"/>
      <c r="BF915" s="1818"/>
      <c r="BG915" s="1818"/>
      <c r="BH915" s="1818"/>
      <c r="BI915" s="1818"/>
      <c r="BJ915" s="1818"/>
      <c r="BK915" s="1818"/>
      <c r="BL915" s="1818"/>
      <c r="BM915" s="1818"/>
      <c r="BN915" s="1818"/>
      <c r="BO915" s="1818"/>
      <c r="BP915" s="1818"/>
      <c r="BQ915" s="1818"/>
      <c r="BR915" s="1818"/>
      <c r="BS915" s="1818"/>
      <c r="BT915" s="1818"/>
      <c r="BU915" s="1818"/>
      <c r="BV915" s="1818"/>
      <c r="BW915" s="1818"/>
      <c r="BX915" s="1818"/>
      <c r="BY915" s="1818"/>
      <c r="BZ915" s="1818"/>
      <c r="CA915" s="1818"/>
      <c r="CB915" s="1818"/>
      <c r="CC915" s="1818"/>
      <c r="CD915" s="1818"/>
      <c r="CE915" s="1818"/>
      <c r="CF915" s="1818"/>
      <c r="CG915" s="1818"/>
      <c r="CH915" s="1818"/>
      <c r="CI915" s="1818"/>
      <c r="CJ915" s="1818"/>
      <c r="CK915" s="1818"/>
      <c r="CL915" s="1818"/>
      <c r="CM915" s="1818"/>
      <c r="CN915" s="1818"/>
      <c r="CO915" s="1818"/>
      <c r="CP915" s="1818"/>
      <c r="CQ915" s="1818"/>
      <c r="CR915" s="1818"/>
      <c r="CS915" s="1818"/>
      <c r="CT915" s="1818"/>
      <c r="CU915" s="1818"/>
      <c r="CV915" s="1818"/>
      <c r="CW915" s="1818"/>
      <c r="CX915" s="1818"/>
      <c r="CY915" s="1818"/>
      <c r="CZ915" s="1818"/>
      <c r="DA915" s="1818"/>
      <c r="DB915" s="1818"/>
      <c r="DC915" s="1818"/>
      <c r="DD915" s="1818"/>
      <c r="DE915" s="1818"/>
      <c r="DF915" s="1818"/>
      <c r="DG915" s="1818"/>
      <c r="DH915" s="1818"/>
      <c r="DI915" s="1818"/>
      <c r="DJ915" s="1818"/>
      <c r="DK915" s="1818"/>
      <c r="DL915" s="1818"/>
      <c r="DM915" s="1818"/>
      <c r="DN915" s="1818"/>
      <c r="DO915" s="1818"/>
      <c r="DP915" s="1818"/>
      <c r="DQ915" s="1818"/>
      <c r="DR915" s="1818"/>
      <c r="DS915" s="1818"/>
      <c r="DT915" s="1818"/>
      <c r="DU915" s="1818"/>
      <c r="DV915" s="1818"/>
      <c r="DW915" s="1818"/>
      <c r="DX915" s="1818"/>
      <c r="DY915" s="1818"/>
      <c r="DZ915" s="1818"/>
      <c r="EA915" s="1818"/>
      <c r="EB915" s="1818"/>
      <c r="EC915" s="1818"/>
      <c r="ED915" s="1818"/>
      <c r="EE915" s="1818"/>
      <c r="EF915" s="1818"/>
      <c r="EG915" s="1818"/>
      <c r="EH915" s="1818"/>
      <c r="EI915" s="1818"/>
      <c r="EJ915" s="1818"/>
      <c r="EK915" s="1818"/>
      <c r="EL915" s="1818"/>
      <c r="EM915" s="1818"/>
      <c r="EN915" s="1818"/>
      <c r="EO915" s="1818"/>
      <c r="EP915" s="1818"/>
      <c r="EQ915" s="1818"/>
      <c r="ER915" s="1818"/>
      <c r="ES915" s="1818"/>
      <c r="ET915" s="1818"/>
      <c r="EU915" s="1818"/>
      <c r="EV915" s="1818"/>
      <c r="EW915" s="1818"/>
      <c r="EX915" s="1818"/>
      <c r="EY915" s="1818"/>
      <c r="EZ915" s="1818"/>
      <c r="FA915" s="1818"/>
      <c r="FB915" s="1818"/>
      <c r="FC915" s="1818"/>
      <c r="FD915" s="1818"/>
      <c r="FE915" s="1818"/>
      <c r="FF915" s="1818"/>
      <c r="FG915" s="1818"/>
      <c r="FH915" s="1818"/>
      <c r="FI915" s="1818"/>
      <c r="FJ915" s="1818"/>
      <c r="FK915" s="1818"/>
      <c r="FL915" s="1818"/>
      <c r="FM915" s="1818"/>
      <c r="FN915" s="1818"/>
      <c r="FO915" s="1818"/>
      <c r="FP915" s="1818"/>
      <c r="FQ915" s="1818"/>
      <c r="FR915" s="1818"/>
      <c r="FS915" s="1818"/>
      <c r="FT915" s="1818"/>
    </row>
    <row r="916" spans="1:176" s="1965" customFormat="1" ht="32.1" customHeight="1">
      <c r="A916" s="2535"/>
      <c r="B916" s="1803"/>
      <c r="C916" s="1813"/>
      <c r="D916" s="1813"/>
      <c r="E916" s="1813"/>
      <c r="F916" s="1813"/>
      <c r="G916" s="1813"/>
      <c r="H916" s="1813"/>
      <c r="I916" s="2436"/>
      <c r="J916" s="2244"/>
      <c r="K916" s="2244"/>
      <c r="L916" s="2244"/>
      <c r="M916" s="2244"/>
      <c r="N916" s="2244"/>
      <c r="O916" s="2244"/>
      <c r="P916" s="2245"/>
      <c r="Q916" s="2245"/>
      <c r="R916" s="2435"/>
      <c r="S916" s="2244"/>
      <c r="T916" s="2244"/>
      <c r="U916" s="2244"/>
      <c r="V916" s="2244"/>
      <c r="W916" s="2244"/>
      <c r="X916" s="2244"/>
      <c r="Y916" s="1818"/>
      <c r="Z916" s="1818"/>
      <c r="AA916" s="1818"/>
      <c r="AB916" s="1818"/>
      <c r="AC916" s="1818"/>
      <c r="AD916" s="1818"/>
      <c r="AE916" s="1818"/>
      <c r="AF916" s="1818"/>
      <c r="AG916" s="1818"/>
      <c r="AH916" s="1818"/>
      <c r="AI916" s="1818"/>
      <c r="AJ916" s="1818"/>
      <c r="AK916" s="1818"/>
      <c r="AL916" s="1818"/>
      <c r="AM916" s="1818"/>
      <c r="AN916" s="1818"/>
      <c r="AO916" s="1818"/>
      <c r="AP916" s="1818"/>
      <c r="AQ916" s="1818"/>
      <c r="AR916" s="1818"/>
      <c r="AS916" s="1818"/>
      <c r="AT916" s="1818"/>
      <c r="AU916" s="1818"/>
      <c r="AV916" s="1818"/>
      <c r="AW916" s="1818"/>
      <c r="AX916" s="1818"/>
      <c r="AY916" s="1818"/>
      <c r="AZ916" s="1818"/>
      <c r="BA916" s="1818"/>
      <c r="BB916" s="1818"/>
      <c r="BC916" s="1818"/>
      <c r="BD916" s="1818"/>
      <c r="BE916" s="1818"/>
      <c r="BF916" s="1818"/>
      <c r="BG916" s="1818"/>
      <c r="BH916" s="1818"/>
      <c r="BI916" s="1818"/>
      <c r="BJ916" s="1818"/>
      <c r="BK916" s="1818"/>
      <c r="BL916" s="1818"/>
      <c r="BM916" s="1818"/>
      <c r="BN916" s="1818"/>
      <c r="BO916" s="1818"/>
      <c r="BP916" s="1818"/>
      <c r="BQ916" s="1818"/>
      <c r="BR916" s="1818"/>
      <c r="BS916" s="1818"/>
      <c r="BT916" s="1818"/>
      <c r="BU916" s="1818"/>
      <c r="BV916" s="1818"/>
      <c r="BW916" s="1818"/>
      <c r="BX916" s="1818"/>
      <c r="BY916" s="1818"/>
      <c r="BZ916" s="1818"/>
      <c r="CA916" s="1818"/>
      <c r="CB916" s="1818"/>
      <c r="CC916" s="1818"/>
      <c r="CD916" s="1818"/>
      <c r="CE916" s="1818"/>
      <c r="CF916" s="1818"/>
      <c r="CG916" s="1818"/>
      <c r="CH916" s="1818"/>
      <c r="CI916" s="1818"/>
      <c r="CJ916" s="1818"/>
      <c r="CK916" s="1818"/>
      <c r="CL916" s="1818"/>
      <c r="CM916" s="1818"/>
      <c r="CN916" s="1818"/>
      <c r="CO916" s="1818"/>
      <c r="CP916" s="1818"/>
      <c r="CQ916" s="1818"/>
      <c r="CR916" s="1818"/>
      <c r="CS916" s="1818"/>
      <c r="CT916" s="1818"/>
      <c r="CU916" s="1818"/>
      <c r="CV916" s="1818"/>
      <c r="CW916" s="1818"/>
      <c r="CX916" s="1818"/>
      <c r="CY916" s="1818"/>
      <c r="CZ916" s="1818"/>
      <c r="DA916" s="1818"/>
      <c r="DB916" s="1818"/>
      <c r="DC916" s="1818"/>
      <c r="DD916" s="1818"/>
      <c r="DE916" s="1818"/>
      <c r="DF916" s="1818"/>
      <c r="DG916" s="1818"/>
      <c r="DH916" s="1818"/>
      <c r="DI916" s="1818"/>
      <c r="DJ916" s="1818"/>
      <c r="DK916" s="1818"/>
      <c r="DL916" s="1818"/>
      <c r="DM916" s="1818"/>
      <c r="DN916" s="1818"/>
      <c r="DO916" s="1818"/>
      <c r="DP916" s="1818"/>
      <c r="DQ916" s="1818"/>
      <c r="DR916" s="1818"/>
      <c r="DS916" s="1818"/>
      <c r="DT916" s="1818"/>
      <c r="DU916" s="1818"/>
      <c r="DV916" s="1818"/>
      <c r="DW916" s="1818"/>
      <c r="DX916" s="1818"/>
      <c r="DY916" s="1818"/>
      <c r="DZ916" s="1818"/>
      <c r="EA916" s="1818"/>
      <c r="EB916" s="1818"/>
      <c r="EC916" s="1818"/>
      <c r="ED916" s="1818"/>
      <c r="EE916" s="1818"/>
      <c r="EF916" s="1818"/>
      <c r="EG916" s="1818"/>
      <c r="EH916" s="1818"/>
      <c r="EI916" s="1818"/>
      <c r="EJ916" s="1818"/>
      <c r="EK916" s="1818"/>
      <c r="EL916" s="1818"/>
      <c r="EM916" s="1818"/>
      <c r="EN916" s="1818"/>
      <c r="EO916" s="1818"/>
      <c r="EP916" s="1818"/>
      <c r="EQ916" s="1818"/>
      <c r="ER916" s="1818"/>
      <c r="ES916" s="1818"/>
      <c r="ET916" s="1818"/>
      <c r="EU916" s="1818"/>
      <c r="EV916" s="1818"/>
      <c r="EW916" s="1818"/>
      <c r="EX916" s="1818"/>
      <c r="EY916" s="1818"/>
      <c r="EZ916" s="1818"/>
      <c r="FA916" s="1818"/>
      <c r="FB916" s="1818"/>
      <c r="FC916" s="1818"/>
      <c r="FD916" s="1818"/>
      <c r="FE916" s="1818"/>
      <c r="FF916" s="1818"/>
      <c r="FG916" s="1818"/>
      <c r="FH916" s="1818"/>
      <c r="FI916" s="1818"/>
      <c r="FJ916" s="1818"/>
      <c r="FK916" s="1818"/>
      <c r="FL916" s="1818"/>
      <c r="FM916" s="1818"/>
      <c r="FN916" s="1818"/>
      <c r="FO916" s="1818"/>
      <c r="FP916" s="1818"/>
      <c r="FQ916" s="1818"/>
      <c r="FR916" s="1818"/>
      <c r="FS916" s="1818"/>
      <c r="FT916" s="1818"/>
    </row>
    <row r="917" spans="1:176" s="1965" customFormat="1" ht="32.1" customHeight="1">
      <c r="A917" s="2535"/>
      <c r="B917" s="1803"/>
      <c r="C917" s="1813"/>
      <c r="D917" s="1813"/>
      <c r="E917" s="1813"/>
      <c r="F917" s="1813"/>
      <c r="G917" s="1813"/>
      <c r="H917" s="1813"/>
      <c r="I917" s="2436"/>
      <c r="J917" s="2244"/>
      <c r="K917" s="2244"/>
      <c r="L917" s="2244"/>
      <c r="M917" s="2244"/>
      <c r="N917" s="2244"/>
      <c r="O917" s="2244"/>
      <c r="P917" s="2245"/>
      <c r="Q917" s="2245"/>
      <c r="R917" s="2435"/>
      <c r="S917" s="2244"/>
      <c r="T917" s="2244"/>
      <c r="U917" s="2244"/>
      <c r="V917" s="2244"/>
      <c r="W917" s="2244"/>
      <c r="X917" s="2244"/>
      <c r="Y917" s="1818"/>
      <c r="Z917" s="1818"/>
      <c r="AA917" s="1818"/>
      <c r="AB917" s="1818"/>
      <c r="AC917" s="1818"/>
      <c r="AD917" s="1818"/>
      <c r="AE917" s="1818"/>
      <c r="AF917" s="1818"/>
      <c r="AG917" s="1818"/>
      <c r="AH917" s="1818"/>
      <c r="AI917" s="1818"/>
      <c r="AJ917" s="1818"/>
      <c r="AK917" s="1818"/>
      <c r="AL917" s="1818"/>
      <c r="AM917" s="1818"/>
      <c r="AN917" s="1818"/>
      <c r="AO917" s="1818"/>
      <c r="AP917" s="1818"/>
      <c r="AQ917" s="1818"/>
      <c r="AR917" s="1818"/>
      <c r="AS917" s="1818"/>
      <c r="AT917" s="1818"/>
      <c r="AU917" s="1818"/>
      <c r="AV917" s="1818"/>
      <c r="AW917" s="1818"/>
      <c r="AX917" s="1818"/>
      <c r="AY917" s="1818"/>
      <c r="AZ917" s="1818"/>
      <c r="BA917" s="1818"/>
      <c r="BB917" s="1818"/>
      <c r="BC917" s="1818"/>
      <c r="BD917" s="1818"/>
      <c r="BE917" s="1818"/>
      <c r="BF917" s="1818"/>
      <c r="BG917" s="1818"/>
      <c r="BH917" s="1818"/>
      <c r="BI917" s="1818"/>
      <c r="BJ917" s="1818"/>
      <c r="BK917" s="1818"/>
      <c r="BL917" s="1818"/>
      <c r="BM917" s="1818"/>
      <c r="BN917" s="1818"/>
      <c r="BO917" s="1818"/>
      <c r="BP917" s="1818"/>
      <c r="BQ917" s="1818"/>
      <c r="BR917" s="1818"/>
      <c r="BS917" s="1818"/>
      <c r="BT917" s="1818"/>
      <c r="BU917" s="1818"/>
      <c r="BV917" s="1818"/>
      <c r="BW917" s="1818"/>
      <c r="BX917" s="1818"/>
      <c r="BY917" s="1818"/>
      <c r="BZ917" s="1818"/>
      <c r="CA917" s="1818"/>
      <c r="CB917" s="1818"/>
      <c r="CC917" s="1818"/>
      <c r="CD917" s="1818"/>
      <c r="CE917" s="1818"/>
      <c r="CF917" s="1818"/>
      <c r="CG917" s="1818"/>
      <c r="CH917" s="1818"/>
      <c r="CI917" s="1818"/>
      <c r="CJ917" s="1818"/>
      <c r="CK917" s="1818"/>
      <c r="CL917" s="1818"/>
      <c r="CM917" s="1818"/>
      <c r="CN917" s="1818"/>
      <c r="CO917" s="1818"/>
      <c r="CP917" s="1818"/>
      <c r="CQ917" s="1818"/>
      <c r="CR917" s="1818"/>
      <c r="CS917" s="1818"/>
      <c r="CT917" s="1818"/>
      <c r="CU917" s="1818"/>
      <c r="CV917" s="1818"/>
      <c r="CW917" s="1818"/>
      <c r="CX917" s="1818"/>
      <c r="CY917" s="1818"/>
      <c r="CZ917" s="1818"/>
      <c r="DA917" s="1818"/>
      <c r="DB917" s="1818"/>
      <c r="DC917" s="1818"/>
      <c r="DD917" s="1818"/>
      <c r="DE917" s="1818"/>
      <c r="DF917" s="1818"/>
      <c r="DG917" s="1818"/>
      <c r="DH917" s="1818"/>
      <c r="DI917" s="1818"/>
      <c r="DJ917" s="1818"/>
      <c r="DK917" s="1818"/>
      <c r="DL917" s="1818"/>
      <c r="DM917" s="1818"/>
      <c r="DN917" s="1818"/>
      <c r="DO917" s="1818"/>
      <c r="DP917" s="1818"/>
      <c r="DQ917" s="1818"/>
      <c r="DR917" s="1818"/>
      <c r="DS917" s="1818"/>
      <c r="DT917" s="1818"/>
      <c r="DU917" s="1818"/>
      <c r="DV917" s="1818"/>
      <c r="DW917" s="1818"/>
      <c r="DX917" s="1818"/>
      <c r="DY917" s="1818"/>
      <c r="DZ917" s="1818"/>
      <c r="EA917" s="1818"/>
      <c r="EB917" s="1818"/>
      <c r="EC917" s="1818"/>
      <c r="ED917" s="1818"/>
      <c r="EE917" s="1818"/>
      <c r="EF917" s="1818"/>
      <c r="EG917" s="1818"/>
      <c r="EH917" s="1818"/>
      <c r="EI917" s="1818"/>
      <c r="EJ917" s="1818"/>
      <c r="EK917" s="1818"/>
      <c r="EL917" s="1818"/>
      <c r="EM917" s="1818"/>
      <c r="EN917" s="1818"/>
      <c r="EO917" s="1818"/>
      <c r="EP917" s="1818"/>
      <c r="EQ917" s="1818"/>
      <c r="ER917" s="1818"/>
      <c r="ES917" s="1818"/>
      <c r="ET917" s="1818"/>
      <c r="EU917" s="1818"/>
      <c r="EV917" s="1818"/>
      <c r="EW917" s="1818"/>
      <c r="EX917" s="1818"/>
      <c r="EY917" s="1818"/>
      <c r="EZ917" s="1818"/>
      <c r="FA917" s="1818"/>
      <c r="FB917" s="1818"/>
      <c r="FC917" s="1818"/>
      <c r="FD917" s="1818"/>
      <c r="FE917" s="1818"/>
      <c r="FF917" s="1818"/>
      <c r="FG917" s="1818"/>
      <c r="FH917" s="1818"/>
      <c r="FI917" s="1818"/>
      <c r="FJ917" s="1818"/>
      <c r="FK917" s="1818"/>
      <c r="FL917" s="1818"/>
      <c r="FM917" s="1818"/>
      <c r="FN917" s="1818"/>
      <c r="FO917" s="1818"/>
      <c r="FP917" s="1818"/>
      <c r="FQ917" s="1818"/>
      <c r="FR917" s="1818"/>
      <c r="FS917" s="1818"/>
      <c r="FT917" s="1818"/>
    </row>
    <row r="918" spans="1:176" s="1965" customFormat="1" ht="32.1" customHeight="1">
      <c r="A918" s="2535"/>
      <c r="B918" s="1803"/>
      <c r="C918" s="1813"/>
      <c r="D918" s="1813"/>
      <c r="E918" s="1813"/>
      <c r="F918" s="1813"/>
      <c r="G918" s="1813"/>
      <c r="H918" s="1813"/>
      <c r="I918" s="2436"/>
      <c r="J918" s="2244"/>
      <c r="K918" s="2244"/>
      <c r="L918" s="2244"/>
      <c r="M918" s="2244"/>
      <c r="N918" s="2244"/>
      <c r="O918" s="2244"/>
      <c r="P918" s="2245"/>
      <c r="Q918" s="2245"/>
      <c r="R918" s="2435"/>
      <c r="S918" s="2244"/>
      <c r="T918" s="2244"/>
      <c r="U918" s="2244"/>
      <c r="V918" s="2244"/>
      <c r="W918" s="2244"/>
      <c r="X918" s="2244"/>
      <c r="Y918" s="1818"/>
      <c r="Z918" s="1818"/>
      <c r="AA918" s="1818"/>
      <c r="AB918" s="1818"/>
      <c r="AC918" s="1818"/>
      <c r="AD918" s="1818"/>
      <c r="AE918" s="1818"/>
      <c r="AF918" s="1818"/>
      <c r="AG918" s="1818"/>
      <c r="AH918" s="1818"/>
      <c r="AI918" s="1818"/>
      <c r="AJ918" s="1818"/>
      <c r="AK918" s="1818"/>
      <c r="AL918" s="1818"/>
      <c r="AM918" s="1818"/>
      <c r="AN918" s="1818"/>
      <c r="AO918" s="1818"/>
      <c r="AP918" s="1818"/>
      <c r="AQ918" s="1818"/>
      <c r="AR918" s="1818"/>
      <c r="AS918" s="1818"/>
      <c r="AT918" s="1818"/>
      <c r="AU918" s="1818"/>
      <c r="AV918" s="1818"/>
      <c r="AW918" s="1818"/>
      <c r="AX918" s="1818"/>
      <c r="AY918" s="1818"/>
      <c r="AZ918" s="1818"/>
      <c r="BA918" s="1818"/>
      <c r="BB918" s="1818"/>
      <c r="BC918" s="1818"/>
      <c r="BD918" s="1818"/>
      <c r="BE918" s="1818"/>
      <c r="BF918" s="1818"/>
      <c r="BG918" s="1818"/>
      <c r="BH918" s="1818"/>
      <c r="BI918" s="1818"/>
      <c r="BJ918" s="1818"/>
      <c r="BK918" s="1818"/>
      <c r="BL918" s="1818"/>
      <c r="BM918" s="1818"/>
      <c r="BN918" s="1818"/>
      <c r="BO918" s="1818"/>
      <c r="BP918" s="1818"/>
      <c r="BQ918" s="1818"/>
      <c r="BR918" s="1818"/>
      <c r="BS918" s="1818"/>
      <c r="BT918" s="1818"/>
      <c r="BU918" s="1818"/>
      <c r="BV918" s="1818"/>
      <c r="BW918" s="1818"/>
      <c r="BX918" s="1818"/>
      <c r="BY918" s="1818"/>
      <c r="BZ918" s="1818"/>
      <c r="CA918" s="1818"/>
      <c r="CB918" s="1818"/>
      <c r="CC918" s="1818"/>
      <c r="CD918" s="1818"/>
      <c r="CE918" s="1818"/>
      <c r="CF918" s="1818"/>
      <c r="CG918" s="1818"/>
      <c r="CH918" s="1818"/>
      <c r="CI918" s="1818"/>
      <c r="CJ918" s="1818"/>
      <c r="CK918" s="1818"/>
      <c r="CL918" s="1818"/>
      <c r="CM918" s="1818"/>
      <c r="CN918" s="1818"/>
      <c r="CO918" s="1818"/>
      <c r="CP918" s="1818"/>
      <c r="CQ918" s="1818"/>
      <c r="CR918" s="1818"/>
      <c r="CS918" s="1818"/>
      <c r="CT918" s="1818"/>
      <c r="CU918" s="1818"/>
      <c r="CV918" s="1818"/>
      <c r="CW918" s="1818"/>
      <c r="CX918" s="1818"/>
      <c r="CY918" s="1818"/>
      <c r="CZ918" s="1818"/>
      <c r="DA918" s="1818"/>
      <c r="DB918" s="1818"/>
      <c r="DC918" s="1818"/>
      <c r="DD918" s="1818"/>
      <c r="DE918" s="1818"/>
      <c r="DF918" s="1818"/>
      <c r="DG918" s="1818"/>
      <c r="DH918" s="1818"/>
      <c r="DI918" s="1818"/>
      <c r="DJ918" s="1818"/>
      <c r="DK918" s="1818"/>
      <c r="DL918" s="1818"/>
      <c r="DM918" s="1818"/>
      <c r="DN918" s="1818"/>
      <c r="DO918" s="1818"/>
      <c r="DP918" s="1818"/>
      <c r="DQ918" s="1818"/>
      <c r="DR918" s="1818"/>
      <c r="DS918" s="1818"/>
      <c r="DT918" s="1818"/>
      <c r="DU918" s="1818"/>
      <c r="DV918" s="1818"/>
      <c r="DW918" s="1818"/>
      <c r="DX918" s="1818"/>
      <c r="DY918" s="1818"/>
      <c r="DZ918" s="1818"/>
      <c r="EA918" s="1818"/>
      <c r="EB918" s="1818"/>
      <c r="EC918" s="1818"/>
      <c r="ED918" s="1818"/>
      <c r="EE918" s="1818"/>
      <c r="EF918" s="1818"/>
      <c r="EG918" s="1818"/>
      <c r="EH918" s="1818"/>
      <c r="EI918" s="1818"/>
      <c r="EJ918" s="1818"/>
      <c r="EK918" s="1818"/>
      <c r="EL918" s="1818"/>
      <c r="EM918" s="1818"/>
      <c r="EN918" s="1818"/>
      <c r="EO918" s="1818"/>
      <c r="EP918" s="1818"/>
      <c r="EQ918" s="1818"/>
      <c r="ER918" s="1818"/>
      <c r="ES918" s="1818"/>
      <c r="ET918" s="1818"/>
      <c r="EU918" s="1818"/>
      <c r="EV918" s="1818"/>
      <c r="EW918" s="1818"/>
      <c r="EX918" s="1818"/>
      <c r="EY918" s="1818"/>
      <c r="EZ918" s="1818"/>
      <c r="FA918" s="1818"/>
      <c r="FB918" s="1818"/>
      <c r="FC918" s="1818"/>
      <c r="FD918" s="1818"/>
      <c r="FE918" s="1818"/>
      <c r="FF918" s="1818"/>
      <c r="FG918" s="1818"/>
      <c r="FH918" s="1818"/>
      <c r="FI918" s="1818"/>
      <c r="FJ918" s="1818"/>
      <c r="FK918" s="1818"/>
      <c r="FL918" s="1818"/>
      <c r="FM918" s="1818"/>
      <c r="FN918" s="1818"/>
      <c r="FO918" s="1818"/>
      <c r="FP918" s="1818"/>
      <c r="FQ918" s="1818"/>
      <c r="FR918" s="1818"/>
      <c r="FS918" s="1818"/>
      <c r="FT918" s="1818"/>
    </row>
    <row r="919" spans="1:176" s="1965" customFormat="1" ht="32.1" customHeight="1">
      <c r="A919" s="2535"/>
      <c r="B919" s="1803"/>
      <c r="C919" s="1813"/>
      <c r="D919" s="1813"/>
      <c r="E919" s="1813"/>
      <c r="F919" s="1813"/>
      <c r="G919" s="1813"/>
      <c r="H919" s="1813"/>
      <c r="I919" s="2434"/>
      <c r="J919" s="2244"/>
      <c r="K919" s="2244"/>
      <c r="L919" s="2244"/>
      <c r="M919" s="2244"/>
      <c r="N919" s="2244"/>
      <c r="O919" s="2244"/>
      <c r="P919" s="2245"/>
      <c r="Q919" s="2245"/>
      <c r="R919" s="2435"/>
      <c r="S919" s="2244"/>
      <c r="T919" s="2244"/>
      <c r="U919" s="2244"/>
      <c r="V919" s="2244"/>
      <c r="W919" s="2244"/>
      <c r="X919" s="2244"/>
      <c r="Y919" s="1818"/>
      <c r="Z919" s="1818"/>
      <c r="AA919" s="1818"/>
      <c r="AB919" s="1818"/>
      <c r="AC919" s="1818"/>
      <c r="AD919" s="1818"/>
      <c r="AE919" s="1818"/>
      <c r="AF919" s="1818"/>
      <c r="AG919" s="1818"/>
      <c r="AH919" s="1818"/>
      <c r="AI919" s="1818"/>
      <c r="AJ919" s="1818"/>
      <c r="AK919" s="1818"/>
      <c r="AL919" s="1818"/>
      <c r="AM919" s="1818"/>
      <c r="AN919" s="1818"/>
      <c r="AO919" s="1818"/>
      <c r="AP919" s="1818"/>
      <c r="AQ919" s="1818"/>
      <c r="AR919" s="1818"/>
      <c r="AS919" s="1818"/>
      <c r="AT919" s="1818"/>
      <c r="AU919" s="1818"/>
      <c r="AV919" s="1818"/>
      <c r="AW919" s="1818"/>
      <c r="AX919" s="1818"/>
      <c r="AY919" s="1818"/>
      <c r="AZ919" s="1818"/>
      <c r="BA919" s="1818"/>
      <c r="BB919" s="1818"/>
      <c r="BC919" s="1818"/>
      <c r="BD919" s="1818"/>
      <c r="BE919" s="1818"/>
      <c r="BF919" s="1818"/>
      <c r="BG919" s="1818"/>
      <c r="BH919" s="1818"/>
      <c r="BI919" s="1818"/>
      <c r="BJ919" s="1818"/>
      <c r="BK919" s="1818"/>
      <c r="BL919" s="1818"/>
      <c r="BM919" s="1818"/>
      <c r="BN919" s="1818"/>
      <c r="BO919" s="1818"/>
      <c r="BP919" s="1818"/>
      <c r="BQ919" s="1818"/>
      <c r="BR919" s="1818"/>
      <c r="BS919" s="1818"/>
      <c r="BT919" s="1818"/>
      <c r="BU919" s="1818"/>
      <c r="BV919" s="1818"/>
      <c r="BW919" s="1818"/>
      <c r="BX919" s="1818"/>
      <c r="BY919" s="1818"/>
      <c r="BZ919" s="1818"/>
      <c r="CA919" s="1818"/>
      <c r="CB919" s="1818"/>
      <c r="CC919" s="1818"/>
      <c r="CD919" s="1818"/>
      <c r="CE919" s="1818"/>
      <c r="CF919" s="1818"/>
      <c r="CG919" s="1818"/>
      <c r="CH919" s="1818"/>
      <c r="CI919" s="1818"/>
      <c r="CJ919" s="1818"/>
      <c r="CK919" s="1818"/>
      <c r="CL919" s="1818"/>
      <c r="CM919" s="1818"/>
      <c r="CN919" s="1818"/>
      <c r="CO919" s="1818"/>
      <c r="CP919" s="1818"/>
      <c r="CQ919" s="1818"/>
      <c r="CR919" s="1818"/>
      <c r="CS919" s="1818"/>
      <c r="CT919" s="1818"/>
      <c r="CU919" s="1818"/>
      <c r="CV919" s="1818"/>
      <c r="CW919" s="1818"/>
      <c r="CX919" s="1818"/>
      <c r="CY919" s="1818"/>
      <c r="CZ919" s="1818"/>
      <c r="DA919" s="1818"/>
      <c r="DB919" s="1818"/>
      <c r="DC919" s="1818"/>
      <c r="DD919" s="1818"/>
      <c r="DE919" s="1818"/>
      <c r="DF919" s="1818"/>
      <c r="DG919" s="1818"/>
      <c r="DH919" s="1818"/>
      <c r="DI919" s="1818"/>
      <c r="DJ919" s="1818"/>
      <c r="DK919" s="1818"/>
      <c r="DL919" s="1818"/>
      <c r="DM919" s="1818"/>
      <c r="DN919" s="1818"/>
      <c r="DO919" s="1818"/>
      <c r="DP919" s="1818"/>
      <c r="DQ919" s="1818"/>
      <c r="DR919" s="1818"/>
      <c r="DS919" s="1818"/>
      <c r="DT919" s="1818"/>
      <c r="DU919" s="1818"/>
      <c r="DV919" s="1818"/>
      <c r="DW919" s="1818"/>
      <c r="DX919" s="1818"/>
      <c r="DY919" s="1818"/>
      <c r="DZ919" s="1818"/>
      <c r="EA919" s="1818"/>
      <c r="EB919" s="1818"/>
      <c r="EC919" s="1818"/>
      <c r="ED919" s="1818"/>
      <c r="EE919" s="1818"/>
      <c r="EF919" s="1818"/>
      <c r="EG919" s="1818"/>
      <c r="EH919" s="1818"/>
      <c r="EI919" s="1818"/>
      <c r="EJ919" s="1818"/>
      <c r="EK919" s="1818"/>
      <c r="EL919" s="1818"/>
      <c r="EM919" s="1818"/>
      <c r="EN919" s="1818"/>
      <c r="EO919" s="1818"/>
      <c r="EP919" s="1818"/>
      <c r="EQ919" s="1818"/>
      <c r="ER919" s="1818"/>
      <c r="ES919" s="1818"/>
      <c r="ET919" s="1818"/>
      <c r="EU919" s="1818"/>
      <c r="EV919" s="1818"/>
      <c r="EW919" s="1818"/>
      <c r="EX919" s="1818"/>
      <c r="EY919" s="1818"/>
      <c r="EZ919" s="1818"/>
      <c r="FA919" s="1818"/>
      <c r="FB919" s="1818"/>
      <c r="FC919" s="1818"/>
      <c r="FD919" s="1818"/>
      <c r="FE919" s="1818"/>
      <c r="FF919" s="1818"/>
      <c r="FG919" s="1818"/>
      <c r="FH919" s="1818"/>
      <c r="FI919" s="1818"/>
      <c r="FJ919" s="1818"/>
      <c r="FK919" s="1818"/>
      <c r="FL919" s="1818"/>
      <c r="FM919" s="1818"/>
      <c r="FN919" s="1818"/>
      <c r="FO919" s="1818"/>
      <c r="FP919" s="1818"/>
      <c r="FQ919" s="1818"/>
      <c r="FR919" s="1818"/>
      <c r="FS919" s="1818"/>
      <c r="FT919" s="1818"/>
    </row>
    <row r="920" spans="1:176" s="1965" customFormat="1" ht="32.1" customHeight="1">
      <c r="A920" s="2535"/>
      <c r="B920" s="1803"/>
      <c r="C920" s="1813"/>
      <c r="D920" s="1813"/>
      <c r="E920" s="1813"/>
      <c r="F920" s="1813"/>
      <c r="G920" s="1813"/>
      <c r="H920" s="1813"/>
      <c r="I920" s="2434"/>
      <c r="J920" s="2244"/>
      <c r="K920" s="2244"/>
      <c r="L920" s="2244"/>
      <c r="M920" s="2244"/>
      <c r="N920" s="2244"/>
      <c r="O920" s="2244"/>
      <c r="P920" s="2245"/>
      <c r="Q920" s="2245"/>
      <c r="R920" s="2435"/>
      <c r="S920" s="2244"/>
      <c r="T920" s="2244"/>
      <c r="U920" s="2244"/>
      <c r="V920" s="2244"/>
      <c r="W920" s="2244"/>
      <c r="X920" s="2244"/>
      <c r="Y920" s="1818"/>
      <c r="Z920" s="1818"/>
      <c r="AA920" s="1818"/>
      <c r="AB920" s="1818"/>
      <c r="AC920" s="1818"/>
      <c r="AD920" s="1818"/>
      <c r="AE920" s="1818"/>
      <c r="AF920" s="1818"/>
      <c r="AG920" s="1818"/>
      <c r="AH920" s="1818"/>
      <c r="AI920" s="1818"/>
      <c r="AJ920" s="1818"/>
      <c r="AK920" s="1818"/>
      <c r="AL920" s="1818"/>
      <c r="AM920" s="1818"/>
      <c r="AN920" s="1818"/>
      <c r="AO920" s="1818"/>
      <c r="AP920" s="1818"/>
      <c r="AQ920" s="1818"/>
      <c r="AR920" s="1818"/>
      <c r="AS920" s="1818"/>
      <c r="AT920" s="1818"/>
      <c r="AU920" s="1818"/>
      <c r="AV920" s="1818"/>
      <c r="AW920" s="1818"/>
      <c r="AX920" s="1818"/>
      <c r="AY920" s="1818"/>
      <c r="AZ920" s="1818"/>
      <c r="BA920" s="1818"/>
      <c r="BB920" s="1818"/>
      <c r="BC920" s="1818"/>
      <c r="BD920" s="1818"/>
      <c r="BE920" s="1818"/>
      <c r="BF920" s="1818"/>
      <c r="BG920" s="1818"/>
      <c r="BH920" s="1818"/>
      <c r="BI920" s="1818"/>
      <c r="BJ920" s="1818"/>
      <c r="BK920" s="1818"/>
      <c r="BL920" s="1818"/>
      <c r="BM920" s="1818"/>
      <c r="BN920" s="1818"/>
      <c r="BO920" s="1818"/>
      <c r="BP920" s="1818"/>
      <c r="BQ920" s="1818"/>
      <c r="BR920" s="1818"/>
      <c r="BS920" s="1818"/>
      <c r="BT920" s="1818"/>
      <c r="BU920" s="1818"/>
      <c r="BV920" s="1818"/>
      <c r="BW920" s="1818"/>
      <c r="BX920" s="1818"/>
      <c r="BY920" s="1818"/>
      <c r="BZ920" s="1818"/>
      <c r="CA920" s="1818"/>
      <c r="CB920" s="1818"/>
      <c r="CC920" s="1818"/>
      <c r="CD920" s="1818"/>
      <c r="CE920" s="1818"/>
      <c r="CF920" s="1818"/>
      <c r="CG920" s="1818"/>
      <c r="CH920" s="1818"/>
      <c r="CI920" s="1818"/>
      <c r="CJ920" s="1818"/>
      <c r="CK920" s="1818"/>
      <c r="CL920" s="1818"/>
      <c r="CM920" s="1818"/>
      <c r="CN920" s="1818"/>
      <c r="CO920" s="1818"/>
      <c r="CP920" s="1818"/>
      <c r="CQ920" s="1818"/>
      <c r="CR920" s="1818"/>
      <c r="CS920" s="1818"/>
      <c r="CT920" s="1818"/>
      <c r="CU920" s="1818"/>
      <c r="CV920" s="1818"/>
      <c r="CW920" s="1818"/>
      <c r="CX920" s="1818"/>
      <c r="CY920" s="1818"/>
      <c r="CZ920" s="1818"/>
      <c r="DA920" s="1818"/>
      <c r="DB920" s="1818"/>
      <c r="DC920" s="1818"/>
      <c r="DD920" s="1818"/>
      <c r="DE920" s="1818"/>
      <c r="DF920" s="1818"/>
      <c r="DG920" s="1818"/>
      <c r="DH920" s="1818"/>
      <c r="DI920" s="1818"/>
      <c r="DJ920" s="1818"/>
      <c r="DK920" s="1818"/>
      <c r="DL920" s="1818"/>
      <c r="DM920" s="1818"/>
      <c r="DN920" s="1818"/>
      <c r="DO920" s="1818"/>
      <c r="DP920" s="1818"/>
      <c r="DQ920" s="1818"/>
      <c r="DR920" s="1818"/>
      <c r="DS920" s="1818"/>
      <c r="DT920" s="1818"/>
      <c r="DU920" s="1818"/>
      <c r="DV920" s="1818"/>
      <c r="DW920" s="1818"/>
      <c r="DX920" s="1818"/>
      <c r="DY920" s="1818"/>
      <c r="DZ920" s="1818"/>
      <c r="EA920" s="1818"/>
      <c r="EB920" s="1818"/>
      <c r="EC920" s="1818"/>
      <c r="ED920" s="1818"/>
      <c r="EE920" s="1818"/>
      <c r="EF920" s="1818"/>
      <c r="EG920" s="1818"/>
      <c r="EH920" s="1818"/>
      <c r="EI920" s="1818"/>
      <c r="EJ920" s="1818"/>
      <c r="EK920" s="1818"/>
      <c r="EL920" s="1818"/>
      <c r="EM920" s="1818"/>
      <c r="EN920" s="1818"/>
      <c r="EO920" s="1818"/>
      <c r="EP920" s="1818"/>
      <c r="EQ920" s="1818"/>
      <c r="ER920" s="1818"/>
      <c r="ES920" s="1818"/>
      <c r="ET920" s="1818"/>
      <c r="EU920" s="1818"/>
      <c r="EV920" s="1818"/>
      <c r="EW920" s="1818"/>
      <c r="EX920" s="1818"/>
      <c r="EY920" s="1818"/>
      <c r="EZ920" s="1818"/>
      <c r="FA920" s="1818"/>
      <c r="FB920" s="1818"/>
      <c r="FC920" s="1818"/>
      <c r="FD920" s="1818"/>
      <c r="FE920" s="1818"/>
      <c r="FF920" s="1818"/>
      <c r="FG920" s="1818"/>
      <c r="FH920" s="1818"/>
      <c r="FI920" s="1818"/>
      <c r="FJ920" s="1818"/>
      <c r="FK920" s="1818"/>
      <c r="FL920" s="1818"/>
      <c r="FM920" s="1818"/>
      <c r="FN920" s="1818"/>
      <c r="FO920" s="1818"/>
      <c r="FP920" s="1818"/>
      <c r="FQ920" s="1818"/>
      <c r="FR920" s="1818"/>
      <c r="FS920" s="1818"/>
      <c r="FT920" s="1818"/>
    </row>
    <row r="921" spans="1:176" s="1965" customFormat="1" ht="32.1" customHeight="1">
      <c r="A921" s="2535"/>
      <c r="B921" s="1803"/>
      <c r="C921" s="1813"/>
      <c r="D921" s="1813"/>
      <c r="E921" s="1813"/>
      <c r="F921" s="1813"/>
      <c r="G921" s="1813"/>
      <c r="H921" s="1813"/>
      <c r="I921" s="2434"/>
      <c r="J921" s="2244"/>
      <c r="K921" s="2244"/>
      <c r="L921" s="2244"/>
      <c r="M921" s="2244"/>
      <c r="N921" s="2244"/>
      <c r="O921" s="2244"/>
      <c r="P921" s="2245"/>
      <c r="Q921" s="2245"/>
      <c r="R921" s="2435"/>
      <c r="S921" s="2244"/>
      <c r="T921" s="2244"/>
      <c r="U921" s="2244"/>
      <c r="V921" s="2244"/>
      <c r="W921" s="2244"/>
      <c r="X921" s="2244"/>
      <c r="Y921" s="1818"/>
      <c r="Z921" s="1818"/>
      <c r="AA921" s="1818"/>
      <c r="AB921" s="1818"/>
      <c r="AC921" s="1818"/>
      <c r="AD921" s="1818"/>
      <c r="AE921" s="1818"/>
      <c r="AF921" s="1818"/>
      <c r="AG921" s="1818"/>
      <c r="AH921" s="1818"/>
      <c r="AI921" s="1818"/>
      <c r="AJ921" s="1818"/>
      <c r="AK921" s="1818"/>
      <c r="AL921" s="1818"/>
      <c r="AM921" s="1818"/>
      <c r="AN921" s="1818"/>
      <c r="AO921" s="1818"/>
      <c r="AP921" s="1818"/>
      <c r="AQ921" s="1818"/>
      <c r="AR921" s="1818"/>
      <c r="AS921" s="1818"/>
      <c r="AT921" s="1818"/>
      <c r="AU921" s="1818"/>
      <c r="AV921" s="1818"/>
      <c r="AW921" s="1818"/>
      <c r="AX921" s="1818"/>
      <c r="AY921" s="1818"/>
      <c r="AZ921" s="1818"/>
      <c r="BA921" s="1818"/>
      <c r="BB921" s="1818"/>
      <c r="BC921" s="1818"/>
      <c r="BD921" s="1818"/>
      <c r="BE921" s="1818"/>
      <c r="BF921" s="1818"/>
      <c r="BG921" s="1818"/>
      <c r="BH921" s="1818"/>
      <c r="BI921" s="1818"/>
      <c r="BJ921" s="1818"/>
      <c r="BK921" s="1818"/>
      <c r="BL921" s="1818"/>
      <c r="BM921" s="1818"/>
      <c r="BN921" s="1818"/>
      <c r="BO921" s="1818"/>
      <c r="BP921" s="1818"/>
      <c r="BQ921" s="1818"/>
      <c r="BR921" s="1818"/>
      <c r="BS921" s="1818"/>
      <c r="BT921" s="1818"/>
      <c r="BU921" s="1818"/>
      <c r="BV921" s="1818"/>
      <c r="BW921" s="1818"/>
      <c r="BX921" s="1818"/>
      <c r="BY921" s="1818"/>
      <c r="BZ921" s="1818"/>
      <c r="CA921" s="1818"/>
      <c r="CB921" s="1818"/>
      <c r="CC921" s="1818"/>
      <c r="CD921" s="1818"/>
      <c r="CE921" s="1818"/>
      <c r="CF921" s="1818"/>
      <c r="CG921" s="1818"/>
      <c r="CH921" s="1818"/>
      <c r="CI921" s="1818"/>
      <c r="CJ921" s="1818"/>
      <c r="CK921" s="1818"/>
      <c r="CL921" s="1818"/>
      <c r="CM921" s="1818"/>
      <c r="CN921" s="1818"/>
      <c r="CO921" s="1818"/>
      <c r="CP921" s="1818"/>
      <c r="CQ921" s="1818"/>
      <c r="CR921" s="1818"/>
      <c r="CS921" s="1818"/>
      <c r="CT921" s="1818"/>
      <c r="CU921" s="1818"/>
      <c r="CV921" s="1818"/>
      <c r="CW921" s="1818"/>
      <c r="CX921" s="1818"/>
      <c r="CY921" s="1818"/>
      <c r="CZ921" s="1818"/>
      <c r="DA921" s="1818"/>
      <c r="DB921" s="1818"/>
      <c r="DC921" s="1818"/>
      <c r="DD921" s="1818"/>
      <c r="DE921" s="1818"/>
      <c r="DF921" s="1818"/>
      <c r="DG921" s="1818"/>
      <c r="DH921" s="1818"/>
      <c r="DI921" s="1818"/>
      <c r="DJ921" s="1818"/>
      <c r="DK921" s="1818"/>
      <c r="DL921" s="1818"/>
      <c r="DM921" s="1818"/>
      <c r="DN921" s="1818"/>
      <c r="DO921" s="1818"/>
      <c r="DP921" s="1818"/>
      <c r="DQ921" s="1818"/>
      <c r="DR921" s="1818"/>
      <c r="DS921" s="1818"/>
      <c r="DT921" s="1818"/>
      <c r="DU921" s="1818"/>
      <c r="DV921" s="1818"/>
      <c r="DW921" s="1818"/>
      <c r="DX921" s="1818"/>
      <c r="DY921" s="1818"/>
      <c r="DZ921" s="1818"/>
      <c r="EA921" s="1818"/>
      <c r="EB921" s="1818"/>
      <c r="EC921" s="1818"/>
      <c r="ED921" s="1818"/>
      <c r="EE921" s="1818"/>
      <c r="EF921" s="1818"/>
      <c r="EG921" s="1818"/>
      <c r="EH921" s="1818"/>
      <c r="EI921" s="1818"/>
      <c r="EJ921" s="1818"/>
      <c r="EK921" s="1818"/>
      <c r="EL921" s="1818"/>
      <c r="EM921" s="1818"/>
      <c r="EN921" s="1818"/>
      <c r="EO921" s="1818"/>
      <c r="EP921" s="1818"/>
      <c r="EQ921" s="1818"/>
      <c r="ER921" s="1818"/>
      <c r="ES921" s="1818"/>
      <c r="ET921" s="1818"/>
      <c r="EU921" s="1818"/>
      <c r="EV921" s="1818"/>
      <c r="EW921" s="1818"/>
      <c r="EX921" s="1818"/>
      <c r="EY921" s="1818"/>
      <c r="EZ921" s="1818"/>
      <c r="FA921" s="1818"/>
      <c r="FB921" s="1818"/>
      <c r="FC921" s="1818"/>
      <c r="FD921" s="1818"/>
      <c r="FE921" s="1818"/>
      <c r="FF921" s="1818"/>
      <c r="FG921" s="1818"/>
      <c r="FH921" s="1818"/>
      <c r="FI921" s="1818"/>
      <c r="FJ921" s="1818"/>
      <c r="FK921" s="1818"/>
      <c r="FL921" s="1818"/>
      <c r="FM921" s="1818"/>
      <c r="FN921" s="1818"/>
      <c r="FO921" s="1818"/>
      <c r="FP921" s="1818"/>
      <c r="FQ921" s="1818"/>
      <c r="FR921" s="1818"/>
      <c r="FS921" s="1818"/>
      <c r="FT921" s="1818"/>
    </row>
    <row r="922" spans="1:176" s="1965" customFormat="1" ht="32.1" customHeight="1">
      <c r="A922" s="2535"/>
      <c r="B922" s="1803"/>
      <c r="C922" s="1813"/>
      <c r="D922" s="1813"/>
      <c r="E922" s="1813"/>
      <c r="F922" s="1813"/>
      <c r="G922" s="1813"/>
      <c r="H922" s="1813"/>
      <c r="I922" s="2434"/>
      <c r="J922" s="2244"/>
      <c r="K922" s="2244"/>
      <c r="L922" s="2244"/>
      <c r="M922" s="2244"/>
      <c r="N922" s="2244"/>
      <c r="O922" s="2244"/>
      <c r="P922" s="2245"/>
      <c r="Q922" s="2245"/>
      <c r="R922" s="2435"/>
      <c r="S922" s="2244"/>
      <c r="T922" s="2244"/>
      <c r="U922" s="2244"/>
      <c r="V922" s="2244"/>
      <c r="W922" s="2244"/>
      <c r="X922" s="2244"/>
      <c r="Y922" s="1818"/>
      <c r="Z922" s="1818"/>
      <c r="AA922" s="1818"/>
      <c r="AB922" s="1818"/>
      <c r="AC922" s="1818"/>
      <c r="AD922" s="1818"/>
      <c r="AE922" s="1818"/>
      <c r="AF922" s="1818"/>
      <c r="AG922" s="1818"/>
      <c r="AH922" s="1818"/>
      <c r="AI922" s="1818"/>
      <c r="AJ922" s="1818"/>
      <c r="AK922" s="1818"/>
      <c r="AL922" s="1818"/>
      <c r="AM922" s="1818"/>
      <c r="AN922" s="1818"/>
      <c r="AO922" s="1818"/>
      <c r="AP922" s="1818"/>
      <c r="AQ922" s="1818"/>
      <c r="AR922" s="1818"/>
      <c r="AS922" s="1818"/>
      <c r="AT922" s="1818"/>
      <c r="AU922" s="1818"/>
      <c r="AV922" s="1818"/>
      <c r="AW922" s="1818"/>
      <c r="AX922" s="1818"/>
      <c r="AY922" s="1818"/>
      <c r="AZ922" s="1818"/>
      <c r="BA922" s="1818"/>
      <c r="BB922" s="1818"/>
      <c r="BC922" s="1818"/>
      <c r="BD922" s="1818"/>
      <c r="BE922" s="1818"/>
      <c r="BF922" s="1818"/>
      <c r="BG922" s="1818"/>
      <c r="BH922" s="1818"/>
      <c r="BI922" s="1818"/>
      <c r="BJ922" s="1818"/>
      <c r="BK922" s="1818"/>
      <c r="BL922" s="1818"/>
      <c r="BM922" s="1818"/>
      <c r="BN922" s="1818"/>
      <c r="BO922" s="1818"/>
      <c r="BP922" s="1818"/>
      <c r="BQ922" s="1818"/>
      <c r="BR922" s="1818"/>
      <c r="BS922" s="1818"/>
      <c r="BT922" s="1818"/>
      <c r="BU922" s="1818"/>
      <c r="BV922" s="1818"/>
      <c r="BW922" s="1818"/>
      <c r="BX922" s="1818"/>
      <c r="BY922" s="1818"/>
      <c r="BZ922" s="1818"/>
      <c r="CA922" s="1818"/>
      <c r="CB922" s="1818"/>
      <c r="CC922" s="1818"/>
      <c r="CD922" s="1818"/>
      <c r="CE922" s="1818"/>
      <c r="CF922" s="1818"/>
      <c r="CG922" s="1818"/>
      <c r="CH922" s="1818"/>
      <c r="CI922" s="1818"/>
      <c r="CJ922" s="1818"/>
      <c r="CK922" s="1818"/>
      <c r="CL922" s="1818"/>
      <c r="CM922" s="1818"/>
      <c r="CN922" s="1818"/>
      <c r="CO922" s="1818"/>
      <c r="CP922" s="1818"/>
      <c r="CQ922" s="1818"/>
      <c r="CR922" s="1818"/>
      <c r="CS922" s="1818"/>
      <c r="CT922" s="1818"/>
      <c r="CU922" s="1818"/>
      <c r="CV922" s="1818"/>
      <c r="CW922" s="1818"/>
      <c r="CX922" s="1818"/>
      <c r="CY922" s="1818"/>
      <c r="CZ922" s="1818"/>
      <c r="DA922" s="1818"/>
      <c r="DB922" s="1818"/>
      <c r="DC922" s="1818"/>
      <c r="DD922" s="1818"/>
      <c r="DE922" s="1818"/>
      <c r="DF922" s="1818"/>
      <c r="DG922" s="1818"/>
      <c r="DH922" s="1818"/>
      <c r="DI922" s="1818"/>
      <c r="DJ922" s="1818"/>
      <c r="DK922" s="1818"/>
      <c r="DL922" s="1818"/>
      <c r="DM922" s="1818"/>
      <c r="DN922" s="1818"/>
      <c r="DO922" s="1818"/>
      <c r="DP922" s="1818"/>
      <c r="DQ922" s="1818"/>
      <c r="DR922" s="1818"/>
      <c r="DS922" s="1818"/>
      <c r="DT922" s="1818"/>
      <c r="DU922" s="1818"/>
      <c r="DV922" s="1818"/>
      <c r="DW922" s="1818"/>
      <c r="DX922" s="1818"/>
      <c r="DY922" s="1818"/>
      <c r="DZ922" s="1818"/>
      <c r="EA922" s="1818"/>
      <c r="EB922" s="1818"/>
      <c r="EC922" s="1818"/>
      <c r="ED922" s="1818"/>
      <c r="EE922" s="1818"/>
      <c r="EF922" s="1818"/>
      <c r="EG922" s="1818"/>
      <c r="EH922" s="1818"/>
      <c r="EI922" s="1818"/>
      <c r="EJ922" s="1818"/>
      <c r="EK922" s="1818"/>
      <c r="EL922" s="1818"/>
      <c r="EM922" s="1818"/>
      <c r="EN922" s="1818"/>
      <c r="EO922" s="1818"/>
      <c r="EP922" s="1818"/>
      <c r="EQ922" s="1818"/>
      <c r="ER922" s="1818"/>
      <c r="ES922" s="1818"/>
      <c r="ET922" s="1818"/>
      <c r="EU922" s="1818"/>
      <c r="EV922" s="1818"/>
      <c r="EW922" s="1818"/>
      <c r="EX922" s="1818"/>
      <c r="EY922" s="1818"/>
      <c r="EZ922" s="1818"/>
      <c r="FA922" s="1818"/>
      <c r="FB922" s="1818"/>
      <c r="FC922" s="1818"/>
      <c r="FD922" s="1818"/>
      <c r="FE922" s="1818"/>
      <c r="FF922" s="1818"/>
      <c r="FG922" s="1818"/>
      <c r="FH922" s="1818"/>
      <c r="FI922" s="1818"/>
      <c r="FJ922" s="1818"/>
      <c r="FK922" s="1818"/>
      <c r="FL922" s="1818"/>
      <c r="FM922" s="1818"/>
      <c r="FN922" s="1818"/>
      <c r="FO922" s="1818"/>
      <c r="FP922" s="1818"/>
      <c r="FQ922" s="1818"/>
      <c r="FR922" s="1818"/>
      <c r="FS922" s="1818"/>
      <c r="FT922" s="1818"/>
    </row>
    <row r="923" spans="1:176" s="1965" customFormat="1" ht="32.1" customHeight="1">
      <c r="A923" s="2535"/>
      <c r="B923" s="1803"/>
      <c r="C923" s="1813"/>
      <c r="D923" s="1813"/>
      <c r="E923" s="1813"/>
      <c r="F923" s="1813"/>
      <c r="G923" s="1813"/>
      <c r="H923" s="1813"/>
      <c r="I923" s="2434"/>
      <c r="J923" s="2244"/>
      <c r="K923" s="2244"/>
      <c r="L923" s="2244"/>
      <c r="M923" s="2244"/>
      <c r="N923" s="2244"/>
      <c r="O923" s="2244"/>
      <c r="P923" s="2245"/>
      <c r="Q923" s="2245"/>
      <c r="R923" s="2435"/>
      <c r="S923" s="2244"/>
      <c r="T923" s="2244"/>
      <c r="U923" s="2244"/>
      <c r="V923" s="2244"/>
      <c r="W923" s="2244"/>
      <c r="X923" s="2244"/>
      <c r="Y923" s="1818"/>
      <c r="Z923" s="1818"/>
      <c r="AA923" s="1818"/>
      <c r="AB923" s="1818"/>
      <c r="AC923" s="1818"/>
      <c r="AD923" s="1818"/>
      <c r="AE923" s="1818"/>
      <c r="AF923" s="1818"/>
      <c r="AG923" s="1818"/>
      <c r="AH923" s="1818"/>
      <c r="AI923" s="1818"/>
      <c r="AJ923" s="1818"/>
      <c r="AK923" s="1818"/>
      <c r="AL923" s="1818"/>
      <c r="AM923" s="1818"/>
      <c r="AN923" s="1818"/>
      <c r="AO923" s="1818"/>
      <c r="AP923" s="1818"/>
      <c r="AQ923" s="1818"/>
      <c r="AR923" s="1818"/>
      <c r="AS923" s="1818"/>
      <c r="AT923" s="1818"/>
      <c r="AU923" s="1818"/>
      <c r="AV923" s="1818"/>
      <c r="AW923" s="1818"/>
      <c r="AX923" s="1818"/>
      <c r="AY923" s="1818"/>
      <c r="AZ923" s="1818"/>
      <c r="BA923" s="1818"/>
      <c r="BB923" s="1818"/>
      <c r="BC923" s="1818"/>
      <c r="BD923" s="1818"/>
      <c r="BE923" s="1818"/>
      <c r="BF923" s="1818"/>
      <c r="BG923" s="1818"/>
      <c r="BH923" s="1818"/>
      <c r="BI923" s="1818"/>
      <c r="BJ923" s="1818"/>
      <c r="BK923" s="1818"/>
      <c r="BL923" s="1818"/>
      <c r="BM923" s="1818"/>
      <c r="BN923" s="1818"/>
      <c r="BO923" s="1818"/>
      <c r="BP923" s="1818"/>
      <c r="BQ923" s="1818"/>
      <c r="BR923" s="1818"/>
      <c r="BS923" s="1818"/>
      <c r="BT923" s="1818"/>
      <c r="BU923" s="1818"/>
      <c r="BV923" s="1818"/>
      <c r="BW923" s="1818"/>
      <c r="BX923" s="1818"/>
      <c r="BY923" s="1818"/>
      <c r="BZ923" s="1818"/>
      <c r="CA923" s="1818"/>
      <c r="CB923" s="1818"/>
      <c r="CC923" s="1818"/>
      <c r="CD923" s="1818"/>
      <c r="CE923" s="1818"/>
      <c r="CF923" s="1818"/>
      <c r="CG923" s="1818"/>
      <c r="CH923" s="1818"/>
      <c r="CI923" s="1818"/>
      <c r="CJ923" s="1818"/>
      <c r="CK923" s="1818"/>
      <c r="CL923" s="1818"/>
      <c r="CM923" s="1818"/>
      <c r="CN923" s="1818"/>
      <c r="CO923" s="1818"/>
      <c r="CP923" s="1818"/>
      <c r="CQ923" s="1818"/>
      <c r="CR923" s="1818"/>
      <c r="CS923" s="1818"/>
      <c r="CT923" s="1818"/>
      <c r="CU923" s="1818"/>
      <c r="CV923" s="1818"/>
      <c r="CW923" s="1818"/>
      <c r="CX923" s="1818"/>
      <c r="CY923" s="1818"/>
      <c r="CZ923" s="1818"/>
      <c r="DA923" s="1818"/>
      <c r="DB923" s="1818"/>
      <c r="DC923" s="1818"/>
      <c r="DD923" s="1818"/>
      <c r="DE923" s="1818"/>
      <c r="DF923" s="1818"/>
      <c r="DG923" s="1818"/>
      <c r="DH923" s="1818"/>
      <c r="DI923" s="1818"/>
      <c r="DJ923" s="1818"/>
      <c r="DK923" s="1818"/>
      <c r="DL923" s="1818"/>
      <c r="DM923" s="1818"/>
      <c r="DN923" s="1818"/>
      <c r="DO923" s="1818"/>
      <c r="DP923" s="1818"/>
      <c r="DQ923" s="1818"/>
      <c r="DR923" s="1818"/>
      <c r="DS923" s="1818"/>
      <c r="DT923" s="1818"/>
      <c r="DU923" s="1818"/>
      <c r="DV923" s="1818"/>
      <c r="DW923" s="1818"/>
      <c r="DX923" s="1818"/>
      <c r="DY923" s="1818"/>
      <c r="DZ923" s="1818"/>
      <c r="EA923" s="1818"/>
      <c r="EB923" s="1818"/>
      <c r="EC923" s="1818"/>
      <c r="ED923" s="1818"/>
      <c r="EE923" s="1818"/>
      <c r="EF923" s="1818"/>
      <c r="EG923" s="1818"/>
      <c r="EH923" s="1818"/>
      <c r="EI923" s="1818"/>
      <c r="EJ923" s="1818"/>
      <c r="EK923" s="1818"/>
      <c r="EL923" s="1818"/>
      <c r="EM923" s="1818"/>
      <c r="EN923" s="1818"/>
      <c r="EO923" s="1818"/>
      <c r="EP923" s="1818"/>
      <c r="EQ923" s="1818"/>
      <c r="ER923" s="1818"/>
      <c r="ES923" s="1818"/>
      <c r="ET923" s="1818"/>
      <c r="EU923" s="1818"/>
      <c r="EV923" s="1818"/>
      <c r="EW923" s="1818"/>
      <c r="EX923" s="1818"/>
      <c r="EY923" s="1818"/>
      <c r="EZ923" s="1818"/>
      <c r="FA923" s="1818"/>
      <c r="FB923" s="1818"/>
      <c r="FC923" s="1818"/>
      <c r="FD923" s="1818"/>
      <c r="FE923" s="1818"/>
      <c r="FF923" s="1818"/>
      <c r="FG923" s="1818"/>
      <c r="FH923" s="1818"/>
      <c r="FI923" s="1818"/>
      <c r="FJ923" s="1818"/>
      <c r="FK923" s="1818"/>
      <c r="FL923" s="1818"/>
      <c r="FM923" s="1818"/>
      <c r="FN923" s="1818"/>
      <c r="FO923" s="1818"/>
      <c r="FP923" s="1818"/>
      <c r="FQ923" s="1818"/>
      <c r="FR923" s="1818"/>
      <c r="FS923" s="1818"/>
      <c r="FT923" s="1818"/>
    </row>
    <row r="924" spans="1:176" s="1965" customFormat="1" ht="32.1" customHeight="1">
      <c r="A924" s="2535"/>
      <c r="B924" s="1803"/>
      <c r="C924" s="1813"/>
      <c r="D924" s="1813"/>
      <c r="E924" s="1813"/>
      <c r="F924" s="1813"/>
      <c r="G924" s="1813"/>
      <c r="H924" s="1813"/>
      <c r="I924" s="2434"/>
      <c r="J924" s="2244"/>
      <c r="K924" s="2244"/>
      <c r="L924" s="2244"/>
      <c r="M924" s="2244"/>
      <c r="N924" s="2244"/>
      <c r="O924" s="2244"/>
      <c r="P924" s="2245"/>
      <c r="Q924" s="2245"/>
      <c r="R924" s="2435"/>
      <c r="S924" s="2244"/>
      <c r="T924" s="2244"/>
      <c r="U924" s="2244"/>
      <c r="V924" s="2244"/>
      <c r="W924" s="2244"/>
      <c r="X924" s="2244"/>
      <c r="Y924" s="1818"/>
      <c r="Z924" s="1818"/>
      <c r="AA924" s="1818"/>
      <c r="AB924" s="1818"/>
      <c r="AC924" s="1818"/>
      <c r="AD924" s="1818"/>
      <c r="AE924" s="1818"/>
      <c r="AF924" s="1818"/>
      <c r="AG924" s="1818"/>
      <c r="AH924" s="1818"/>
      <c r="AI924" s="1818"/>
      <c r="AJ924" s="1818"/>
      <c r="AK924" s="1818"/>
      <c r="AL924" s="1818"/>
      <c r="AM924" s="1818"/>
      <c r="AN924" s="1818"/>
      <c r="AO924" s="1818"/>
      <c r="AP924" s="1818"/>
      <c r="AQ924" s="1818"/>
      <c r="AR924" s="1818"/>
      <c r="AS924" s="1818"/>
      <c r="AT924" s="1818"/>
      <c r="AU924" s="1818"/>
      <c r="AV924" s="1818"/>
      <c r="AW924" s="1818"/>
      <c r="AX924" s="1818"/>
      <c r="AY924" s="1818"/>
      <c r="AZ924" s="1818"/>
      <c r="BA924" s="1818"/>
      <c r="BB924" s="1818"/>
      <c r="BC924" s="1818"/>
      <c r="BD924" s="1818"/>
      <c r="BE924" s="1818"/>
      <c r="BF924" s="1818"/>
      <c r="BG924" s="1818"/>
      <c r="BH924" s="1818"/>
      <c r="BI924" s="1818"/>
      <c r="BJ924" s="1818"/>
      <c r="BK924" s="1818"/>
      <c r="BL924" s="1818"/>
      <c r="BM924" s="1818"/>
      <c r="BN924" s="1818"/>
      <c r="BO924" s="1818"/>
      <c r="BP924" s="1818"/>
      <c r="BQ924" s="1818"/>
      <c r="BR924" s="1818"/>
      <c r="BS924" s="1818"/>
      <c r="BT924" s="1818"/>
      <c r="BU924" s="1818"/>
      <c r="BV924" s="1818"/>
      <c r="BW924" s="1818"/>
      <c r="BX924" s="1818"/>
      <c r="BY924" s="1818"/>
      <c r="BZ924" s="1818"/>
      <c r="CA924" s="1818"/>
      <c r="CB924" s="1818"/>
      <c r="CC924" s="1818"/>
      <c r="CD924" s="1818"/>
      <c r="CE924" s="1818"/>
      <c r="CF924" s="1818"/>
      <c r="CG924" s="1818"/>
      <c r="CH924" s="1818"/>
      <c r="CI924" s="1818"/>
      <c r="CJ924" s="1818"/>
      <c r="CK924" s="1818"/>
      <c r="CL924" s="1818"/>
      <c r="CM924" s="1818"/>
      <c r="CN924" s="1818"/>
      <c r="CO924" s="1818"/>
      <c r="CP924" s="1818"/>
      <c r="CQ924" s="1818"/>
      <c r="CR924" s="1818"/>
      <c r="CS924" s="1818"/>
      <c r="CT924" s="1818"/>
      <c r="CU924" s="1818"/>
      <c r="CV924" s="1818"/>
      <c r="CW924" s="1818"/>
      <c r="CX924" s="1818"/>
      <c r="CY924" s="1818"/>
      <c r="CZ924" s="1818"/>
      <c r="DA924" s="1818"/>
      <c r="DB924" s="1818"/>
      <c r="DC924" s="1818"/>
      <c r="DD924" s="1818"/>
      <c r="DE924" s="1818"/>
      <c r="DF924" s="1818"/>
      <c r="DG924" s="1818"/>
      <c r="DH924" s="1818"/>
      <c r="DI924" s="1818"/>
      <c r="DJ924" s="1818"/>
      <c r="DK924" s="1818"/>
      <c r="DL924" s="1818"/>
      <c r="DM924" s="1818"/>
      <c r="DN924" s="1818"/>
      <c r="DO924" s="1818"/>
      <c r="DP924" s="1818"/>
      <c r="DQ924" s="1818"/>
      <c r="DR924" s="1818"/>
      <c r="DS924" s="1818"/>
      <c r="DT924" s="1818"/>
      <c r="DU924" s="1818"/>
      <c r="DV924" s="1818"/>
      <c r="DW924" s="1818"/>
      <c r="DX924" s="1818"/>
      <c r="DY924" s="1818"/>
      <c r="DZ924" s="1818"/>
      <c r="EA924" s="1818"/>
      <c r="EB924" s="1818"/>
      <c r="EC924" s="1818"/>
      <c r="ED924" s="1818"/>
      <c r="EE924" s="1818"/>
      <c r="EF924" s="1818"/>
      <c r="EG924" s="1818"/>
      <c r="EH924" s="1818"/>
      <c r="EI924" s="1818"/>
      <c r="EJ924" s="1818"/>
      <c r="EK924" s="1818"/>
      <c r="EL924" s="1818"/>
      <c r="EM924" s="1818"/>
      <c r="EN924" s="1818"/>
      <c r="EO924" s="1818"/>
      <c r="EP924" s="1818"/>
      <c r="EQ924" s="1818"/>
      <c r="ER924" s="1818"/>
      <c r="ES924" s="1818"/>
      <c r="ET924" s="1818"/>
      <c r="EU924" s="1818"/>
      <c r="EV924" s="1818"/>
      <c r="EW924" s="1818"/>
      <c r="EX924" s="1818"/>
      <c r="EY924" s="1818"/>
      <c r="EZ924" s="1818"/>
      <c r="FA924" s="1818"/>
      <c r="FB924" s="1818"/>
      <c r="FC924" s="1818"/>
      <c r="FD924" s="1818"/>
      <c r="FE924" s="1818"/>
      <c r="FF924" s="1818"/>
      <c r="FG924" s="1818"/>
      <c r="FH924" s="1818"/>
      <c r="FI924" s="1818"/>
      <c r="FJ924" s="1818"/>
      <c r="FK924" s="1818"/>
      <c r="FL924" s="1818"/>
      <c r="FM924" s="1818"/>
      <c r="FN924" s="1818"/>
      <c r="FO924" s="1818"/>
      <c r="FP924" s="1818"/>
      <c r="FQ924" s="1818"/>
      <c r="FR924" s="1818"/>
      <c r="FS924" s="1818"/>
      <c r="FT924" s="1818"/>
    </row>
    <row r="925" spans="1:176" s="1965" customFormat="1" ht="32.1" customHeight="1">
      <c r="A925" s="2535"/>
      <c r="B925" s="1803"/>
      <c r="C925" s="1813"/>
      <c r="D925" s="1813"/>
      <c r="E925" s="1813"/>
      <c r="F925" s="1813"/>
      <c r="G925" s="1813"/>
      <c r="H925" s="1813"/>
      <c r="I925" s="2434"/>
      <c r="J925" s="2244"/>
      <c r="K925" s="2244"/>
      <c r="L925" s="2244"/>
      <c r="M925" s="2244"/>
      <c r="N925" s="2244"/>
      <c r="O925" s="2244"/>
      <c r="P925" s="2245"/>
      <c r="Q925" s="2245"/>
      <c r="R925" s="2435"/>
      <c r="S925" s="2244"/>
      <c r="T925" s="2244"/>
      <c r="U925" s="2244"/>
      <c r="V925" s="2244"/>
      <c r="W925" s="2244"/>
      <c r="X925" s="2244"/>
      <c r="Y925" s="1818"/>
      <c r="Z925" s="1818"/>
      <c r="AA925" s="1818"/>
      <c r="AB925" s="1818"/>
      <c r="AC925" s="1818"/>
      <c r="AD925" s="1818"/>
      <c r="AE925" s="1818"/>
      <c r="AF925" s="1818"/>
      <c r="AG925" s="1818"/>
      <c r="AH925" s="1818"/>
      <c r="AI925" s="1818"/>
      <c r="AJ925" s="1818"/>
      <c r="AK925" s="1818"/>
      <c r="AL925" s="1818"/>
      <c r="AM925" s="1818"/>
      <c r="AN925" s="1818"/>
      <c r="AO925" s="1818"/>
      <c r="AP925" s="1818"/>
      <c r="AQ925" s="1818"/>
      <c r="AR925" s="1818"/>
      <c r="AS925" s="1818"/>
      <c r="AT925" s="1818"/>
      <c r="AU925" s="1818"/>
      <c r="AV925" s="1818"/>
      <c r="AW925" s="1818"/>
      <c r="AX925" s="1818"/>
      <c r="AY925" s="1818"/>
      <c r="AZ925" s="1818"/>
      <c r="BA925" s="1818"/>
      <c r="BB925" s="1818"/>
      <c r="BC925" s="1818"/>
      <c r="BD925" s="1818"/>
      <c r="BE925" s="1818"/>
      <c r="BF925" s="1818"/>
      <c r="BG925" s="1818"/>
      <c r="BH925" s="1818"/>
      <c r="BI925" s="1818"/>
      <c r="BJ925" s="1818"/>
      <c r="BK925" s="1818"/>
      <c r="BL925" s="1818"/>
      <c r="BM925" s="1818"/>
      <c r="BN925" s="1818"/>
      <c r="BO925" s="1818"/>
      <c r="BP925" s="1818"/>
      <c r="BQ925" s="1818"/>
      <c r="BR925" s="1818"/>
      <c r="BS925" s="1818"/>
      <c r="BT925" s="1818"/>
      <c r="BU925" s="1818"/>
      <c r="BV925" s="1818"/>
      <c r="BW925" s="1818"/>
      <c r="BX925" s="1818"/>
      <c r="BY925" s="1818"/>
      <c r="BZ925" s="1818"/>
      <c r="CA925" s="1818"/>
      <c r="CB925" s="1818"/>
      <c r="CC925" s="1818"/>
      <c r="CD925" s="1818"/>
      <c r="CE925" s="1818"/>
      <c r="CF925" s="1818"/>
      <c r="CG925" s="1818"/>
      <c r="CH925" s="1818"/>
      <c r="CI925" s="1818"/>
      <c r="CJ925" s="1818"/>
      <c r="CK925" s="1818"/>
      <c r="CL925" s="1818"/>
      <c r="CM925" s="1818"/>
      <c r="CN925" s="1818"/>
      <c r="CO925" s="1818"/>
      <c r="CP925" s="1818"/>
      <c r="CQ925" s="1818"/>
      <c r="CR925" s="1818"/>
      <c r="CS925" s="1818"/>
      <c r="CT925" s="1818"/>
      <c r="CU925" s="1818"/>
      <c r="CV925" s="1818"/>
      <c r="CW925" s="1818"/>
      <c r="CX925" s="1818"/>
      <c r="CY925" s="1818"/>
      <c r="CZ925" s="1818"/>
      <c r="DA925" s="1818"/>
      <c r="DB925" s="1818"/>
      <c r="DC925" s="1818"/>
      <c r="DD925" s="1818"/>
      <c r="DE925" s="1818"/>
      <c r="DF925" s="1818"/>
      <c r="DG925" s="1818"/>
      <c r="DH925" s="1818"/>
      <c r="DI925" s="1818"/>
      <c r="DJ925" s="1818"/>
      <c r="DK925" s="1818"/>
      <c r="DL925" s="1818"/>
      <c r="DM925" s="1818"/>
      <c r="DN925" s="1818"/>
      <c r="DO925" s="1818"/>
      <c r="DP925" s="1818"/>
      <c r="DQ925" s="1818"/>
      <c r="DR925" s="1818"/>
      <c r="DS925" s="1818"/>
      <c r="DT925" s="1818"/>
      <c r="DU925" s="1818"/>
      <c r="DV925" s="1818"/>
      <c r="DW925" s="1818"/>
      <c r="DX925" s="1818"/>
      <c r="DY925" s="1818"/>
      <c r="DZ925" s="1818"/>
      <c r="EA925" s="1818"/>
      <c r="EB925" s="1818"/>
      <c r="EC925" s="1818"/>
      <c r="ED925" s="1818"/>
      <c r="EE925" s="1818"/>
      <c r="EF925" s="1818"/>
      <c r="EG925" s="1818"/>
      <c r="EH925" s="1818"/>
      <c r="EI925" s="1818"/>
      <c r="EJ925" s="1818"/>
      <c r="EK925" s="1818"/>
      <c r="EL925" s="1818"/>
      <c r="EM925" s="1818"/>
      <c r="EN925" s="1818"/>
      <c r="EO925" s="1818"/>
      <c r="EP925" s="1818"/>
      <c r="EQ925" s="1818"/>
      <c r="ER925" s="1818"/>
      <c r="ES925" s="1818"/>
      <c r="ET925" s="1818"/>
      <c r="EU925" s="1818"/>
      <c r="EV925" s="1818"/>
      <c r="EW925" s="1818"/>
      <c r="EX925" s="1818"/>
      <c r="EY925" s="1818"/>
      <c r="EZ925" s="1818"/>
      <c r="FA925" s="1818"/>
      <c r="FB925" s="1818"/>
      <c r="FC925" s="1818"/>
      <c r="FD925" s="1818"/>
      <c r="FE925" s="1818"/>
      <c r="FF925" s="1818"/>
      <c r="FG925" s="1818"/>
      <c r="FH925" s="1818"/>
      <c r="FI925" s="1818"/>
      <c r="FJ925" s="1818"/>
      <c r="FK925" s="1818"/>
      <c r="FL925" s="1818"/>
      <c r="FM925" s="1818"/>
      <c r="FN925" s="1818"/>
      <c r="FO925" s="1818"/>
      <c r="FP925" s="1818"/>
      <c r="FQ925" s="1818"/>
      <c r="FR925" s="1818"/>
      <c r="FS925" s="1818"/>
      <c r="FT925" s="1818"/>
    </row>
    <row r="926" spans="1:176" s="1818" customFormat="1" ht="32.1" customHeight="1">
      <c r="A926" s="2535"/>
      <c r="B926" s="1819"/>
      <c r="C926" s="1813"/>
      <c r="D926" s="1813"/>
      <c r="E926" s="1813"/>
      <c r="F926" s="1813"/>
      <c r="G926" s="1813"/>
      <c r="H926" s="1813"/>
      <c r="I926" s="2434"/>
      <c r="J926" s="2244"/>
      <c r="K926" s="2244"/>
      <c r="L926" s="2244"/>
      <c r="M926" s="2244"/>
      <c r="N926" s="2244"/>
      <c r="O926" s="2244"/>
      <c r="P926" s="2245"/>
      <c r="Q926" s="2245"/>
      <c r="R926" s="1965"/>
      <c r="S926" s="2244"/>
      <c r="T926" s="2244"/>
      <c r="U926" s="2244"/>
      <c r="V926" s="2244"/>
      <c r="W926" s="2244"/>
      <c r="X926" s="2244"/>
    </row>
    <row r="927" spans="1:176" s="1818" customFormat="1" ht="32.1" customHeight="1">
      <c r="A927" s="2535"/>
      <c r="B927" s="1819"/>
      <c r="C927" s="1813"/>
      <c r="D927" s="1813"/>
      <c r="E927" s="1813"/>
      <c r="F927" s="1813"/>
      <c r="G927" s="1813"/>
      <c r="H927" s="1813"/>
      <c r="I927" s="2434"/>
      <c r="J927" s="2244"/>
      <c r="K927" s="2244"/>
      <c r="L927" s="2244"/>
      <c r="M927" s="2244"/>
      <c r="N927" s="2244"/>
      <c r="O927" s="2244"/>
      <c r="P927" s="2245"/>
      <c r="Q927" s="2245"/>
      <c r="R927" s="1965"/>
      <c r="S927" s="2244"/>
      <c r="T927" s="2244"/>
      <c r="U927" s="2244"/>
      <c r="V927" s="2244"/>
      <c r="W927" s="2244"/>
      <c r="X927" s="2244"/>
    </row>
    <row r="928" spans="1:176" s="1818" customFormat="1" ht="32.1" customHeight="1">
      <c r="A928" s="2535"/>
      <c r="B928" s="1819"/>
      <c r="C928" s="1813"/>
      <c r="D928" s="1813"/>
      <c r="E928" s="1813"/>
      <c r="F928" s="1813"/>
      <c r="G928" s="1813"/>
      <c r="H928" s="1813"/>
      <c r="I928" s="2434"/>
      <c r="J928" s="2244"/>
      <c r="K928" s="2244"/>
      <c r="L928" s="2244"/>
      <c r="M928" s="2244"/>
      <c r="N928" s="2244"/>
      <c r="O928" s="2244"/>
      <c r="P928" s="2245"/>
      <c r="Q928" s="2245"/>
      <c r="R928" s="1965"/>
      <c r="S928" s="2244"/>
      <c r="T928" s="2244"/>
      <c r="U928" s="2244"/>
      <c r="V928" s="2244"/>
      <c r="W928" s="2244"/>
      <c r="X928" s="2244"/>
    </row>
    <row r="929" spans="1:24" s="1818" customFormat="1" ht="32.1" customHeight="1">
      <c r="A929" s="2535"/>
      <c r="B929" s="1819"/>
      <c r="C929" s="1813"/>
      <c r="D929" s="1813"/>
      <c r="E929" s="1813"/>
      <c r="F929" s="1813"/>
      <c r="G929" s="1813"/>
      <c r="H929" s="1813"/>
      <c r="I929" s="2434"/>
      <c r="J929" s="2244"/>
      <c r="K929" s="2244"/>
      <c r="L929" s="2244"/>
      <c r="M929" s="2244"/>
      <c r="N929" s="2244"/>
      <c r="O929" s="2244"/>
      <c r="P929" s="2245"/>
      <c r="Q929" s="2245"/>
      <c r="R929" s="1965"/>
      <c r="S929" s="2244"/>
      <c r="T929" s="2244"/>
      <c r="U929" s="2244"/>
      <c r="V929" s="2244"/>
      <c r="W929" s="2244"/>
      <c r="X929" s="2244"/>
    </row>
    <row r="930" spans="1:24" s="1818" customFormat="1" ht="32.1" customHeight="1">
      <c r="A930" s="2535"/>
      <c r="B930" s="1819"/>
      <c r="C930" s="1813"/>
      <c r="D930" s="1813"/>
      <c r="E930" s="1813"/>
      <c r="F930" s="1813"/>
      <c r="G930" s="1813"/>
      <c r="H930" s="1813"/>
      <c r="I930" s="2434"/>
      <c r="J930" s="2244"/>
      <c r="K930" s="2244"/>
      <c r="L930" s="2244"/>
      <c r="M930" s="2244"/>
      <c r="N930" s="2244"/>
      <c r="O930" s="2244"/>
      <c r="P930" s="2245"/>
      <c r="Q930" s="2245"/>
      <c r="R930" s="1965"/>
      <c r="S930" s="2244"/>
      <c r="T930" s="2244"/>
      <c r="U930" s="2244"/>
      <c r="V930" s="2244"/>
      <c r="W930" s="2244"/>
      <c r="X930" s="2244"/>
    </row>
    <row r="931" spans="1:24" s="1818" customFormat="1" ht="32.1" customHeight="1">
      <c r="A931" s="2535"/>
      <c r="B931" s="1819"/>
      <c r="C931" s="1813"/>
      <c r="D931" s="1813"/>
      <c r="E931" s="1813"/>
      <c r="F931" s="1813"/>
      <c r="G931" s="1813"/>
      <c r="H931" s="1813"/>
      <c r="I931" s="2434"/>
      <c r="J931" s="2244"/>
      <c r="K931" s="2244"/>
      <c r="L931" s="2244"/>
      <c r="M931" s="2244"/>
      <c r="N931" s="2244"/>
      <c r="O931" s="2244"/>
      <c r="P931" s="2245"/>
      <c r="Q931" s="2245"/>
      <c r="R931" s="1965"/>
      <c r="S931" s="2244"/>
      <c r="T931" s="2244"/>
      <c r="U931" s="2244"/>
      <c r="V931" s="2244"/>
      <c r="W931" s="2244"/>
      <c r="X931" s="2244"/>
    </row>
    <row r="932" spans="1:24" s="1818" customFormat="1" ht="32.1" customHeight="1">
      <c r="A932" s="2535"/>
      <c r="B932" s="1819"/>
      <c r="C932" s="1813"/>
      <c r="D932" s="1813"/>
      <c r="E932" s="1813"/>
      <c r="F932" s="1813"/>
      <c r="G932" s="1813"/>
      <c r="H932" s="1813"/>
      <c r="I932" s="2434"/>
      <c r="J932" s="2244"/>
      <c r="K932" s="2244"/>
      <c r="L932" s="2244"/>
      <c r="M932" s="2244"/>
      <c r="N932" s="2244"/>
      <c r="O932" s="2244"/>
      <c r="P932" s="2245"/>
      <c r="Q932" s="2245"/>
      <c r="R932" s="1965"/>
      <c r="S932" s="2244"/>
      <c r="T932" s="2244"/>
      <c r="U932" s="2244"/>
      <c r="V932" s="2244"/>
      <c r="W932" s="2244"/>
      <c r="X932" s="2244"/>
    </row>
    <row r="933" spans="1:24" s="1818" customFormat="1" ht="32.1" customHeight="1">
      <c r="A933" s="2535"/>
      <c r="B933" s="1819"/>
      <c r="C933" s="1813"/>
      <c r="D933" s="1813"/>
      <c r="E933" s="1813"/>
      <c r="F933" s="1813"/>
      <c r="G933" s="1813"/>
      <c r="H933" s="1813"/>
      <c r="I933" s="2434"/>
      <c r="J933" s="2244"/>
      <c r="K933" s="2244"/>
      <c r="L933" s="2244"/>
      <c r="M933" s="2244"/>
      <c r="N933" s="2244"/>
      <c r="O933" s="2244"/>
      <c r="P933" s="2245"/>
      <c r="Q933" s="2245"/>
      <c r="R933" s="1965"/>
      <c r="S933" s="2244"/>
      <c r="T933" s="2244"/>
      <c r="U933" s="2244"/>
      <c r="V933" s="2244"/>
      <c r="W933" s="2244"/>
      <c r="X933" s="2244"/>
    </row>
    <row r="934" spans="1:24" s="1818" customFormat="1" ht="32.1" customHeight="1">
      <c r="A934" s="2535"/>
      <c r="B934" s="1819"/>
      <c r="C934" s="1813"/>
      <c r="D934" s="1813"/>
      <c r="E934" s="1813"/>
      <c r="F934" s="1813"/>
      <c r="G934" s="1813"/>
      <c r="H934" s="1813"/>
      <c r="I934" s="2434"/>
      <c r="J934" s="2244"/>
      <c r="K934" s="2244"/>
      <c r="L934" s="2244"/>
      <c r="M934" s="2244"/>
      <c r="N934" s="2244"/>
      <c r="O934" s="2244"/>
      <c r="P934" s="2245"/>
      <c r="Q934" s="2245"/>
      <c r="R934" s="1965"/>
      <c r="S934" s="2244"/>
      <c r="T934" s="2244"/>
      <c r="U934" s="2244"/>
      <c r="V934" s="2244"/>
      <c r="W934" s="2244"/>
      <c r="X934" s="2244"/>
    </row>
    <row r="935" spans="1:24" s="1818" customFormat="1" ht="32.1" customHeight="1">
      <c r="A935" s="2535"/>
      <c r="B935" s="1819"/>
      <c r="C935" s="1813"/>
      <c r="D935" s="1813"/>
      <c r="E935" s="1813"/>
      <c r="F935" s="1813"/>
      <c r="G935" s="1813"/>
      <c r="H935" s="1813"/>
      <c r="I935" s="2434"/>
      <c r="J935" s="2244"/>
      <c r="K935" s="2244"/>
      <c r="L935" s="2244"/>
      <c r="M935" s="2244"/>
      <c r="N935" s="2244"/>
      <c r="O935" s="2244"/>
      <c r="P935" s="2245"/>
      <c r="Q935" s="2245"/>
      <c r="R935" s="1965"/>
      <c r="S935" s="2244"/>
      <c r="T935" s="2244"/>
      <c r="U935" s="2244"/>
      <c r="V935" s="2244"/>
      <c r="W935" s="2244"/>
      <c r="X935" s="2244"/>
    </row>
    <row r="936" spans="1:24" s="1818" customFormat="1" ht="32.1" customHeight="1">
      <c r="A936" s="2535"/>
      <c r="B936" s="1819"/>
      <c r="C936" s="1813"/>
      <c r="D936" s="1813"/>
      <c r="E936" s="1813"/>
      <c r="F936" s="1813"/>
      <c r="G936" s="1813"/>
      <c r="H936" s="1813"/>
      <c r="I936" s="2434"/>
      <c r="J936" s="2244"/>
      <c r="K936" s="2244"/>
      <c r="L936" s="2244"/>
      <c r="M936" s="2244"/>
      <c r="N936" s="2244"/>
      <c r="O936" s="2244"/>
      <c r="P936" s="2245"/>
      <c r="Q936" s="2245"/>
      <c r="R936" s="1965"/>
      <c r="S936" s="2244"/>
      <c r="T936" s="2244"/>
      <c r="U936" s="2244"/>
      <c r="V936" s="2244"/>
      <c r="W936" s="2244"/>
      <c r="X936" s="2244"/>
    </row>
    <row r="937" spans="1:24" s="1818" customFormat="1" ht="32.1" customHeight="1">
      <c r="A937" s="2535"/>
      <c r="B937" s="1819"/>
      <c r="C937" s="1813"/>
      <c r="D937" s="1813"/>
      <c r="E937" s="1813"/>
      <c r="F937" s="1813"/>
      <c r="G937" s="1813"/>
      <c r="H937" s="1813"/>
      <c r="I937" s="2434"/>
      <c r="J937" s="2244"/>
      <c r="K937" s="2244"/>
      <c r="L937" s="2244"/>
      <c r="M937" s="2244"/>
      <c r="N937" s="2244"/>
      <c r="O937" s="2244"/>
      <c r="P937" s="2245"/>
      <c r="Q937" s="2245"/>
      <c r="R937" s="1965"/>
      <c r="S937" s="2244"/>
      <c r="T937" s="2244"/>
      <c r="U937" s="2244"/>
      <c r="V937" s="2244"/>
      <c r="W937" s="2244"/>
      <c r="X937" s="2244"/>
    </row>
    <row r="938" spans="1:24" s="1818" customFormat="1" ht="32.1" customHeight="1">
      <c r="A938" s="2535"/>
      <c r="B938" s="1819"/>
      <c r="C938" s="1813"/>
      <c r="D938" s="1813"/>
      <c r="E938" s="1813"/>
      <c r="F938" s="1813"/>
      <c r="G938" s="1813"/>
      <c r="H938" s="1813"/>
      <c r="I938" s="2434"/>
      <c r="J938" s="2244"/>
      <c r="K938" s="2244"/>
      <c r="L938" s="2244"/>
      <c r="M938" s="2244"/>
      <c r="N938" s="2244"/>
      <c r="O938" s="2244"/>
      <c r="P938" s="2245"/>
      <c r="Q938" s="2245"/>
      <c r="R938" s="1965"/>
      <c r="S938" s="2244"/>
      <c r="T938" s="2244"/>
      <c r="U938" s="2244"/>
      <c r="V938" s="2244"/>
      <c r="W938" s="2244"/>
      <c r="X938" s="2244"/>
    </row>
    <row r="939" spans="1:24" s="1818" customFormat="1" ht="32.1" customHeight="1">
      <c r="A939" s="2535"/>
      <c r="B939" s="1819"/>
      <c r="C939" s="1813"/>
      <c r="D939" s="1813"/>
      <c r="E939" s="1813"/>
      <c r="F939" s="1813"/>
      <c r="G939" s="1813"/>
      <c r="H939" s="1813"/>
      <c r="I939" s="2434"/>
      <c r="J939" s="2244"/>
      <c r="K939" s="2244"/>
      <c r="L939" s="2244"/>
      <c r="M939" s="2244"/>
      <c r="N939" s="2244"/>
      <c r="O939" s="2244"/>
      <c r="P939" s="2245"/>
      <c r="Q939" s="2245"/>
      <c r="R939" s="1965"/>
      <c r="S939" s="2244"/>
      <c r="T939" s="2244"/>
      <c r="U939" s="2244"/>
      <c r="V939" s="2244"/>
      <c r="W939" s="2244"/>
      <c r="X939" s="2244"/>
    </row>
    <row r="940" spans="1:24" s="1818" customFormat="1" ht="32.1" customHeight="1">
      <c r="A940" s="2535"/>
      <c r="B940" s="1819"/>
      <c r="C940" s="1813"/>
      <c r="D940" s="1813"/>
      <c r="E940" s="1813"/>
      <c r="F940" s="1813"/>
      <c r="G940" s="1813"/>
      <c r="H940" s="1813"/>
      <c r="I940" s="2434"/>
      <c r="J940" s="2244"/>
      <c r="K940" s="2244"/>
      <c r="L940" s="2244"/>
      <c r="M940" s="2244"/>
      <c r="N940" s="2244"/>
      <c r="O940" s="2244"/>
      <c r="P940" s="2245"/>
      <c r="Q940" s="2245"/>
      <c r="R940" s="1965"/>
      <c r="S940" s="2244"/>
      <c r="T940" s="2244"/>
      <c r="U940" s="2244"/>
      <c r="V940" s="2244"/>
      <c r="W940" s="2244"/>
      <c r="X940" s="2244"/>
    </row>
    <row r="941" spans="1:24" s="1818" customFormat="1" ht="32.1" customHeight="1">
      <c r="A941" s="2535"/>
      <c r="B941" s="1819"/>
      <c r="C941" s="1813"/>
      <c r="D941" s="1813"/>
      <c r="E941" s="1813"/>
      <c r="F941" s="1813"/>
      <c r="G941" s="1813"/>
      <c r="H941" s="1813"/>
      <c r="I941" s="2434"/>
      <c r="J941" s="2244"/>
      <c r="K941" s="2244"/>
      <c r="L941" s="2244"/>
      <c r="M941" s="2244"/>
      <c r="N941" s="2244"/>
      <c r="O941" s="2244"/>
      <c r="P941" s="2245"/>
      <c r="Q941" s="2245"/>
      <c r="R941" s="1965"/>
      <c r="S941" s="2244"/>
      <c r="T941" s="2244"/>
      <c r="U941" s="2244"/>
      <c r="V941" s="2244"/>
      <c r="W941" s="2244"/>
      <c r="X941" s="2244"/>
    </row>
    <row r="942" spans="1:24" s="1818" customFormat="1" ht="32.1" customHeight="1">
      <c r="A942" s="2535"/>
      <c r="B942" s="1819"/>
      <c r="C942" s="1813"/>
      <c r="D942" s="1813"/>
      <c r="E942" s="1813"/>
      <c r="F942" s="1813"/>
      <c r="G942" s="1813"/>
      <c r="H942" s="1813"/>
      <c r="I942" s="2434"/>
      <c r="J942" s="2244"/>
      <c r="K942" s="2244"/>
      <c r="L942" s="2244"/>
      <c r="M942" s="2244"/>
      <c r="N942" s="2244"/>
      <c r="O942" s="2244"/>
      <c r="P942" s="2245"/>
      <c r="Q942" s="2245"/>
      <c r="R942" s="1965"/>
      <c r="S942" s="2244"/>
      <c r="T942" s="2244"/>
      <c r="U942" s="2244"/>
      <c r="V942" s="2244"/>
      <c r="W942" s="2244"/>
      <c r="X942" s="2244"/>
    </row>
    <row r="943" spans="1:24" s="1818" customFormat="1" ht="32.1" customHeight="1">
      <c r="A943" s="2535"/>
      <c r="B943" s="1819"/>
      <c r="C943" s="1813"/>
      <c r="D943" s="1813"/>
      <c r="E943" s="1813"/>
      <c r="F943" s="1813"/>
      <c r="G943" s="1813"/>
      <c r="H943" s="1813"/>
      <c r="I943" s="2434"/>
      <c r="J943" s="2244"/>
      <c r="K943" s="2244"/>
      <c r="L943" s="2244"/>
      <c r="M943" s="2244"/>
      <c r="N943" s="2244"/>
      <c r="O943" s="2244"/>
      <c r="P943" s="2245"/>
      <c r="Q943" s="2245"/>
      <c r="R943" s="1965"/>
      <c r="S943" s="2244"/>
      <c r="T943" s="2244"/>
      <c r="U943" s="2244"/>
      <c r="V943" s="2244"/>
      <c r="W943" s="2244"/>
      <c r="X943" s="2244"/>
    </row>
    <row r="944" spans="1:24" s="1818" customFormat="1" ht="32.1" customHeight="1">
      <c r="A944" s="2535"/>
      <c r="B944" s="1819"/>
      <c r="C944" s="1813"/>
      <c r="D944" s="1813"/>
      <c r="E944" s="1813"/>
      <c r="F944" s="1813"/>
      <c r="G944" s="1813"/>
      <c r="H944" s="1813"/>
      <c r="I944" s="2434"/>
      <c r="J944" s="2244"/>
      <c r="K944" s="2244"/>
      <c r="L944" s="2244"/>
      <c r="M944" s="2244"/>
      <c r="N944" s="2244"/>
      <c r="O944" s="2244"/>
      <c r="P944" s="2245"/>
      <c r="Q944" s="2245"/>
      <c r="R944" s="1965"/>
      <c r="S944" s="2244"/>
      <c r="T944" s="2244"/>
      <c r="U944" s="2244"/>
      <c r="V944" s="2244"/>
      <c r="W944" s="2244"/>
      <c r="X944" s="2244"/>
    </row>
    <row r="945" spans="1:24" s="1818" customFormat="1" ht="32.1" customHeight="1">
      <c r="A945" s="2535"/>
      <c r="B945" s="1819"/>
      <c r="C945" s="1813"/>
      <c r="D945" s="1813"/>
      <c r="E945" s="1813"/>
      <c r="F945" s="1813"/>
      <c r="G945" s="1813"/>
      <c r="H945" s="1813"/>
      <c r="I945" s="2434"/>
      <c r="J945" s="2244"/>
      <c r="K945" s="2244"/>
      <c r="L945" s="2244"/>
      <c r="M945" s="2244"/>
      <c r="N945" s="2244"/>
      <c r="O945" s="2244"/>
      <c r="P945" s="2245"/>
      <c r="Q945" s="2245"/>
      <c r="R945" s="1965"/>
      <c r="S945" s="2244"/>
      <c r="T945" s="2244"/>
      <c r="U945" s="2244"/>
      <c r="V945" s="2244"/>
      <c r="W945" s="2244"/>
      <c r="X945" s="2244"/>
    </row>
    <row r="946" spans="1:24" s="1818" customFormat="1" ht="32.1" customHeight="1">
      <c r="A946" s="2535"/>
      <c r="B946" s="1819"/>
      <c r="C946" s="1813"/>
      <c r="D946" s="1813"/>
      <c r="E946" s="1813"/>
      <c r="F946" s="1813"/>
      <c r="G946" s="1813"/>
      <c r="H946" s="1813"/>
      <c r="I946" s="2434"/>
      <c r="J946" s="2244"/>
      <c r="K946" s="2244"/>
      <c r="L946" s="2244"/>
      <c r="M946" s="2244"/>
      <c r="N946" s="2244"/>
      <c r="O946" s="2244"/>
      <c r="P946" s="2245"/>
      <c r="Q946" s="2245"/>
      <c r="R946" s="1965"/>
      <c r="S946" s="2244"/>
      <c r="T946" s="2244"/>
      <c r="U946" s="2244"/>
      <c r="V946" s="2244"/>
      <c r="W946" s="2244"/>
      <c r="X946" s="2244"/>
    </row>
    <row r="947" spans="1:24" s="1818" customFormat="1" ht="32.1" customHeight="1">
      <c r="A947" s="2535"/>
      <c r="B947" s="1819"/>
      <c r="C947" s="1813"/>
      <c r="D947" s="1813"/>
      <c r="E947" s="1813"/>
      <c r="F947" s="1813"/>
      <c r="G947" s="1813"/>
      <c r="H947" s="1813"/>
      <c r="I947" s="2434"/>
      <c r="J947" s="2244"/>
      <c r="K947" s="2244"/>
      <c r="L947" s="2244"/>
      <c r="M947" s="2244"/>
      <c r="N947" s="2244"/>
      <c r="O947" s="2244"/>
      <c r="P947" s="2245"/>
      <c r="Q947" s="2245"/>
      <c r="R947" s="1965"/>
      <c r="S947" s="2244"/>
      <c r="T947" s="2244"/>
      <c r="U947" s="2244"/>
      <c r="V947" s="2244"/>
      <c r="W947" s="2244"/>
      <c r="X947" s="2244"/>
    </row>
    <row r="948" spans="1:24" s="1818" customFormat="1" ht="32.1" customHeight="1">
      <c r="A948" s="2535"/>
      <c r="B948" s="1819"/>
      <c r="C948" s="1813"/>
      <c r="D948" s="1813"/>
      <c r="E948" s="1813"/>
      <c r="F948" s="1813"/>
      <c r="G948" s="1813"/>
      <c r="H948" s="1813"/>
      <c r="I948" s="2434"/>
      <c r="J948" s="2244"/>
      <c r="K948" s="2244"/>
      <c r="L948" s="2244"/>
      <c r="M948" s="2244"/>
      <c r="N948" s="2244"/>
      <c r="O948" s="2244"/>
      <c r="P948" s="2245"/>
      <c r="Q948" s="2245"/>
      <c r="R948" s="1965"/>
      <c r="S948" s="2244"/>
      <c r="T948" s="2244"/>
      <c r="U948" s="2244"/>
      <c r="V948" s="2244"/>
      <c r="W948" s="2244"/>
      <c r="X948" s="2244"/>
    </row>
    <row r="949" spans="1:24" s="1818" customFormat="1" ht="32.1" customHeight="1">
      <c r="A949" s="2535"/>
      <c r="B949" s="1819"/>
      <c r="C949" s="1813"/>
      <c r="D949" s="1813"/>
      <c r="E949" s="1813"/>
      <c r="F949" s="1813"/>
      <c r="G949" s="1813"/>
      <c r="H949" s="1813"/>
      <c r="I949" s="2434"/>
      <c r="J949" s="2244"/>
      <c r="K949" s="2244"/>
      <c r="L949" s="2244"/>
      <c r="M949" s="2244"/>
      <c r="N949" s="2244"/>
      <c r="O949" s="2244"/>
      <c r="P949" s="2245"/>
      <c r="Q949" s="2245"/>
      <c r="R949" s="1965"/>
      <c r="S949" s="2244"/>
      <c r="T949" s="2244"/>
      <c r="U949" s="2244"/>
      <c r="V949" s="2244"/>
      <c r="W949" s="2244"/>
      <c r="X949" s="2244"/>
    </row>
    <row r="950" spans="1:24" s="1818" customFormat="1" ht="32.1" customHeight="1">
      <c r="A950" s="2535"/>
      <c r="B950" s="1819"/>
      <c r="C950" s="1813"/>
      <c r="D950" s="1813"/>
      <c r="E950" s="1813"/>
      <c r="F950" s="1813"/>
      <c r="G950" s="1813"/>
      <c r="H950" s="1813"/>
      <c r="I950" s="2434"/>
      <c r="J950" s="2244"/>
      <c r="K950" s="2244"/>
      <c r="L950" s="2244"/>
      <c r="M950" s="2244"/>
      <c r="N950" s="2244"/>
      <c r="O950" s="2244"/>
      <c r="P950" s="2245"/>
      <c r="Q950" s="2245"/>
      <c r="R950" s="1965"/>
      <c r="S950" s="2244"/>
      <c r="T950" s="2244"/>
      <c r="U950" s="2244"/>
      <c r="V950" s="2244"/>
      <c r="W950" s="2244"/>
      <c r="X950" s="2244"/>
    </row>
    <row r="951" spans="1:24" s="1818" customFormat="1" ht="32.1" customHeight="1">
      <c r="A951" s="2535"/>
      <c r="B951" s="1819"/>
      <c r="C951" s="1813"/>
      <c r="D951" s="1813"/>
      <c r="E951" s="1813"/>
      <c r="F951" s="1813"/>
      <c r="G951" s="1813"/>
      <c r="H951" s="1813"/>
      <c r="I951" s="2434"/>
      <c r="J951" s="2244"/>
      <c r="K951" s="2244"/>
      <c r="L951" s="2244"/>
      <c r="M951" s="2244"/>
      <c r="N951" s="2244"/>
      <c r="O951" s="2244"/>
      <c r="P951" s="2245"/>
      <c r="Q951" s="2245"/>
      <c r="R951" s="1965"/>
      <c r="S951" s="2244"/>
      <c r="T951" s="2244"/>
      <c r="U951" s="2244"/>
      <c r="V951" s="2244"/>
      <c r="W951" s="2244"/>
      <c r="X951" s="2244"/>
    </row>
    <row r="952" spans="1:24" s="1818" customFormat="1" ht="32.1" customHeight="1">
      <c r="A952" s="2535"/>
      <c r="B952" s="1819"/>
      <c r="C952" s="1813"/>
      <c r="D952" s="1813"/>
      <c r="E952" s="1813"/>
      <c r="F952" s="1813"/>
      <c r="G952" s="1813"/>
      <c r="H952" s="1813"/>
      <c r="I952" s="2434"/>
      <c r="J952" s="2244"/>
      <c r="K952" s="2244"/>
      <c r="L952" s="2244"/>
      <c r="M952" s="2244"/>
      <c r="N952" s="2244"/>
      <c r="O952" s="2244"/>
      <c r="P952" s="2245"/>
      <c r="Q952" s="2245"/>
      <c r="R952" s="1965"/>
      <c r="S952" s="2244"/>
      <c r="T952" s="2244"/>
      <c r="U952" s="2244"/>
      <c r="V952" s="2244"/>
      <c r="W952" s="2244"/>
      <c r="X952" s="2244"/>
    </row>
    <row r="953" spans="1:24" s="1818" customFormat="1" ht="32.1" customHeight="1">
      <c r="A953" s="2535"/>
      <c r="B953" s="1819"/>
      <c r="C953" s="1813"/>
      <c r="D953" s="1813"/>
      <c r="E953" s="1813"/>
      <c r="F953" s="1813"/>
      <c r="G953" s="1813"/>
      <c r="H953" s="1813"/>
      <c r="I953" s="2434"/>
      <c r="J953" s="2244"/>
      <c r="K953" s="2244"/>
      <c r="L953" s="2244"/>
      <c r="M953" s="2244"/>
      <c r="N953" s="2244"/>
      <c r="O953" s="2244"/>
      <c r="P953" s="2245"/>
      <c r="Q953" s="2245"/>
      <c r="R953" s="1965"/>
      <c r="S953" s="2244"/>
      <c r="T953" s="2244"/>
      <c r="U953" s="2244"/>
      <c r="V953" s="2244"/>
      <c r="W953" s="2244"/>
      <c r="X953" s="2244"/>
    </row>
    <row r="954" spans="1:24" s="1818" customFormat="1" ht="32.1" customHeight="1">
      <c r="A954" s="2535"/>
      <c r="B954" s="1819"/>
      <c r="C954" s="1813"/>
      <c r="D954" s="1813"/>
      <c r="E954" s="1813"/>
      <c r="F954" s="1813"/>
      <c r="G954" s="1813"/>
      <c r="H954" s="1813"/>
      <c r="I954" s="2434"/>
      <c r="J954" s="2244"/>
      <c r="K954" s="2244"/>
      <c r="L954" s="2244"/>
      <c r="M954" s="2244"/>
      <c r="N954" s="2244"/>
      <c r="O954" s="2244"/>
      <c r="P954" s="2245"/>
      <c r="Q954" s="2245"/>
      <c r="R954" s="1965"/>
      <c r="S954" s="2244"/>
      <c r="T954" s="2244"/>
      <c r="U954" s="2244"/>
      <c r="V954" s="2244"/>
      <c r="W954" s="2244"/>
      <c r="X954" s="2244"/>
    </row>
    <row r="955" spans="1:24" s="1818" customFormat="1" ht="32.1" customHeight="1">
      <c r="A955" s="2535"/>
      <c r="B955" s="1819"/>
      <c r="C955" s="1813"/>
      <c r="D955" s="1813"/>
      <c r="E955" s="1813"/>
      <c r="F955" s="1813"/>
      <c r="G955" s="1813"/>
      <c r="H955" s="1813"/>
      <c r="I955" s="2434"/>
      <c r="J955" s="2244"/>
      <c r="K955" s="2244"/>
      <c r="L955" s="2244"/>
      <c r="M955" s="2244"/>
      <c r="N955" s="2244"/>
      <c r="O955" s="2244"/>
      <c r="P955" s="2245"/>
      <c r="Q955" s="2245"/>
      <c r="R955" s="1965"/>
      <c r="S955" s="2244"/>
      <c r="T955" s="2244"/>
      <c r="U955" s="2244"/>
      <c r="V955" s="2244"/>
      <c r="W955" s="2244"/>
      <c r="X955" s="2244"/>
    </row>
    <row r="956" spans="1:24" s="1818" customFormat="1" ht="32.1" customHeight="1">
      <c r="A956" s="2535"/>
      <c r="B956" s="1819"/>
      <c r="C956" s="1813"/>
      <c r="D956" s="1813"/>
      <c r="E956" s="1813"/>
      <c r="F956" s="1813"/>
      <c r="G956" s="1813"/>
      <c r="H956" s="1813"/>
      <c r="I956" s="2434"/>
      <c r="J956" s="2244"/>
      <c r="K956" s="2244"/>
      <c r="L956" s="2244"/>
      <c r="M956" s="2244"/>
      <c r="N956" s="2244"/>
      <c r="O956" s="2244"/>
      <c r="P956" s="2245"/>
      <c r="Q956" s="2245"/>
      <c r="R956" s="1965"/>
      <c r="S956" s="2244"/>
      <c r="T956" s="2244"/>
      <c r="U956" s="2244"/>
      <c r="V956" s="2244"/>
      <c r="W956" s="2244"/>
      <c r="X956" s="2244"/>
    </row>
    <row r="957" spans="1:24" s="1818" customFormat="1" ht="32.1" customHeight="1">
      <c r="A957" s="2535"/>
      <c r="B957" s="1819"/>
      <c r="C957" s="1813"/>
      <c r="D957" s="1813"/>
      <c r="E957" s="1813"/>
      <c r="F957" s="1813"/>
      <c r="G957" s="1813"/>
      <c r="H957" s="1813"/>
      <c r="I957" s="2434"/>
      <c r="J957" s="2244"/>
      <c r="K957" s="2244"/>
      <c r="L957" s="2244"/>
      <c r="M957" s="2244"/>
      <c r="N957" s="2244"/>
      <c r="O957" s="2244"/>
      <c r="P957" s="2245"/>
      <c r="Q957" s="2245"/>
      <c r="R957" s="1965"/>
      <c r="S957" s="2244"/>
      <c r="T957" s="2244"/>
      <c r="U957" s="2244"/>
      <c r="V957" s="2244"/>
      <c r="W957" s="2244"/>
      <c r="X957" s="2244"/>
    </row>
    <row r="958" spans="1:24" s="1818" customFormat="1" ht="32.1" customHeight="1">
      <c r="A958" s="2535"/>
      <c r="B958" s="1819"/>
      <c r="C958" s="1813"/>
      <c r="D958" s="1813"/>
      <c r="E958" s="1813"/>
      <c r="F958" s="1813"/>
      <c r="G958" s="1813"/>
      <c r="H958" s="1813"/>
      <c r="I958" s="2434"/>
      <c r="J958" s="2244"/>
      <c r="K958" s="2244"/>
      <c r="L958" s="2244"/>
      <c r="M958" s="2244"/>
      <c r="N958" s="2244"/>
      <c r="O958" s="2244"/>
      <c r="P958" s="2245"/>
      <c r="Q958" s="2245"/>
      <c r="R958" s="1965"/>
      <c r="S958" s="2244"/>
      <c r="T958" s="2244"/>
      <c r="U958" s="2244"/>
      <c r="V958" s="2244"/>
      <c r="W958" s="2244"/>
      <c r="X958" s="2244"/>
    </row>
    <row r="959" spans="1:24" s="1818" customFormat="1" ht="32.1" customHeight="1">
      <c r="A959" s="2535"/>
      <c r="B959" s="1819"/>
      <c r="C959" s="1813"/>
      <c r="D959" s="1813"/>
      <c r="E959" s="1813"/>
      <c r="F959" s="1813"/>
      <c r="G959" s="1813"/>
      <c r="H959" s="1813"/>
      <c r="I959" s="2434"/>
      <c r="J959" s="2244"/>
      <c r="K959" s="2244"/>
      <c r="L959" s="2244"/>
      <c r="M959" s="2244"/>
      <c r="N959" s="2244"/>
      <c r="O959" s="2244"/>
      <c r="P959" s="2245"/>
      <c r="Q959" s="2245"/>
      <c r="R959" s="1965"/>
      <c r="S959" s="2244"/>
      <c r="T959" s="2244"/>
      <c r="U959" s="2244"/>
      <c r="V959" s="2244"/>
      <c r="W959" s="2244"/>
      <c r="X959" s="2244"/>
    </row>
    <row r="960" spans="1:24" s="1818" customFormat="1" ht="32.1" customHeight="1">
      <c r="A960" s="2535"/>
      <c r="B960" s="1819"/>
      <c r="C960" s="1813"/>
      <c r="D960" s="1813"/>
      <c r="E960" s="1813"/>
      <c r="F960" s="1813"/>
      <c r="G960" s="1813"/>
      <c r="H960" s="1813"/>
      <c r="I960" s="2434"/>
      <c r="J960" s="2244"/>
      <c r="K960" s="2244"/>
      <c r="L960" s="2244"/>
      <c r="M960" s="2244"/>
      <c r="N960" s="2244"/>
      <c r="O960" s="2244"/>
      <c r="P960" s="2245"/>
      <c r="Q960" s="2245"/>
      <c r="R960" s="1965"/>
      <c r="S960" s="2244"/>
      <c r="T960" s="2244"/>
      <c r="U960" s="2244"/>
      <c r="V960" s="2244"/>
      <c r="W960" s="2244"/>
      <c r="X960" s="2244"/>
    </row>
    <row r="961" spans="1:24" s="1818" customFormat="1" ht="32.1" customHeight="1">
      <c r="A961" s="2535"/>
      <c r="B961" s="1819"/>
      <c r="C961" s="1813"/>
      <c r="D961" s="1813"/>
      <c r="E961" s="1813"/>
      <c r="F961" s="1813"/>
      <c r="G961" s="1813"/>
      <c r="H961" s="1813"/>
      <c r="I961" s="2434"/>
      <c r="J961" s="2244"/>
      <c r="K961" s="2244"/>
      <c r="L961" s="2244"/>
      <c r="M961" s="2244"/>
      <c r="N961" s="2244"/>
      <c r="O961" s="2244"/>
      <c r="P961" s="2245"/>
      <c r="Q961" s="2245"/>
      <c r="R961" s="1965"/>
      <c r="S961" s="2244"/>
      <c r="T961" s="2244"/>
      <c r="U961" s="2244"/>
      <c r="V961" s="2244"/>
      <c r="W961" s="2244"/>
      <c r="X961" s="2244"/>
    </row>
    <row r="962" spans="1:24" s="1818" customFormat="1" ht="32.1" customHeight="1">
      <c r="A962" s="2535"/>
      <c r="B962" s="1819"/>
      <c r="C962" s="1813"/>
      <c r="D962" s="1813"/>
      <c r="E962" s="1813"/>
      <c r="F962" s="1813"/>
      <c r="G962" s="1813"/>
      <c r="H962" s="1813"/>
      <c r="I962" s="2434"/>
      <c r="J962" s="2244"/>
      <c r="K962" s="2244"/>
      <c r="L962" s="2244"/>
      <c r="M962" s="2244"/>
      <c r="N962" s="2244"/>
      <c r="O962" s="2244"/>
      <c r="P962" s="2245"/>
      <c r="Q962" s="2245"/>
      <c r="R962" s="1965"/>
      <c r="S962" s="2244"/>
      <c r="T962" s="2244"/>
      <c r="U962" s="2244"/>
      <c r="V962" s="2244"/>
      <c r="W962" s="2244"/>
      <c r="X962" s="2244"/>
    </row>
    <row r="963" spans="1:24" s="1818" customFormat="1" ht="32.1" customHeight="1">
      <c r="A963" s="2535"/>
      <c r="B963" s="1819"/>
      <c r="C963" s="1813"/>
      <c r="D963" s="1813"/>
      <c r="E963" s="1813"/>
      <c r="F963" s="1813"/>
      <c r="G963" s="1813"/>
      <c r="H963" s="1813"/>
      <c r="I963" s="2434"/>
      <c r="J963" s="2244"/>
      <c r="K963" s="2244"/>
      <c r="L963" s="2244"/>
      <c r="M963" s="2244"/>
      <c r="N963" s="2244"/>
      <c r="O963" s="2244"/>
      <c r="P963" s="2245"/>
      <c r="Q963" s="2245"/>
      <c r="R963" s="1965"/>
      <c r="S963" s="2244"/>
      <c r="T963" s="2244"/>
      <c r="U963" s="2244"/>
      <c r="V963" s="2244"/>
      <c r="W963" s="2244"/>
      <c r="X963" s="2244"/>
    </row>
    <row r="964" spans="1:24" s="1818" customFormat="1" ht="32.1" customHeight="1">
      <c r="A964" s="2535"/>
      <c r="B964" s="1819"/>
      <c r="C964" s="1813"/>
      <c r="D964" s="1813"/>
      <c r="E964" s="1813"/>
      <c r="F964" s="1813"/>
      <c r="G964" s="1813"/>
      <c r="H964" s="1813"/>
      <c r="I964" s="2434"/>
      <c r="J964" s="2244"/>
      <c r="K964" s="2244"/>
      <c r="L964" s="2244"/>
      <c r="M964" s="2244"/>
      <c r="N964" s="2244"/>
      <c r="O964" s="2244"/>
      <c r="P964" s="2245"/>
      <c r="Q964" s="2245"/>
      <c r="R964" s="1965"/>
      <c r="S964" s="2244"/>
      <c r="T964" s="2244"/>
      <c r="U964" s="2244"/>
      <c r="V964" s="2244"/>
      <c r="W964" s="2244"/>
      <c r="X964" s="2244"/>
    </row>
    <row r="965" spans="1:24" s="1818" customFormat="1" ht="32.1" customHeight="1">
      <c r="A965" s="2535"/>
      <c r="B965" s="1819"/>
      <c r="C965" s="1813"/>
      <c r="D965" s="1813"/>
      <c r="E965" s="1813"/>
      <c r="F965" s="1813"/>
      <c r="G965" s="1813"/>
      <c r="H965" s="1813"/>
      <c r="I965" s="2434"/>
      <c r="J965" s="2244"/>
      <c r="K965" s="2244"/>
      <c r="L965" s="2244"/>
      <c r="M965" s="2244"/>
      <c r="N965" s="2244"/>
      <c r="O965" s="2244"/>
      <c r="P965" s="2245"/>
      <c r="Q965" s="2245"/>
      <c r="R965" s="1965"/>
      <c r="S965" s="2244"/>
      <c r="T965" s="2244"/>
      <c r="U965" s="2244"/>
      <c r="V965" s="2244"/>
      <c r="W965" s="2244"/>
      <c r="X965" s="2244"/>
    </row>
    <row r="966" spans="1:24" s="1818" customFormat="1" ht="32.1" customHeight="1">
      <c r="A966" s="2535"/>
      <c r="B966" s="1819"/>
      <c r="C966" s="1813"/>
      <c r="D966" s="1813"/>
      <c r="E966" s="1813"/>
      <c r="F966" s="1813"/>
      <c r="G966" s="1813"/>
      <c r="H966" s="1813"/>
      <c r="I966" s="2434"/>
      <c r="J966" s="2244"/>
      <c r="K966" s="2244"/>
      <c r="L966" s="2244"/>
      <c r="M966" s="2244"/>
      <c r="N966" s="2244"/>
      <c r="O966" s="2244"/>
      <c r="P966" s="2245"/>
      <c r="Q966" s="2245"/>
      <c r="R966" s="1965"/>
      <c r="S966" s="2244"/>
      <c r="T966" s="2244"/>
      <c r="U966" s="2244"/>
      <c r="V966" s="2244"/>
      <c r="W966" s="2244"/>
      <c r="X966" s="2244"/>
    </row>
    <row r="967" spans="1:24" s="1818" customFormat="1" ht="32.1" customHeight="1">
      <c r="A967" s="2535"/>
      <c r="B967" s="1819"/>
      <c r="C967" s="1813"/>
      <c r="D967" s="1813"/>
      <c r="E967" s="1813"/>
      <c r="F967" s="1813"/>
      <c r="G967" s="1813"/>
      <c r="H967" s="1813"/>
      <c r="I967" s="2434"/>
      <c r="J967" s="2244"/>
      <c r="K967" s="2244"/>
      <c r="L967" s="2244"/>
      <c r="M967" s="2244"/>
      <c r="N967" s="2244"/>
      <c r="O967" s="2244"/>
      <c r="P967" s="2245"/>
      <c r="Q967" s="2245"/>
      <c r="R967" s="1965"/>
      <c r="S967" s="2244"/>
      <c r="T967" s="2244"/>
      <c r="U967" s="2244"/>
      <c r="V967" s="2244"/>
      <c r="W967" s="2244"/>
      <c r="X967" s="2244"/>
    </row>
    <row r="968" spans="1:24" s="1818" customFormat="1" ht="32.1" customHeight="1">
      <c r="A968" s="2535"/>
      <c r="B968" s="1819"/>
      <c r="C968" s="1813"/>
      <c r="D968" s="1813"/>
      <c r="E968" s="1813"/>
      <c r="F968" s="1813"/>
      <c r="G968" s="1813"/>
      <c r="H968" s="1813"/>
      <c r="I968" s="2434"/>
      <c r="J968" s="2244"/>
      <c r="K968" s="2244"/>
      <c r="L968" s="2244"/>
      <c r="M968" s="2244"/>
      <c r="N968" s="2244"/>
      <c r="O968" s="2244"/>
      <c r="P968" s="2245"/>
      <c r="Q968" s="2245"/>
      <c r="R968" s="1965"/>
      <c r="S968" s="2244"/>
      <c r="T968" s="2244"/>
      <c r="U968" s="2244"/>
      <c r="V968" s="2244"/>
      <c r="W968" s="2244"/>
      <c r="X968" s="2244"/>
    </row>
    <row r="969" spans="1:24" s="1818" customFormat="1" ht="32.1" customHeight="1">
      <c r="A969" s="2535"/>
      <c r="B969" s="1819"/>
      <c r="C969" s="1813"/>
      <c r="D969" s="1813"/>
      <c r="E969" s="1813"/>
      <c r="F969" s="1813"/>
      <c r="G969" s="1813"/>
      <c r="H969" s="1813"/>
      <c r="I969" s="2434"/>
      <c r="J969" s="2244"/>
      <c r="K969" s="2244"/>
      <c r="L969" s="2244"/>
      <c r="M969" s="2244"/>
      <c r="N969" s="2244"/>
      <c r="O969" s="2244"/>
      <c r="P969" s="2245"/>
      <c r="Q969" s="2245"/>
      <c r="R969" s="1965"/>
      <c r="S969" s="2244"/>
      <c r="T969" s="2244"/>
      <c r="U969" s="2244"/>
      <c r="V969" s="2244"/>
      <c r="W969" s="2244"/>
      <c r="X969" s="2244"/>
    </row>
    <row r="970" spans="1:24" s="1818" customFormat="1" ht="32.1" customHeight="1">
      <c r="A970" s="2535"/>
      <c r="B970" s="1819"/>
      <c r="C970" s="1813"/>
      <c r="D970" s="1813"/>
      <c r="E970" s="1813"/>
      <c r="F970" s="1813"/>
      <c r="G970" s="1813"/>
      <c r="H970" s="1813"/>
      <c r="I970" s="2434"/>
      <c r="J970" s="2244"/>
      <c r="K970" s="2244"/>
      <c r="L970" s="2244"/>
      <c r="M970" s="2244"/>
      <c r="N970" s="2244"/>
      <c r="O970" s="2244"/>
      <c r="P970" s="2245"/>
      <c r="Q970" s="2245"/>
      <c r="R970" s="1965"/>
      <c r="S970" s="2244"/>
      <c r="T970" s="2244"/>
      <c r="U970" s="2244"/>
      <c r="V970" s="2244"/>
      <c r="W970" s="2244"/>
      <c r="X970" s="2244"/>
    </row>
    <row r="971" spans="1:24" s="1818" customFormat="1" ht="32.1" customHeight="1">
      <c r="A971" s="2535"/>
      <c r="B971" s="1819"/>
      <c r="C971" s="1813"/>
      <c r="D971" s="1813"/>
      <c r="E971" s="1813"/>
      <c r="F971" s="1813"/>
      <c r="G971" s="1813"/>
      <c r="H971" s="1813"/>
      <c r="I971" s="2434"/>
      <c r="J971" s="2244"/>
      <c r="K971" s="2244"/>
      <c r="L971" s="2244"/>
      <c r="M971" s="2244"/>
      <c r="N971" s="2244"/>
      <c r="O971" s="2244"/>
      <c r="P971" s="2245"/>
      <c r="Q971" s="2245"/>
      <c r="R971" s="1965"/>
      <c r="S971" s="2244"/>
      <c r="T971" s="2244"/>
      <c r="U971" s="2244"/>
      <c r="V971" s="2244"/>
      <c r="W971" s="2244"/>
      <c r="X971" s="2244"/>
    </row>
    <row r="972" spans="1:24" s="1818" customFormat="1" ht="32.1" customHeight="1">
      <c r="A972" s="2535"/>
      <c r="B972" s="1819"/>
      <c r="C972" s="1813"/>
      <c r="D972" s="1813"/>
      <c r="E972" s="1813"/>
      <c r="F972" s="1813"/>
      <c r="G972" s="1813"/>
      <c r="H972" s="1813"/>
      <c r="I972" s="2434"/>
      <c r="J972" s="2244"/>
      <c r="K972" s="2244"/>
      <c r="L972" s="2244"/>
      <c r="M972" s="2244"/>
      <c r="N972" s="2244"/>
      <c r="O972" s="2244"/>
      <c r="P972" s="2245"/>
      <c r="Q972" s="2245"/>
      <c r="R972" s="1965"/>
      <c r="S972" s="2244"/>
      <c r="T972" s="2244"/>
      <c r="U972" s="2244"/>
      <c r="V972" s="2244"/>
      <c r="W972" s="2244"/>
      <c r="X972" s="2244"/>
    </row>
    <row r="973" spans="1:24" s="1818" customFormat="1" ht="32.1" customHeight="1">
      <c r="A973" s="2535"/>
      <c r="B973" s="1819"/>
      <c r="C973" s="1813"/>
      <c r="D973" s="1813"/>
      <c r="E973" s="1813"/>
      <c r="F973" s="1813"/>
      <c r="G973" s="1813"/>
      <c r="H973" s="1813"/>
      <c r="I973" s="2434"/>
      <c r="J973" s="2244"/>
      <c r="K973" s="2244"/>
      <c r="L973" s="2244"/>
      <c r="M973" s="2244"/>
      <c r="N973" s="2244"/>
      <c r="O973" s="2244"/>
      <c r="P973" s="2245"/>
      <c r="Q973" s="2245"/>
      <c r="R973" s="1965"/>
      <c r="S973" s="2244"/>
      <c r="T973" s="2244"/>
      <c r="U973" s="2244"/>
      <c r="V973" s="2244"/>
      <c r="W973" s="2244"/>
      <c r="X973" s="2244"/>
    </row>
    <row r="974" spans="1:24" s="1818" customFormat="1" ht="32.1" customHeight="1">
      <c r="A974" s="2535"/>
      <c r="B974" s="1819"/>
      <c r="C974" s="1813"/>
      <c r="D974" s="1813"/>
      <c r="E974" s="1813"/>
      <c r="F974" s="1813"/>
      <c r="G974" s="1813"/>
      <c r="H974" s="1813"/>
      <c r="I974" s="2434"/>
      <c r="J974" s="2244"/>
      <c r="K974" s="2244"/>
      <c r="L974" s="2244"/>
      <c r="M974" s="2244"/>
      <c r="N974" s="2244"/>
      <c r="O974" s="2244"/>
      <c r="P974" s="2245"/>
      <c r="Q974" s="2245"/>
      <c r="R974" s="1965"/>
      <c r="S974" s="2244"/>
      <c r="T974" s="2244"/>
      <c r="U974" s="2244"/>
      <c r="V974" s="2244"/>
      <c r="W974" s="2244"/>
      <c r="X974" s="2244"/>
    </row>
    <row r="975" spans="1:24" s="1818" customFormat="1" ht="32.1" customHeight="1">
      <c r="A975" s="2535"/>
      <c r="B975" s="1819"/>
      <c r="C975" s="1813"/>
      <c r="D975" s="1813"/>
      <c r="E975" s="1813"/>
      <c r="F975" s="1813"/>
      <c r="G975" s="1813"/>
      <c r="H975" s="1813"/>
      <c r="I975" s="2434"/>
      <c r="J975" s="2244"/>
      <c r="K975" s="2244"/>
      <c r="L975" s="2244"/>
      <c r="M975" s="2244"/>
      <c r="N975" s="2244"/>
      <c r="O975" s="2244"/>
      <c r="P975" s="2245"/>
      <c r="Q975" s="2245"/>
      <c r="R975" s="1965"/>
      <c r="S975" s="2244"/>
      <c r="T975" s="2244"/>
      <c r="U975" s="2244"/>
      <c r="V975" s="2244"/>
      <c r="W975" s="2244"/>
      <c r="X975" s="2244"/>
    </row>
    <row r="976" spans="1:24" s="1818" customFormat="1" ht="32.1" customHeight="1">
      <c r="A976" s="2535"/>
      <c r="B976" s="1819"/>
      <c r="C976" s="1813"/>
      <c r="D976" s="1813"/>
      <c r="E976" s="1813"/>
      <c r="F976" s="1813"/>
      <c r="G976" s="1813"/>
      <c r="H976" s="1813"/>
      <c r="I976" s="2434"/>
      <c r="J976" s="2244"/>
      <c r="K976" s="2244"/>
      <c r="L976" s="2244"/>
      <c r="M976" s="2244"/>
      <c r="N976" s="2244"/>
      <c r="O976" s="2244"/>
      <c r="P976" s="2245"/>
      <c r="Q976" s="2245"/>
      <c r="R976" s="1965"/>
      <c r="S976" s="2244"/>
      <c r="T976" s="2244"/>
      <c r="U976" s="2244"/>
      <c r="V976" s="2244"/>
      <c r="W976" s="2244"/>
      <c r="X976" s="2244"/>
    </row>
    <row r="977" spans="1:24" s="1818" customFormat="1" ht="32.1" customHeight="1">
      <c r="A977" s="2535"/>
      <c r="B977" s="1819"/>
      <c r="C977" s="1813"/>
      <c r="D977" s="1813"/>
      <c r="E977" s="1813"/>
      <c r="F977" s="1813"/>
      <c r="G977" s="1813"/>
      <c r="H977" s="1813"/>
      <c r="I977" s="2434"/>
      <c r="J977" s="2244"/>
      <c r="K977" s="2244"/>
      <c r="L977" s="2244"/>
      <c r="M977" s="2244"/>
      <c r="N977" s="2244"/>
      <c r="O977" s="2244"/>
      <c r="P977" s="2245"/>
      <c r="Q977" s="2245"/>
      <c r="R977" s="1965"/>
      <c r="S977" s="2244"/>
      <c r="T977" s="2244"/>
      <c r="U977" s="2244"/>
      <c r="V977" s="2244"/>
      <c r="W977" s="2244"/>
      <c r="X977" s="2244"/>
    </row>
    <row r="978" spans="1:24" s="1818" customFormat="1" ht="32.1" customHeight="1">
      <c r="A978" s="2535"/>
      <c r="B978" s="1819"/>
      <c r="C978" s="1813"/>
      <c r="D978" s="1813"/>
      <c r="E978" s="1813"/>
      <c r="F978" s="1813"/>
      <c r="G978" s="1813"/>
      <c r="H978" s="1813"/>
      <c r="I978" s="2434"/>
      <c r="J978" s="2244"/>
      <c r="K978" s="2244"/>
      <c r="L978" s="2244"/>
      <c r="M978" s="2244"/>
      <c r="N978" s="2244"/>
      <c r="O978" s="2244"/>
      <c r="P978" s="2245"/>
      <c r="Q978" s="2245"/>
      <c r="R978" s="1965"/>
      <c r="S978" s="2244"/>
      <c r="T978" s="2244"/>
      <c r="U978" s="2244"/>
      <c r="V978" s="2244"/>
      <c r="W978" s="2244"/>
      <c r="X978" s="2244"/>
    </row>
    <row r="979" spans="1:24" s="1818" customFormat="1" ht="32.1" customHeight="1">
      <c r="A979" s="2535"/>
      <c r="B979" s="1819"/>
      <c r="C979" s="1813"/>
      <c r="D979" s="1813"/>
      <c r="E979" s="1813"/>
      <c r="F979" s="1813"/>
      <c r="G979" s="1813"/>
      <c r="H979" s="1813"/>
      <c r="I979" s="2434"/>
      <c r="J979" s="2244"/>
      <c r="K979" s="2244"/>
      <c r="L979" s="2244"/>
      <c r="M979" s="2244"/>
      <c r="N979" s="2244"/>
      <c r="O979" s="2244"/>
      <c r="P979" s="2245"/>
      <c r="Q979" s="2245"/>
      <c r="R979" s="1965"/>
      <c r="S979" s="2244"/>
      <c r="T979" s="2244"/>
      <c r="U979" s="2244"/>
      <c r="V979" s="2244"/>
      <c r="W979" s="2244"/>
      <c r="X979" s="2244"/>
    </row>
    <row r="980" spans="1:24" s="1818" customFormat="1" ht="32.1" customHeight="1">
      <c r="A980" s="2535"/>
      <c r="B980" s="1819"/>
      <c r="C980" s="1813"/>
      <c r="D980" s="1813"/>
      <c r="E980" s="1813"/>
      <c r="F980" s="1813"/>
      <c r="G980" s="1813"/>
      <c r="H980" s="1813"/>
      <c r="I980" s="2434"/>
      <c r="J980" s="2244"/>
      <c r="K980" s="2244"/>
      <c r="L980" s="2244"/>
      <c r="M980" s="2244"/>
      <c r="N980" s="2244"/>
      <c r="O980" s="2244"/>
      <c r="P980" s="2245"/>
      <c r="Q980" s="2245"/>
      <c r="R980" s="1965"/>
      <c r="S980" s="2244"/>
      <c r="T980" s="2244"/>
      <c r="U980" s="2244"/>
      <c r="V980" s="2244"/>
      <c r="W980" s="2244"/>
      <c r="X980" s="2244"/>
    </row>
    <row r="981" spans="1:24" s="1818" customFormat="1" ht="32.1" customHeight="1">
      <c r="A981" s="2535"/>
      <c r="B981" s="1819"/>
      <c r="C981" s="1813"/>
      <c r="D981" s="1813"/>
      <c r="E981" s="1813"/>
      <c r="F981" s="1813"/>
      <c r="G981" s="1813"/>
      <c r="H981" s="1813"/>
      <c r="I981" s="2434"/>
      <c r="J981" s="2244"/>
      <c r="K981" s="2244"/>
      <c r="L981" s="2244"/>
      <c r="M981" s="2244"/>
      <c r="N981" s="2244"/>
      <c r="O981" s="2244"/>
      <c r="P981" s="2245"/>
      <c r="Q981" s="2245"/>
      <c r="R981" s="1965"/>
      <c r="S981" s="2244"/>
      <c r="T981" s="2244"/>
      <c r="U981" s="2244"/>
      <c r="V981" s="2244"/>
      <c r="W981" s="2244"/>
      <c r="X981" s="2244"/>
    </row>
    <row r="982" spans="1:24" s="1818" customFormat="1" ht="32.1" customHeight="1">
      <c r="A982" s="2535"/>
      <c r="B982" s="1819"/>
      <c r="C982" s="1813"/>
      <c r="D982" s="1813"/>
      <c r="E982" s="1813"/>
      <c r="F982" s="1813"/>
      <c r="G982" s="1813"/>
      <c r="H982" s="1813"/>
      <c r="I982" s="2434"/>
      <c r="J982" s="2244"/>
      <c r="K982" s="2244"/>
      <c r="L982" s="2244"/>
      <c r="M982" s="2244"/>
      <c r="N982" s="2244"/>
      <c r="O982" s="2244"/>
      <c r="P982" s="2245"/>
      <c r="Q982" s="2245"/>
      <c r="R982" s="1965"/>
      <c r="S982" s="2244"/>
      <c r="T982" s="2244"/>
      <c r="U982" s="2244"/>
      <c r="V982" s="2244"/>
      <c r="W982" s="2244"/>
      <c r="X982" s="2244"/>
    </row>
    <row r="983" spans="1:24" s="1818" customFormat="1" ht="32.1" customHeight="1">
      <c r="A983" s="2535"/>
      <c r="B983" s="1819"/>
      <c r="C983" s="1813"/>
      <c r="D983" s="1813"/>
      <c r="E983" s="1813"/>
      <c r="F983" s="1813"/>
      <c r="G983" s="1813"/>
      <c r="H983" s="1813"/>
      <c r="I983" s="2434"/>
      <c r="J983" s="2244"/>
      <c r="K983" s="2244"/>
      <c r="L983" s="2244"/>
      <c r="M983" s="2244"/>
      <c r="N983" s="2244"/>
      <c r="O983" s="2244"/>
      <c r="P983" s="2245"/>
      <c r="Q983" s="2245"/>
      <c r="R983" s="1965"/>
      <c r="S983" s="2244"/>
      <c r="T983" s="2244"/>
      <c r="U983" s="2244"/>
      <c r="V983" s="2244"/>
      <c r="W983" s="2244"/>
      <c r="X983" s="2244"/>
    </row>
    <row r="984" spans="1:24" s="1818" customFormat="1" ht="32.1" customHeight="1">
      <c r="A984" s="2535"/>
      <c r="B984" s="1819"/>
      <c r="C984" s="1813"/>
      <c r="D984" s="1813"/>
      <c r="E984" s="1813"/>
      <c r="F984" s="1813"/>
      <c r="G984" s="1813"/>
      <c r="H984" s="1813"/>
      <c r="I984" s="2434"/>
      <c r="J984" s="2244"/>
      <c r="K984" s="2244"/>
      <c r="L984" s="2244"/>
      <c r="M984" s="2244"/>
      <c r="N984" s="2244"/>
      <c r="O984" s="2244"/>
      <c r="P984" s="2245"/>
      <c r="Q984" s="2245"/>
      <c r="R984" s="1965"/>
      <c r="S984" s="2244"/>
      <c r="T984" s="2244"/>
      <c r="U984" s="2244"/>
      <c r="V984" s="2244"/>
      <c r="W984" s="2244"/>
      <c r="X984" s="2244"/>
    </row>
    <row r="985" spans="1:24" s="1818" customFormat="1" ht="32.1" customHeight="1">
      <c r="A985" s="2535"/>
      <c r="B985" s="1819"/>
      <c r="C985" s="1813"/>
      <c r="D985" s="1813"/>
      <c r="E985" s="1813"/>
      <c r="F985" s="1813"/>
      <c r="G985" s="1813"/>
      <c r="H985" s="1813"/>
      <c r="I985" s="2434"/>
      <c r="J985" s="2244"/>
      <c r="K985" s="2244"/>
      <c r="L985" s="2244"/>
      <c r="M985" s="2244"/>
      <c r="N985" s="2244"/>
      <c r="O985" s="2244"/>
      <c r="P985" s="2245"/>
      <c r="Q985" s="2245"/>
      <c r="R985" s="1965"/>
      <c r="S985" s="2244"/>
      <c r="T985" s="2244"/>
      <c r="U985" s="2244"/>
      <c r="V985" s="2244"/>
      <c r="W985" s="2244"/>
      <c r="X985" s="2244"/>
    </row>
    <row r="986" spans="1:24" s="1818" customFormat="1" ht="32.1" customHeight="1">
      <c r="A986" s="2535"/>
      <c r="B986" s="1819"/>
      <c r="C986" s="1813"/>
      <c r="D986" s="1813"/>
      <c r="E986" s="1813"/>
      <c r="F986" s="1813"/>
      <c r="G986" s="1813"/>
      <c r="H986" s="1813"/>
      <c r="I986" s="2434"/>
      <c r="J986" s="2244"/>
      <c r="K986" s="2244"/>
      <c r="L986" s="2244"/>
      <c r="M986" s="2244"/>
      <c r="N986" s="2244"/>
      <c r="O986" s="2244"/>
      <c r="P986" s="2245"/>
      <c r="Q986" s="2245"/>
      <c r="R986" s="1965"/>
      <c r="S986" s="2244"/>
      <c r="T986" s="2244"/>
      <c r="U986" s="2244"/>
      <c r="V986" s="2244"/>
      <c r="W986" s="2244"/>
      <c r="X986" s="2244"/>
    </row>
    <row r="987" spans="1:24" s="1818" customFormat="1" ht="32.1" customHeight="1">
      <c r="A987" s="2535"/>
      <c r="B987" s="1819"/>
      <c r="C987" s="1813"/>
      <c r="D987" s="1813"/>
      <c r="E987" s="1813"/>
      <c r="F987" s="1813"/>
      <c r="G987" s="1813"/>
      <c r="H987" s="1813"/>
      <c r="I987" s="2434"/>
      <c r="J987" s="2244"/>
      <c r="K987" s="2244"/>
      <c r="L987" s="2244"/>
      <c r="M987" s="2244"/>
      <c r="N987" s="2244"/>
      <c r="O987" s="2244"/>
      <c r="P987" s="2245"/>
      <c r="Q987" s="2245"/>
      <c r="R987" s="1965"/>
      <c r="S987" s="2244"/>
      <c r="T987" s="2244"/>
      <c r="U987" s="2244"/>
      <c r="V987" s="2244"/>
      <c r="W987" s="2244"/>
      <c r="X987" s="2244"/>
    </row>
    <row r="988" spans="1:24" s="1818" customFormat="1" ht="32.1" customHeight="1">
      <c r="A988" s="2535"/>
      <c r="B988" s="1819"/>
      <c r="C988" s="1813"/>
      <c r="D988" s="1813"/>
      <c r="E988" s="1813"/>
      <c r="F988" s="1813"/>
      <c r="G988" s="1813"/>
      <c r="H988" s="1813"/>
      <c r="I988" s="2434"/>
      <c r="J988" s="2244"/>
      <c r="K988" s="2244"/>
      <c r="L988" s="2244"/>
      <c r="M988" s="2244"/>
      <c r="N988" s="2244"/>
      <c r="O988" s="2244"/>
      <c r="P988" s="2245"/>
      <c r="Q988" s="2245"/>
      <c r="R988" s="1965"/>
      <c r="S988" s="2244"/>
      <c r="T988" s="2244"/>
      <c r="U988" s="2244"/>
      <c r="V988" s="2244"/>
      <c r="W988" s="2244"/>
      <c r="X988" s="2244"/>
    </row>
    <row r="989" spans="1:24" s="1818" customFormat="1" ht="32.1" customHeight="1">
      <c r="A989" s="2535"/>
      <c r="B989" s="1819"/>
      <c r="C989" s="1813"/>
      <c r="D989" s="1813"/>
      <c r="E989" s="1813"/>
      <c r="F989" s="1813"/>
      <c r="G989" s="1813"/>
      <c r="H989" s="1813"/>
      <c r="I989" s="2434"/>
      <c r="J989" s="2244"/>
      <c r="K989" s="2244"/>
      <c r="L989" s="2244"/>
      <c r="M989" s="2244"/>
      <c r="N989" s="2244"/>
      <c r="O989" s="2244"/>
      <c r="P989" s="2245"/>
      <c r="Q989" s="2245"/>
      <c r="R989" s="1965"/>
      <c r="S989" s="2244"/>
      <c r="T989" s="2244"/>
      <c r="U989" s="2244"/>
      <c r="V989" s="2244"/>
      <c r="W989" s="2244"/>
      <c r="X989" s="2244"/>
    </row>
    <row r="990" spans="1:24" s="1818" customFormat="1" ht="32.1" customHeight="1">
      <c r="A990" s="2535"/>
      <c r="B990" s="1819"/>
      <c r="C990" s="1813"/>
      <c r="D990" s="1813"/>
      <c r="E990" s="1813"/>
      <c r="F990" s="1813"/>
      <c r="G990" s="1813"/>
      <c r="H990" s="1813"/>
      <c r="I990" s="2434"/>
      <c r="J990" s="2244"/>
      <c r="K990" s="2244"/>
      <c r="L990" s="2244"/>
      <c r="M990" s="2244"/>
      <c r="N990" s="2244"/>
      <c r="O990" s="2244"/>
      <c r="P990" s="2245"/>
      <c r="Q990" s="2245"/>
      <c r="R990" s="1965"/>
      <c r="S990" s="2244"/>
      <c r="T990" s="2244"/>
      <c r="U990" s="2244"/>
      <c r="V990" s="2244"/>
      <c r="W990" s="2244"/>
      <c r="X990" s="2244"/>
    </row>
    <row r="991" spans="1:24" s="1818" customFormat="1" ht="32.1" customHeight="1">
      <c r="A991" s="2535"/>
      <c r="B991" s="1819"/>
      <c r="C991" s="1813"/>
      <c r="D991" s="1813"/>
      <c r="E991" s="1813"/>
      <c r="F991" s="1813"/>
      <c r="G991" s="1813"/>
      <c r="H991" s="1813"/>
      <c r="I991" s="2434"/>
      <c r="J991" s="2244"/>
      <c r="K991" s="2244"/>
      <c r="L991" s="2244"/>
      <c r="M991" s="2244"/>
      <c r="N991" s="2244"/>
      <c r="O991" s="2244"/>
      <c r="P991" s="2245"/>
      <c r="Q991" s="2245"/>
      <c r="R991" s="1965"/>
      <c r="S991" s="2244"/>
      <c r="T991" s="2244"/>
      <c r="U991" s="2244"/>
      <c r="V991" s="2244"/>
      <c r="W991" s="2244"/>
      <c r="X991" s="2244"/>
    </row>
    <row r="992" spans="1:24" s="1818" customFormat="1" ht="32.1" customHeight="1">
      <c r="A992" s="2535"/>
      <c r="B992" s="1819"/>
      <c r="C992" s="1813"/>
      <c r="D992" s="1813"/>
      <c r="E992" s="1813"/>
      <c r="F992" s="1813"/>
      <c r="G992" s="1813"/>
      <c r="H992" s="1813"/>
      <c r="I992" s="2434"/>
      <c r="J992" s="2244"/>
      <c r="K992" s="2244"/>
      <c r="L992" s="2244"/>
      <c r="M992" s="2244"/>
      <c r="N992" s="2244"/>
      <c r="O992" s="2244"/>
      <c r="P992" s="2245"/>
      <c r="Q992" s="2245"/>
      <c r="R992" s="1965"/>
      <c r="S992" s="2244"/>
      <c r="T992" s="2244"/>
      <c r="U992" s="2244"/>
      <c r="V992" s="2244"/>
      <c r="W992" s="2244"/>
      <c r="X992" s="2244"/>
    </row>
    <row r="993" spans="1:24" s="1818" customFormat="1" ht="32.1" customHeight="1">
      <c r="A993" s="2535"/>
      <c r="B993" s="1819"/>
      <c r="C993" s="1813"/>
      <c r="D993" s="1813"/>
      <c r="E993" s="1813"/>
      <c r="F993" s="1813"/>
      <c r="G993" s="1813"/>
      <c r="H993" s="1813"/>
      <c r="I993" s="2434"/>
      <c r="J993" s="2244"/>
      <c r="K993" s="2244"/>
      <c r="L993" s="2244"/>
      <c r="M993" s="2244"/>
      <c r="N993" s="2244"/>
      <c r="O993" s="2244"/>
      <c r="P993" s="2245"/>
      <c r="Q993" s="2245"/>
      <c r="R993" s="1965"/>
      <c r="S993" s="2244"/>
      <c r="T993" s="2244"/>
      <c r="U993" s="2244"/>
      <c r="V993" s="2244"/>
      <c r="W993" s="2244"/>
      <c r="X993" s="2244"/>
    </row>
    <row r="994" spans="1:24" s="1818" customFormat="1" ht="32.1" customHeight="1">
      <c r="A994" s="2535"/>
      <c r="B994" s="1819"/>
      <c r="C994" s="1813"/>
      <c r="D994" s="1813"/>
      <c r="E994" s="1813"/>
      <c r="F994" s="1813"/>
      <c r="G994" s="1813"/>
      <c r="H994" s="1813"/>
      <c r="I994" s="2434"/>
      <c r="J994" s="2244"/>
      <c r="K994" s="2244"/>
      <c r="L994" s="2244"/>
      <c r="M994" s="2244"/>
      <c r="N994" s="2244"/>
      <c r="O994" s="2244"/>
      <c r="P994" s="2245"/>
      <c r="Q994" s="2245"/>
      <c r="R994" s="1965"/>
      <c r="S994" s="2244"/>
      <c r="T994" s="2244"/>
      <c r="U994" s="2244"/>
      <c r="V994" s="2244"/>
      <c r="W994" s="2244"/>
      <c r="X994" s="2244"/>
    </row>
    <row r="995" spans="1:24" s="1818" customFormat="1" ht="32.1" customHeight="1">
      <c r="A995" s="2535"/>
      <c r="B995" s="1819"/>
      <c r="C995" s="1813"/>
      <c r="D995" s="1813"/>
      <c r="E995" s="1813"/>
      <c r="F995" s="1813"/>
      <c r="G995" s="1813"/>
      <c r="H995" s="1813"/>
      <c r="I995" s="2434"/>
      <c r="J995" s="2244"/>
      <c r="K995" s="2244"/>
      <c r="L995" s="2244"/>
      <c r="M995" s="2244"/>
      <c r="N995" s="2244"/>
      <c r="O995" s="2244"/>
      <c r="P995" s="2245"/>
      <c r="Q995" s="2245"/>
      <c r="R995" s="1965"/>
      <c r="S995" s="2244"/>
      <c r="T995" s="2244"/>
      <c r="U995" s="2244"/>
      <c r="V995" s="2244"/>
      <c r="W995" s="2244"/>
      <c r="X995" s="2244"/>
    </row>
    <row r="996" spans="1:24" s="1818" customFormat="1" ht="32.1" customHeight="1">
      <c r="A996" s="2535"/>
      <c r="B996" s="1819"/>
      <c r="C996" s="1813"/>
      <c r="D996" s="1813"/>
      <c r="E996" s="1813"/>
      <c r="F996" s="1813"/>
      <c r="G996" s="1813"/>
      <c r="H996" s="1813"/>
      <c r="I996" s="2434"/>
      <c r="J996" s="2244"/>
      <c r="K996" s="2244"/>
      <c r="L996" s="2244"/>
      <c r="M996" s="2244"/>
      <c r="N996" s="2244"/>
      <c r="O996" s="2244"/>
      <c r="P996" s="2245"/>
      <c r="Q996" s="2245"/>
      <c r="R996" s="1965"/>
      <c r="S996" s="2244"/>
      <c r="T996" s="2244"/>
      <c r="U996" s="2244"/>
      <c r="V996" s="2244"/>
      <c r="W996" s="2244"/>
      <c r="X996" s="2244"/>
    </row>
    <row r="997" spans="1:24" s="1818" customFormat="1" ht="32.1" customHeight="1">
      <c r="A997" s="2535"/>
      <c r="B997" s="1819"/>
      <c r="C997" s="1813"/>
      <c r="D997" s="1813"/>
      <c r="E997" s="1813"/>
      <c r="F997" s="1813"/>
      <c r="G997" s="1813"/>
      <c r="H997" s="1813"/>
      <c r="I997" s="2434"/>
      <c r="J997" s="2244"/>
      <c r="K997" s="2244"/>
      <c r="L997" s="2244"/>
      <c r="M997" s="2244"/>
      <c r="N997" s="2244"/>
      <c r="O997" s="2244"/>
      <c r="P997" s="2245"/>
      <c r="Q997" s="2245"/>
      <c r="R997" s="1965"/>
      <c r="S997" s="2244"/>
      <c r="T997" s="2244"/>
      <c r="U997" s="2244"/>
      <c r="V997" s="2244"/>
      <c r="W997" s="2244"/>
      <c r="X997" s="2244"/>
    </row>
    <row r="998" spans="1:24" s="1818" customFormat="1" ht="32.1" customHeight="1">
      <c r="A998" s="2535"/>
      <c r="B998" s="1819"/>
      <c r="C998" s="1813"/>
      <c r="D998" s="1813"/>
      <c r="E998" s="1813"/>
      <c r="F998" s="1813"/>
      <c r="G998" s="1813"/>
      <c r="H998" s="1813"/>
      <c r="I998" s="2434"/>
      <c r="J998" s="2244"/>
      <c r="K998" s="2244"/>
      <c r="L998" s="2244"/>
      <c r="M998" s="2244"/>
      <c r="N998" s="2244"/>
      <c r="O998" s="2244"/>
      <c r="P998" s="2245"/>
      <c r="Q998" s="2245"/>
      <c r="R998" s="1965"/>
      <c r="S998" s="2244"/>
      <c r="T998" s="2244"/>
      <c r="U998" s="2244"/>
      <c r="V998" s="2244"/>
      <c r="W998" s="2244"/>
      <c r="X998" s="2244"/>
    </row>
    <row r="999" spans="1:24" s="1818" customFormat="1" ht="32.1" customHeight="1">
      <c r="A999" s="2535"/>
      <c r="B999" s="1819"/>
      <c r="C999" s="1813"/>
      <c r="D999" s="1813"/>
      <c r="E999" s="1813"/>
      <c r="F999" s="1813"/>
      <c r="G999" s="1813"/>
      <c r="H999" s="1813"/>
      <c r="I999" s="2434"/>
      <c r="J999" s="2244"/>
      <c r="K999" s="2244"/>
      <c r="L999" s="2244"/>
      <c r="M999" s="2244"/>
      <c r="N999" s="2244"/>
      <c r="O999" s="2244"/>
      <c r="P999" s="2245"/>
      <c r="Q999" s="2245"/>
      <c r="R999" s="1965"/>
      <c r="S999" s="2244"/>
      <c r="T999" s="2244"/>
      <c r="U999" s="2244"/>
      <c r="V999" s="2244"/>
      <c r="W999" s="2244"/>
      <c r="X999" s="2244"/>
    </row>
    <row r="1000" spans="1:24" s="1818" customFormat="1" ht="32.1" customHeight="1">
      <c r="A1000" s="2535"/>
      <c r="B1000" s="1819"/>
      <c r="C1000" s="1813"/>
      <c r="D1000" s="1813"/>
      <c r="E1000" s="1813"/>
      <c r="F1000" s="1813"/>
      <c r="G1000" s="1813"/>
      <c r="H1000" s="1813"/>
      <c r="I1000" s="2434"/>
      <c r="J1000" s="2244"/>
      <c r="K1000" s="2244"/>
      <c r="L1000" s="2244"/>
      <c r="M1000" s="2244"/>
      <c r="N1000" s="2244"/>
      <c r="O1000" s="2244"/>
      <c r="P1000" s="2245"/>
      <c r="Q1000" s="2245"/>
      <c r="R1000" s="1965"/>
      <c r="S1000" s="2244"/>
      <c r="T1000" s="2244"/>
      <c r="U1000" s="2244"/>
      <c r="V1000" s="2244"/>
      <c r="W1000" s="2244"/>
      <c r="X1000" s="2244"/>
    </row>
    <row r="1001" spans="1:24" s="1818" customFormat="1" ht="32.1" customHeight="1">
      <c r="A1001" s="2535"/>
      <c r="B1001" s="1819"/>
      <c r="C1001" s="1813"/>
      <c r="D1001" s="1813"/>
      <c r="E1001" s="1813"/>
      <c r="F1001" s="1813"/>
      <c r="G1001" s="1813"/>
      <c r="H1001" s="1813"/>
      <c r="I1001" s="2434"/>
      <c r="J1001" s="2244"/>
      <c r="K1001" s="2244"/>
      <c r="L1001" s="2244"/>
      <c r="M1001" s="2244"/>
      <c r="N1001" s="2244"/>
      <c r="O1001" s="2244"/>
      <c r="P1001" s="2245"/>
      <c r="Q1001" s="2245"/>
      <c r="R1001" s="1965"/>
      <c r="S1001" s="2244"/>
      <c r="T1001" s="2244"/>
      <c r="U1001" s="2244"/>
      <c r="V1001" s="2244"/>
      <c r="W1001" s="2244"/>
      <c r="X1001" s="2244"/>
    </row>
    <row r="1002" spans="1:24" s="1818" customFormat="1" ht="32.1" customHeight="1">
      <c r="A1002" s="2535"/>
      <c r="B1002" s="1819"/>
      <c r="C1002" s="1813"/>
      <c r="D1002" s="1813"/>
      <c r="E1002" s="1813"/>
      <c r="F1002" s="1813"/>
      <c r="G1002" s="1813"/>
      <c r="H1002" s="1813"/>
      <c r="I1002" s="2434"/>
      <c r="J1002" s="2244"/>
      <c r="K1002" s="2244"/>
      <c r="L1002" s="2244"/>
      <c r="M1002" s="2244"/>
      <c r="N1002" s="2244"/>
      <c r="O1002" s="2244"/>
      <c r="P1002" s="2245"/>
      <c r="Q1002" s="2245"/>
      <c r="R1002" s="1965"/>
      <c r="S1002" s="2244"/>
      <c r="T1002" s="2244"/>
      <c r="U1002" s="2244"/>
      <c r="V1002" s="2244"/>
      <c r="W1002" s="2244"/>
      <c r="X1002" s="2244"/>
    </row>
    <row r="1003" spans="1:24" s="1818" customFormat="1" ht="32.1" customHeight="1">
      <c r="A1003" s="2535"/>
      <c r="B1003" s="1819"/>
      <c r="C1003" s="1813"/>
      <c r="D1003" s="1813"/>
      <c r="E1003" s="1813"/>
      <c r="F1003" s="1813"/>
      <c r="G1003" s="1813"/>
      <c r="H1003" s="1813"/>
      <c r="I1003" s="2434"/>
      <c r="J1003" s="2244"/>
      <c r="K1003" s="2244"/>
      <c r="L1003" s="2244"/>
      <c r="M1003" s="2244"/>
      <c r="N1003" s="2244"/>
      <c r="O1003" s="2244"/>
      <c r="P1003" s="2245"/>
      <c r="Q1003" s="2245"/>
      <c r="R1003" s="1965"/>
      <c r="S1003" s="2244"/>
      <c r="T1003" s="2244"/>
      <c r="U1003" s="2244"/>
      <c r="V1003" s="2244"/>
      <c r="W1003" s="2244"/>
      <c r="X1003" s="2244"/>
    </row>
    <row r="1004" spans="1:24" s="1818" customFormat="1" ht="32.1" customHeight="1">
      <c r="A1004" s="2535"/>
      <c r="B1004" s="1819"/>
      <c r="C1004" s="1813"/>
      <c r="D1004" s="1813"/>
      <c r="E1004" s="1813"/>
      <c r="F1004" s="1813"/>
      <c r="G1004" s="1813"/>
      <c r="H1004" s="1813"/>
      <c r="I1004" s="2434"/>
      <c r="J1004" s="2244"/>
      <c r="K1004" s="2244"/>
      <c r="L1004" s="2244"/>
      <c r="M1004" s="2244"/>
      <c r="N1004" s="2244"/>
      <c r="O1004" s="2244"/>
      <c r="P1004" s="2245"/>
      <c r="Q1004" s="2245"/>
      <c r="R1004" s="1965"/>
      <c r="S1004" s="2244"/>
      <c r="T1004" s="2244"/>
      <c r="U1004" s="2244"/>
      <c r="V1004" s="2244"/>
      <c r="W1004" s="2244"/>
      <c r="X1004" s="2244"/>
    </row>
    <row r="1005" spans="1:24" s="1818" customFormat="1" ht="32.1" customHeight="1">
      <c r="A1005" s="2535"/>
      <c r="B1005" s="1819"/>
      <c r="C1005" s="1813"/>
      <c r="D1005" s="1813"/>
      <c r="E1005" s="1813"/>
      <c r="F1005" s="1813"/>
      <c r="G1005" s="1813"/>
      <c r="H1005" s="1813"/>
      <c r="I1005" s="2434"/>
      <c r="J1005" s="2244"/>
      <c r="K1005" s="2244"/>
      <c r="L1005" s="2244"/>
      <c r="M1005" s="2244"/>
      <c r="N1005" s="2244"/>
      <c r="O1005" s="2244"/>
      <c r="P1005" s="2245"/>
      <c r="Q1005" s="2245"/>
      <c r="R1005" s="1965"/>
      <c r="S1005" s="2244"/>
      <c r="T1005" s="2244"/>
      <c r="U1005" s="2244"/>
      <c r="V1005" s="2244"/>
      <c r="W1005" s="2244"/>
      <c r="X1005" s="2244"/>
    </row>
    <row r="1006" spans="1:24" s="1818" customFormat="1" ht="32.1" customHeight="1">
      <c r="A1006" s="2535"/>
      <c r="B1006" s="1819"/>
      <c r="C1006" s="1813"/>
      <c r="D1006" s="1813"/>
      <c r="E1006" s="1813"/>
      <c r="F1006" s="1813"/>
      <c r="G1006" s="1813"/>
      <c r="H1006" s="1813"/>
      <c r="I1006" s="2434"/>
      <c r="J1006" s="2244"/>
      <c r="K1006" s="2244"/>
      <c r="L1006" s="2244"/>
      <c r="M1006" s="2244"/>
      <c r="N1006" s="2244"/>
      <c r="O1006" s="2244"/>
      <c r="P1006" s="2245"/>
      <c r="Q1006" s="2245"/>
      <c r="R1006" s="1965"/>
      <c r="S1006" s="2244"/>
      <c r="T1006" s="2244"/>
      <c r="U1006" s="2244"/>
      <c r="V1006" s="2244"/>
      <c r="W1006" s="2244"/>
      <c r="X1006" s="2244"/>
    </row>
    <row r="1007" spans="1:24" s="1818" customFormat="1" ht="32.1" customHeight="1">
      <c r="A1007" s="2535"/>
      <c r="B1007" s="1819"/>
      <c r="C1007" s="1813"/>
      <c r="D1007" s="1813"/>
      <c r="E1007" s="1813"/>
      <c r="F1007" s="1813"/>
      <c r="G1007" s="1813"/>
      <c r="H1007" s="1813"/>
      <c r="I1007" s="2434"/>
      <c r="J1007" s="2244"/>
      <c r="K1007" s="2244"/>
      <c r="L1007" s="2244"/>
      <c r="M1007" s="2244"/>
      <c r="N1007" s="2244"/>
      <c r="O1007" s="2244"/>
      <c r="P1007" s="2245"/>
      <c r="Q1007" s="2245"/>
      <c r="R1007" s="1965"/>
      <c r="S1007" s="2244"/>
      <c r="T1007" s="2244"/>
      <c r="U1007" s="2244"/>
      <c r="V1007" s="2244"/>
      <c r="W1007" s="2244"/>
      <c r="X1007" s="2244"/>
    </row>
    <row r="1008" spans="1:24" s="1818" customFormat="1" ht="32.1" customHeight="1">
      <c r="A1008" s="2535"/>
      <c r="B1008" s="1819"/>
      <c r="C1008" s="1813"/>
      <c r="D1008" s="1813"/>
      <c r="E1008" s="1813"/>
      <c r="F1008" s="1813"/>
      <c r="G1008" s="1813"/>
      <c r="H1008" s="1813"/>
      <c r="I1008" s="2434"/>
      <c r="J1008" s="2244"/>
      <c r="K1008" s="2244"/>
      <c r="L1008" s="2244"/>
      <c r="M1008" s="2244"/>
      <c r="N1008" s="2244"/>
      <c r="O1008" s="2244"/>
      <c r="P1008" s="2245"/>
      <c r="Q1008" s="2245"/>
      <c r="R1008" s="1965"/>
      <c r="S1008" s="2244"/>
      <c r="T1008" s="2244"/>
      <c r="U1008" s="2244"/>
      <c r="V1008" s="2244"/>
      <c r="W1008" s="2244"/>
      <c r="X1008" s="2244"/>
    </row>
    <row r="1009" spans="1:24" s="1818" customFormat="1" ht="32.1" customHeight="1">
      <c r="A1009" s="2535"/>
      <c r="B1009" s="1819"/>
      <c r="C1009" s="1813"/>
      <c r="D1009" s="1813"/>
      <c r="E1009" s="1813"/>
      <c r="F1009" s="1813"/>
      <c r="G1009" s="1813"/>
      <c r="H1009" s="1813"/>
      <c r="I1009" s="2434"/>
      <c r="J1009" s="2244"/>
      <c r="K1009" s="2244"/>
      <c r="L1009" s="2244"/>
      <c r="M1009" s="2244"/>
      <c r="N1009" s="2244"/>
      <c r="O1009" s="2244"/>
      <c r="P1009" s="2245"/>
      <c r="Q1009" s="2245"/>
      <c r="R1009" s="1965"/>
      <c r="S1009" s="2244"/>
      <c r="T1009" s="2244"/>
      <c r="U1009" s="2244"/>
      <c r="V1009" s="2244"/>
      <c r="W1009" s="2244"/>
      <c r="X1009" s="2244"/>
    </row>
    <row r="1010" spans="1:24" s="1818" customFormat="1" ht="32.1" customHeight="1">
      <c r="A1010" s="2535"/>
      <c r="B1010" s="1819"/>
      <c r="C1010" s="1813"/>
      <c r="D1010" s="1813"/>
      <c r="E1010" s="1813"/>
      <c r="F1010" s="1813"/>
      <c r="G1010" s="1813"/>
      <c r="H1010" s="1813"/>
      <c r="I1010" s="2434"/>
      <c r="J1010" s="2244"/>
      <c r="K1010" s="2244"/>
      <c r="L1010" s="2244"/>
      <c r="M1010" s="2244"/>
      <c r="N1010" s="2244"/>
      <c r="O1010" s="2244"/>
      <c r="P1010" s="2245"/>
      <c r="Q1010" s="2245"/>
      <c r="R1010" s="1965"/>
      <c r="S1010" s="2244"/>
      <c r="T1010" s="2244"/>
      <c r="U1010" s="2244"/>
      <c r="V1010" s="2244"/>
      <c r="W1010" s="2244"/>
      <c r="X1010" s="2244"/>
    </row>
    <row r="1011" spans="1:24" s="1818" customFormat="1" ht="32.1" customHeight="1">
      <c r="A1011" s="2535"/>
      <c r="B1011" s="1819"/>
      <c r="C1011" s="1813"/>
      <c r="D1011" s="1813"/>
      <c r="E1011" s="1813"/>
      <c r="F1011" s="1813"/>
      <c r="G1011" s="1813"/>
      <c r="H1011" s="1813"/>
      <c r="I1011" s="2434"/>
      <c r="J1011" s="2244"/>
      <c r="K1011" s="2244"/>
      <c r="L1011" s="2244"/>
      <c r="M1011" s="2244"/>
      <c r="N1011" s="2244"/>
      <c r="O1011" s="2244"/>
      <c r="P1011" s="2245"/>
      <c r="Q1011" s="2245"/>
      <c r="R1011" s="1965"/>
      <c r="S1011" s="2244"/>
      <c r="T1011" s="2244"/>
      <c r="U1011" s="2244"/>
      <c r="V1011" s="2244"/>
      <c r="W1011" s="2244"/>
      <c r="X1011" s="2244"/>
    </row>
    <row r="1012" spans="1:24" s="1818" customFormat="1" ht="32.1" customHeight="1">
      <c r="A1012" s="2535"/>
      <c r="B1012" s="1819"/>
      <c r="C1012" s="1813"/>
      <c r="D1012" s="1813"/>
      <c r="E1012" s="1813"/>
      <c r="F1012" s="1813"/>
      <c r="G1012" s="1813"/>
      <c r="H1012" s="1813"/>
      <c r="I1012" s="2434"/>
      <c r="J1012" s="2244"/>
      <c r="K1012" s="2244"/>
      <c r="L1012" s="2244"/>
      <c r="M1012" s="2244"/>
      <c r="N1012" s="2244"/>
      <c r="O1012" s="2244"/>
      <c r="P1012" s="2245"/>
      <c r="Q1012" s="2245"/>
      <c r="R1012" s="1965"/>
      <c r="S1012" s="2244"/>
      <c r="T1012" s="2244"/>
      <c r="U1012" s="2244"/>
      <c r="V1012" s="2244"/>
      <c r="W1012" s="2244"/>
      <c r="X1012" s="2244"/>
    </row>
    <row r="1013" spans="1:24" s="1818" customFormat="1" ht="32.1" customHeight="1">
      <c r="A1013" s="2535"/>
      <c r="B1013" s="1819"/>
      <c r="C1013" s="1813"/>
      <c r="D1013" s="1813"/>
      <c r="E1013" s="1813"/>
      <c r="F1013" s="1813"/>
      <c r="G1013" s="1813"/>
      <c r="H1013" s="1813"/>
      <c r="I1013" s="2434"/>
      <c r="J1013" s="2244"/>
      <c r="K1013" s="2244"/>
      <c r="L1013" s="2244"/>
      <c r="M1013" s="2244"/>
      <c r="N1013" s="2244"/>
      <c r="O1013" s="2244"/>
      <c r="P1013" s="2245"/>
      <c r="Q1013" s="2245"/>
      <c r="R1013" s="1965"/>
      <c r="S1013" s="2244"/>
      <c r="T1013" s="2244"/>
      <c r="U1013" s="2244"/>
      <c r="V1013" s="2244"/>
      <c r="W1013" s="2244"/>
      <c r="X1013" s="2244"/>
    </row>
    <row r="1014" spans="1:24" s="1818" customFormat="1" ht="32.1" customHeight="1">
      <c r="A1014" s="2535"/>
      <c r="B1014" s="1819"/>
      <c r="C1014" s="1813"/>
      <c r="D1014" s="1813"/>
      <c r="E1014" s="1813"/>
      <c r="F1014" s="1813"/>
      <c r="G1014" s="1813"/>
      <c r="H1014" s="1813"/>
      <c r="I1014" s="2434"/>
      <c r="J1014" s="2244"/>
      <c r="K1014" s="2244"/>
      <c r="L1014" s="2244"/>
      <c r="M1014" s="2244"/>
      <c r="N1014" s="2244"/>
      <c r="O1014" s="2244"/>
      <c r="P1014" s="2245"/>
      <c r="Q1014" s="2245"/>
      <c r="R1014" s="1965"/>
      <c r="S1014" s="2244"/>
      <c r="T1014" s="2244"/>
      <c r="U1014" s="2244"/>
      <c r="V1014" s="2244"/>
      <c r="W1014" s="2244"/>
      <c r="X1014" s="2244"/>
    </row>
    <row r="1015" spans="1:24" s="1818" customFormat="1" ht="32.1" customHeight="1">
      <c r="A1015" s="2535"/>
      <c r="B1015" s="1819"/>
      <c r="C1015" s="1813"/>
      <c r="D1015" s="1813"/>
      <c r="E1015" s="1813"/>
      <c r="F1015" s="1813"/>
      <c r="G1015" s="1813"/>
      <c r="H1015" s="1813"/>
      <c r="I1015" s="2434"/>
      <c r="J1015" s="2244"/>
      <c r="K1015" s="2244"/>
      <c r="L1015" s="2244"/>
      <c r="M1015" s="2244"/>
      <c r="N1015" s="2244"/>
      <c r="O1015" s="2244"/>
      <c r="P1015" s="2245"/>
      <c r="Q1015" s="2245"/>
      <c r="R1015" s="1965"/>
      <c r="S1015" s="2244"/>
      <c r="T1015" s="2244"/>
      <c r="U1015" s="2244"/>
      <c r="V1015" s="2244"/>
      <c r="W1015" s="2244"/>
      <c r="X1015" s="2244"/>
    </row>
    <row r="1016" spans="1:24" s="1818" customFormat="1" ht="32.1" customHeight="1">
      <c r="A1016" s="2535"/>
      <c r="B1016" s="1819"/>
      <c r="C1016" s="1813"/>
      <c r="D1016" s="1813"/>
      <c r="E1016" s="1813"/>
      <c r="F1016" s="1813"/>
      <c r="G1016" s="1813"/>
      <c r="H1016" s="1813"/>
      <c r="I1016" s="2434"/>
      <c r="J1016" s="2244"/>
      <c r="K1016" s="2244"/>
      <c r="L1016" s="2244"/>
      <c r="M1016" s="2244"/>
      <c r="N1016" s="2244"/>
      <c r="O1016" s="2244"/>
      <c r="P1016" s="2245"/>
      <c r="Q1016" s="2245"/>
      <c r="R1016" s="1965"/>
      <c r="S1016" s="2244"/>
      <c r="T1016" s="2244"/>
      <c r="U1016" s="2244"/>
      <c r="V1016" s="2244"/>
      <c r="W1016" s="2244"/>
      <c r="X1016" s="2244"/>
    </row>
    <row r="1017" spans="1:24" s="1818" customFormat="1" ht="32.1" customHeight="1">
      <c r="A1017" s="2535"/>
      <c r="B1017" s="1819"/>
      <c r="C1017" s="1813"/>
      <c r="D1017" s="1813"/>
      <c r="E1017" s="1813"/>
      <c r="F1017" s="1813"/>
      <c r="G1017" s="1813"/>
      <c r="H1017" s="1813"/>
      <c r="I1017" s="2434"/>
      <c r="J1017" s="2244"/>
      <c r="K1017" s="2244"/>
      <c r="L1017" s="2244"/>
      <c r="M1017" s="2244"/>
      <c r="N1017" s="2244"/>
      <c r="O1017" s="2244"/>
      <c r="P1017" s="2245"/>
      <c r="Q1017" s="2245"/>
      <c r="R1017" s="1965"/>
      <c r="S1017" s="2244"/>
      <c r="T1017" s="2244"/>
      <c r="U1017" s="2244"/>
      <c r="V1017" s="2244"/>
      <c r="W1017" s="2244"/>
      <c r="X1017" s="2244"/>
    </row>
    <row r="1018" spans="1:24" s="1818" customFormat="1" ht="32.1" customHeight="1">
      <c r="A1018" s="2535"/>
      <c r="B1018" s="1819"/>
      <c r="C1018" s="1813"/>
      <c r="D1018" s="1813"/>
      <c r="E1018" s="1813"/>
      <c r="F1018" s="1813"/>
      <c r="G1018" s="1813"/>
      <c r="H1018" s="1813"/>
      <c r="I1018" s="2434"/>
      <c r="J1018" s="2244"/>
      <c r="K1018" s="2244"/>
      <c r="L1018" s="2244"/>
      <c r="M1018" s="2244"/>
      <c r="N1018" s="2244"/>
      <c r="O1018" s="2244"/>
      <c r="P1018" s="2245"/>
      <c r="Q1018" s="2245"/>
      <c r="R1018" s="1965"/>
      <c r="S1018" s="2244"/>
      <c r="T1018" s="2244"/>
      <c r="U1018" s="2244"/>
      <c r="V1018" s="2244"/>
      <c r="W1018" s="2244"/>
      <c r="X1018" s="2244"/>
    </row>
    <row r="1019" spans="1:24" s="1818" customFormat="1" ht="32.1" customHeight="1">
      <c r="A1019" s="2535"/>
      <c r="B1019" s="1819"/>
      <c r="C1019" s="1813"/>
      <c r="D1019" s="1813"/>
      <c r="E1019" s="1813"/>
      <c r="F1019" s="1813"/>
      <c r="G1019" s="1813"/>
      <c r="H1019" s="1813"/>
      <c r="I1019" s="2434"/>
      <c r="J1019" s="2244"/>
      <c r="K1019" s="2244"/>
      <c r="L1019" s="2244"/>
      <c r="M1019" s="2244"/>
      <c r="N1019" s="2244"/>
      <c r="O1019" s="2244"/>
      <c r="P1019" s="2245"/>
      <c r="Q1019" s="2245"/>
      <c r="R1019" s="1965"/>
      <c r="S1019" s="2244"/>
      <c r="T1019" s="2244"/>
      <c r="U1019" s="2244"/>
      <c r="V1019" s="2244"/>
      <c r="W1019" s="2244"/>
      <c r="X1019" s="2244"/>
    </row>
    <row r="1020" spans="1:24" s="1818" customFormat="1" ht="32.1" customHeight="1">
      <c r="A1020" s="2535"/>
      <c r="B1020" s="1819"/>
      <c r="C1020" s="1813"/>
      <c r="D1020" s="1813"/>
      <c r="E1020" s="1813"/>
      <c r="F1020" s="1813"/>
      <c r="G1020" s="1813"/>
      <c r="H1020" s="1813"/>
      <c r="I1020" s="2434"/>
      <c r="J1020" s="2244"/>
      <c r="K1020" s="2244"/>
      <c r="L1020" s="2244"/>
      <c r="M1020" s="2244"/>
      <c r="N1020" s="2244"/>
      <c r="O1020" s="2244"/>
      <c r="P1020" s="2245"/>
      <c r="Q1020" s="2245"/>
      <c r="R1020" s="1965"/>
      <c r="S1020" s="2244"/>
      <c r="T1020" s="2244"/>
      <c r="U1020" s="2244"/>
      <c r="V1020" s="2244"/>
      <c r="W1020" s="2244"/>
      <c r="X1020" s="2244"/>
    </row>
    <row r="1021" spans="1:24" s="1818" customFormat="1" ht="32.1" customHeight="1">
      <c r="A1021" s="2535"/>
      <c r="B1021" s="1819"/>
      <c r="C1021" s="1813"/>
      <c r="D1021" s="1813"/>
      <c r="E1021" s="1813"/>
      <c r="F1021" s="1813"/>
      <c r="G1021" s="1813"/>
      <c r="H1021" s="1813"/>
      <c r="I1021" s="2434"/>
      <c r="J1021" s="2244"/>
      <c r="K1021" s="2244"/>
      <c r="L1021" s="2244"/>
      <c r="M1021" s="2244"/>
      <c r="N1021" s="2244"/>
      <c r="O1021" s="2244"/>
      <c r="P1021" s="2245"/>
      <c r="Q1021" s="2245"/>
      <c r="R1021" s="1965"/>
      <c r="S1021" s="2244"/>
      <c r="T1021" s="2244"/>
      <c r="U1021" s="2244"/>
      <c r="V1021" s="2244"/>
      <c r="W1021" s="2244"/>
      <c r="X1021" s="2244"/>
    </row>
    <row r="1022" spans="1:24" s="1818" customFormat="1" ht="32.1" customHeight="1">
      <c r="A1022" s="2535"/>
      <c r="B1022" s="1819"/>
      <c r="C1022" s="1813"/>
      <c r="D1022" s="1813"/>
      <c r="E1022" s="1813"/>
      <c r="F1022" s="1813"/>
      <c r="G1022" s="1813"/>
      <c r="H1022" s="1813"/>
      <c r="I1022" s="2434"/>
      <c r="J1022" s="2244"/>
      <c r="K1022" s="2244"/>
      <c r="L1022" s="2244"/>
      <c r="M1022" s="2244"/>
      <c r="N1022" s="2244"/>
      <c r="O1022" s="2244"/>
      <c r="P1022" s="2245"/>
      <c r="Q1022" s="2245"/>
      <c r="R1022" s="1965"/>
      <c r="S1022" s="2244"/>
      <c r="T1022" s="2244"/>
      <c r="U1022" s="2244"/>
      <c r="V1022" s="2244"/>
      <c r="W1022" s="2244"/>
      <c r="X1022" s="2244"/>
    </row>
    <row r="1023" spans="1:24" s="1818" customFormat="1" ht="32.1" customHeight="1">
      <c r="A1023" s="2535"/>
      <c r="B1023" s="1819"/>
      <c r="C1023" s="1813"/>
      <c r="D1023" s="1813"/>
      <c r="E1023" s="1813"/>
      <c r="F1023" s="1813"/>
      <c r="G1023" s="1813"/>
      <c r="H1023" s="1813"/>
      <c r="I1023" s="2434"/>
      <c r="J1023" s="2244"/>
      <c r="K1023" s="2244"/>
      <c r="L1023" s="2244"/>
      <c r="M1023" s="2244"/>
      <c r="N1023" s="2244"/>
      <c r="O1023" s="2244"/>
      <c r="P1023" s="2245"/>
      <c r="Q1023" s="2245"/>
      <c r="R1023" s="1965"/>
      <c r="S1023" s="2244"/>
      <c r="T1023" s="2244"/>
      <c r="U1023" s="2244"/>
      <c r="V1023" s="2244"/>
      <c r="W1023" s="2244"/>
      <c r="X1023" s="2244"/>
    </row>
    <row r="1024" spans="1:24" s="1818" customFormat="1" ht="32.1" customHeight="1">
      <c r="A1024" s="2535"/>
      <c r="B1024" s="1819"/>
      <c r="C1024" s="1813"/>
      <c r="D1024" s="1813"/>
      <c r="E1024" s="1813"/>
      <c r="F1024" s="1813"/>
      <c r="G1024" s="1813"/>
      <c r="H1024" s="1813"/>
      <c r="I1024" s="2434"/>
      <c r="J1024" s="2244"/>
      <c r="K1024" s="2244"/>
      <c r="L1024" s="2244"/>
      <c r="M1024" s="2244"/>
      <c r="N1024" s="2244"/>
      <c r="O1024" s="2244"/>
      <c r="P1024" s="2245"/>
      <c r="Q1024" s="2245"/>
      <c r="R1024" s="1965"/>
      <c r="S1024" s="2244"/>
      <c r="T1024" s="2244"/>
      <c r="U1024" s="2244"/>
      <c r="V1024" s="2244"/>
      <c r="W1024" s="2244"/>
      <c r="X1024" s="2244"/>
    </row>
    <row r="1025" spans="1:24" s="1818" customFormat="1" ht="32.1" customHeight="1">
      <c r="A1025" s="2535"/>
      <c r="B1025" s="1819"/>
      <c r="C1025" s="1813"/>
      <c r="D1025" s="1813"/>
      <c r="E1025" s="1813"/>
      <c r="F1025" s="1813"/>
      <c r="G1025" s="1813"/>
      <c r="H1025" s="1813"/>
      <c r="I1025" s="2434"/>
      <c r="J1025" s="2244"/>
      <c r="K1025" s="2244"/>
      <c r="L1025" s="2244"/>
      <c r="M1025" s="2244"/>
      <c r="N1025" s="2244"/>
      <c r="O1025" s="2244"/>
      <c r="P1025" s="2245"/>
      <c r="Q1025" s="2245"/>
      <c r="R1025" s="1965"/>
      <c r="S1025" s="2244"/>
      <c r="T1025" s="2244"/>
      <c r="U1025" s="2244"/>
      <c r="V1025" s="2244"/>
      <c r="W1025" s="2244"/>
      <c r="X1025" s="2244"/>
    </row>
    <row r="1026" spans="1:24" s="1818" customFormat="1" ht="32.1" customHeight="1">
      <c r="A1026" s="2535"/>
      <c r="B1026" s="1819"/>
      <c r="C1026" s="1813"/>
      <c r="D1026" s="1813"/>
      <c r="E1026" s="1813"/>
      <c r="F1026" s="1813"/>
      <c r="G1026" s="1813"/>
      <c r="H1026" s="1813"/>
      <c r="I1026" s="2434"/>
      <c r="J1026" s="2244"/>
      <c r="K1026" s="2244"/>
      <c r="L1026" s="2244"/>
      <c r="M1026" s="2244"/>
      <c r="N1026" s="2244"/>
      <c r="O1026" s="2244"/>
      <c r="P1026" s="2245"/>
      <c r="Q1026" s="2245"/>
      <c r="R1026" s="1965"/>
      <c r="S1026" s="2244"/>
      <c r="T1026" s="2244"/>
      <c r="U1026" s="2244"/>
      <c r="V1026" s="2244"/>
      <c r="W1026" s="2244"/>
      <c r="X1026" s="2244"/>
    </row>
    <row r="1027" spans="1:24" s="1818" customFormat="1" ht="32.1" customHeight="1">
      <c r="A1027" s="2535"/>
      <c r="B1027" s="1819"/>
      <c r="C1027" s="1813"/>
      <c r="D1027" s="1813"/>
      <c r="E1027" s="1813"/>
      <c r="F1027" s="1813"/>
      <c r="G1027" s="1813"/>
      <c r="H1027" s="1813"/>
      <c r="I1027" s="2434"/>
      <c r="J1027" s="2244"/>
      <c r="K1027" s="2244"/>
      <c r="L1027" s="2244"/>
      <c r="M1027" s="2244"/>
      <c r="N1027" s="2244"/>
      <c r="O1027" s="2244"/>
      <c r="P1027" s="2245"/>
      <c r="Q1027" s="2245"/>
      <c r="R1027" s="1965"/>
      <c r="S1027" s="2244"/>
      <c r="T1027" s="2244"/>
      <c r="U1027" s="2244"/>
      <c r="V1027" s="2244"/>
      <c r="W1027" s="2244"/>
      <c r="X1027" s="2244"/>
    </row>
    <row r="1028" spans="1:24" s="1818" customFormat="1" ht="32.1" customHeight="1">
      <c r="A1028" s="2535"/>
      <c r="B1028" s="1819"/>
      <c r="C1028" s="1813"/>
      <c r="D1028" s="1813"/>
      <c r="E1028" s="1813"/>
      <c r="F1028" s="1813"/>
      <c r="G1028" s="1813"/>
      <c r="H1028" s="1813"/>
      <c r="I1028" s="2434"/>
      <c r="J1028" s="2244"/>
      <c r="K1028" s="2244"/>
      <c r="L1028" s="2244"/>
      <c r="M1028" s="2244"/>
      <c r="N1028" s="2244"/>
      <c r="O1028" s="2244"/>
      <c r="P1028" s="2245"/>
      <c r="Q1028" s="2245"/>
      <c r="R1028" s="1965"/>
      <c r="S1028" s="2244"/>
      <c r="T1028" s="2244"/>
      <c r="U1028" s="2244"/>
      <c r="V1028" s="2244"/>
      <c r="W1028" s="2244"/>
      <c r="X1028" s="2244"/>
    </row>
    <row r="1029" spans="1:24" s="1818" customFormat="1" ht="32.1" customHeight="1">
      <c r="A1029" s="2535"/>
      <c r="B1029" s="1819"/>
      <c r="C1029" s="1813"/>
      <c r="D1029" s="1813"/>
      <c r="E1029" s="1813"/>
      <c r="F1029" s="1813"/>
      <c r="G1029" s="1813"/>
      <c r="H1029" s="1813"/>
      <c r="I1029" s="2434"/>
      <c r="J1029" s="2244"/>
      <c r="K1029" s="2244"/>
      <c r="L1029" s="2244"/>
      <c r="M1029" s="2244"/>
      <c r="N1029" s="2244"/>
      <c r="O1029" s="2244"/>
      <c r="P1029" s="2245"/>
      <c r="Q1029" s="2245"/>
      <c r="R1029" s="1965"/>
      <c r="S1029" s="2244"/>
      <c r="T1029" s="2244"/>
      <c r="U1029" s="2244"/>
      <c r="V1029" s="2244"/>
      <c r="W1029" s="2244"/>
      <c r="X1029" s="2244"/>
    </row>
    <row r="1030" spans="1:24" s="1818" customFormat="1" ht="32.1" customHeight="1">
      <c r="A1030" s="2535"/>
      <c r="B1030" s="1819"/>
      <c r="C1030" s="1813"/>
      <c r="D1030" s="1813"/>
      <c r="E1030" s="1813"/>
      <c r="F1030" s="1813"/>
      <c r="G1030" s="1813"/>
      <c r="H1030" s="1813"/>
      <c r="I1030" s="2434"/>
      <c r="J1030" s="2244"/>
      <c r="K1030" s="2244"/>
      <c r="L1030" s="2244"/>
      <c r="M1030" s="2244"/>
      <c r="N1030" s="2244"/>
      <c r="O1030" s="2244"/>
      <c r="P1030" s="2245"/>
      <c r="Q1030" s="2245"/>
      <c r="R1030" s="1965"/>
      <c r="S1030" s="2244"/>
      <c r="T1030" s="2244"/>
      <c r="U1030" s="2244"/>
      <c r="V1030" s="2244"/>
      <c r="W1030" s="2244"/>
      <c r="X1030" s="2244"/>
    </row>
    <row r="1031" spans="1:24" s="1818" customFormat="1" ht="32.1" customHeight="1">
      <c r="A1031" s="2535"/>
      <c r="B1031" s="1819"/>
      <c r="C1031" s="1813"/>
      <c r="D1031" s="1813"/>
      <c r="E1031" s="1813"/>
      <c r="F1031" s="1813"/>
      <c r="G1031" s="1813"/>
      <c r="H1031" s="1813"/>
      <c r="I1031" s="2434"/>
      <c r="J1031" s="2244"/>
      <c r="K1031" s="2244"/>
      <c r="L1031" s="2244"/>
      <c r="M1031" s="2244"/>
      <c r="N1031" s="2244"/>
      <c r="O1031" s="2244"/>
      <c r="P1031" s="2245"/>
      <c r="Q1031" s="2245"/>
      <c r="R1031" s="1965"/>
      <c r="S1031" s="2244"/>
      <c r="T1031" s="2244"/>
      <c r="U1031" s="2244"/>
      <c r="V1031" s="2244"/>
      <c r="W1031" s="2244"/>
      <c r="X1031" s="2244"/>
    </row>
    <row r="1032" spans="1:24" s="1818" customFormat="1" ht="32.1" customHeight="1">
      <c r="A1032" s="2535"/>
      <c r="B1032" s="1819"/>
      <c r="C1032" s="1813"/>
      <c r="D1032" s="1813"/>
      <c r="E1032" s="1813"/>
      <c r="F1032" s="1813"/>
      <c r="G1032" s="1813"/>
      <c r="H1032" s="1813"/>
      <c r="I1032" s="2434"/>
      <c r="J1032" s="2244"/>
      <c r="K1032" s="2244"/>
      <c r="L1032" s="2244"/>
      <c r="M1032" s="2244"/>
      <c r="N1032" s="2244"/>
      <c r="O1032" s="2244"/>
      <c r="P1032" s="2245"/>
      <c r="Q1032" s="2245"/>
      <c r="R1032" s="1965"/>
      <c r="S1032" s="2244"/>
      <c r="T1032" s="2244"/>
      <c r="U1032" s="2244"/>
      <c r="V1032" s="2244"/>
      <c r="W1032" s="2244"/>
      <c r="X1032" s="2244"/>
    </row>
    <row r="1033" spans="1:24" s="1818" customFormat="1" ht="32.1" customHeight="1">
      <c r="A1033" s="2535"/>
      <c r="B1033" s="1819"/>
      <c r="C1033" s="1813"/>
      <c r="D1033" s="1813"/>
      <c r="E1033" s="1813"/>
      <c r="F1033" s="1813"/>
      <c r="G1033" s="1813"/>
      <c r="H1033" s="1813"/>
      <c r="I1033" s="2434"/>
      <c r="J1033" s="2244"/>
      <c r="K1033" s="2244"/>
      <c r="L1033" s="2244"/>
      <c r="M1033" s="2244"/>
      <c r="N1033" s="2244"/>
      <c r="O1033" s="2244"/>
      <c r="P1033" s="2245"/>
      <c r="Q1033" s="2245"/>
      <c r="R1033" s="1965"/>
      <c r="S1033" s="2244"/>
      <c r="T1033" s="2244"/>
      <c r="U1033" s="2244"/>
      <c r="V1033" s="2244"/>
      <c r="W1033" s="2244"/>
      <c r="X1033" s="2244"/>
    </row>
    <row r="1034" spans="1:24" s="1818" customFormat="1" ht="32.1" customHeight="1">
      <c r="A1034" s="2535"/>
      <c r="B1034" s="1819"/>
      <c r="C1034" s="1813"/>
      <c r="D1034" s="1813"/>
      <c r="E1034" s="1813"/>
      <c r="F1034" s="1813"/>
      <c r="G1034" s="1813"/>
      <c r="H1034" s="1813"/>
      <c r="I1034" s="2434"/>
      <c r="J1034" s="2244"/>
      <c r="K1034" s="2244"/>
      <c r="L1034" s="2244"/>
      <c r="M1034" s="2244"/>
      <c r="N1034" s="2244"/>
      <c r="O1034" s="2244"/>
      <c r="P1034" s="2245"/>
      <c r="Q1034" s="2245"/>
      <c r="R1034" s="1965"/>
      <c r="S1034" s="2244"/>
      <c r="T1034" s="2244"/>
      <c r="U1034" s="2244"/>
      <c r="V1034" s="2244"/>
      <c r="W1034" s="2244"/>
      <c r="X1034" s="2244"/>
    </row>
    <row r="1035" spans="1:24" s="1818" customFormat="1" ht="32.1" customHeight="1">
      <c r="A1035" s="2535"/>
      <c r="B1035" s="1819"/>
      <c r="C1035" s="1813"/>
      <c r="D1035" s="1813"/>
      <c r="E1035" s="1813"/>
      <c r="F1035" s="1813"/>
      <c r="G1035" s="1813"/>
      <c r="H1035" s="1813"/>
      <c r="I1035" s="2434"/>
      <c r="J1035" s="2244"/>
      <c r="K1035" s="2244"/>
      <c r="L1035" s="2244"/>
      <c r="M1035" s="2244"/>
      <c r="N1035" s="2244"/>
      <c r="O1035" s="2244"/>
      <c r="P1035" s="2245"/>
      <c r="Q1035" s="2245"/>
      <c r="R1035" s="1965"/>
      <c r="S1035" s="2244"/>
      <c r="T1035" s="2244"/>
      <c r="U1035" s="2244"/>
      <c r="V1035" s="2244"/>
      <c r="W1035" s="2244"/>
      <c r="X1035" s="2244"/>
    </row>
    <row r="1036" spans="1:24" s="1818" customFormat="1" ht="32.1" customHeight="1">
      <c r="A1036" s="2535"/>
      <c r="B1036" s="1819"/>
      <c r="C1036" s="1813"/>
      <c r="D1036" s="1813"/>
      <c r="E1036" s="1813"/>
      <c r="F1036" s="1813"/>
      <c r="G1036" s="1813"/>
      <c r="H1036" s="1813"/>
      <c r="I1036" s="2434"/>
      <c r="J1036" s="2244"/>
      <c r="K1036" s="2244"/>
      <c r="L1036" s="2244"/>
      <c r="M1036" s="2244"/>
      <c r="N1036" s="2244"/>
      <c r="O1036" s="2244"/>
      <c r="P1036" s="2245"/>
      <c r="Q1036" s="2245"/>
      <c r="R1036" s="1965"/>
      <c r="S1036" s="2244"/>
      <c r="T1036" s="2244"/>
      <c r="U1036" s="2244"/>
      <c r="V1036" s="2244"/>
      <c r="W1036" s="2244"/>
      <c r="X1036" s="2244"/>
    </row>
    <row r="1037" spans="1:24" s="1818" customFormat="1" ht="32.1" customHeight="1">
      <c r="A1037" s="2535"/>
      <c r="B1037" s="1819"/>
      <c r="C1037" s="1813"/>
      <c r="D1037" s="1813"/>
      <c r="E1037" s="1813"/>
      <c r="F1037" s="1813"/>
      <c r="G1037" s="1813"/>
      <c r="H1037" s="1813"/>
      <c r="I1037" s="2434"/>
      <c r="J1037" s="2244"/>
      <c r="K1037" s="2244"/>
      <c r="L1037" s="2244"/>
      <c r="M1037" s="2244"/>
      <c r="N1037" s="2244"/>
      <c r="O1037" s="2244"/>
      <c r="P1037" s="2245"/>
      <c r="Q1037" s="2245"/>
      <c r="R1037" s="1965"/>
      <c r="S1037" s="2244"/>
      <c r="T1037" s="2244"/>
      <c r="U1037" s="2244"/>
      <c r="V1037" s="2244"/>
      <c r="W1037" s="2244"/>
      <c r="X1037" s="2244"/>
    </row>
    <row r="1038" spans="1:24" s="1818" customFormat="1" ht="32.1" customHeight="1">
      <c r="A1038" s="2535"/>
      <c r="B1038" s="1819"/>
      <c r="C1038" s="1813"/>
      <c r="D1038" s="1813"/>
      <c r="E1038" s="1813"/>
      <c r="F1038" s="1813"/>
      <c r="G1038" s="1813"/>
      <c r="H1038" s="1813"/>
      <c r="I1038" s="2434"/>
      <c r="J1038" s="2244"/>
      <c r="K1038" s="2244"/>
      <c r="L1038" s="2244"/>
      <c r="M1038" s="2244"/>
      <c r="N1038" s="2244"/>
      <c r="O1038" s="2244"/>
      <c r="P1038" s="2245"/>
      <c r="Q1038" s="2245"/>
      <c r="R1038" s="1965"/>
      <c r="S1038" s="2244"/>
      <c r="T1038" s="2244"/>
      <c r="U1038" s="2244"/>
      <c r="V1038" s="2244"/>
      <c r="W1038" s="2244"/>
      <c r="X1038" s="2244"/>
    </row>
    <row r="1039" spans="1:24" s="1818" customFormat="1" ht="32.1" customHeight="1">
      <c r="A1039" s="2535"/>
      <c r="B1039" s="1819"/>
      <c r="C1039" s="1813"/>
      <c r="D1039" s="1813"/>
      <c r="E1039" s="1813"/>
      <c r="F1039" s="1813"/>
      <c r="G1039" s="1813"/>
      <c r="H1039" s="1813"/>
      <c r="I1039" s="2434"/>
      <c r="J1039" s="2244"/>
      <c r="K1039" s="2244"/>
      <c r="L1039" s="2244"/>
      <c r="M1039" s="2244"/>
      <c r="N1039" s="2244"/>
      <c r="O1039" s="2244"/>
      <c r="P1039" s="2245"/>
      <c r="Q1039" s="2245"/>
      <c r="R1039" s="1965"/>
      <c r="S1039" s="2244"/>
      <c r="T1039" s="2244"/>
      <c r="U1039" s="2244"/>
      <c r="V1039" s="2244"/>
      <c r="W1039" s="2244"/>
      <c r="X1039" s="2244"/>
    </row>
    <row r="1040" spans="1:24" s="1818" customFormat="1" ht="32.1" customHeight="1">
      <c r="A1040" s="2535"/>
      <c r="B1040" s="1819"/>
      <c r="C1040" s="1813"/>
      <c r="D1040" s="1813"/>
      <c r="E1040" s="1813"/>
      <c r="F1040" s="1813"/>
      <c r="G1040" s="1813"/>
      <c r="H1040" s="1813"/>
      <c r="I1040" s="2434"/>
      <c r="J1040" s="2244"/>
      <c r="K1040" s="2244"/>
      <c r="L1040" s="2244"/>
      <c r="M1040" s="2244"/>
      <c r="N1040" s="2244"/>
      <c r="O1040" s="2244"/>
      <c r="P1040" s="2245"/>
      <c r="Q1040" s="2245"/>
      <c r="R1040" s="1965"/>
      <c r="S1040" s="2244"/>
      <c r="T1040" s="2244"/>
      <c r="U1040" s="2244"/>
      <c r="V1040" s="2244"/>
      <c r="W1040" s="2244"/>
      <c r="X1040" s="2244"/>
    </row>
    <row r="1041" spans="1:24" s="1818" customFormat="1" ht="32.1" customHeight="1">
      <c r="A1041" s="2535"/>
      <c r="B1041" s="1819"/>
      <c r="C1041" s="1813"/>
      <c r="D1041" s="1813"/>
      <c r="E1041" s="1813"/>
      <c r="F1041" s="1813"/>
      <c r="G1041" s="1813"/>
      <c r="H1041" s="1813"/>
      <c r="I1041" s="2434"/>
      <c r="J1041" s="2244"/>
      <c r="K1041" s="2244"/>
      <c r="L1041" s="2244"/>
      <c r="M1041" s="2244"/>
      <c r="N1041" s="2244"/>
      <c r="O1041" s="2244"/>
      <c r="P1041" s="2245"/>
      <c r="Q1041" s="2245"/>
      <c r="R1041" s="1965"/>
      <c r="S1041" s="2244"/>
      <c r="T1041" s="2244"/>
      <c r="U1041" s="2244"/>
      <c r="V1041" s="2244"/>
      <c r="W1041" s="2244"/>
      <c r="X1041" s="2244"/>
    </row>
    <row r="1042" spans="1:24" s="1818" customFormat="1" ht="32.1" customHeight="1">
      <c r="A1042" s="2535"/>
      <c r="B1042" s="1819"/>
      <c r="C1042" s="1813"/>
      <c r="D1042" s="1813"/>
      <c r="E1042" s="1813"/>
      <c r="F1042" s="1813"/>
      <c r="G1042" s="1813"/>
      <c r="H1042" s="1813"/>
      <c r="I1042" s="2434"/>
      <c r="J1042" s="2244"/>
      <c r="K1042" s="2244"/>
      <c r="L1042" s="2244"/>
      <c r="M1042" s="2244"/>
      <c r="N1042" s="2244"/>
      <c r="O1042" s="2244"/>
      <c r="P1042" s="2245"/>
      <c r="Q1042" s="2245"/>
      <c r="R1042" s="1965"/>
      <c r="S1042" s="2244"/>
      <c r="T1042" s="2244"/>
      <c r="U1042" s="2244"/>
      <c r="V1042" s="2244"/>
      <c r="W1042" s="2244"/>
      <c r="X1042" s="2244"/>
    </row>
    <row r="1043" spans="1:24" s="1818" customFormat="1" ht="32.1" customHeight="1">
      <c r="A1043" s="2535"/>
      <c r="B1043" s="1819"/>
      <c r="C1043" s="1813"/>
      <c r="D1043" s="1813"/>
      <c r="E1043" s="1813"/>
      <c r="F1043" s="1813"/>
      <c r="G1043" s="1813"/>
      <c r="H1043" s="1813"/>
      <c r="I1043" s="2434"/>
      <c r="J1043" s="2244"/>
      <c r="K1043" s="2244"/>
      <c r="L1043" s="2244"/>
      <c r="M1043" s="2244"/>
      <c r="N1043" s="2244"/>
      <c r="O1043" s="2244"/>
      <c r="P1043" s="2245"/>
      <c r="Q1043" s="2245"/>
      <c r="R1043" s="1965"/>
      <c r="S1043" s="2244"/>
      <c r="T1043" s="2244"/>
      <c r="U1043" s="2244"/>
      <c r="V1043" s="2244"/>
      <c r="W1043" s="2244"/>
      <c r="X1043" s="2244"/>
    </row>
    <row r="1044" spans="1:24" s="1818" customFormat="1" ht="32.1" customHeight="1">
      <c r="A1044" s="2535"/>
      <c r="B1044" s="1819"/>
      <c r="C1044" s="1813"/>
      <c r="D1044" s="1813"/>
      <c r="E1044" s="1813"/>
      <c r="F1044" s="1813"/>
      <c r="G1044" s="1813"/>
      <c r="H1044" s="1813"/>
      <c r="I1044" s="2434"/>
      <c r="J1044" s="2244"/>
      <c r="K1044" s="2244"/>
      <c r="L1044" s="2244"/>
      <c r="M1044" s="2244"/>
      <c r="N1044" s="2244"/>
      <c r="O1044" s="2244"/>
      <c r="P1044" s="2245"/>
      <c r="Q1044" s="2245"/>
      <c r="R1044" s="1965"/>
      <c r="S1044" s="2244"/>
      <c r="T1044" s="2244"/>
      <c r="U1044" s="2244"/>
      <c r="V1044" s="2244"/>
      <c r="W1044" s="2244"/>
      <c r="X1044" s="2244"/>
    </row>
    <row r="1045" spans="1:24" s="1818" customFormat="1" ht="32.1" customHeight="1">
      <c r="A1045" s="2535"/>
      <c r="B1045" s="1819"/>
      <c r="C1045" s="1813"/>
      <c r="D1045" s="1813"/>
      <c r="E1045" s="1813"/>
      <c r="F1045" s="1813"/>
      <c r="G1045" s="1813"/>
      <c r="H1045" s="1813"/>
      <c r="I1045" s="2434"/>
      <c r="J1045" s="2244"/>
      <c r="K1045" s="2244"/>
      <c r="L1045" s="2244"/>
      <c r="M1045" s="2244"/>
      <c r="N1045" s="2244"/>
      <c r="O1045" s="2244"/>
      <c r="P1045" s="2245"/>
      <c r="Q1045" s="2245"/>
      <c r="R1045" s="1965"/>
      <c r="S1045" s="2244"/>
      <c r="T1045" s="2244"/>
      <c r="U1045" s="2244"/>
      <c r="V1045" s="2244"/>
      <c r="W1045" s="2244"/>
      <c r="X1045" s="2244"/>
    </row>
    <row r="1046" spans="1:24" s="1818" customFormat="1" ht="32.1" customHeight="1">
      <c r="A1046" s="2535"/>
      <c r="B1046" s="1819"/>
      <c r="C1046" s="1813"/>
      <c r="D1046" s="1813"/>
      <c r="E1046" s="1813"/>
      <c r="F1046" s="1813"/>
      <c r="G1046" s="1813"/>
      <c r="H1046" s="1813"/>
      <c r="I1046" s="2434"/>
      <c r="J1046" s="2244"/>
      <c r="K1046" s="2244"/>
      <c r="L1046" s="2244"/>
      <c r="M1046" s="2244"/>
      <c r="N1046" s="2244"/>
      <c r="O1046" s="2244"/>
      <c r="P1046" s="2245"/>
      <c r="Q1046" s="2245"/>
      <c r="R1046" s="1965"/>
      <c r="S1046" s="2244"/>
      <c r="T1046" s="2244"/>
      <c r="U1046" s="2244"/>
      <c r="V1046" s="2244"/>
      <c r="W1046" s="2244"/>
      <c r="X1046" s="2244"/>
    </row>
    <row r="1047" spans="1:24" s="1818" customFormat="1" ht="32.1" customHeight="1">
      <c r="A1047" s="2535"/>
      <c r="B1047" s="1819"/>
      <c r="C1047" s="1813"/>
      <c r="D1047" s="1813"/>
      <c r="E1047" s="1813"/>
      <c r="F1047" s="1813"/>
      <c r="G1047" s="1813"/>
      <c r="H1047" s="1813"/>
      <c r="I1047" s="2434"/>
      <c r="J1047" s="2244"/>
      <c r="K1047" s="2244"/>
      <c r="L1047" s="2244"/>
      <c r="M1047" s="2244"/>
      <c r="N1047" s="2244"/>
      <c r="O1047" s="2244"/>
      <c r="P1047" s="2245"/>
      <c r="Q1047" s="2245"/>
      <c r="R1047" s="1965"/>
      <c r="S1047" s="2244"/>
      <c r="T1047" s="2244"/>
      <c r="U1047" s="2244"/>
      <c r="V1047" s="2244"/>
      <c r="W1047" s="2244"/>
      <c r="X1047" s="2244"/>
    </row>
    <row r="1048" spans="1:24" s="1818" customFormat="1" ht="32.1" customHeight="1">
      <c r="A1048" s="2535"/>
      <c r="B1048" s="1819"/>
      <c r="C1048" s="1813"/>
      <c r="D1048" s="1813"/>
      <c r="E1048" s="1813"/>
      <c r="F1048" s="1813"/>
      <c r="G1048" s="1813"/>
      <c r="H1048" s="1813"/>
      <c r="I1048" s="2434"/>
      <c r="J1048" s="2244"/>
      <c r="K1048" s="2244"/>
      <c r="L1048" s="2244"/>
      <c r="M1048" s="2244"/>
      <c r="N1048" s="2244"/>
      <c r="O1048" s="2244"/>
      <c r="P1048" s="2245"/>
      <c r="Q1048" s="2245"/>
      <c r="R1048" s="1965"/>
      <c r="S1048" s="2244"/>
      <c r="T1048" s="2244"/>
      <c r="U1048" s="2244"/>
      <c r="V1048" s="2244"/>
      <c r="W1048" s="2244"/>
      <c r="X1048" s="2244"/>
    </row>
    <row r="1049" spans="1:24" s="1818" customFormat="1" ht="32.1" customHeight="1">
      <c r="A1049" s="2535"/>
      <c r="B1049" s="1819"/>
      <c r="C1049" s="1813"/>
      <c r="D1049" s="1813"/>
      <c r="E1049" s="1813"/>
      <c r="F1049" s="1813"/>
      <c r="G1049" s="1813"/>
      <c r="H1049" s="1813"/>
      <c r="I1049" s="2434"/>
      <c r="J1049" s="2244"/>
      <c r="K1049" s="2244"/>
      <c r="L1049" s="2244"/>
      <c r="M1049" s="2244"/>
      <c r="N1049" s="2244"/>
      <c r="O1049" s="2244"/>
      <c r="P1049" s="2245"/>
      <c r="Q1049" s="2245"/>
      <c r="R1049" s="1965"/>
      <c r="S1049" s="2244"/>
      <c r="T1049" s="2244"/>
      <c r="U1049" s="2244"/>
      <c r="V1049" s="2244"/>
      <c r="W1049" s="2244"/>
      <c r="X1049" s="2244"/>
    </row>
    <row r="1050" spans="1:24" s="1818" customFormat="1" ht="32.1" customHeight="1">
      <c r="A1050" s="2535"/>
      <c r="B1050" s="1819"/>
      <c r="C1050" s="1813"/>
      <c r="D1050" s="1813"/>
      <c r="E1050" s="1813"/>
      <c r="F1050" s="1813"/>
      <c r="G1050" s="1813"/>
      <c r="H1050" s="1813"/>
      <c r="I1050" s="2434"/>
      <c r="J1050" s="2244"/>
      <c r="K1050" s="2244"/>
      <c r="L1050" s="2244"/>
      <c r="M1050" s="2244"/>
      <c r="N1050" s="2244"/>
      <c r="O1050" s="2244"/>
      <c r="P1050" s="2245"/>
      <c r="Q1050" s="2245"/>
      <c r="R1050" s="1965"/>
      <c r="S1050" s="2244"/>
      <c r="T1050" s="2244"/>
      <c r="U1050" s="2244"/>
      <c r="V1050" s="2244"/>
      <c r="W1050" s="2244"/>
      <c r="X1050" s="2244"/>
    </row>
    <row r="1051" spans="1:24" s="1818" customFormat="1" ht="32.1" customHeight="1">
      <c r="A1051" s="2535"/>
      <c r="B1051" s="1819"/>
      <c r="C1051" s="1813"/>
      <c r="D1051" s="1813"/>
      <c r="E1051" s="1813"/>
      <c r="F1051" s="1813"/>
      <c r="G1051" s="1813"/>
      <c r="H1051" s="1813"/>
      <c r="I1051" s="2434"/>
      <c r="J1051" s="2244"/>
      <c r="K1051" s="2244"/>
      <c r="L1051" s="2244"/>
      <c r="M1051" s="2244"/>
      <c r="N1051" s="2244"/>
      <c r="O1051" s="2244"/>
      <c r="P1051" s="2245"/>
      <c r="Q1051" s="2245"/>
      <c r="R1051" s="1965"/>
      <c r="S1051" s="2244"/>
      <c r="T1051" s="2244"/>
      <c r="U1051" s="2244"/>
      <c r="V1051" s="2244"/>
      <c r="W1051" s="2244"/>
      <c r="X1051" s="2244"/>
    </row>
    <row r="1052" spans="1:24" s="1818" customFormat="1" ht="32.1" customHeight="1">
      <c r="A1052" s="2535"/>
      <c r="B1052" s="1819"/>
      <c r="C1052" s="1813"/>
      <c r="D1052" s="1813"/>
      <c r="E1052" s="1813"/>
      <c r="F1052" s="1813"/>
      <c r="G1052" s="1813"/>
      <c r="H1052" s="1813"/>
      <c r="I1052" s="2434"/>
      <c r="J1052" s="2244"/>
      <c r="K1052" s="2244"/>
      <c r="L1052" s="2244"/>
      <c r="M1052" s="2244"/>
      <c r="N1052" s="2244"/>
      <c r="O1052" s="2244"/>
      <c r="P1052" s="2245"/>
      <c r="Q1052" s="2245"/>
      <c r="R1052" s="1965"/>
      <c r="S1052" s="2244"/>
      <c r="T1052" s="2244"/>
      <c r="U1052" s="2244"/>
      <c r="V1052" s="2244"/>
      <c r="W1052" s="2244"/>
      <c r="X1052" s="2244"/>
    </row>
    <row r="1053" spans="1:24" s="1818" customFormat="1" ht="32.1" customHeight="1">
      <c r="A1053" s="2535"/>
      <c r="B1053" s="1819"/>
      <c r="C1053" s="1813"/>
      <c r="D1053" s="1813"/>
      <c r="E1053" s="1813"/>
      <c r="F1053" s="1813"/>
      <c r="G1053" s="1813"/>
      <c r="H1053" s="1813"/>
      <c r="I1053" s="2434"/>
      <c r="J1053" s="2244"/>
      <c r="K1053" s="2244"/>
      <c r="L1053" s="2244"/>
      <c r="M1053" s="2244"/>
      <c r="N1053" s="2244"/>
      <c r="O1053" s="2244"/>
      <c r="P1053" s="2245"/>
      <c r="Q1053" s="2245"/>
      <c r="R1053" s="1965"/>
      <c r="S1053" s="2244"/>
      <c r="T1053" s="2244"/>
      <c r="U1053" s="2244"/>
      <c r="V1053" s="2244"/>
      <c r="W1053" s="2244"/>
      <c r="X1053" s="2244"/>
    </row>
    <row r="1054" spans="1:24" s="1818" customFormat="1" ht="32.1" customHeight="1">
      <c r="A1054" s="2535"/>
      <c r="B1054" s="1819"/>
      <c r="C1054" s="1813"/>
      <c r="D1054" s="1813"/>
      <c r="E1054" s="1813"/>
      <c r="F1054" s="1813"/>
      <c r="G1054" s="1813"/>
      <c r="H1054" s="1813"/>
      <c r="I1054" s="2434"/>
      <c r="J1054" s="2244"/>
      <c r="K1054" s="2244"/>
      <c r="L1054" s="2244"/>
      <c r="M1054" s="2244"/>
      <c r="N1054" s="2244"/>
      <c r="O1054" s="2244"/>
      <c r="P1054" s="2245"/>
      <c r="Q1054" s="2245"/>
      <c r="R1054" s="1965"/>
      <c r="S1054" s="2244"/>
      <c r="T1054" s="2244"/>
      <c r="U1054" s="2244"/>
      <c r="V1054" s="2244"/>
      <c r="W1054" s="2244"/>
      <c r="X1054" s="2244"/>
    </row>
    <row r="1055" spans="1:24" s="1818" customFormat="1" ht="32.1" customHeight="1">
      <c r="A1055" s="2535"/>
      <c r="B1055" s="1819"/>
      <c r="C1055" s="1813"/>
      <c r="D1055" s="1813"/>
      <c r="E1055" s="1813"/>
      <c r="F1055" s="1813"/>
      <c r="G1055" s="1813"/>
      <c r="H1055" s="1813"/>
      <c r="I1055" s="2434"/>
      <c r="J1055" s="2244"/>
      <c r="K1055" s="2244"/>
      <c r="L1055" s="2244"/>
      <c r="M1055" s="2244"/>
      <c r="N1055" s="2244"/>
      <c r="O1055" s="2244"/>
      <c r="P1055" s="2245"/>
      <c r="Q1055" s="2245"/>
      <c r="R1055" s="1965"/>
      <c r="S1055" s="2244"/>
      <c r="T1055" s="2244"/>
      <c r="U1055" s="2244"/>
      <c r="V1055" s="2244"/>
      <c r="W1055" s="2244"/>
      <c r="X1055" s="2244"/>
    </row>
    <row r="1056" spans="1:24" s="1818" customFormat="1" ht="32.1" customHeight="1">
      <c r="A1056" s="2535"/>
      <c r="B1056" s="1819"/>
      <c r="C1056" s="1813"/>
      <c r="D1056" s="1813"/>
      <c r="E1056" s="1813"/>
      <c r="F1056" s="1813"/>
      <c r="G1056" s="1813"/>
      <c r="H1056" s="1813"/>
      <c r="I1056" s="2434"/>
      <c r="J1056" s="2244"/>
      <c r="K1056" s="2244"/>
      <c r="L1056" s="2244"/>
      <c r="M1056" s="2244"/>
      <c r="N1056" s="2244"/>
      <c r="O1056" s="2244"/>
      <c r="P1056" s="2245"/>
      <c r="Q1056" s="2245"/>
      <c r="R1056" s="1965"/>
      <c r="S1056" s="2244"/>
      <c r="T1056" s="2244"/>
      <c r="U1056" s="2244"/>
      <c r="V1056" s="2244"/>
      <c r="W1056" s="2244"/>
      <c r="X1056" s="2244"/>
    </row>
    <row r="1057" spans="1:24" s="1818" customFormat="1" ht="32.1" customHeight="1">
      <c r="A1057" s="2535"/>
      <c r="B1057" s="1819"/>
      <c r="C1057" s="1813"/>
      <c r="D1057" s="1813"/>
      <c r="E1057" s="1813"/>
      <c r="F1057" s="1813"/>
      <c r="G1057" s="1813"/>
      <c r="H1057" s="1813"/>
      <c r="I1057" s="2434"/>
      <c r="J1057" s="2244"/>
      <c r="K1057" s="2244"/>
      <c r="L1057" s="2244"/>
      <c r="M1057" s="2244"/>
      <c r="N1057" s="2244"/>
      <c r="O1057" s="2244"/>
      <c r="P1057" s="2245"/>
      <c r="Q1057" s="2245"/>
      <c r="R1057" s="1965"/>
      <c r="S1057" s="2244"/>
      <c r="T1057" s="2244"/>
      <c r="U1057" s="2244"/>
      <c r="V1057" s="2244"/>
      <c r="W1057" s="2244"/>
      <c r="X1057" s="2244"/>
    </row>
    <row r="1058" spans="1:24" s="1818" customFormat="1" ht="32.1" customHeight="1">
      <c r="A1058" s="2535"/>
      <c r="B1058" s="1819"/>
      <c r="C1058" s="1813"/>
      <c r="D1058" s="1813"/>
      <c r="E1058" s="1813"/>
      <c r="F1058" s="1813"/>
      <c r="G1058" s="1813"/>
      <c r="H1058" s="1813"/>
      <c r="I1058" s="2434"/>
      <c r="J1058" s="2244"/>
      <c r="K1058" s="2244"/>
      <c r="L1058" s="2244"/>
      <c r="M1058" s="2244"/>
      <c r="N1058" s="2244"/>
      <c r="O1058" s="2244"/>
      <c r="P1058" s="2245"/>
      <c r="Q1058" s="2245"/>
      <c r="R1058" s="1965"/>
      <c r="S1058" s="2244"/>
      <c r="T1058" s="2244"/>
      <c r="U1058" s="2244"/>
      <c r="V1058" s="2244"/>
      <c r="W1058" s="2244"/>
      <c r="X1058" s="2244"/>
    </row>
    <row r="1059" spans="1:24" s="1818" customFormat="1" ht="32.1" customHeight="1">
      <c r="A1059" s="2535"/>
      <c r="B1059" s="1819"/>
      <c r="C1059" s="1813"/>
      <c r="D1059" s="1813"/>
      <c r="E1059" s="1813"/>
      <c r="F1059" s="1813"/>
      <c r="G1059" s="1813"/>
      <c r="H1059" s="1813"/>
      <c r="I1059" s="2434"/>
      <c r="J1059" s="2244"/>
      <c r="K1059" s="2244"/>
      <c r="L1059" s="2244"/>
      <c r="M1059" s="2244"/>
      <c r="N1059" s="2244"/>
      <c r="O1059" s="2244"/>
      <c r="P1059" s="2245"/>
      <c r="Q1059" s="2245"/>
      <c r="R1059" s="1965"/>
      <c r="S1059" s="2244"/>
      <c r="T1059" s="2244"/>
      <c r="U1059" s="2244"/>
      <c r="V1059" s="2244"/>
      <c r="W1059" s="2244"/>
      <c r="X1059" s="2244"/>
    </row>
    <row r="1060" spans="1:24" s="1818" customFormat="1" ht="32.1" customHeight="1">
      <c r="A1060" s="2535"/>
      <c r="B1060" s="1819"/>
      <c r="C1060" s="1813"/>
      <c r="D1060" s="1813"/>
      <c r="E1060" s="1813"/>
      <c r="F1060" s="1813"/>
      <c r="G1060" s="1813"/>
      <c r="H1060" s="1813"/>
      <c r="I1060" s="2434"/>
      <c r="J1060" s="2244"/>
      <c r="K1060" s="2244"/>
      <c r="L1060" s="2244"/>
      <c r="M1060" s="2244"/>
      <c r="N1060" s="2244"/>
      <c r="O1060" s="2244"/>
      <c r="P1060" s="2245"/>
      <c r="Q1060" s="2245"/>
      <c r="R1060" s="1965"/>
      <c r="S1060" s="2244"/>
      <c r="T1060" s="2244"/>
      <c r="U1060" s="2244"/>
      <c r="V1060" s="2244"/>
      <c r="W1060" s="2244"/>
      <c r="X1060" s="2244"/>
    </row>
    <row r="1061" spans="1:24" s="1818" customFormat="1" ht="32.1" customHeight="1">
      <c r="A1061" s="2535"/>
      <c r="B1061" s="1819"/>
      <c r="C1061" s="1813"/>
      <c r="D1061" s="1813"/>
      <c r="E1061" s="1813"/>
      <c r="F1061" s="1813"/>
      <c r="G1061" s="1813"/>
      <c r="H1061" s="1813"/>
      <c r="I1061" s="2434"/>
      <c r="J1061" s="2244"/>
      <c r="K1061" s="2244"/>
      <c r="L1061" s="2244"/>
      <c r="M1061" s="2244"/>
      <c r="N1061" s="2244"/>
      <c r="O1061" s="2244"/>
      <c r="P1061" s="2245"/>
      <c r="Q1061" s="2245"/>
      <c r="R1061" s="1965"/>
      <c r="S1061" s="2244"/>
      <c r="T1061" s="2244"/>
      <c r="U1061" s="2244"/>
      <c r="V1061" s="2244"/>
      <c r="W1061" s="2244"/>
      <c r="X1061" s="2244"/>
    </row>
    <row r="1062" spans="1:24" s="1818" customFormat="1" ht="32.1" customHeight="1">
      <c r="A1062" s="2535"/>
      <c r="B1062" s="1819"/>
      <c r="C1062" s="1813"/>
      <c r="D1062" s="1813"/>
      <c r="E1062" s="1813"/>
      <c r="F1062" s="1813"/>
      <c r="G1062" s="1813"/>
      <c r="H1062" s="1813"/>
      <c r="I1062" s="2434"/>
      <c r="J1062" s="2244"/>
      <c r="K1062" s="2244"/>
      <c r="L1062" s="2244"/>
      <c r="M1062" s="2244"/>
      <c r="N1062" s="2244"/>
      <c r="O1062" s="2244"/>
      <c r="P1062" s="2245"/>
      <c r="Q1062" s="2245"/>
      <c r="R1062" s="1965"/>
      <c r="S1062" s="2244"/>
      <c r="T1062" s="2244"/>
      <c r="U1062" s="2244"/>
      <c r="V1062" s="2244"/>
      <c r="W1062" s="2244"/>
      <c r="X1062" s="2244"/>
    </row>
    <row r="1063" spans="1:24" s="1818" customFormat="1" ht="32.1" customHeight="1">
      <c r="A1063" s="2535"/>
      <c r="B1063" s="1819"/>
      <c r="C1063" s="1813"/>
      <c r="D1063" s="1813"/>
      <c r="E1063" s="1813"/>
      <c r="F1063" s="1813"/>
      <c r="G1063" s="1813"/>
      <c r="H1063" s="1813"/>
      <c r="I1063" s="2434"/>
      <c r="J1063" s="2244"/>
      <c r="K1063" s="2244"/>
      <c r="L1063" s="2244"/>
      <c r="M1063" s="2244"/>
      <c r="N1063" s="2244"/>
      <c r="O1063" s="2244"/>
      <c r="P1063" s="2245"/>
      <c r="Q1063" s="2245"/>
      <c r="R1063" s="1965"/>
      <c r="S1063" s="2244"/>
      <c r="T1063" s="2244"/>
      <c r="U1063" s="2244"/>
      <c r="V1063" s="2244"/>
      <c r="W1063" s="2244"/>
      <c r="X1063" s="2244"/>
    </row>
    <row r="1064" spans="1:24" s="1818" customFormat="1" ht="32.1" customHeight="1">
      <c r="A1064" s="2535"/>
      <c r="B1064" s="1819"/>
      <c r="C1064" s="1813"/>
      <c r="D1064" s="1813"/>
      <c r="E1064" s="1813"/>
      <c r="F1064" s="1813"/>
      <c r="G1064" s="1813"/>
      <c r="H1064" s="1813"/>
      <c r="I1064" s="2434"/>
      <c r="J1064" s="2244"/>
      <c r="K1064" s="2244"/>
      <c r="L1064" s="2244"/>
      <c r="M1064" s="2244"/>
      <c r="N1064" s="2244"/>
      <c r="O1064" s="2244"/>
      <c r="P1064" s="2245"/>
      <c r="Q1064" s="2245"/>
      <c r="R1064" s="1965"/>
      <c r="S1064" s="2244"/>
      <c r="T1064" s="2244"/>
      <c r="U1064" s="2244"/>
      <c r="V1064" s="2244"/>
      <c r="W1064" s="2244"/>
      <c r="X1064" s="2244"/>
    </row>
    <row r="1065" spans="1:24" s="1818" customFormat="1" ht="32.1" customHeight="1">
      <c r="A1065" s="2535"/>
      <c r="B1065" s="1819"/>
      <c r="C1065" s="1813"/>
      <c r="D1065" s="1813"/>
      <c r="E1065" s="1813"/>
      <c r="F1065" s="1813"/>
      <c r="G1065" s="1813"/>
      <c r="H1065" s="1813"/>
      <c r="I1065" s="2434"/>
      <c r="J1065" s="2244"/>
      <c r="K1065" s="2244"/>
      <c r="L1065" s="2244"/>
      <c r="M1065" s="2244"/>
      <c r="N1065" s="2244"/>
      <c r="O1065" s="2244"/>
      <c r="P1065" s="2245"/>
      <c r="Q1065" s="2245"/>
      <c r="R1065" s="1965"/>
      <c r="S1065" s="2244"/>
      <c r="T1065" s="2244"/>
      <c r="U1065" s="2244"/>
      <c r="V1065" s="2244"/>
      <c r="W1065" s="2244"/>
      <c r="X1065" s="2244"/>
    </row>
    <row r="1066" spans="1:24" s="1818" customFormat="1" ht="32.1" customHeight="1">
      <c r="A1066" s="2535"/>
      <c r="B1066" s="1819"/>
      <c r="C1066" s="1813"/>
      <c r="D1066" s="1813"/>
      <c r="E1066" s="1813"/>
      <c r="F1066" s="1813"/>
      <c r="G1066" s="1813"/>
      <c r="H1066" s="1813"/>
      <c r="I1066" s="2434"/>
      <c r="J1066" s="2244"/>
      <c r="K1066" s="2244"/>
      <c r="L1066" s="2244"/>
      <c r="M1066" s="2244"/>
      <c r="N1066" s="2244"/>
      <c r="O1066" s="2244"/>
      <c r="P1066" s="2245"/>
      <c r="Q1066" s="2245"/>
      <c r="R1066" s="1965"/>
      <c r="S1066" s="2244"/>
      <c r="T1066" s="2244"/>
      <c r="U1066" s="2244"/>
      <c r="V1066" s="2244"/>
      <c r="W1066" s="2244"/>
      <c r="X1066" s="2244"/>
    </row>
    <row r="1067" spans="1:24" s="1818" customFormat="1" ht="32.1" customHeight="1">
      <c r="A1067" s="2535"/>
      <c r="B1067" s="1819"/>
      <c r="C1067" s="1813"/>
      <c r="D1067" s="1813"/>
      <c r="E1067" s="1813"/>
      <c r="F1067" s="1813"/>
      <c r="G1067" s="1813"/>
      <c r="H1067" s="1813"/>
      <c r="I1067" s="2434"/>
      <c r="J1067" s="2244"/>
      <c r="K1067" s="2244"/>
      <c r="L1067" s="2244"/>
      <c r="M1067" s="2244"/>
      <c r="N1067" s="2244"/>
      <c r="O1067" s="2244"/>
      <c r="P1067" s="2245"/>
      <c r="Q1067" s="2245"/>
      <c r="R1067" s="1965"/>
      <c r="S1067" s="2244"/>
      <c r="T1067" s="2244"/>
      <c r="U1067" s="2244"/>
      <c r="V1067" s="2244"/>
      <c r="W1067" s="2244"/>
      <c r="X1067" s="2244"/>
    </row>
    <row r="1068" spans="1:24" s="1818" customFormat="1" ht="32.1" customHeight="1">
      <c r="A1068" s="2535"/>
      <c r="B1068" s="1819"/>
      <c r="C1068" s="1813"/>
      <c r="D1068" s="1813"/>
      <c r="E1068" s="1813"/>
      <c r="F1068" s="1813"/>
      <c r="G1068" s="1813"/>
      <c r="H1068" s="1813"/>
      <c r="I1068" s="2434"/>
      <c r="J1068" s="2244"/>
      <c r="K1068" s="2244"/>
      <c r="L1068" s="2244"/>
      <c r="M1068" s="2244"/>
      <c r="N1068" s="2244"/>
      <c r="O1068" s="2244"/>
      <c r="P1068" s="2245"/>
      <c r="Q1068" s="2245"/>
      <c r="R1068" s="1965"/>
      <c r="S1068" s="2244"/>
      <c r="T1068" s="2244"/>
      <c r="U1068" s="2244"/>
      <c r="V1068" s="2244"/>
      <c r="W1068" s="2244"/>
      <c r="X1068" s="2244"/>
    </row>
    <row r="1069" spans="1:24" s="1818" customFormat="1" ht="32.1" customHeight="1">
      <c r="A1069" s="2535"/>
      <c r="B1069" s="1819"/>
      <c r="C1069" s="1813"/>
      <c r="D1069" s="1813"/>
      <c r="E1069" s="1813"/>
      <c r="F1069" s="1813"/>
      <c r="G1069" s="1813"/>
      <c r="H1069" s="1813"/>
      <c r="I1069" s="2434"/>
      <c r="J1069" s="2244"/>
      <c r="K1069" s="2244"/>
      <c r="L1069" s="2244"/>
      <c r="M1069" s="2244"/>
      <c r="N1069" s="2244"/>
      <c r="O1069" s="2244"/>
      <c r="P1069" s="2245"/>
      <c r="Q1069" s="2245"/>
      <c r="R1069" s="1965"/>
      <c r="S1069" s="2244"/>
      <c r="T1069" s="2244"/>
      <c r="U1069" s="2244"/>
      <c r="V1069" s="2244"/>
      <c r="W1069" s="2244"/>
      <c r="X1069" s="2244"/>
    </row>
    <row r="1070" spans="1:24" s="1818" customFormat="1" ht="32.1" customHeight="1">
      <c r="A1070" s="2535"/>
      <c r="B1070" s="1819"/>
      <c r="C1070" s="1813"/>
      <c r="D1070" s="1813"/>
      <c r="E1070" s="1813"/>
      <c r="F1070" s="1813"/>
      <c r="G1070" s="1813"/>
      <c r="H1070" s="1813"/>
      <c r="I1070" s="2434"/>
      <c r="J1070" s="2244"/>
      <c r="K1070" s="2244"/>
      <c r="L1070" s="2244"/>
      <c r="M1070" s="2244"/>
      <c r="N1070" s="2244"/>
      <c r="O1070" s="2244"/>
      <c r="P1070" s="2245"/>
      <c r="Q1070" s="2245"/>
      <c r="R1070" s="1965"/>
      <c r="S1070" s="2244"/>
      <c r="T1070" s="2244"/>
      <c r="U1070" s="2244"/>
      <c r="V1070" s="2244"/>
      <c r="W1070" s="2244"/>
      <c r="X1070" s="2244"/>
    </row>
    <row r="1071" spans="1:24" s="1818" customFormat="1" ht="32.1" customHeight="1">
      <c r="A1071" s="2535"/>
      <c r="B1071" s="1819"/>
      <c r="C1071" s="1813"/>
      <c r="D1071" s="1813"/>
      <c r="E1071" s="1813"/>
      <c r="F1071" s="1813"/>
      <c r="G1071" s="1813"/>
      <c r="H1071" s="1813"/>
      <c r="I1071" s="2434"/>
      <c r="J1071" s="2244"/>
      <c r="K1071" s="2244"/>
      <c r="L1071" s="2244"/>
      <c r="M1071" s="2244"/>
      <c r="N1071" s="2244"/>
      <c r="O1071" s="2244"/>
      <c r="P1071" s="2245"/>
      <c r="Q1071" s="2245"/>
      <c r="R1071" s="1965"/>
      <c r="S1071" s="2244"/>
      <c r="T1071" s="2244"/>
      <c r="U1071" s="2244"/>
      <c r="V1071" s="2244"/>
      <c r="W1071" s="2244"/>
      <c r="X1071" s="2244"/>
    </row>
    <row r="1072" spans="1:24" s="1818" customFormat="1" ht="32.1" customHeight="1">
      <c r="A1072" s="2535"/>
      <c r="B1072" s="1819"/>
      <c r="C1072" s="1813"/>
      <c r="D1072" s="1813"/>
      <c r="E1072" s="1813"/>
      <c r="F1072" s="1813"/>
      <c r="G1072" s="1813"/>
      <c r="H1072" s="1813"/>
      <c r="I1072" s="2434"/>
      <c r="J1072" s="2244"/>
      <c r="K1072" s="2244"/>
      <c r="L1072" s="2244"/>
      <c r="M1072" s="2244"/>
      <c r="N1072" s="2244"/>
      <c r="O1072" s="2244"/>
      <c r="P1072" s="2245"/>
      <c r="Q1072" s="2245"/>
      <c r="R1072" s="1965"/>
      <c r="S1072" s="2244"/>
      <c r="T1072" s="2244"/>
      <c r="U1072" s="2244"/>
      <c r="V1072" s="2244"/>
      <c r="W1072" s="2244"/>
      <c r="X1072" s="2244"/>
    </row>
    <row r="1073" spans="1:24" s="1818" customFormat="1" ht="32.1" customHeight="1">
      <c r="A1073" s="2535"/>
      <c r="B1073" s="1819"/>
      <c r="C1073" s="1813"/>
      <c r="D1073" s="1813"/>
      <c r="E1073" s="1813"/>
      <c r="F1073" s="1813"/>
      <c r="G1073" s="1813"/>
      <c r="H1073" s="1813"/>
      <c r="I1073" s="2434"/>
      <c r="J1073" s="2244"/>
      <c r="K1073" s="2244"/>
      <c r="L1073" s="2244"/>
      <c r="M1073" s="2244"/>
      <c r="N1073" s="2244"/>
      <c r="O1073" s="2244"/>
      <c r="P1073" s="2245"/>
      <c r="Q1073" s="2245"/>
      <c r="R1073" s="1965"/>
      <c r="S1073" s="2244"/>
      <c r="T1073" s="2244"/>
      <c r="U1073" s="2244"/>
      <c r="V1073" s="2244"/>
      <c r="W1073" s="2244"/>
      <c r="X1073" s="2244"/>
    </row>
    <row r="1074" spans="1:24" s="1818" customFormat="1" ht="32.1" customHeight="1">
      <c r="A1074" s="2535"/>
      <c r="B1074" s="1819"/>
      <c r="C1074" s="1813"/>
      <c r="D1074" s="1813"/>
      <c r="E1074" s="1813"/>
      <c r="F1074" s="1813"/>
      <c r="G1074" s="1813"/>
      <c r="H1074" s="1813"/>
      <c r="I1074" s="2434"/>
      <c r="J1074" s="2244"/>
      <c r="K1074" s="2244"/>
      <c r="L1074" s="2244"/>
      <c r="M1074" s="2244"/>
      <c r="N1074" s="2244"/>
      <c r="O1074" s="2244"/>
      <c r="P1074" s="2245"/>
      <c r="Q1074" s="2245"/>
      <c r="R1074" s="1965"/>
      <c r="S1074" s="2244"/>
      <c r="T1074" s="2244"/>
      <c r="U1074" s="2244"/>
      <c r="V1074" s="2244"/>
      <c r="W1074" s="2244"/>
      <c r="X1074" s="2244"/>
    </row>
    <row r="1075" spans="1:24" s="1818" customFormat="1" ht="32.1" customHeight="1">
      <c r="A1075" s="2535"/>
      <c r="B1075" s="1819"/>
      <c r="C1075" s="1813"/>
      <c r="D1075" s="1813"/>
      <c r="E1075" s="1813"/>
      <c r="F1075" s="1813"/>
      <c r="G1075" s="1813"/>
      <c r="H1075" s="1813"/>
      <c r="I1075" s="2434"/>
      <c r="J1075" s="2244"/>
      <c r="K1075" s="2244"/>
      <c r="L1075" s="2244"/>
      <c r="M1075" s="2244"/>
      <c r="N1075" s="2244"/>
      <c r="O1075" s="2244"/>
      <c r="P1075" s="2245"/>
      <c r="Q1075" s="2245"/>
      <c r="R1075" s="1965"/>
      <c r="S1075" s="2244"/>
      <c r="T1075" s="2244"/>
      <c r="U1075" s="2244"/>
      <c r="V1075" s="2244"/>
      <c r="W1075" s="2244"/>
      <c r="X1075" s="2244"/>
    </row>
    <row r="1076" spans="1:24" s="1818" customFormat="1" ht="32.1" customHeight="1">
      <c r="A1076" s="2535"/>
      <c r="B1076" s="1819"/>
      <c r="C1076" s="1813"/>
      <c r="D1076" s="1813"/>
      <c r="E1076" s="1813"/>
      <c r="F1076" s="1813"/>
      <c r="G1076" s="1813"/>
      <c r="H1076" s="1813"/>
      <c r="I1076" s="2434"/>
      <c r="J1076" s="2244"/>
      <c r="K1076" s="2244"/>
      <c r="L1076" s="2244"/>
      <c r="M1076" s="2244"/>
      <c r="N1076" s="2244"/>
      <c r="O1076" s="2244"/>
      <c r="P1076" s="2245"/>
      <c r="Q1076" s="2245"/>
      <c r="R1076" s="1965"/>
      <c r="S1076" s="2244"/>
      <c r="T1076" s="2244"/>
      <c r="U1076" s="2244"/>
      <c r="V1076" s="2244"/>
      <c r="W1076" s="2244"/>
      <c r="X1076" s="2244"/>
    </row>
    <row r="1077" spans="1:24" s="1818" customFormat="1" ht="32.1" customHeight="1">
      <c r="A1077" s="2535"/>
      <c r="B1077" s="1819"/>
      <c r="C1077" s="1813"/>
      <c r="D1077" s="1813"/>
      <c r="E1077" s="1813"/>
      <c r="F1077" s="1813"/>
      <c r="G1077" s="1813"/>
      <c r="H1077" s="1813"/>
      <c r="I1077" s="2434"/>
      <c r="J1077" s="2244"/>
      <c r="K1077" s="2244"/>
      <c r="L1077" s="2244"/>
      <c r="M1077" s="2244"/>
      <c r="N1077" s="2244"/>
      <c r="O1077" s="2244"/>
      <c r="P1077" s="2245"/>
      <c r="Q1077" s="2245"/>
      <c r="R1077" s="1965"/>
      <c r="S1077" s="2244"/>
      <c r="T1077" s="2244"/>
      <c r="U1077" s="2244"/>
      <c r="V1077" s="2244"/>
      <c r="W1077" s="2244"/>
      <c r="X1077" s="2244"/>
    </row>
    <row r="1078" spans="1:24" s="1818" customFormat="1" ht="32.1" customHeight="1">
      <c r="A1078" s="2535"/>
      <c r="B1078" s="1819"/>
      <c r="C1078" s="1813"/>
      <c r="D1078" s="1813"/>
      <c r="E1078" s="1813"/>
      <c r="F1078" s="1813"/>
      <c r="G1078" s="1813"/>
      <c r="H1078" s="1813"/>
      <c r="I1078" s="2434"/>
      <c r="J1078" s="2244"/>
      <c r="K1078" s="2244"/>
      <c r="L1078" s="2244"/>
      <c r="M1078" s="2244"/>
      <c r="N1078" s="2244"/>
      <c r="O1078" s="2244"/>
      <c r="P1078" s="2245"/>
      <c r="Q1078" s="2245"/>
      <c r="R1078" s="1965"/>
      <c r="S1078" s="2244"/>
      <c r="T1078" s="2244"/>
      <c r="U1078" s="2244"/>
      <c r="V1078" s="2244"/>
      <c r="W1078" s="2244"/>
      <c r="X1078" s="2244"/>
    </row>
    <row r="1079" spans="1:24" s="1818" customFormat="1" ht="32.1" customHeight="1">
      <c r="A1079" s="2535"/>
      <c r="B1079" s="1819"/>
      <c r="C1079" s="1813"/>
      <c r="D1079" s="1813"/>
      <c r="E1079" s="1813"/>
      <c r="F1079" s="1813"/>
      <c r="G1079" s="1813"/>
      <c r="H1079" s="1813"/>
      <c r="I1079" s="2434"/>
      <c r="J1079" s="2244"/>
      <c r="K1079" s="2244"/>
      <c r="L1079" s="2244"/>
      <c r="M1079" s="2244"/>
      <c r="N1079" s="2244"/>
      <c r="O1079" s="2244"/>
      <c r="P1079" s="2245"/>
      <c r="Q1079" s="2245"/>
      <c r="R1079" s="1965"/>
      <c r="S1079" s="2244"/>
      <c r="T1079" s="2244"/>
      <c r="U1079" s="2244"/>
      <c r="V1079" s="2244"/>
      <c r="W1079" s="2244"/>
      <c r="X1079" s="2244"/>
    </row>
    <row r="1080" spans="1:24" s="1818" customFormat="1" ht="32.1" customHeight="1">
      <c r="A1080" s="2535"/>
      <c r="B1080" s="1819"/>
      <c r="C1080" s="1813"/>
      <c r="D1080" s="1813"/>
      <c r="E1080" s="1813"/>
      <c r="F1080" s="1813"/>
      <c r="G1080" s="1813"/>
      <c r="H1080" s="1813"/>
      <c r="I1080" s="2434"/>
      <c r="J1080" s="2244"/>
      <c r="K1080" s="2244"/>
      <c r="L1080" s="2244"/>
      <c r="M1080" s="2244"/>
      <c r="N1080" s="2244"/>
      <c r="O1080" s="2244"/>
      <c r="P1080" s="2245"/>
      <c r="Q1080" s="2245"/>
      <c r="R1080" s="1965"/>
      <c r="S1080" s="2244"/>
      <c r="T1080" s="2244"/>
      <c r="U1080" s="2244"/>
      <c r="V1080" s="2244"/>
      <c r="W1080" s="2244"/>
      <c r="X1080" s="2244"/>
    </row>
    <row r="1081" spans="1:24" s="1818" customFormat="1" ht="32.1" customHeight="1">
      <c r="A1081" s="2535"/>
      <c r="B1081" s="1819"/>
      <c r="C1081" s="1813"/>
      <c r="D1081" s="1813"/>
      <c r="E1081" s="1813"/>
      <c r="F1081" s="1813"/>
      <c r="G1081" s="1813"/>
      <c r="H1081" s="1813"/>
      <c r="I1081" s="2434"/>
      <c r="J1081" s="2244"/>
      <c r="K1081" s="2244"/>
      <c r="L1081" s="2244"/>
      <c r="M1081" s="2244"/>
      <c r="N1081" s="2244"/>
      <c r="O1081" s="2244"/>
      <c r="P1081" s="2245"/>
      <c r="Q1081" s="2245"/>
      <c r="R1081" s="1965"/>
      <c r="S1081" s="2244"/>
      <c r="T1081" s="2244"/>
      <c r="U1081" s="2244"/>
      <c r="V1081" s="2244"/>
      <c r="W1081" s="2244"/>
      <c r="X1081" s="2244"/>
    </row>
    <row r="1082" spans="1:24" s="1818" customFormat="1" ht="32.1" customHeight="1">
      <c r="A1082" s="2535"/>
      <c r="B1082" s="1819"/>
      <c r="C1082" s="1813"/>
      <c r="D1082" s="1813"/>
      <c r="E1082" s="1813"/>
      <c r="F1082" s="1813"/>
      <c r="G1082" s="1813"/>
      <c r="H1082" s="1813"/>
      <c r="I1082" s="2434"/>
      <c r="J1082" s="2244"/>
      <c r="K1082" s="2244"/>
      <c r="L1082" s="2244"/>
      <c r="M1082" s="2244"/>
      <c r="N1082" s="2244"/>
      <c r="O1082" s="2244"/>
      <c r="P1082" s="2245"/>
      <c r="Q1082" s="2245"/>
      <c r="R1082" s="1965"/>
      <c r="S1082" s="2244"/>
      <c r="T1082" s="2244"/>
      <c r="U1082" s="2244"/>
      <c r="V1082" s="2244"/>
      <c r="W1082" s="2244"/>
      <c r="X1082" s="2244"/>
    </row>
    <row r="1083" spans="1:24" s="1818" customFormat="1" ht="32.1" customHeight="1">
      <c r="A1083" s="2535"/>
      <c r="B1083" s="1819"/>
      <c r="C1083" s="1813"/>
      <c r="D1083" s="1813"/>
      <c r="E1083" s="1813"/>
      <c r="F1083" s="1813"/>
      <c r="G1083" s="1813"/>
      <c r="H1083" s="1813"/>
      <c r="I1083" s="2434"/>
      <c r="J1083" s="2244"/>
      <c r="K1083" s="2244"/>
      <c r="L1083" s="2244"/>
      <c r="M1083" s="2244"/>
      <c r="N1083" s="2244"/>
      <c r="O1083" s="2244"/>
      <c r="P1083" s="2245"/>
      <c r="Q1083" s="2245"/>
      <c r="R1083" s="1965"/>
      <c r="S1083" s="2244"/>
      <c r="T1083" s="2244"/>
      <c r="U1083" s="2244"/>
      <c r="V1083" s="2244"/>
      <c r="W1083" s="2244"/>
      <c r="X1083" s="2244"/>
    </row>
    <row r="1084" spans="1:24" s="1818" customFormat="1" ht="32.1" customHeight="1">
      <c r="A1084" s="2535"/>
      <c r="B1084" s="1819"/>
      <c r="C1084" s="1813"/>
      <c r="D1084" s="1813"/>
      <c r="E1084" s="1813"/>
      <c r="F1084" s="1813"/>
      <c r="G1084" s="1813"/>
      <c r="H1084" s="1813"/>
      <c r="I1084" s="2434"/>
      <c r="J1084" s="2244"/>
      <c r="K1084" s="2244"/>
      <c r="L1084" s="2244"/>
      <c r="M1084" s="2244"/>
      <c r="N1084" s="2244"/>
      <c r="O1084" s="2244"/>
      <c r="P1084" s="2245"/>
      <c r="Q1084" s="2245"/>
      <c r="R1084" s="1965"/>
      <c r="S1084" s="2244"/>
      <c r="T1084" s="2244"/>
      <c r="U1084" s="2244"/>
      <c r="V1084" s="2244"/>
      <c r="W1084" s="2244"/>
      <c r="X1084" s="2244"/>
    </row>
    <row r="1085" spans="1:24" s="1818" customFormat="1" ht="32.1" customHeight="1">
      <c r="A1085" s="2535"/>
      <c r="B1085" s="1819"/>
      <c r="C1085" s="1813"/>
      <c r="D1085" s="1813"/>
      <c r="E1085" s="1813"/>
      <c r="F1085" s="1813"/>
      <c r="G1085" s="1813"/>
      <c r="H1085" s="1813"/>
      <c r="I1085" s="2434"/>
      <c r="J1085" s="2244"/>
      <c r="K1085" s="2244"/>
      <c r="L1085" s="2244"/>
      <c r="M1085" s="2244"/>
      <c r="N1085" s="2244"/>
      <c r="O1085" s="2244"/>
      <c r="P1085" s="2245"/>
      <c r="Q1085" s="2245"/>
      <c r="R1085" s="1965"/>
      <c r="S1085" s="2244"/>
      <c r="T1085" s="2244"/>
      <c r="U1085" s="2244"/>
      <c r="V1085" s="2244"/>
      <c r="W1085" s="2244"/>
      <c r="X1085" s="2244"/>
    </row>
    <row r="1086" spans="1:24" s="1818" customFormat="1" ht="32.1" customHeight="1">
      <c r="A1086" s="2535"/>
      <c r="B1086" s="1819"/>
      <c r="C1086" s="1813"/>
      <c r="D1086" s="1813"/>
      <c r="E1086" s="1813"/>
      <c r="F1086" s="1813"/>
      <c r="G1086" s="1813"/>
      <c r="H1086" s="1813"/>
      <c r="I1086" s="2434"/>
      <c r="J1086" s="2244"/>
      <c r="K1086" s="2244"/>
      <c r="L1086" s="2244"/>
      <c r="M1086" s="2244"/>
      <c r="N1086" s="2244"/>
      <c r="O1086" s="2244"/>
      <c r="P1086" s="2245"/>
      <c r="Q1086" s="2245"/>
      <c r="R1086" s="1965"/>
      <c r="S1086" s="2244"/>
      <c r="T1086" s="2244"/>
      <c r="U1086" s="2244"/>
      <c r="V1086" s="2244"/>
      <c r="W1086" s="2244"/>
      <c r="X1086" s="2244"/>
    </row>
    <row r="1087" spans="1:24" s="1818" customFormat="1" ht="32.1" customHeight="1">
      <c r="A1087" s="2535"/>
      <c r="B1087" s="1819"/>
      <c r="C1087" s="1813"/>
      <c r="D1087" s="1813"/>
      <c r="E1087" s="1813"/>
      <c r="F1087" s="1813"/>
      <c r="G1087" s="1813"/>
      <c r="H1087" s="1813"/>
      <c r="I1087" s="2434"/>
      <c r="J1087" s="2244"/>
      <c r="K1087" s="2244"/>
      <c r="L1087" s="2244"/>
      <c r="M1087" s="2244"/>
      <c r="N1087" s="2244"/>
      <c r="O1087" s="2244"/>
      <c r="P1087" s="2245"/>
      <c r="Q1087" s="2245"/>
      <c r="R1087" s="1965"/>
      <c r="S1087" s="2244"/>
      <c r="T1087" s="2244"/>
      <c r="U1087" s="2244"/>
      <c r="V1087" s="2244"/>
      <c r="W1087" s="2244"/>
      <c r="X1087" s="2244"/>
    </row>
    <row r="1088" spans="1:24" s="1818" customFormat="1" ht="32.1" customHeight="1">
      <c r="A1088" s="2535"/>
      <c r="B1088" s="1819"/>
      <c r="C1088" s="1813"/>
      <c r="D1088" s="1813"/>
      <c r="E1088" s="1813"/>
      <c r="F1088" s="1813"/>
      <c r="G1088" s="1813"/>
      <c r="H1088" s="1813"/>
      <c r="I1088" s="2434"/>
      <c r="J1088" s="2244"/>
      <c r="K1088" s="2244"/>
      <c r="L1088" s="2244"/>
      <c r="M1088" s="2244"/>
      <c r="N1088" s="2244"/>
      <c r="O1088" s="2244"/>
      <c r="P1088" s="2245"/>
      <c r="Q1088" s="2245"/>
      <c r="R1088" s="1965"/>
      <c r="S1088" s="2244"/>
      <c r="T1088" s="2244"/>
      <c r="U1088" s="2244"/>
      <c r="V1088" s="2244"/>
      <c r="W1088" s="2244"/>
      <c r="X1088" s="2244"/>
    </row>
    <row r="1089" spans="1:24" s="1818" customFormat="1" ht="32.1" customHeight="1">
      <c r="A1089" s="2535"/>
      <c r="B1089" s="1819"/>
      <c r="C1089" s="1813"/>
      <c r="D1089" s="1813"/>
      <c r="E1089" s="1813"/>
      <c r="F1089" s="1813"/>
      <c r="G1089" s="1813"/>
      <c r="H1089" s="1813"/>
      <c r="I1089" s="2434"/>
      <c r="J1089" s="2244"/>
      <c r="K1089" s="2244"/>
      <c r="L1089" s="2244"/>
      <c r="M1089" s="2244"/>
      <c r="N1089" s="2244"/>
      <c r="O1089" s="2244"/>
      <c r="P1089" s="2245"/>
      <c r="Q1089" s="2245"/>
      <c r="R1089" s="1965"/>
      <c r="S1089" s="2244"/>
      <c r="T1089" s="2244"/>
      <c r="U1089" s="2244"/>
      <c r="V1089" s="2244"/>
      <c r="W1089" s="2244"/>
      <c r="X1089" s="2244"/>
    </row>
    <row r="1090" spans="1:24" s="1818" customFormat="1" ht="32.1" customHeight="1">
      <c r="A1090" s="2535"/>
      <c r="B1090" s="1819"/>
      <c r="C1090" s="1813"/>
      <c r="D1090" s="1813"/>
      <c r="E1090" s="1813"/>
      <c r="F1090" s="1813"/>
      <c r="G1090" s="1813"/>
      <c r="H1090" s="1813"/>
      <c r="I1090" s="2434"/>
      <c r="J1090" s="2244"/>
      <c r="K1090" s="2244"/>
      <c r="L1090" s="2244"/>
      <c r="M1090" s="2244"/>
      <c r="N1090" s="2244"/>
      <c r="O1090" s="2244"/>
      <c r="P1090" s="2245"/>
      <c r="Q1090" s="2245"/>
      <c r="R1090" s="1965"/>
      <c r="S1090" s="2244"/>
      <c r="T1090" s="2244"/>
      <c r="U1090" s="2244"/>
      <c r="V1090" s="2244"/>
      <c r="W1090" s="2244"/>
      <c r="X1090" s="2244"/>
    </row>
    <row r="1091" spans="1:24" s="1818" customFormat="1" ht="32.1" customHeight="1">
      <c r="A1091" s="2535"/>
      <c r="B1091" s="1819"/>
      <c r="C1091" s="1813"/>
      <c r="D1091" s="1813"/>
      <c r="E1091" s="1813"/>
      <c r="F1091" s="1813"/>
      <c r="G1091" s="1813"/>
      <c r="H1091" s="1813"/>
      <c r="I1091" s="2434"/>
      <c r="J1091" s="2244"/>
      <c r="K1091" s="2244"/>
      <c r="L1091" s="2244"/>
      <c r="M1091" s="2244"/>
      <c r="N1091" s="2244"/>
      <c r="O1091" s="2244"/>
      <c r="P1091" s="2245"/>
      <c r="Q1091" s="2245"/>
      <c r="R1091" s="1965"/>
      <c r="S1091" s="2244"/>
      <c r="T1091" s="2244"/>
      <c r="U1091" s="2244"/>
      <c r="V1091" s="2244"/>
      <c r="W1091" s="2244"/>
      <c r="X1091" s="2244"/>
    </row>
    <row r="1092" spans="1:24" s="1818" customFormat="1" ht="32.1" customHeight="1">
      <c r="A1092" s="2535"/>
      <c r="B1092" s="1819"/>
      <c r="C1092" s="1813"/>
      <c r="D1092" s="1813"/>
      <c r="E1092" s="1813"/>
      <c r="F1092" s="1813"/>
      <c r="G1092" s="1813"/>
      <c r="H1092" s="1813"/>
      <c r="I1092" s="2434"/>
      <c r="J1092" s="2244"/>
      <c r="K1092" s="2244"/>
      <c r="L1092" s="2244"/>
      <c r="M1092" s="2244"/>
      <c r="N1092" s="2244"/>
      <c r="O1092" s="2244"/>
      <c r="P1092" s="2245"/>
      <c r="Q1092" s="2245"/>
      <c r="R1092" s="1965"/>
      <c r="S1092" s="2244"/>
      <c r="T1092" s="2244"/>
      <c r="U1092" s="2244"/>
      <c r="V1092" s="2244"/>
      <c r="W1092" s="2244"/>
      <c r="X1092" s="2244"/>
    </row>
    <row r="1093" spans="1:24" s="1818" customFormat="1" ht="32.1" customHeight="1">
      <c r="A1093" s="2535"/>
      <c r="B1093" s="1819"/>
      <c r="C1093" s="1813"/>
      <c r="D1093" s="1813"/>
      <c r="E1093" s="1813"/>
      <c r="F1093" s="1813"/>
      <c r="G1093" s="1813"/>
      <c r="H1093" s="1813"/>
      <c r="I1093" s="2434"/>
      <c r="J1093" s="2244"/>
      <c r="K1093" s="2244"/>
      <c r="L1093" s="2244"/>
      <c r="M1093" s="2244"/>
      <c r="N1093" s="2244"/>
      <c r="O1093" s="2244"/>
      <c r="P1093" s="2245"/>
      <c r="Q1093" s="2245"/>
      <c r="R1093" s="1965"/>
      <c r="S1093" s="2244"/>
      <c r="T1093" s="2244"/>
      <c r="U1093" s="2244"/>
      <c r="V1093" s="2244"/>
      <c r="W1093" s="2244"/>
      <c r="X1093" s="2244"/>
    </row>
    <row r="1094" spans="1:24" s="1818" customFormat="1" ht="32.1" customHeight="1">
      <c r="A1094" s="2535"/>
      <c r="B1094" s="1819"/>
      <c r="C1094" s="1813"/>
      <c r="D1094" s="1813"/>
      <c r="E1094" s="1813"/>
      <c r="F1094" s="1813"/>
      <c r="G1094" s="1813"/>
      <c r="H1094" s="1813"/>
      <c r="I1094" s="2434"/>
      <c r="J1094" s="2244"/>
      <c r="K1094" s="2244"/>
      <c r="L1094" s="2244"/>
      <c r="M1094" s="2244"/>
      <c r="N1094" s="2244"/>
      <c r="O1094" s="2244"/>
      <c r="P1094" s="2245"/>
      <c r="Q1094" s="2245"/>
      <c r="R1094" s="1965"/>
      <c r="S1094" s="2244"/>
      <c r="T1094" s="2244"/>
      <c r="U1094" s="2244"/>
      <c r="V1094" s="2244"/>
      <c r="W1094" s="2244"/>
      <c r="X1094" s="2244"/>
    </row>
    <row r="1095" spans="1:24" s="1818" customFormat="1" ht="32.1" customHeight="1">
      <c r="A1095" s="2535"/>
      <c r="B1095" s="1819"/>
      <c r="C1095" s="1813"/>
      <c r="D1095" s="1813"/>
      <c r="E1095" s="1813"/>
      <c r="F1095" s="1813"/>
      <c r="G1095" s="1813"/>
      <c r="H1095" s="1813"/>
      <c r="I1095" s="2434"/>
      <c r="J1095" s="2244"/>
      <c r="K1095" s="2244"/>
      <c r="L1095" s="2244"/>
      <c r="M1095" s="2244"/>
      <c r="N1095" s="2244"/>
      <c r="O1095" s="2244"/>
      <c r="P1095" s="2245"/>
      <c r="Q1095" s="2245"/>
      <c r="R1095" s="1965"/>
      <c r="S1095" s="2244"/>
      <c r="T1095" s="2244"/>
      <c r="U1095" s="2244"/>
      <c r="V1095" s="2244"/>
      <c r="W1095" s="2244"/>
      <c r="X1095" s="2244"/>
    </row>
    <row r="1096" spans="1:24" s="1818" customFormat="1" ht="32.1" customHeight="1">
      <c r="A1096" s="2535"/>
      <c r="B1096" s="1819"/>
      <c r="C1096" s="1813"/>
      <c r="D1096" s="1813"/>
      <c r="E1096" s="1813"/>
      <c r="F1096" s="1813"/>
      <c r="G1096" s="1813"/>
      <c r="H1096" s="1813"/>
      <c r="I1096" s="2434"/>
      <c r="J1096" s="2244"/>
      <c r="K1096" s="2244"/>
      <c r="L1096" s="2244"/>
      <c r="M1096" s="2244"/>
      <c r="N1096" s="2244"/>
      <c r="O1096" s="2244"/>
      <c r="P1096" s="2245"/>
      <c r="Q1096" s="2245"/>
      <c r="R1096" s="1965"/>
      <c r="S1096" s="2244"/>
      <c r="T1096" s="2244"/>
      <c r="U1096" s="2244"/>
      <c r="V1096" s="2244"/>
      <c r="W1096" s="2244"/>
      <c r="X1096" s="2244"/>
    </row>
    <row r="1097" spans="1:24" s="1818" customFormat="1" ht="32.1" customHeight="1">
      <c r="A1097" s="2535"/>
      <c r="B1097" s="1819"/>
      <c r="C1097" s="1813"/>
      <c r="D1097" s="1813"/>
      <c r="E1097" s="1813"/>
      <c r="F1097" s="1813"/>
      <c r="G1097" s="1813"/>
      <c r="H1097" s="1813"/>
      <c r="I1097" s="2434"/>
      <c r="J1097" s="2244"/>
      <c r="K1097" s="2244"/>
      <c r="L1097" s="2244"/>
      <c r="M1097" s="2244"/>
      <c r="N1097" s="2244"/>
      <c r="O1097" s="2244"/>
      <c r="P1097" s="2245"/>
      <c r="Q1097" s="2245"/>
      <c r="R1097" s="1965"/>
      <c r="S1097" s="2244"/>
      <c r="T1097" s="2244"/>
      <c r="U1097" s="2244"/>
      <c r="V1097" s="2244"/>
      <c r="W1097" s="2244"/>
      <c r="X1097" s="2244"/>
    </row>
    <row r="1098" spans="1:24" s="1818" customFormat="1" ht="32.1" customHeight="1">
      <c r="A1098" s="2535"/>
      <c r="B1098" s="1819"/>
      <c r="C1098" s="1813"/>
      <c r="D1098" s="1813"/>
      <c r="E1098" s="1813"/>
      <c r="F1098" s="1813"/>
      <c r="G1098" s="1813"/>
      <c r="H1098" s="1813"/>
      <c r="I1098" s="2434"/>
      <c r="J1098" s="2244"/>
      <c r="K1098" s="2244"/>
      <c r="L1098" s="2244"/>
      <c r="M1098" s="2244"/>
      <c r="N1098" s="2244"/>
      <c r="O1098" s="2244"/>
      <c r="P1098" s="2245"/>
      <c r="Q1098" s="2245"/>
      <c r="R1098" s="1965"/>
      <c r="S1098" s="2244"/>
      <c r="T1098" s="2244"/>
      <c r="U1098" s="2244"/>
      <c r="V1098" s="2244"/>
      <c r="W1098" s="2244"/>
      <c r="X1098" s="2244"/>
    </row>
    <row r="1099" spans="1:24" s="1818" customFormat="1" ht="32.1" customHeight="1">
      <c r="A1099" s="2535"/>
      <c r="B1099" s="1819"/>
      <c r="C1099" s="1813"/>
      <c r="D1099" s="1813"/>
      <c r="E1099" s="1813"/>
      <c r="F1099" s="1813"/>
      <c r="G1099" s="1813"/>
      <c r="H1099" s="1813"/>
      <c r="I1099" s="2434"/>
      <c r="J1099" s="2244"/>
      <c r="K1099" s="2244"/>
      <c r="L1099" s="2244"/>
      <c r="M1099" s="2244"/>
      <c r="N1099" s="2244"/>
      <c r="O1099" s="2244"/>
      <c r="P1099" s="2245"/>
      <c r="Q1099" s="2245"/>
      <c r="R1099" s="1965"/>
      <c r="S1099" s="2244"/>
      <c r="T1099" s="2244"/>
      <c r="U1099" s="2244"/>
      <c r="V1099" s="2244"/>
      <c r="W1099" s="2244"/>
      <c r="X1099" s="2244"/>
    </row>
    <row r="1100" spans="1:24" s="1818" customFormat="1" ht="32.1" customHeight="1">
      <c r="A1100" s="2535"/>
      <c r="B1100" s="1819"/>
      <c r="C1100" s="1813"/>
      <c r="D1100" s="1813"/>
      <c r="E1100" s="1813"/>
      <c r="F1100" s="1813"/>
      <c r="G1100" s="1813"/>
      <c r="H1100" s="1813"/>
      <c r="I1100" s="2434"/>
      <c r="J1100" s="2244"/>
      <c r="K1100" s="2244"/>
      <c r="L1100" s="2244"/>
      <c r="M1100" s="2244"/>
      <c r="N1100" s="2244"/>
      <c r="O1100" s="2244"/>
      <c r="P1100" s="2245"/>
      <c r="Q1100" s="2245"/>
      <c r="R1100" s="1965"/>
      <c r="S1100" s="2244"/>
      <c r="T1100" s="2244"/>
      <c r="U1100" s="2244"/>
      <c r="V1100" s="2244"/>
      <c r="W1100" s="2244"/>
      <c r="X1100" s="2244"/>
    </row>
    <row r="1101" spans="1:24" s="1818" customFormat="1" ht="32.1" customHeight="1">
      <c r="A1101" s="2535"/>
      <c r="B1101" s="1819"/>
      <c r="C1101" s="1813"/>
      <c r="D1101" s="1813"/>
      <c r="E1101" s="1813"/>
      <c r="F1101" s="1813"/>
      <c r="G1101" s="1813"/>
      <c r="H1101" s="1813"/>
      <c r="I1101" s="2434"/>
      <c r="J1101" s="2244"/>
      <c r="K1101" s="2244"/>
      <c r="L1101" s="2244"/>
      <c r="M1101" s="2244"/>
      <c r="N1101" s="2244"/>
      <c r="O1101" s="2244"/>
      <c r="P1101" s="2245"/>
      <c r="Q1101" s="2245"/>
      <c r="R1101" s="1965"/>
      <c r="S1101" s="2244"/>
      <c r="T1101" s="2244"/>
      <c r="U1101" s="2244"/>
      <c r="V1101" s="2244"/>
      <c r="W1101" s="2244"/>
      <c r="X1101" s="2244"/>
    </row>
    <row r="1102" spans="1:24" s="1818" customFormat="1" ht="32.1" customHeight="1">
      <c r="A1102" s="2535"/>
      <c r="B1102" s="1819"/>
      <c r="C1102" s="1813"/>
      <c r="D1102" s="1813"/>
      <c r="E1102" s="1813"/>
      <c r="F1102" s="1813"/>
      <c r="G1102" s="1813"/>
      <c r="H1102" s="1813"/>
      <c r="I1102" s="2434"/>
      <c r="J1102" s="2244"/>
      <c r="K1102" s="2244"/>
      <c r="L1102" s="2244"/>
      <c r="M1102" s="2244"/>
      <c r="N1102" s="2244"/>
      <c r="O1102" s="2244"/>
      <c r="P1102" s="2245"/>
      <c r="Q1102" s="2245"/>
      <c r="R1102" s="1965"/>
      <c r="S1102" s="2244"/>
      <c r="T1102" s="2244"/>
      <c r="U1102" s="2244"/>
      <c r="V1102" s="2244"/>
      <c r="W1102" s="2244"/>
      <c r="X1102" s="2244"/>
    </row>
    <row r="1103" spans="1:24" s="1818" customFormat="1" ht="32.1" customHeight="1">
      <c r="A1103" s="2535"/>
      <c r="B1103" s="1819"/>
      <c r="C1103" s="1813"/>
      <c r="D1103" s="1813"/>
      <c r="E1103" s="1813"/>
      <c r="F1103" s="1813"/>
      <c r="G1103" s="1813"/>
      <c r="H1103" s="1813"/>
      <c r="I1103" s="2434"/>
      <c r="J1103" s="2244"/>
      <c r="K1103" s="2244"/>
      <c r="L1103" s="2244"/>
      <c r="M1103" s="2244"/>
      <c r="N1103" s="2244"/>
      <c r="O1103" s="2244"/>
      <c r="P1103" s="2245"/>
      <c r="Q1103" s="2245"/>
      <c r="R1103" s="1965"/>
      <c r="S1103" s="2244"/>
      <c r="T1103" s="2244"/>
      <c r="U1103" s="2244"/>
      <c r="V1103" s="2244"/>
      <c r="W1103" s="2244"/>
      <c r="X1103" s="2244"/>
    </row>
    <row r="1104" spans="1:24" s="1818" customFormat="1" ht="32.1" customHeight="1">
      <c r="A1104" s="2535"/>
      <c r="B1104" s="1819"/>
      <c r="C1104" s="1813"/>
      <c r="D1104" s="1813"/>
      <c r="E1104" s="1813"/>
      <c r="F1104" s="1813"/>
      <c r="G1104" s="1813"/>
      <c r="H1104" s="1813"/>
      <c r="I1104" s="2434"/>
      <c r="J1104" s="2244"/>
      <c r="K1104" s="2244"/>
      <c r="L1104" s="2244"/>
      <c r="M1104" s="2244"/>
      <c r="N1104" s="2244"/>
      <c r="O1104" s="2244"/>
      <c r="P1104" s="2245"/>
      <c r="Q1104" s="2245"/>
      <c r="R1104" s="1965"/>
      <c r="S1104" s="2244"/>
      <c r="T1104" s="2244"/>
      <c r="U1104" s="2244"/>
      <c r="V1104" s="2244"/>
      <c r="W1104" s="2244"/>
      <c r="X1104" s="2244"/>
    </row>
    <row r="1105" spans="1:24" s="1818" customFormat="1" ht="32.1" customHeight="1">
      <c r="A1105" s="2535"/>
      <c r="B1105" s="1819"/>
      <c r="C1105" s="1813"/>
      <c r="D1105" s="1813"/>
      <c r="E1105" s="1813"/>
      <c r="F1105" s="1813"/>
      <c r="G1105" s="1813"/>
      <c r="H1105" s="1813"/>
      <c r="I1105" s="2434"/>
      <c r="J1105" s="2244"/>
      <c r="K1105" s="2244"/>
      <c r="L1105" s="2244"/>
      <c r="M1105" s="2244"/>
      <c r="N1105" s="2244"/>
      <c r="O1105" s="2244"/>
      <c r="P1105" s="2245"/>
      <c r="Q1105" s="2245"/>
      <c r="R1105" s="1965"/>
      <c r="S1105" s="2244"/>
      <c r="T1105" s="2244"/>
      <c r="U1105" s="2244"/>
      <c r="V1105" s="2244"/>
      <c r="W1105" s="2244"/>
      <c r="X1105" s="2244"/>
    </row>
    <row r="1106" spans="1:24" s="1818" customFormat="1" ht="32.1" customHeight="1">
      <c r="A1106" s="2535"/>
      <c r="B1106" s="1819"/>
      <c r="C1106" s="1813"/>
      <c r="D1106" s="1813"/>
      <c r="E1106" s="1813"/>
      <c r="F1106" s="1813"/>
      <c r="G1106" s="1813"/>
      <c r="H1106" s="1813"/>
      <c r="I1106" s="2434"/>
      <c r="J1106" s="2244"/>
      <c r="K1106" s="2244"/>
      <c r="L1106" s="2244"/>
      <c r="M1106" s="2244"/>
      <c r="N1106" s="2244"/>
      <c r="O1106" s="2244"/>
      <c r="P1106" s="2245"/>
      <c r="Q1106" s="2245"/>
      <c r="R1106" s="1965"/>
      <c r="S1106" s="2244"/>
      <c r="T1106" s="2244"/>
      <c r="U1106" s="2244"/>
      <c r="V1106" s="2244"/>
      <c r="W1106" s="2244"/>
      <c r="X1106" s="2244"/>
    </row>
    <row r="1107" spans="1:24" s="1818" customFormat="1" ht="32.1" customHeight="1">
      <c r="A1107" s="2535"/>
      <c r="B1107" s="1819"/>
      <c r="C1107" s="1813"/>
      <c r="D1107" s="1813"/>
      <c r="E1107" s="1813"/>
      <c r="F1107" s="1813"/>
      <c r="G1107" s="1813"/>
      <c r="H1107" s="1813"/>
      <c r="I1107" s="2434"/>
      <c r="J1107" s="2244"/>
      <c r="K1107" s="2244"/>
      <c r="L1107" s="2244"/>
      <c r="M1107" s="2244"/>
      <c r="N1107" s="2244"/>
      <c r="O1107" s="2244"/>
      <c r="P1107" s="2245"/>
      <c r="Q1107" s="2245"/>
      <c r="R1107" s="1965"/>
      <c r="S1107" s="2244"/>
      <c r="T1107" s="2244"/>
      <c r="U1107" s="2244"/>
      <c r="V1107" s="2244"/>
      <c r="W1107" s="2244"/>
      <c r="X1107" s="2244"/>
    </row>
    <row r="1108" spans="1:24" s="1818" customFormat="1" ht="32.1" customHeight="1">
      <c r="A1108" s="2535"/>
      <c r="B1108" s="1819"/>
      <c r="C1108" s="1813"/>
      <c r="D1108" s="1813"/>
      <c r="E1108" s="1813"/>
      <c r="F1108" s="1813"/>
      <c r="G1108" s="1813"/>
      <c r="H1108" s="1813"/>
      <c r="I1108" s="2434"/>
      <c r="J1108" s="2244"/>
      <c r="K1108" s="2244"/>
      <c r="L1108" s="2244"/>
      <c r="M1108" s="2244"/>
      <c r="N1108" s="2244"/>
      <c r="O1108" s="2244"/>
      <c r="P1108" s="2245"/>
      <c r="Q1108" s="2245"/>
      <c r="R1108" s="1965"/>
      <c r="S1108" s="2244"/>
      <c r="T1108" s="2244"/>
      <c r="U1108" s="2244"/>
      <c r="V1108" s="2244"/>
      <c r="W1108" s="2244"/>
      <c r="X1108" s="2244"/>
    </row>
    <row r="1109" spans="1:24" s="1818" customFormat="1" ht="32.1" customHeight="1">
      <c r="A1109" s="2535"/>
      <c r="B1109" s="1819"/>
      <c r="C1109" s="1813"/>
      <c r="D1109" s="1813"/>
      <c r="E1109" s="1813"/>
      <c r="F1109" s="1813"/>
      <c r="G1109" s="1813"/>
      <c r="H1109" s="1813"/>
      <c r="I1109" s="2434"/>
      <c r="J1109" s="2244"/>
      <c r="K1109" s="2244"/>
      <c r="L1109" s="2244"/>
      <c r="M1109" s="2244"/>
      <c r="N1109" s="2244"/>
      <c r="O1109" s="2244"/>
      <c r="P1109" s="2245"/>
      <c r="Q1109" s="2245"/>
      <c r="R1109" s="1965"/>
      <c r="S1109" s="2244"/>
      <c r="T1109" s="2244"/>
      <c r="U1109" s="2244"/>
      <c r="V1109" s="2244"/>
      <c r="W1109" s="2244"/>
      <c r="X1109" s="2244"/>
    </row>
    <row r="1110" spans="1:24" s="1818" customFormat="1" ht="32.1" customHeight="1">
      <c r="A1110" s="2535"/>
      <c r="B1110" s="1819"/>
      <c r="C1110" s="1813"/>
      <c r="D1110" s="1813"/>
      <c r="E1110" s="1813"/>
      <c r="F1110" s="1813"/>
      <c r="G1110" s="1813"/>
      <c r="H1110" s="1813"/>
      <c r="I1110" s="2434"/>
      <c r="J1110" s="2244"/>
      <c r="K1110" s="2244"/>
      <c r="L1110" s="2244"/>
      <c r="M1110" s="2244"/>
      <c r="N1110" s="2244"/>
      <c r="O1110" s="2244"/>
      <c r="P1110" s="2245"/>
      <c r="Q1110" s="2245"/>
      <c r="R1110" s="1965"/>
      <c r="S1110" s="2244"/>
      <c r="T1110" s="2244"/>
      <c r="U1110" s="2244"/>
      <c r="V1110" s="2244"/>
      <c r="W1110" s="2244"/>
      <c r="X1110" s="2244"/>
    </row>
    <row r="1111" spans="1:24" s="1818" customFormat="1" ht="32.1" customHeight="1">
      <c r="A1111" s="2535"/>
      <c r="B1111" s="1819"/>
      <c r="C1111" s="1813"/>
      <c r="D1111" s="1813"/>
      <c r="E1111" s="1813"/>
      <c r="F1111" s="1813"/>
      <c r="G1111" s="1813"/>
      <c r="H1111" s="1813"/>
      <c r="I1111" s="2434"/>
      <c r="J1111" s="2244"/>
      <c r="K1111" s="2244"/>
      <c r="L1111" s="2244"/>
      <c r="M1111" s="2244"/>
      <c r="N1111" s="2244"/>
      <c r="O1111" s="2244"/>
      <c r="P1111" s="2245"/>
      <c r="Q1111" s="2245"/>
      <c r="R1111" s="1965"/>
      <c r="S1111" s="2244"/>
      <c r="T1111" s="2244"/>
      <c r="U1111" s="2244"/>
      <c r="V1111" s="2244"/>
      <c r="W1111" s="2244"/>
      <c r="X1111" s="2244"/>
    </row>
    <row r="1112" spans="1:24" s="1818" customFormat="1" ht="32.1" customHeight="1">
      <c r="A1112" s="2535"/>
      <c r="B1112" s="1819"/>
      <c r="C1112" s="1813"/>
      <c r="D1112" s="1813"/>
      <c r="E1112" s="1813"/>
      <c r="F1112" s="1813"/>
      <c r="G1112" s="1813"/>
      <c r="H1112" s="1813"/>
      <c r="I1112" s="2434"/>
      <c r="J1112" s="2244"/>
      <c r="K1112" s="2244"/>
      <c r="L1112" s="2244"/>
      <c r="M1112" s="2244"/>
      <c r="N1112" s="2244"/>
      <c r="O1112" s="2244"/>
      <c r="P1112" s="2245"/>
      <c r="Q1112" s="2245"/>
      <c r="R1112" s="1965"/>
      <c r="S1112" s="2244"/>
      <c r="T1112" s="2244"/>
      <c r="U1112" s="2244"/>
      <c r="V1112" s="2244"/>
      <c r="W1112" s="2244"/>
      <c r="X1112" s="2244"/>
    </row>
    <row r="1113" spans="1:24" s="1818" customFormat="1" ht="32.1" customHeight="1">
      <c r="A1113" s="2535"/>
      <c r="B1113" s="1819"/>
      <c r="C1113" s="1813"/>
      <c r="D1113" s="1813"/>
      <c r="E1113" s="1813"/>
      <c r="F1113" s="1813"/>
      <c r="G1113" s="1813"/>
      <c r="H1113" s="1813"/>
      <c r="I1113" s="2434"/>
      <c r="J1113" s="2244"/>
      <c r="K1113" s="2244"/>
      <c r="L1113" s="2244"/>
      <c r="M1113" s="2244"/>
      <c r="N1113" s="2244"/>
      <c r="O1113" s="2244"/>
      <c r="P1113" s="2245"/>
      <c r="Q1113" s="2245"/>
      <c r="R1113" s="1965"/>
      <c r="S1113" s="2244"/>
      <c r="T1113" s="2244"/>
      <c r="U1113" s="2244"/>
      <c r="V1113" s="2244"/>
      <c r="W1113" s="2244"/>
      <c r="X1113" s="2244"/>
    </row>
    <row r="1114" spans="1:24" s="1818" customFormat="1" ht="32.1" customHeight="1">
      <c r="A1114" s="2535"/>
      <c r="B1114" s="1819"/>
      <c r="C1114" s="1813"/>
      <c r="D1114" s="1813"/>
      <c r="E1114" s="1813"/>
      <c r="F1114" s="1813"/>
      <c r="G1114" s="1813"/>
      <c r="H1114" s="1813"/>
      <c r="I1114" s="2434"/>
      <c r="J1114" s="2244"/>
      <c r="K1114" s="2244"/>
      <c r="L1114" s="2244"/>
      <c r="M1114" s="2244"/>
      <c r="N1114" s="2244"/>
      <c r="O1114" s="2244"/>
      <c r="P1114" s="2245"/>
      <c r="Q1114" s="2245"/>
      <c r="R1114" s="1965"/>
      <c r="S1114" s="2244"/>
      <c r="T1114" s="2244"/>
      <c r="U1114" s="2244"/>
      <c r="V1114" s="2244"/>
      <c r="W1114" s="2244"/>
      <c r="X1114" s="2244"/>
    </row>
    <row r="1115" spans="1:24" s="1818" customFormat="1" ht="32.1" customHeight="1">
      <c r="A1115" s="2535"/>
      <c r="B1115" s="1819"/>
      <c r="C1115" s="1813"/>
      <c r="D1115" s="1813"/>
      <c r="E1115" s="1813"/>
      <c r="F1115" s="1813"/>
      <c r="G1115" s="1813"/>
      <c r="H1115" s="1813"/>
      <c r="I1115" s="2434"/>
      <c r="J1115" s="2244"/>
      <c r="K1115" s="2244"/>
      <c r="L1115" s="2244"/>
      <c r="M1115" s="2244"/>
      <c r="N1115" s="2244"/>
      <c r="O1115" s="2244"/>
      <c r="P1115" s="2245"/>
      <c r="Q1115" s="2245"/>
      <c r="R1115" s="1965"/>
      <c r="S1115" s="2244"/>
      <c r="T1115" s="2244"/>
      <c r="U1115" s="2244"/>
      <c r="V1115" s="2244"/>
      <c r="W1115" s="2244"/>
      <c r="X1115" s="2244"/>
    </row>
    <row r="1116" spans="1:24" s="1818" customFormat="1" ht="32.1" customHeight="1">
      <c r="A1116" s="2535"/>
      <c r="B1116" s="1819"/>
      <c r="C1116" s="1813"/>
      <c r="D1116" s="1813"/>
      <c r="E1116" s="1813"/>
      <c r="F1116" s="1813"/>
      <c r="G1116" s="1813"/>
      <c r="H1116" s="1813"/>
      <c r="I1116" s="2434"/>
      <c r="J1116" s="2244"/>
      <c r="K1116" s="2244"/>
      <c r="L1116" s="2244"/>
      <c r="M1116" s="2244"/>
      <c r="N1116" s="2244"/>
      <c r="O1116" s="2244"/>
      <c r="P1116" s="2245"/>
      <c r="Q1116" s="2245"/>
      <c r="R1116" s="1965"/>
      <c r="S1116" s="2244"/>
      <c r="T1116" s="2244"/>
      <c r="U1116" s="2244"/>
      <c r="V1116" s="2244"/>
      <c r="W1116" s="2244"/>
      <c r="X1116" s="2244"/>
    </row>
    <row r="1117" spans="1:24" s="1818" customFormat="1" ht="32.1" customHeight="1">
      <c r="A1117" s="2535"/>
      <c r="B1117" s="1819"/>
      <c r="C1117" s="1813"/>
      <c r="D1117" s="1813"/>
      <c r="E1117" s="1813"/>
      <c r="F1117" s="1813"/>
      <c r="G1117" s="1813"/>
      <c r="H1117" s="1813"/>
      <c r="I1117" s="2434"/>
      <c r="J1117" s="2244"/>
      <c r="K1117" s="2244"/>
      <c r="L1117" s="2244"/>
      <c r="M1117" s="2244"/>
      <c r="N1117" s="2244"/>
      <c r="O1117" s="2244"/>
      <c r="P1117" s="2245"/>
      <c r="Q1117" s="2245"/>
      <c r="R1117" s="1965"/>
      <c r="S1117" s="2244"/>
      <c r="T1117" s="2244"/>
      <c r="U1117" s="2244"/>
      <c r="V1117" s="2244"/>
      <c r="W1117" s="2244"/>
      <c r="X1117" s="2244"/>
    </row>
    <row r="1118" spans="1:24" s="1818" customFormat="1" ht="32.1" customHeight="1">
      <c r="A1118" s="2535"/>
      <c r="B1118" s="1819"/>
      <c r="C1118" s="1813"/>
      <c r="D1118" s="1813"/>
      <c r="E1118" s="1813"/>
      <c r="F1118" s="1813"/>
      <c r="G1118" s="1813"/>
      <c r="H1118" s="1813"/>
      <c r="I1118" s="2434"/>
      <c r="J1118" s="2244"/>
      <c r="K1118" s="2244"/>
      <c r="L1118" s="2244"/>
      <c r="M1118" s="2244"/>
      <c r="N1118" s="2244"/>
      <c r="O1118" s="2244"/>
      <c r="P1118" s="2245"/>
      <c r="Q1118" s="2245"/>
      <c r="R1118" s="1965"/>
      <c r="S1118" s="2244"/>
      <c r="T1118" s="2244"/>
      <c r="U1118" s="2244"/>
      <c r="V1118" s="2244"/>
      <c r="W1118" s="2244"/>
      <c r="X1118" s="2244"/>
    </row>
    <row r="1119" spans="1:24" s="1818" customFormat="1" ht="32.1" customHeight="1">
      <c r="A1119" s="2535"/>
      <c r="B1119" s="1819"/>
      <c r="C1119" s="1813"/>
      <c r="D1119" s="1813"/>
      <c r="E1119" s="1813"/>
      <c r="F1119" s="1813"/>
      <c r="G1119" s="1813"/>
      <c r="H1119" s="1813"/>
      <c r="I1119" s="2434"/>
      <c r="J1119" s="2244"/>
      <c r="K1119" s="2244"/>
      <c r="L1119" s="2244"/>
      <c r="M1119" s="2244"/>
      <c r="N1119" s="2244"/>
      <c r="O1119" s="2244"/>
      <c r="P1119" s="2245"/>
      <c r="Q1119" s="2245"/>
      <c r="R1119" s="1965"/>
      <c r="S1119" s="2244"/>
      <c r="T1119" s="2244"/>
      <c r="U1119" s="2244"/>
      <c r="V1119" s="2244"/>
      <c r="W1119" s="2244"/>
      <c r="X1119" s="2244"/>
    </row>
    <row r="1120" spans="1:24" s="1818" customFormat="1" ht="32.1" customHeight="1">
      <c r="A1120" s="2535"/>
      <c r="B1120" s="1819"/>
      <c r="C1120" s="1813"/>
      <c r="D1120" s="1813"/>
      <c r="E1120" s="1813"/>
      <c r="F1120" s="1813"/>
      <c r="G1120" s="1813"/>
      <c r="H1120" s="1813"/>
      <c r="I1120" s="2434"/>
      <c r="J1120" s="2244"/>
      <c r="K1120" s="2244"/>
      <c r="L1120" s="2244"/>
      <c r="M1120" s="2244"/>
      <c r="N1120" s="2244"/>
      <c r="O1120" s="2244"/>
      <c r="P1120" s="2245"/>
      <c r="Q1120" s="2245"/>
      <c r="R1120" s="1965"/>
      <c r="S1120" s="2244"/>
      <c r="T1120" s="2244"/>
      <c r="U1120" s="2244"/>
      <c r="V1120" s="2244"/>
      <c r="W1120" s="2244"/>
      <c r="X1120" s="2244"/>
    </row>
    <row r="1121" spans="1:24" s="1818" customFormat="1" ht="32.1" customHeight="1">
      <c r="A1121" s="2535"/>
      <c r="B1121" s="1819"/>
      <c r="C1121" s="1813"/>
      <c r="D1121" s="1813"/>
      <c r="E1121" s="1813"/>
      <c r="F1121" s="1813"/>
      <c r="G1121" s="1813"/>
      <c r="H1121" s="1813"/>
      <c r="I1121" s="2434"/>
      <c r="J1121" s="2244"/>
      <c r="K1121" s="2244"/>
      <c r="L1121" s="2244"/>
      <c r="M1121" s="2244"/>
      <c r="N1121" s="2244"/>
      <c r="O1121" s="2244"/>
      <c r="P1121" s="2245"/>
      <c r="Q1121" s="2245"/>
      <c r="R1121" s="1965"/>
      <c r="S1121" s="2244"/>
      <c r="T1121" s="2244"/>
      <c r="U1121" s="2244"/>
      <c r="V1121" s="2244"/>
      <c r="W1121" s="2244"/>
      <c r="X1121" s="2244"/>
    </row>
    <row r="1122" spans="1:24" s="1818" customFormat="1" ht="32.1" customHeight="1">
      <c r="A1122" s="2535"/>
      <c r="B1122" s="1819"/>
      <c r="C1122" s="1813"/>
      <c r="D1122" s="1813"/>
      <c r="E1122" s="1813"/>
      <c r="F1122" s="1813"/>
      <c r="G1122" s="1813"/>
      <c r="H1122" s="1813"/>
      <c r="I1122" s="2434"/>
      <c r="J1122" s="2244"/>
      <c r="K1122" s="2244"/>
      <c r="L1122" s="2244"/>
      <c r="M1122" s="2244"/>
      <c r="N1122" s="2244"/>
      <c r="O1122" s="2244"/>
      <c r="P1122" s="2245"/>
      <c r="Q1122" s="2245"/>
      <c r="R1122" s="1965"/>
      <c r="S1122" s="2244"/>
      <c r="T1122" s="2244"/>
      <c r="U1122" s="2244"/>
      <c r="V1122" s="2244"/>
      <c r="W1122" s="2244"/>
      <c r="X1122" s="2244"/>
    </row>
    <row r="1123" spans="1:24" s="1818" customFormat="1" ht="32.1" customHeight="1">
      <c r="A1123" s="2535"/>
      <c r="B1123" s="1819"/>
      <c r="C1123" s="1813"/>
      <c r="D1123" s="1813"/>
      <c r="E1123" s="1813"/>
      <c r="F1123" s="1813"/>
      <c r="G1123" s="1813"/>
      <c r="H1123" s="1813"/>
      <c r="I1123" s="2434"/>
      <c r="J1123" s="2244"/>
      <c r="K1123" s="2244"/>
      <c r="L1123" s="2244"/>
      <c r="M1123" s="2244"/>
      <c r="N1123" s="2244"/>
      <c r="O1123" s="2244"/>
      <c r="P1123" s="2245"/>
      <c r="Q1123" s="2245"/>
      <c r="R1123" s="1965"/>
      <c r="S1123" s="2244"/>
      <c r="T1123" s="2244"/>
      <c r="U1123" s="2244"/>
      <c r="V1123" s="2244"/>
      <c r="W1123" s="2244"/>
      <c r="X1123" s="2244"/>
    </row>
    <row r="1124" spans="1:24" s="1818" customFormat="1" ht="32.1" customHeight="1">
      <c r="A1124" s="2535"/>
      <c r="B1124" s="1819"/>
      <c r="C1124" s="1813"/>
      <c r="D1124" s="1813"/>
      <c r="E1124" s="1813"/>
      <c r="F1124" s="1813"/>
      <c r="G1124" s="1813"/>
      <c r="H1124" s="1813"/>
      <c r="I1124" s="2434"/>
      <c r="J1124" s="2244"/>
      <c r="K1124" s="2244"/>
      <c r="L1124" s="2244"/>
      <c r="M1124" s="2244"/>
      <c r="N1124" s="2244"/>
      <c r="O1124" s="2244"/>
      <c r="P1124" s="2245"/>
      <c r="Q1124" s="2245"/>
      <c r="R1124" s="1965"/>
      <c r="S1124" s="2244"/>
      <c r="T1124" s="2244"/>
      <c r="U1124" s="2244"/>
      <c r="V1124" s="2244"/>
      <c r="W1124" s="2244"/>
      <c r="X1124" s="2244"/>
    </row>
    <row r="1125" spans="1:24" s="1818" customFormat="1" ht="32.1" customHeight="1">
      <c r="A1125" s="2535"/>
      <c r="B1125" s="1819"/>
      <c r="C1125" s="1813"/>
      <c r="D1125" s="1813"/>
      <c r="E1125" s="1813"/>
      <c r="F1125" s="1813"/>
      <c r="G1125" s="1813"/>
      <c r="H1125" s="1813"/>
      <c r="I1125" s="2434"/>
      <c r="J1125" s="2244"/>
      <c r="K1125" s="2244"/>
      <c r="L1125" s="2244"/>
      <c r="M1125" s="2244"/>
      <c r="N1125" s="2244"/>
      <c r="O1125" s="2244"/>
      <c r="P1125" s="2245"/>
      <c r="Q1125" s="2245"/>
      <c r="R1125" s="1965"/>
      <c r="S1125" s="2244"/>
      <c r="T1125" s="2244"/>
      <c r="U1125" s="2244"/>
      <c r="V1125" s="2244"/>
      <c r="W1125" s="2244"/>
      <c r="X1125" s="2244"/>
    </row>
    <row r="1126" spans="1:24" s="1818" customFormat="1" ht="32.1" customHeight="1">
      <c r="A1126" s="2535"/>
      <c r="B1126" s="1819"/>
      <c r="C1126" s="1813"/>
      <c r="D1126" s="1813"/>
      <c r="E1126" s="1813"/>
      <c r="F1126" s="1813"/>
      <c r="G1126" s="1813"/>
      <c r="H1126" s="1813"/>
      <c r="I1126" s="2434"/>
      <c r="J1126" s="2244"/>
      <c r="K1126" s="2244"/>
      <c r="L1126" s="2244"/>
      <c r="M1126" s="2244"/>
      <c r="N1126" s="2244"/>
      <c r="O1126" s="2244"/>
      <c r="P1126" s="2245"/>
      <c r="Q1126" s="2245"/>
      <c r="R1126" s="1965"/>
      <c r="S1126" s="2244"/>
      <c r="T1126" s="2244"/>
      <c r="U1126" s="2244"/>
      <c r="V1126" s="2244"/>
      <c r="W1126" s="2244"/>
      <c r="X1126" s="2244"/>
    </row>
    <row r="1127" spans="1:24" s="1818" customFormat="1" ht="32.1" customHeight="1">
      <c r="A1127" s="2535"/>
      <c r="B1127" s="1819"/>
      <c r="C1127" s="1813"/>
      <c r="D1127" s="1813"/>
      <c r="E1127" s="1813"/>
      <c r="F1127" s="1813"/>
      <c r="G1127" s="1813"/>
      <c r="H1127" s="1813"/>
      <c r="I1127" s="2434"/>
      <c r="J1127" s="2244"/>
      <c r="K1127" s="2244"/>
      <c r="L1127" s="2244"/>
      <c r="M1127" s="2244"/>
      <c r="N1127" s="2244"/>
      <c r="O1127" s="2244"/>
      <c r="P1127" s="2245"/>
      <c r="Q1127" s="2245"/>
      <c r="R1127" s="1965"/>
      <c r="S1127" s="2244"/>
      <c r="T1127" s="2244"/>
      <c r="U1127" s="2244"/>
      <c r="V1127" s="2244"/>
      <c r="W1127" s="2244"/>
      <c r="X1127" s="2244"/>
    </row>
    <row r="1128" spans="1:24" s="1818" customFormat="1" ht="32.1" customHeight="1">
      <c r="A1128" s="2535"/>
      <c r="B1128" s="1819"/>
      <c r="C1128" s="1813"/>
      <c r="D1128" s="1813"/>
      <c r="E1128" s="1813"/>
      <c r="F1128" s="1813"/>
      <c r="G1128" s="1813"/>
      <c r="H1128" s="1813"/>
      <c r="I1128" s="2434"/>
      <c r="J1128" s="2244"/>
      <c r="K1128" s="2244"/>
      <c r="L1128" s="2244"/>
      <c r="M1128" s="2244"/>
      <c r="N1128" s="2244"/>
      <c r="O1128" s="2244"/>
      <c r="P1128" s="2245"/>
      <c r="Q1128" s="2245"/>
      <c r="R1128" s="1965"/>
      <c r="S1128" s="2244"/>
      <c r="T1128" s="2244"/>
      <c r="U1128" s="2244"/>
      <c r="V1128" s="2244"/>
      <c r="W1128" s="2244"/>
      <c r="X1128" s="2244"/>
    </row>
    <row r="1129" spans="1:24" s="1818" customFormat="1" ht="32.1" customHeight="1">
      <c r="A1129" s="2535"/>
      <c r="B1129" s="1819"/>
      <c r="C1129" s="1813"/>
      <c r="D1129" s="1813"/>
      <c r="E1129" s="1813"/>
      <c r="F1129" s="1813"/>
      <c r="G1129" s="1813"/>
      <c r="H1129" s="1813"/>
      <c r="I1129" s="2434"/>
      <c r="J1129" s="2244"/>
      <c r="K1129" s="2244"/>
      <c r="L1129" s="2244"/>
      <c r="M1129" s="2244"/>
      <c r="N1129" s="2244"/>
      <c r="O1129" s="2244"/>
      <c r="P1129" s="2245"/>
      <c r="Q1129" s="2245"/>
      <c r="R1129" s="1965"/>
      <c r="S1129" s="2244"/>
      <c r="T1129" s="2244"/>
      <c r="U1129" s="2244"/>
      <c r="V1129" s="2244"/>
      <c r="W1129" s="2244"/>
      <c r="X1129" s="2244"/>
    </row>
    <row r="1130" spans="1:24" s="1818" customFormat="1" ht="32.1" customHeight="1">
      <c r="A1130" s="2535"/>
      <c r="B1130" s="1819"/>
      <c r="C1130" s="1813"/>
      <c r="D1130" s="1813"/>
      <c r="E1130" s="1813"/>
      <c r="F1130" s="1813"/>
      <c r="G1130" s="1813"/>
      <c r="H1130" s="1813"/>
      <c r="I1130" s="2434"/>
      <c r="J1130" s="2244"/>
      <c r="K1130" s="2244"/>
      <c r="L1130" s="2244"/>
      <c r="M1130" s="2244"/>
      <c r="N1130" s="2244"/>
      <c r="O1130" s="2244"/>
      <c r="P1130" s="2245"/>
      <c r="Q1130" s="2245"/>
      <c r="R1130" s="1965"/>
      <c r="S1130" s="2244"/>
      <c r="T1130" s="2244"/>
      <c r="U1130" s="2244"/>
      <c r="V1130" s="2244"/>
      <c r="W1130" s="2244"/>
      <c r="X1130" s="2244"/>
    </row>
    <row r="1131" spans="1:24" s="1818" customFormat="1" ht="32.1" customHeight="1">
      <c r="A1131" s="2535"/>
      <c r="B1131" s="1819"/>
      <c r="C1131" s="1813"/>
      <c r="D1131" s="1813"/>
      <c r="E1131" s="1813"/>
      <c r="F1131" s="1813"/>
      <c r="G1131" s="1813"/>
      <c r="H1131" s="1813"/>
      <c r="I1131" s="2434"/>
      <c r="J1131" s="2244"/>
      <c r="K1131" s="2244"/>
      <c r="L1131" s="2244"/>
      <c r="M1131" s="2244"/>
      <c r="N1131" s="2244"/>
      <c r="O1131" s="2244"/>
      <c r="P1131" s="2245"/>
      <c r="Q1131" s="2245"/>
      <c r="R1131" s="1965"/>
      <c r="S1131" s="2244"/>
      <c r="T1131" s="2244"/>
      <c r="U1131" s="2244"/>
      <c r="V1131" s="2244"/>
      <c r="W1131" s="2244"/>
      <c r="X1131" s="2244"/>
    </row>
    <row r="1132" spans="1:24" s="1818" customFormat="1" ht="32.1" customHeight="1">
      <c r="A1132" s="2535"/>
      <c r="B1132" s="1819"/>
      <c r="C1132" s="1813"/>
      <c r="D1132" s="1813"/>
      <c r="E1132" s="1813"/>
      <c r="F1132" s="1813"/>
      <c r="G1132" s="1813"/>
      <c r="H1132" s="1813"/>
      <c r="I1132" s="2434"/>
      <c r="J1132" s="2244"/>
      <c r="K1132" s="2244"/>
      <c r="L1132" s="2244"/>
      <c r="M1132" s="2244"/>
      <c r="N1132" s="2244"/>
      <c r="O1132" s="2244"/>
      <c r="P1132" s="2245"/>
      <c r="Q1132" s="2245"/>
      <c r="R1132" s="1965"/>
      <c r="S1132" s="2244"/>
      <c r="T1132" s="2244"/>
      <c r="U1132" s="2244"/>
      <c r="V1132" s="2244"/>
      <c r="W1132" s="2244"/>
      <c r="X1132" s="2244"/>
    </row>
    <row r="1133" spans="1:24" s="1818" customFormat="1" ht="32.1" customHeight="1">
      <c r="A1133" s="2535"/>
      <c r="B1133" s="1819"/>
      <c r="C1133" s="1813"/>
      <c r="D1133" s="1813"/>
      <c r="E1133" s="1813"/>
      <c r="F1133" s="1813"/>
      <c r="G1133" s="1813"/>
      <c r="H1133" s="1813"/>
      <c r="I1133" s="2434"/>
      <c r="J1133" s="2244"/>
      <c r="K1133" s="2244"/>
      <c r="L1133" s="2244"/>
      <c r="M1133" s="2244"/>
      <c r="N1133" s="2244"/>
      <c r="O1133" s="2244"/>
      <c r="P1133" s="2245"/>
      <c r="Q1133" s="2245"/>
      <c r="R1133" s="1965"/>
      <c r="S1133" s="2244"/>
      <c r="T1133" s="2244"/>
      <c r="U1133" s="2244"/>
      <c r="V1133" s="2244"/>
      <c r="W1133" s="2244"/>
      <c r="X1133" s="2244"/>
    </row>
    <row r="1134" spans="1:24" s="1818" customFormat="1" ht="32.1" customHeight="1">
      <c r="A1134" s="2535"/>
      <c r="B1134" s="1819"/>
      <c r="C1134" s="1813"/>
      <c r="D1134" s="1813"/>
      <c r="E1134" s="1813"/>
      <c r="F1134" s="1813"/>
      <c r="G1134" s="1813"/>
      <c r="H1134" s="1813"/>
      <c r="I1134" s="2434"/>
      <c r="J1134" s="2244"/>
      <c r="K1134" s="2244"/>
      <c r="L1134" s="2244"/>
      <c r="M1134" s="2244"/>
      <c r="N1134" s="2244"/>
      <c r="O1134" s="2244"/>
      <c r="P1134" s="2245"/>
      <c r="Q1134" s="2245"/>
      <c r="R1134" s="1965"/>
      <c r="S1134" s="2244"/>
      <c r="T1134" s="2244"/>
      <c r="U1134" s="2244"/>
      <c r="V1134" s="2244"/>
      <c r="W1134" s="2244"/>
      <c r="X1134" s="2244"/>
    </row>
    <row r="1135" spans="1:24" s="1818" customFormat="1" ht="32.1" customHeight="1">
      <c r="A1135" s="2535"/>
      <c r="B1135" s="1819"/>
      <c r="C1135" s="1813"/>
      <c r="D1135" s="1813"/>
      <c r="E1135" s="1813"/>
      <c r="F1135" s="1813"/>
      <c r="G1135" s="1813"/>
      <c r="H1135" s="1813"/>
      <c r="I1135" s="2434"/>
      <c r="J1135" s="2244"/>
      <c r="K1135" s="2244"/>
      <c r="L1135" s="2244"/>
      <c r="M1135" s="2244"/>
      <c r="N1135" s="2244"/>
      <c r="O1135" s="2244"/>
      <c r="P1135" s="2245"/>
      <c r="Q1135" s="2245"/>
      <c r="R1135" s="1965"/>
      <c r="S1135" s="2244"/>
      <c r="T1135" s="2244"/>
      <c r="U1135" s="2244"/>
      <c r="V1135" s="2244"/>
      <c r="W1135" s="2244"/>
      <c r="X1135" s="2244"/>
    </row>
    <row r="1136" spans="1:24" s="1818" customFormat="1" ht="32.1" customHeight="1">
      <c r="A1136" s="2535"/>
      <c r="B1136" s="1819"/>
      <c r="C1136" s="1813"/>
      <c r="D1136" s="1813"/>
      <c r="E1136" s="1813"/>
      <c r="F1136" s="1813"/>
      <c r="G1136" s="1813"/>
      <c r="H1136" s="1813"/>
      <c r="I1136" s="2434"/>
      <c r="J1136" s="2244"/>
      <c r="K1136" s="2244"/>
      <c r="L1136" s="2244"/>
      <c r="M1136" s="2244"/>
      <c r="N1136" s="2244"/>
      <c r="O1136" s="2244"/>
      <c r="P1136" s="2245"/>
      <c r="Q1136" s="2245"/>
      <c r="R1136" s="1965"/>
      <c r="S1136" s="2244"/>
      <c r="T1136" s="2244"/>
      <c r="U1136" s="2244"/>
      <c r="V1136" s="2244"/>
      <c r="W1136" s="2244"/>
      <c r="X1136" s="2244"/>
    </row>
    <row r="1137" spans="1:24" s="1818" customFormat="1" ht="32.1" customHeight="1">
      <c r="A1137" s="2535"/>
      <c r="B1137" s="1819"/>
      <c r="C1137" s="1813"/>
      <c r="D1137" s="1813"/>
      <c r="E1137" s="1813"/>
      <c r="F1137" s="1813"/>
      <c r="G1137" s="1813"/>
      <c r="H1137" s="1813"/>
      <c r="I1137" s="2434"/>
      <c r="J1137" s="2244"/>
      <c r="K1137" s="2244"/>
      <c r="L1137" s="2244"/>
      <c r="M1137" s="2244"/>
      <c r="N1137" s="2244"/>
      <c r="O1137" s="2244"/>
      <c r="P1137" s="2245"/>
      <c r="Q1137" s="2245"/>
      <c r="R1137" s="1965"/>
      <c r="S1137" s="2244"/>
      <c r="T1137" s="2244"/>
      <c r="U1137" s="2244"/>
      <c r="V1137" s="2244"/>
      <c r="W1137" s="2244"/>
      <c r="X1137" s="2244"/>
    </row>
    <row r="1138" spans="1:24" s="1818" customFormat="1" ht="32.1" customHeight="1">
      <c r="A1138" s="2535"/>
      <c r="B1138" s="1819"/>
      <c r="C1138" s="1813"/>
      <c r="D1138" s="1813"/>
      <c r="E1138" s="1813"/>
      <c r="F1138" s="1813"/>
      <c r="G1138" s="1813"/>
      <c r="H1138" s="1813"/>
      <c r="I1138" s="2434"/>
      <c r="J1138" s="2244"/>
      <c r="K1138" s="2244"/>
      <c r="L1138" s="2244"/>
      <c r="M1138" s="2244"/>
      <c r="N1138" s="2244"/>
      <c r="O1138" s="2244"/>
      <c r="P1138" s="2245"/>
      <c r="Q1138" s="2245"/>
      <c r="R1138" s="1965"/>
      <c r="S1138" s="2244"/>
      <c r="T1138" s="2244"/>
      <c r="U1138" s="2244"/>
      <c r="V1138" s="2244"/>
      <c r="W1138" s="2244"/>
      <c r="X1138" s="2244"/>
    </row>
    <row r="1139" spans="1:24" s="1818" customFormat="1" ht="32.1" customHeight="1">
      <c r="A1139" s="2535"/>
      <c r="B1139" s="1819"/>
      <c r="C1139" s="1813"/>
      <c r="D1139" s="1813"/>
      <c r="E1139" s="1813"/>
      <c r="F1139" s="1813"/>
      <c r="G1139" s="1813"/>
      <c r="H1139" s="1813"/>
      <c r="I1139" s="2434"/>
      <c r="J1139" s="2244"/>
      <c r="K1139" s="2244"/>
      <c r="L1139" s="2244"/>
      <c r="M1139" s="2244"/>
      <c r="N1139" s="2244"/>
      <c r="O1139" s="2244"/>
      <c r="P1139" s="2245"/>
      <c r="Q1139" s="2245"/>
      <c r="R1139" s="1965"/>
      <c r="S1139" s="2244"/>
      <c r="T1139" s="2244"/>
      <c r="U1139" s="2244"/>
      <c r="V1139" s="2244"/>
      <c r="W1139" s="2244"/>
      <c r="X1139" s="2244"/>
    </row>
    <row r="1140" spans="1:24" s="1818" customFormat="1" ht="32.1" customHeight="1">
      <c r="A1140" s="2535"/>
      <c r="B1140" s="1819"/>
      <c r="C1140" s="1813"/>
      <c r="D1140" s="1813"/>
      <c r="E1140" s="1813"/>
      <c r="F1140" s="1813"/>
      <c r="G1140" s="1813"/>
      <c r="H1140" s="1813"/>
      <c r="I1140" s="2434"/>
      <c r="J1140" s="2244"/>
      <c r="K1140" s="2244"/>
      <c r="L1140" s="2244"/>
      <c r="M1140" s="2244"/>
      <c r="N1140" s="2244"/>
      <c r="O1140" s="2244"/>
      <c r="P1140" s="2245"/>
      <c r="Q1140" s="2245"/>
      <c r="R1140" s="1965"/>
      <c r="S1140" s="2244"/>
      <c r="T1140" s="2244"/>
      <c r="U1140" s="2244"/>
      <c r="V1140" s="2244"/>
      <c r="W1140" s="2244"/>
      <c r="X1140" s="2244"/>
    </row>
    <row r="1141" spans="1:24" s="1818" customFormat="1" ht="32.1" customHeight="1">
      <c r="A1141" s="2535"/>
      <c r="B1141" s="1819"/>
      <c r="C1141" s="1813"/>
      <c r="D1141" s="1813"/>
      <c r="E1141" s="1813"/>
      <c r="F1141" s="1813"/>
      <c r="G1141" s="1813"/>
      <c r="H1141" s="1813"/>
      <c r="I1141" s="2434"/>
      <c r="J1141" s="2244"/>
      <c r="K1141" s="2244"/>
      <c r="L1141" s="2244"/>
      <c r="M1141" s="2244"/>
      <c r="N1141" s="2244"/>
      <c r="O1141" s="2244"/>
      <c r="P1141" s="2245"/>
      <c r="Q1141" s="2245"/>
      <c r="R1141" s="1965"/>
      <c r="S1141" s="2244"/>
      <c r="T1141" s="2244"/>
      <c r="U1141" s="2244"/>
      <c r="V1141" s="2244"/>
      <c r="W1141" s="2244"/>
      <c r="X1141" s="2244"/>
    </row>
    <row r="1142" spans="1:24" s="1818" customFormat="1" ht="32.1" customHeight="1">
      <c r="A1142" s="2535"/>
      <c r="B1142" s="1819"/>
      <c r="C1142" s="1813"/>
      <c r="D1142" s="1813"/>
      <c r="E1142" s="1813"/>
      <c r="F1142" s="1813"/>
      <c r="G1142" s="1813"/>
      <c r="H1142" s="1813"/>
      <c r="I1142" s="2434"/>
      <c r="J1142" s="2244"/>
      <c r="K1142" s="2244"/>
      <c r="L1142" s="2244"/>
      <c r="M1142" s="2244"/>
      <c r="N1142" s="2244"/>
      <c r="O1142" s="2244"/>
      <c r="P1142" s="2245"/>
      <c r="Q1142" s="2245"/>
      <c r="R1142" s="1965"/>
      <c r="S1142" s="2244"/>
      <c r="T1142" s="2244"/>
      <c r="U1142" s="2244"/>
      <c r="V1142" s="2244"/>
      <c r="W1142" s="2244"/>
      <c r="X1142" s="2244"/>
    </row>
    <row r="1143" spans="1:24" s="1818" customFormat="1" ht="32.1" customHeight="1">
      <c r="A1143" s="2535"/>
      <c r="B1143" s="1819"/>
      <c r="C1143" s="1813"/>
      <c r="D1143" s="1813"/>
      <c r="E1143" s="1813"/>
      <c r="F1143" s="1813"/>
      <c r="G1143" s="1813"/>
      <c r="H1143" s="1813"/>
      <c r="I1143" s="2434"/>
      <c r="J1143" s="2244"/>
      <c r="K1143" s="2244"/>
      <c r="L1143" s="2244"/>
      <c r="M1143" s="2244"/>
      <c r="N1143" s="2244"/>
      <c r="O1143" s="2244"/>
      <c r="P1143" s="2245"/>
      <c r="Q1143" s="2245"/>
      <c r="R1143" s="1965"/>
      <c r="S1143" s="2244"/>
      <c r="T1143" s="2244"/>
      <c r="U1143" s="2244"/>
      <c r="V1143" s="2244"/>
      <c r="W1143" s="2244"/>
      <c r="X1143" s="2244"/>
    </row>
    <row r="1144" spans="1:24" s="1818" customFormat="1" ht="32.1" customHeight="1">
      <c r="A1144" s="2535"/>
      <c r="B1144" s="1819"/>
      <c r="C1144" s="1813"/>
      <c r="D1144" s="1813"/>
      <c r="E1144" s="1813"/>
      <c r="F1144" s="1813"/>
      <c r="G1144" s="1813"/>
      <c r="H1144" s="1813"/>
      <c r="I1144" s="2434"/>
      <c r="J1144" s="2244"/>
      <c r="K1144" s="2244"/>
      <c r="L1144" s="2244"/>
      <c r="M1144" s="2244"/>
      <c r="N1144" s="2244"/>
      <c r="O1144" s="2244"/>
      <c r="P1144" s="2245"/>
      <c r="Q1144" s="2245"/>
      <c r="R1144" s="1965"/>
      <c r="S1144" s="2244"/>
      <c r="T1144" s="2244"/>
      <c r="U1144" s="2244"/>
      <c r="V1144" s="2244"/>
      <c r="W1144" s="2244"/>
      <c r="X1144" s="2244"/>
    </row>
    <row r="1145" spans="1:24" s="1818" customFormat="1" ht="32.1" customHeight="1">
      <c r="A1145" s="2535"/>
      <c r="B1145" s="1819"/>
      <c r="C1145" s="1813"/>
      <c r="D1145" s="1813"/>
      <c r="E1145" s="1813"/>
      <c r="F1145" s="1813"/>
      <c r="G1145" s="1813"/>
      <c r="H1145" s="1813"/>
      <c r="I1145" s="2434"/>
      <c r="J1145" s="2244"/>
      <c r="K1145" s="2244"/>
      <c r="L1145" s="2244"/>
      <c r="M1145" s="2244"/>
      <c r="N1145" s="2244"/>
      <c r="O1145" s="2244"/>
      <c r="P1145" s="2245"/>
      <c r="Q1145" s="2245"/>
      <c r="R1145" s="1965"/>
      <c r="S1145" s="2244"/>
      <c r="T1145" s="2244"/>
      <c r="U1145" s="2244"/>
      <c r="V1145" s="2244"/>
      <c r="W1145" s="2244"/>
      <c r="X1145" s="2244"/>
    </row>
    <row r="1146" spans="1:24" s="1818" customFormat="1" ht="32.1" customHeight="1">
      <c r="A1146" s="2535"/>
      <c r="B1146" s="1819"/>
      <c r="C1146" s="1813"/>
      <c r="D1146" s="1813"/>
      <c r="E1146" s="1813"/>
      <c r="F1146" s="1813"/>
      <c r="G1146" s="1813"/>
      <c r="H1146" s="1813"/>
      <c r="I1146" s="2434"/>
      <c r="J1146" s="2244"/>
      <c r="K1146" s="2244"/>
      <c r="L1146" s="2244"/>
      <c r="M1146" s="2244"/>
      <c r="N1146" s="2244"/>
      <c r="O1146" s="2244"/>
      <c r="P1146" s="2245"/>
      <c r="Q1146" s="2245"/>
      <c r="R1146" s="1965"/>
      <c r="S1146" s="2244"/>
      <c r="T1146" s="2244"/>
      <c r="U1146" s="2244"/>
      <c r="V1146" s="2244"/>
      <c r="W1146" s="2244"/>
      <c r="X1146" s="2244"/>
    </row>
    <row r="1147" spans="1:24" s="1818" customFormat="1" ht="32.1" customHeight="1">
      <c r="A1147" s="2535"/>
      <c r="B1147" s="1819"/>
      <c r="C1147" s="1813"/>
      <c r="D1147" s="1813"/>
      <c r="E1147" s="1813"/>
      <c r="F1147" s="1813"/>
      <c r="G1147" s="1813"/>
      <c r="H1147" s="1813"/>
      <c r="I1147" s="2434"/>
      <c r="J1147" s="2244"/>
      <c r="K1147" s="2244"/>
      <c r="L1147" s="2244"/>
      <c r="M1147" s="2244"/>
      <c r="N1147" s="2244"/>
      <c r="O1147" s="2244"/>
      <c r="P1147" s="2245"/>
      <c r="Q1147" s="2245"/>
      <c r="R1147" s="1965"/>
      <c r="S1147" s="2244"/>
      <c r="T1147" s="2244"/>
      <c r="U1147" s="2244"/>
      <c r="V1147" s="2244"/>
      <c r="W1147" s="2244"/>
      <c r="X1147" s="2244"/>
    </row>
    <row r="1148" spans="1:24" s="1818" customFormat="1" ht="32.1" customHeight="1">
      <c r="A1148" s="2535"/>
      <c r="B1148" s="1819"/>
      <c r="C1148" s="1813"/>
      <c r="D1148" s="1813"/>
      <c r="E1148" s="1813"/>
      <c r="F1148" s="1813"/>
      <c r="G1148" s="1813"/>
      <c r="H1148" s="1813"/>
      <c r="I1148" s="2434"/>
      <c r="J1148" s="2244"/>
      <c r="K1148" s="2244"/>
      <c r="L1148" s="2244"/>
      <c r="M1148" s="2244"/>
      <c r="N1148" s="2244"/>
      <c r="O1148" s="2244"/>
      <c r="P1148" s="2245"/>
      <c r="Q1148" s="2245"/>
      <c r="R1148" s="1965"/>
      <c r="S1148" s="2244"/>
      <c r="T1148" s="2244"/>
      <c r="U1148" s="2244"/>
      <c r="V1148" s="2244"/>
      <c r="W1148" s="2244"/>
      <c r="X1148" s="2244"/>
    </row>
    <row r="1149" spans="1:24" s="1818" customFormat="1" ht="32.1" customHeight="1">
      <c r="A1149" s="2535"/>
      <c r="B1149" s="1819"/>
      <c r="C1149" s="1813"/>
      <c r="D1149" s="1813"/>
      <c r="E1149" s="1813"/>
      <c r="F1149" s="1813"/>
      <c r="G1149" s="1813"/>
      <c r="H1149" s="1813"/>
      <c r="I1149" s="2434"/>
      <c r="J1149" s="2244"/>
      <c r="K1149" s="2244"/>
      <c r="L1149" s="2244"/>
      <c r="M1149" s="2244"/>
      <c r="N1149" s="2244"/>
      <c r="O1149" s="2244"/>
      <c r="P1149" s="2245"/>
      <c r="Q1149" s="2245"/>
      <c r="R1149" s="1965"/>
      <c r="S1149" s="2244"/>
      <c r="T1149" s="2244"/>
      <c r="U1149" s="2244"/>
      <c r="V1149" s="2244"/>
      <c r="W1149" s="2244"/>
      <c r="X1149" s="2244"/>
    </row>
    <row r="1150" spans="1:24" s="1818" customFormat="1" ht="32.1" customHeight="1">
      <c r="A1150" s="2535"/>
      <c r="B1150" s="1819"/>
      <c r="C1150" s="1813"/>
      <c r="D1150" s="1813"/>
      <c r="E1150" s="1813"/>
      <c r="F1150" s="1813"/>
      <c r="G1150" s="1813"/>
      <c r="H1150" s="1813"/>
      <c r="I1150" s="2434"/>
      <c r="J1150" s="2244"/>
      <c r="K1150" s="2244"/>
      <c r="L1150" s="2244"/>
      <c r="M1150" s="2244"/>
      <c r="N1150" s="2244"/>
      <c r="O1150" s="2244"/>
      <c r="P1150" s="2245"/>
      <c r="Q1150" s="2245"/>
      <c r="R1150" s="1965"/>
      <c r="S1150" s="2244"/>
      <c r="T1150" s="2244"/>
      <c r="U1150" s="2244"/>
      <c r="V1150" s="2244"/>
      <c r="W1150" s="2244"/>
      <c r="X1150" s="2244"/>
    </row>
    <row r="1151" spans="1:24" s="1818" customFormat="1" ht="32.1" customHeight="1">
      <c r="A1151" s="2535"/>
      <c r="B1151" s="1819"/>
      <c r="C1151" s="1813"/>
      <c r="D1151" s="1813"/>
      <c r="E1151" s="1813"/>
      <c r="F1151" s="1813"/>
      <c r="G1151" s="1813"/>
      <c r="H1151" s="1813"/>
      <c r="I1151" s="2434"/>
      <c r="J1151" s="2244"/>
      <c r="K1151" s="2244"/>
      <c r="L1151" s="2244"/>
      <c r="M1151" s="2244"/>
      <c r="N1151" s="2244"/>
      <c r="O1151" s="2244"/>
      <c r="P1151" s="2245"/>
      <c r="Q1151" s="2245"/>
      <c r="R1151" s="1965"/>
      <c r="S1151" s="2244"/>
      <c r="T1151" s="2244"/>
      <c r="U1151" s="2244"/>
      <c r="V1151" s="2244"/>
      <c r="W1151" s="2244"/>
      <c r="X1151" s="2244"/>
    </row>
    <row r="1152" spans="1:24" s="1818" customFormat="1" ht="32.1" customHeight="1">
      <c r="A1152" s="2535"/>
      <c r="B1152" s="1819"/>
      <c r="C1152" s="1813"/>
      <c r="D1152" s="1813"/>
      <c r="E1152" s="1813"/>
      <c r="F1152" s="1813"/>
      <c r="G1152" s="1813"/>
      <c r="H1152" s="1813"/>
      <c r="I1152" s="2434"/>
      <c r="J1152" s="2244"/>
      <c r="K1152" s="2244"/>
      <c r="L1152" s="2244"/>
      <c r="M1152" s="2244"/>
      <c r="N1152" s="2244"/>
      <c r="O1152" s="2244"/>
      <c r="P1152" s="2245"/>
      <c r="Q1152" s="2245"/>
      <c r="R1152" s="1965"/>
      <c r="S1152" s="2244"/>
      <c r="T1152" s="2244"/>
      <c r="U1152" s="2244"/>
      <c r="V1152" s="2244"/>
      <c r="W1152" s="2244"/>
      <c r="X1152" s="2244"/>
    </row>
    <row r="1153" spans="1:24" s="1818" customFormat="1" ht="32.1" customHeight="1">
      <c r="A1153" s="2535"/>
      <c r="B1153" s="1819"/>
      <c r="C1153" s="1813"/>
      <c r="D1153" s="1813"/>
      <c r="E1153" s="1813"/>
      <c r="F1153" s="1813"/>
      <c r="G1153" s="1813"/>
      <c r="H1153" s="1813"/>
      <c r="I1153" s="2434"/>
      <c r="J1153" s="2244"/>
      <c r="K1153" s="2244"/>
      <c r="L1153" s="2244"/>
      <c r="M1153" s="2244"/>
      <c r="N1153" s="2244"/>
      <c r="O1153" s="2244"/>
      <c r="P1153" s="2245"/>
      <c r="Q1153" s="2245"/>
      <c r="R1153" s="1965"/>
      <c r="S1153" s="2244"/>
      <c r="T1153" s="2244"/>
      <c r="U1153" s="2244"/>
      <c r="V1153" s="2244"/>
      <c r="W1153" s="2244"/>
      <c r="X1153" s="2244"/>
    </row>
    <row r="1154" spans="1:24" s="1818" customFormat="1" ht="32.1" customHeight="1">
      <c r="A1154" s="2535"/>
      <c r="B1154" s="1819"/>
      <c r="C1154" s="1813"/>
      <c r="D1154" s="1813"/>
      <c r="E1154" s="1813"/>
      <c r="F1154" s="1813"/>
      <c r="G1154" s="1813"/>
      <c r="H1154" s="1813"/>
      <c r="I1154" s="2434"/>
      <c r="J1154" s="2244"/>
      <c r="K1154" s="2244"/>
      <c r="L1154" s="2244"/>
      <c r="M1154" s="2244"/>
      <c r="N1154" s="2244"/>
      <c r="O1154" s="2244"/>
      <c r="P1154" s="2245"/>
      <c r="Q1154" s="2245"/>
      <c r="R1154" s="1965"/>
      <c r="S1154" s="2244"/>
      <c r="T1154" s="2244"/>
      <c r="U1154" s="2244"/>
      <c r="V1154" s="2244"/>
      <c r="W1154" s="2244"/>
      <c r="X1154" s="2244"/>
    </row>
    <row r="1155" spans="1:24" s="1818" customFormat="1" ht="32.1" customHeight="1">
      <c r="A1155" s="2535"/>
      <c r="B1155" s="1819"/>
      <c r="C1155" s="1813"/>
      <c r="D1155" s="1813"/>
      <c r="E1155" s="1813"/>
      <c r="F1155" s="1813"/>
      <c r="G1155" s="1813"/>
      <c r="H1155" s="1813"/>
      <c r="I1155" s="2434"/>
      <c r="J1155" s="2244"/>
      <c r="K1155" s="2244"/>
      <c r="L1155" s="2244"/>
      <c r="M1155" s="2244"/>
      <c r="N1155" s="2244"/>
      <c r="O1155" s="2244"/>
      <c r="P1155" s="2245"/>
      <c r="Q1155" s="2245"/>
      <c r="R1155" s="1965"/>
      <c r="S1155" s="2244"/>
      <c r="T1155" s="2244"/>
      <c r="U1155" s="2244"/>
      <c r="V1155" s="2244"/>
      <c r="W1155" s="2244"/>
      <c r="X1155" s="2244"/>
    </row>
    <row r="1156" spans="1:24" s="1818" customFormat="1" ht="32.1" customHeight="1">
      <c r="A1156" s="2535"/>
      <c r="B1156" s="1819"/>
      <c r="C1156" s="1813"/>
      <c r="D1156" s="1813"/>
      <c r="E1156" s="1813"/>
      <c r="F1156" s="1813"/>
      <c r="G1156" s="1813"/>
      <c r="H1156" s="1813"/>
      <c r="I1156" s="2434"/>
      <c r="J1156" s="2244"/>
      <c r="K1156" s="2244"/>
      <c r="L1156" s="2244"/>
      <c r="M1156" s="2244"/>
      <c r="N1156" s="2244"/>
      <c r="O1156" s="2244"/>
      <c r="P1156" s="2245"/>
      <c r="Q1156" s="2245"/>
      <c r="R1156" s="1965"/>
      <c r="S1156" s="2244"/>
      <c r="T1156" s="2244"/>
      <c r="U1156" s="2244"/>
      <c r="V1156" s="2244"/>
      <c r="W1156" s="2244"/>
      <c r="X1156" s="2244"/>
    </row>
    <row r="1157" spans="1:24" s="1818" customFormat="1" ht="32.1" customHeight="1">
      <c r="A1157" s="2535"/>
      <c r="B1157" s="1819"/>
      <c r="C1157" s="1813"/>
      <c r="D1157" s="1813"/>
      <c r="E1157" s="1813"/>
      <c r="F1157" s="1813"/>
      <c r="G1157" s="1813"/>
      <c r="H1157" s="1813"/>
      <c r="I1157" s="2434"/>
      <c r="J1157" s="2244"/>
      <c r="K1157" s="2244"/>
      <c r="L1157" s="2244"/>
      <c r="M1157" s="2244"/>
      <c r="N1157" s="2244"/>
      <c r="O1157" s="2244"/>
      <c r="P1157" s="2245"/>
      <c r="Q1157" s="2245"/>
      <c r="R1157" s="1965"/>
      <c r="S1157" s="2244"/>
      <c r="T1157" s="2244"/>
      <c r="U1157" s="2244"/>
      <c r="V1157" s="2244"/>
      <c r="W1157" s="2244"/>
      <c r="X1157" s="2244"/>
    </row>
    <row r="1158" spans="1:24" s="1818" customFormat="1" ht="32.1" customHeight="1">
      <c r="A1158" s="2535"/>
      <c r="B1158" s="1819"/>
      <c r="C1158" s="1813"/>
      <c r="D1158" s="1813"/>
      <c r="E1158" s="1813"/>
      <c r="F1158" s="1813"/>
      <c r="G1158" s="1813"/>
      <c r="H1158" s="1813"/>
      <c r="I1158" s="2434"/>
      <c r="J1158" s="2244"/>
      <c r="K1158" s="2244"/>
      <c r="L1158" s="2244"/>
      <c r="M1158" s="2244"/>
      <c r="N1158" s="2244"/>
      <c r="O1158" s="2244"/>
      <c r="P1158" s="2245"/>
      <c r="Q1158" s="2245"/>
      <c r="R1158" s="1965"/>
      <c r="S1158" s="2244"/>
      <c r="T1158" s="2244"/>
      <c r="U1158" s="2244"/>
      <c r="V1158" s="2244"/>
      <c r="W1158" s="2244"/>
      <c r="X1158" s="2244"/>
    </row>
    <row r="1159" spans="1:24" s="1818" customFormat="1" ht="32.1" customHeight="1">
      <c r="A1159" s="2535"/>
      <c r="B1159" s="1819"/>
      <c r="C1159" s="1813"/>
      <c r="D1159" s="1813"/>
      <c r="E1159" s="1813"/>
      <c r="F1159" s="1813"/>
      <c r="G1159" s="1813"/>
      <c r="H1159" s="1813"/>
      <c r="I1159" s="2434"/>
      <c r="J1159" s="2244"/>
      <c r="K1159" s="2244"/>
      <c r="L1159" s="2244"/>
      <c r="M1159" s="2244"/>
      <c r="N1159" s="2244"/>
      <c r="O1159" s="2244"/>
      <c r="P1159" s="2245"/>
      <c r="Q1159" s="2245"/>
      <c r="R1159" s="1965"/>
      <c r="S1159" s="2244"/>
      <c r="T1159" s="2244"/>
      <c r="U1159" s="2244"/>
      <c r="V1159" s="2244"/>
      <c r="W1159" s="2244"/>
      <c r="X1159" s="2244"/>
    </row>
    <row r="1160" spans="1:24" s="1818" customFormat="1" ht="32.1" customHeight="1">
      <c r="A1160" s="2535"/>
      <c r="B1160" s="1819"/>
      <c r="C1160" s="1813"/>
      <c r="D1160" s="1813"/>
      <c r="E1160" s="1813"/>
      <c r="F1160" s="1813"/>
      <c r="G1160" s="1813"/>
      <c r="H1160" s="1813"/>
      <c r="I1160" s="2434"/>
      <c r="J1160" s="2244"/>
      <c r="K1160" s="2244"/>
      <c r="L1160" s="2244"/>
      <c r="M1160" s="2244"/>
      <c r="N1160" s="2244"/>
      <c r="O1160" s="2244"/>
      <c r="P1160" s="2245"/>
      <c r="Q1160" s="2245"/>
      <c r="R1160" s="1965"/>
      <c r="S1160" s="2244"/>
      <c r="T1160" s="2244"/>
      <c r="U1160" s="2244"/>
      <c r="V1160" s="2244"/>
      <c r="W1160" s="2244"/>
      <c r="X1160" s="2244"/>
    </row>
    <row r="1161" spans="1:24" s="1818" customFormat="1" ht="32.1" customHeight="1">
      <c r="A1161" s="2535"/>
      <c r="B1161" s="1819"/>
      <c r="C1161" s="1813"/>
      <c r="D1161" s="1813"/>
      <c r="E1161" s="1813"/>
      <c r="F1161" s="1813"/>
      <c r="G1161" s="1813"/>
      <c r="H1161" s="1813"/>
      <c r="I1161" s="2434"/>
      <c r="J1161" s="2244"/>
      <c r="K1161" s="2244"/>
      <c r="L1161" s="2244"/>
      <c r="M1161" s="2244"/>
      <c r="N1161" s="2244"/>
      <c r="O1161" s="2244"/>
      <c r="P1161" s="2245"/>
      <c r="Q1161" s="2245"/>
      <c r="R1161" s="1965"/>
      <c r="S1161" s="2244"/>
      <c r="T1161" s="2244"/>
      <c r="U1161" s="2244"/>
      <c r="V1161" s="2244"/>
      <c r="W1161" s="2244"/>
      <c r="X1161" s="2244"/>
    </row>
    <row r="1162" spans="1:24" s="1818" customFormat="1" ht="32.1" customHeight="1">
      <c r="A1162" s="2535"/>
      <c r="B1162" s="1819"/>
      <c r="C1162" s="1813"/>
      <c r="D1162" s="1813"/>
      <c r="E1162" s="1813"/>
      <c r="F1162" s="1813"/>
      <c r="G1162" s="1813"/>
      <c r="H1162" s="1813"/>
      <c r="I1162" s="2434"/>
      <c r="J1162" s="2244"/>
      <c r="K1162" s="2244"/>
      <c r="L1162" s="2244"/>
      <c r="M1162" s="2244"/>
      <c r="N1162" s="2244"/>
      <c r="O1162" s="2244"/>
      <c r="P1162" s="2245"/>
      <c r="Q1162" s="2245"/>
      <c r="R1162" s="1965"/>
      <c r="S1162" s="2244"/>
      <c r="T1162" s="2244"/>
      <c r="U1162" s="2244"/>
      <c r="V1162" s="2244"/>
      <c r="W1162" s="2244"/>
      <c r="X1162" s="2244"/>
    </row>
    <row r="1163" spans="1:24" s="1818" customFormat="1" ht="32.1" customHeight="1">
      <c r="A1163" s="2535"/>
      <c r="B1163" s="1819"/>
      <c r="C1163" s="1813"/>
      <c r="D1163" s="1813"/>
      <c r="E1163" s="1813"/>
      <c r="F1163" s="1813"/>
      <c r="G1163" s="1813"/>
      <c r="H1163" s="1813"/>
      <c r="I1163" s="2434"/>
      <c r="J1163" s="2244"/>
      <c r="K1163" s="2244"/>
      <c r="L1163" s="2244"/>
      <c r="M1163" s="2244"/>
      <c r="N1163" s="2244"/>
      <c r="O1163" s="2244"/>
      <c r="P1163" s="2245"/>
      <c r="Q1163" s="2245"/>
      <c r="R1163" s="1965"/>
      <c r="S1163" s="2244"/>
      <c r="T1163" s="2244"/>
      <c r="U1163" s="2244"/>
      <c r="V1163" s="2244"/>
      <c r="W1163" s="2244"/>
      <c r="X1163" s="2244"/>
    </row>
    <row r="1164" spans="1:24" s="1818" customFormat="1" ht="32.1" customHeight="1">
      <c r="A1164" s="2535"/>
      <c r="B1164" s="1819"/>
      <c r="C1164" s="1813"/>
      <c r="D1164" s="1813"/>
      <c r="E1164" s="1813"/>
      <c r="F1164" s="1813"/>
      <c r="G1164" s="1813"/>
      <c r="H1164" s="1813"/>
      <c r="I1164" s="2434"/>
      <c r="J1164" s="2244"/>
      <c r="K1164" s="2244"/>
      <c r="L1164" s="2244"/>
      <c r="M1164" s="2244"/>
      <c r="N1164" s="2244"/>
      <c r="O1164" s="2244"/>
      <c r="P1164" s="2245"/>
      <c r="Q1164" s="2245"/>
      <c r="R1164" s="1965"/>
      <c r="S1164" s="2244"/>
      <c r="T1164" s="2244"/>
      <c r="U1164" s="2244"/>
      <c r="V1164" s="2244"/>
      <c r="W1164" s="2244"/>
      <c r="X1164" s="2244"/>
    </row>
    <row r="1165" spans="1:24" s="1818" customFormat="1" ht="32.1" customHeight="1">
      <c r="A1165" s="2535"/>
      <c r="B1165" s="1819"/>
      <c r="C1165" s="1813"/>
      <c r="D1165" s="1813"/>
      <c r="E1165" s="1813"/>
      <c r="F1165" s="1813"/>
      <c r="G1165" s="1813"/>
      <c r="H1165" s="1813"/>
      <c r="I1165" s="2434"/>
      <c r="J1165" s="2244"/>
      <c r="K1165" s="2244"/>
      <c r="L1165" s="2244"/>
      <c r="M1165" s="2244"/>
      <c r="N1165" s="2244"/>
      <c r="O1165" s="2244"/>
      <c r="P1165" s="2245"/>
      <c r="Q1165" s="2245"/>
      <c r="R1165" s="1965"/>
      <c r="S1165" s="2244"/>
      <c r="T1165" s="2244"/>
      <c r="U1165" s="2244"/>
      <c r="V1165" s="2244"/>
      <c r="W1165" s="2244"/>
      <c r="X1165" s="2244"/>
    </row>
    <row r="1166" spans="1:24" s="1818" customFormat="1" ht="32.1" customHeight="1">
      <c r="A1166" s="2535"/>
      <c r="B1166" s="1819"/>
      <c r="C1166" s="1813"/>
      <c r="D1166" s="1813"/>
      <c r="E1166" s="1813"/>
      <c r="F1166" s="1813"/>
      <c r="G1166" s="1813"/>
      <c r="H1166" s="1813"/>
      <c r="I1166" s="2434"/>
      <c r="J1166" s="2244"/>
      <c r="K1166" s="2244"/>
      <c r="L1166" s="2244"/>
      <c r="M1166" s="2244"/>
      <c r="N1166" s="2244"/>
      <c r="O1166" s="2244"/>
      <c r="P1166" s="2245"/>
      <c r="Q1166" s="2245"/>
      <c r="R1166" s="1965"/>
      <c r="S1166" s="2244"/>
      <c r="T1166" s="2244"/>
      <c r="U1166" s="2244"/>
      <c r="V1166" s="2244"/>
      <c r="W1166" s="2244"/>
      <c r="X1166" s="2244"/>
    </row>
    <row r="1167" spans="1:24" s="1818" customFormat="1" ht="32.1" customHeight="1">
      <c r="A1167" s="2535"/>
      <c r="B1167" s="1819"/>
      <c r="C1167" s="1813"/>
      <c r="D1167" s="1813"/>
      <c r="E1167" s="1813"/>
      <c r="F1167" s="1813"/>
      <c r="G1167" s="1813"/>
      <c r="H1167" s="1813"/>
      <c r="I1167" s="2434"/>
      <c r="J1167" s="2244"/>
      <c r="K1167" s="2244"/>
      <c r="L1167" s="2244"/>
      <c r="M1167" s="2244"/>
      <c r="N1167" s="2244"/>
      <c r="O1167" s="2244"/>
      <c r="P1167" s="2245"/>
      <c r="Q1167" s="2245"/>
      <c r="R1167" s="1965"/>
      <c r="S1167" s="2244"/>
      <c r="T1167" s="2244"/>
      <c r="U1167" s="2244"/>
      <c r="V1167" s="2244"/>
      <c r="W1167" s="2244"/>
      <c r="X1167" s="2244"/>
    </row>
  </sheetData>
  <sheetProtection selectLockedCells="1"/>
  <autoFilter ref="A1:FU451"/>
  <mergeCells count="2">
    <mergeCell ref="J2:Q2"/>
    <mergeCell ref="R2:X2"/>
  </mergeCells>
  <hyperlinks>
    <hyperlink ref="V648" r:id="rId1"/>
    <hyperlink ref="S53" r:id="rId2"/>
    <hyperlink ref="S55" r:id="rId3"/>
    <hyperlink ref="S56" r:id="rId4"/>
    <hyperlink ref="S57" r:id="rId5"/>
    <hyperlink ref="S60" r:id="rId6"/>
    <hyperlink ref="S61" r:id="rId7"/>
    <hyperlink ref="S62" r:id="rId8"/>
    <hyperlink ref="S63" r:id="rId9"/>
    <hyperlink ref="S64" r:id="rId10" display="No_x000a_The report of CPT (2015-2016) has not been published on the official website of the Ministry of Justice. there is information since 2014 year_x000a_https://minjust.gov.ua/news/ministry/komitet-proti-tortur-radi-evropi-opublikuvav-dopovid-schodo-ukraini-19684"/>
    <hyperlink ref="S65" r:id="rId11"/>
    <hyperlink ref="S117" r:id="rId12" display="The data source:  annual reports on the State Budget of Ukraine for 2014-2016. Available at the following link: http://www.treasury.gov.ua/main/uk/doccatalog/list?currDir=146477."/>
    <hyperlink ref="S121" r:id="rId13"/>
    <hyperlink ref="S122" r:id="rId14"/>
    <hyperlink ref="S123" r:id="rId15"/>
    <hyperlink ref="S124" r:id="rId16"/>
    <hyperlink ref="S127" r:id="rId17"/>
    <hyperlink ref="S130" r:id="rId18"/>
    <hyperlink ref="S131" r:id="rId19"/>
    <hyperlink ref="S132" r:id="rId20"/>
    <hyperlink ref="S134" r:id="rId21"/>
    <hyperlink ref="S135" r:id="rId22"/>
    <hyperlink ref="S136" r:id="rId23"/>
    <hyperlink ref="S138" r:id="rId24" location="n5091"/>
    <hyperlink ref="S140" r:id="rId25" location="n5091"/>
    <hyperlink ref="S143" r:id="rId26"/>
    <hyperlink ref="S145" r:id="rId27"/>
    <hyperlink ref="S146" r:id="rId28"/>
    <hyperlink ref="S149" r:id="rId29"/>
    <hyperlink ref="S150" r:id="rId30"/>
    <hyperlink ref="S151" r:id="rId31"/>
    <hyperlink ref="S154" r:id="rId32"/>
    <hyperlink ref="S155" r:id="rId33"/>
    <hyperlink ref="S156" r:id="rId34"/>
    <hyperlink ref="S159" r:id="rId35"/>
    <hyperlink ref="S160" r:id="rId36"/>
    <hyperlink ref="S163" r:id="rId37"/>
    <hyperlink ref="S167" r:id="rId38"/>
    <hyperlink ref="S168" r:id="rId39"/>
    <hyperlink ref="S169" r:id="rId40"/>
    <hyperlink ref="S172" r:id="rId41"/>
    <hyperlink ref="S173" r:id="rId42"/>
    <hyperlink ref="S174" r:id="rId43"/>
    <hyperlink ref="S175" r:id="rId44"/>
    <hyperlink ref="S190" r:id="rId45"/>
    <hyperlink ref="S202" r:id="rId46"/>
    <hyperlink ref="S204" r:id="rId47"/>
    <hyperlink ref="S212" r:id="rId48"/>
    <hyperlink ref="S226" r:id="rId49"/>
    <hyperlink ref="S376" r:id="rId50"/>
    <hyperlink ref="S591" r:id="rId51"/>
    <hyperlink ref="S592" r:id="rId52"/>
    <hyperlink ref="W192" r:id="rId53" display="http://www.parliament.am/legislation.php?sel=alpha&amp;ltype=4&amp;lang=arm;  datalex.am"/>
    <hyperlink ref="S111" r:id="rId54"/>
    <hyperlink ref="S115" r:id="rId55"/>
    <hyperlink ref="T313" r:id="rId56"/>
    <hyperlink ref="T122" r:id="rId57"/>
    <hyperlink ref="T123" r:id="rId58"/>
    <hyperlink ref="T526" r:id="rId59" display="http://www.licentiere.gov.md/pageview.php?l=ro&amp;idc=22"/>
    <hyperlink ref="T527" r:id="rId60" display="http://mf.gov.md/ro/content/hot%C4%83r%C3%AErea-guvernului-pivind-aplicarea-standardelor-interna%C8%9Bionale-de-raportare-fianciar%C4%83-0"/>
    <hyperlink ref="T528" r:id="rId61" display="http://en.anrceti.md/node/5"/>
    <hyperlink ref="T529" r:id="rId62" display="http://lex.justice.md/md/370018/"/>
    <hyperlink ref="T530" r:id="rId63" display="http://www.registru.md/ro/buletin-de-indentitate-electronic/informatii-generale"/>
    <hyperlink ref="T531" r:id="rId64" display="http://112.md/2018/07/03/din-1-iulie-2018-solicitarea-ambulantei-politiei-si-pompierilor-este-posibila-doar-la-numarul-unic-de-urgenta-112/"/>
    <hyperlink ref="T532" r:id="rId65" display="http://lex.justice.md/index.php?action=view&amp;view=doc&amp;lang=1&amp;id=311627"/>
    <hyperlink ref="T533" r:id="rId66" display="http://lex.justice.md/md/373267/"/>
    <hyperlink ref="V736" r:id="rId67" display="https://www.unece.org/environmental-policy/environmental-performance-reviews/enveprpublications/environmental-performance-reviews/2016/3rd-environmental-performance-review-of-georgia.html"/>
  </hyperlinks>
  <pageMargins left="0.25" right="0.25" top="0.75" bottom="0.75" header="0.3" footer="0.3"/>
  <pageSetup paperSize="9" scale="10" fitToHeight="0" orientation="portrait" r:id="rId68"/>
  <ignoredErrors>
    <ignoredError sqref="K105" unlockedFormula="1"/>
  </ignoredErrors>
  <drawing r:id="rId6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IV853"/>
  <sheetViews>
    <sheetView topLeftCell="B1" zoomScale="80" zoomScaleNormal="80" workbookViewId="0">
      <pane ySplit="2" topLeftCell="A659" activePane="bottomLeft" state="frozen"/>
      <selection pane="bottomLeft" activeCell="J670" sqref="J670"/>
    </sheetView>
  </sheetViews>
  <sheetFormatPr defaultColWidth="15.140625" defaultRowHeight="32.1" customHeight="1"/>
  <cols>
    <col min="1" max="1" width="5.28515625" style="1358" customWidth="1"/>
    <col min="2" max="2" width="53.140625" style="1359" customWidth="1"/>
    <col min="3" max="3" width="12.140625" style="1419" customWidth="1"/>
    <col min="4" max="8" width="10.85546875" style="1419" customWidth="1"/>
    <col min="9" max="9" width="27.85546875" style="1767" customWidth="1"/>
    <col min="10" max="10" width="23.140625" style="1190" customWidth="1"/>
    <col min="11" max="11" width="20.7109375" style="1190" customWidth="1"/>
    <col min="12" max="12" width="25.7109375" style="1190" customWidth="1"/>
    <col min="13" max="13" width="26.42578125" style="1190" customWidth="1"/>
    <col min="14" max="15" width="24.140625" style="1190" customWidth="1"/>
    <col min="16" max="16" width="11.140625" style="1190" customWidth="1"/>
    <col min="17" max="17" width="9.7109375" style="1190" customWidth="1"/>
    <col min="18" max="18" width="15.140625" style="1081"/>
    <col min="19" max="158" width="15.140625" style="1082"/>
    <col min="159" max="16384" width="15.140625" style="1055"/>
  </cols>
  <sheetData>
    <row r="1" spans="1:17" ht="32.1" customHeight="1">
      <c r="A1" s="1052" t="s">
        <v>0</v>
      </c>
      <c r="B1" s="1053" t="s">
        <v>1</v>
      </c>
      <c r="C1" s="1473" t="s">
        <v>2</v>
      </c>
      <c r="D1" s="1473" t="s">
        <v>3</v>
      </c>
      <c r="E1" s="1473" t="s">
        <v>4</v>
      </c>
      <c r="F1" s="1473" t="s">
        <v>5</v>
      </c>
      <c r="G1" s="1473" t="s">
        <v>6</v>
      </c>
      <c r="H1" s="1473" t="s">
        <v>7</v>
      </c>
      <c r="I1" s="1749" t="s">
        <v>8</v>
      </c>
      <c r="J1" s="1054" t="s">
        <v>2</v>
      </c>
      <c r="K1" s="1054" t="s">
        <v>3</v>
      </c>
      <c r="L1" s="1054" t="s">
        <v>4</v>
      </c>
      <c r="M1" s="1054" t="s">
        <v>5</v>
      </c>
      <c r="N1" s="1054" t="s">
        <v>6</v>
      </c>
      <c r="O1" s="1054" t="s">
        <v>7</v>
      </c>
      <c r="P1" s="1054" t="s">
        <v>9</v>
      </c>
      <c r="Q1" s="1054" t="s">
        <v>5334</v>
      </c>
    </row>
    <row r="2" spans="1:17" ht="32.1" customHeight="1">
      <c r="A2" s="1056"/>
      <c r="B2" s="1057" t="s">
        <v>10</v>
      </c>
      <c r="C2" s="1531"/>
      <c r="D2" s="1531"/>
      <c r="E2" s="1531"/>
      <c r="F2" s="1531"/>
      <c r="G2" s="1531"/>
      <c r="H2" s="1531"/>
      <c r="I2" s="1464"/>
      <c r="J2" s="2592" t="s">
        <v>11</v>
      </c>
      <c r="K2" s="2593"/>
      <c r="L2" s="2593"/>
      <c r="M2" s="2593"/>
      <c r="N2" s="2593"/>
      <c r="O2" s="2593"/>
      <c r="P2" s="2593"/>
      <c r="Q2" s="2594"/>
    </row>
    <row r="3" spans="1:17" ht="32.1" customHeight="1">
      <c r="A3" s="1056"/>
      <c r="B3" s="1058" t="s">
        <v>12</v>
      </c>
      <c r="C3" s="1468">
        <f t="shared" ref="C3:H3" si="0">AVERAGE(C4,C614,C356)</f>
        <v>0.72824392431083418</v>
      </c>
      <c r="D3" s="1468">
        <f t="shared" si="0"/>
        <v>0.72588171568587612</v>
      </c>
      <c r="E3" s="1468">
        <f t="shared" si="0"/>
        <v>0.44724831438243035</v>
      </c>
      <c r="F3" s="1468">
        <f t="shared" si="0"/>
        <v>0.67057836950833172</v>
      </c>
      <c r="G3" s="1468">
        <f t="shared" si="0"/>
        <v>0.68453441110732072</v>
      </c>
      <c r="H3" s="1468">
        <f t="shared" si="0"/>
        <v>0.55527487551617893</v>
      </c>
      <c r="I3" s="1750"/>
      <c r="J3" s="1059"/>
      <c r="K3" s="1059"/>
      <c r="L3" s="1059"/>
      <c r="M3" s="1059"/>
      <c r="N3" s="1059"/>
      <c r="O3" s="1059"/>
      <c r="P3" s="1059"/>
      <c r="Q3" s="1059"/>
    </row>
    <row r="4" spans="1:17" ht="32.1" customHeight="1">
      <c r="A4" s="1060">
        <v>1</v>
      </c>
      <c r="B4" s="1679" t="s">
        <v>13</v>
      </c>
      <c r="C4" s="1462">
        <f t="shared" ref="C4:H4" si="1">AVERAGE(C5,C33,C54,C148,C160,C164,C190,C272,C298)</f>
        <v>0.69946158232834055</v>
      </c>
      <c r="D4" s="1462">
        <f t="shared" si="1"/>
        <v>0.71132211347448449</v>
      </c>
      <c r="E4" s="1462">
        <f t="shared" si="1"/>
        <v>0.28100604825324205</v>
      </c>
      <c r="F4" s="1462">
        <f t="shared" si="1"/>
        <v>0.70861563934042326</v>
      </c>
      <c r="G4" s="1462">
        <f t="shared" si="1"/>
        <v>0.58109604578805862</v>
      </c>
      <c r="H4" s="1462">
        <f t="shared" si="1"/>
        <v>0.31822569515052707</v>
      </c>
      <c r="I4" s="1750"/>
      <c r="J4" s="1061"/>
      <c r="K4" s="1061"/>
      <c r="L4" s="1061"/>
      <c r="M4" s="1061"/>
      <c r="N4" s="1061"/>
      <c r="O4" s="1061"/>
      <c r="P4" s="1061"/>
      <c r="Q4" s="1061"/>
    </row>
    <row r="5" spans="1:17" ht="32.1" customHeight="1">
      <c r="A5" s="1062" t="s">
        <v>733</v>
      </c>
      <c r="B5" s="1616" t="s">
        <v>14</v>
      </c>
      <c r="C5" s="1692">
        <f t="shared" ref="C5:H5" si="2">AVERAGE(C6,C10,C14,C30)</f>
        <v>0.58508333333333329</v>
      </c>
      <c r="D5" s="1692">
        <f t="shared" si="2"/>
        <v>0.72349583333333323</v>
      </c>
      <c r="E5" s="1692">
        <f t="shared" si="2"/>
        <v>0.14636666666666667</v>
      </c>
      <c r="F5" s="1692">
        <f t="shared" si="2"/>
        <v>0.68420416666666672</v>
      </c>
      <c r="G5" s="1692">
        <f t="shared" si="2"/>
        <v>0.43026249999999999</v>
      </c>
      <c r="H5" s="1692">
        <f t="shared" si="2"/>
        <v>5.7916666666666658E-2</v>
      </c>
      <c r="I5" s="1750"/>
      <c r="J5" s="1064"/>
      <c r="K5" s="1065"/>
      <c r="L5" s="1064"/>
      <c r="M5" s="1064"/>
      <c r="N5" s="1064"/>
      <c r="O5" s="1064"/>
      <c r="P5" s="1064"/>
      <c r="Q5" s="1064"/>
    </row>
    <row r="6" spans="1:17" ht="32.1" customHeight="1">
      <c r="A6" s="1066" t="s">
        <v>15</v>
      </c>
      <c r="B6" s="1067" t="s">
        <v>16</v>
      </c>
      <c r="C6" s="1693">
        <f t="shared" ref="C6:H6" si="3">AVERAGE(C7,C8,C9)</f>
        <v>0.66666666666666663</v>
      </c>
      <c r="D6" s="1693">
        <f t="shared" si="3"/>
        <v>0.66666666666666663</v>
      </c>
      <c r="E6" s="1693">
        <f t="shared" si="3"/>
        <v>0</v>
      </c>
      <c r="F6" s="1693">
        <f t="shared" si="3"/>
        <v>0.83333333333333337</v>
      </c>
      <c r="G6" s="1693">
        <f t="shared" si="3"/>
        <v>0.16666666666666666</v>
      </c>
      <c r="H6" s="1693">
        <f t="shared" si="3"/>
        <v>0</v>
      </c>
      <c r="I6" s="1751"/>
      <c r="J6" s="1068"/>
      <c r="K6" s="1068"/>
      <c r="L6" s="1068"/>
      <c r="M6" s="1068"/>
      <c r="N6" s="1068"/>
      <c r="O6" s="1068"/>
      <c r="P6" s="1068"/>
      <c r="Q6" s="1068"/>
    </row>
    <row r="7" spans="1:17" ht="32.1" customHeight="1">
      <c r="A7" s="1052"/>
      <c r="B7" s="1053" t="s">
        <v>17</v>
      </c>
      <c r="C7" s="1694">
        <v>1</v>
      </c>
      <c r="D7" s="1694">
        <v>1</v>
      </c>
      <c r="E7" s="1694">
        <v>0</v>
      </c>
      <c r="F7" s="1694">
        <v>1</v>
      </c>
      <c r="G7" s="1694">
        <v>0.5</v>
      </c>
      <c r="H7" s="1695">
        <v>0</v>
      </c>
      <c r="I7" s="1752" t="s">
        <v>18</v>
      </c>
      <c r="J7" s="1069" t="s">
        <v>6733</v>
      </c>
      <c r="K7" s="1070" t="s">
        <v>6227</v>
      </c>
      <c r="L7" s="1392" t="s">
        <v>6732</v>
      </c>
      <c r="M7" s="1072" t="s">
        <v>6032</v>
      </c>
      <c r="N7" s="1394" t="s">
        <v>5358</v>
      </c>
      <c r="O7" s="1073" t="s">
        <v>5565</v>
      </c>
      <c r="P7" s="1070">
        <v>1</v>
      </c>
      <c r="Q7" s="1070">
        <v>0</v>
      </c>
    </row>
    <row r="8" spans="1:17" ht="32.1" customHeight="1">
      <c r="A8" s="1052"/>
      <c r="B8" s="1053" t="s">
        <v>19</v>
      </c>
      <c r="C8" s="1694">
        <v>1</v>
      </c>
      <c r="D8" s="1694">
        <v>0.5</v>
      </c>
      <c r="E8" s="1694">
        <v>0</v>
      </c>
      <c r="F8" s="1694">
        <v>1</v>
      </c>
      <c r="G8" s="1694">
        <v>0</v>
      </c>
      <c r="H8" s="1695">
        <v>0</v>
      </c>
      <c r="I8" s="1752" t="s">
        <v>20</v>
      </c>
      <c r="J8" s="1397" t="s">
        <v>6555</v>
      </c>
      <c r="K8" s="1393" t="s">
        <v>6228</v>
      </c>
      <c r="L8" s="1071" t="s">
        <v>5849</v>
      </c>
      <c r="M8" s="1577" t="s">
        <v>6033</v>
      </c>
      <c r="N8" s="1070" t="s">
        <v>748</v>
      </c>
      <c r="O8" s="1075" t="s">
        <v>5566</v>
      </c>
      <c r="P8" s="1070">
        <v>1</v>
      </c>
      <c r="Q8" s="1070">
        <v>0</v>
      </c>
    </row>
    <row r="9" spans="1:17" ht="32.1" customHeight="1">
      <c r="A9" s="1052"/>
      <c r="B9" s="1053" t="s">
        <v>21</v>
      </c>
      <c r="C9" s="1694">
        <v>0</v>
      </c>
      <c r="D9" s="1694">
        <v>0.5</v>
      </c>
      <c r="E9" s="1694">
        <v>0</v>
      </c>
      <c r="F9" s="1694">
        <v>0.5</v>
      </c>
      <c r="G9" s="1694">
        <v>0</v>
      </c>
      <c r="H9" s="1695">
        <v>0</v>
      </c>
      <c r="I9" s="1752" t="s">
        <v>22</v>
      </c>
      <c r="J9" s="1393" t="s">
        <v>6556</v>
      </c>
      <c r="K9" s="1401" t="s">
        <v>6229</v>
      </c>
      <c r="L9" s="1392" t="s">
        <v>5850</v>
      </c>
      <c r="M9" s="1069" t="s">
        <v>6034</v>
      </c>
      <c r="N9" s="1070" t="s">
        <v>748</v>
      </c>
      <c r="O9" s="1070" t="s">
        <v>5567</v>
      </c>
      <c r="P9" s="1070">
        <v>1</v>
      </c>
      <c r="Q9" s="1070">
        <v>0</v>
      </c>
    </row>
    <row r="10" spans="1:17" ht="32.1" customHeight="1">
      <c r="A10" s="1066" t="s">
        <v>23</v>
      </c>
      <c r="B10" s="1067" t="s">
        <v>24</v>
      </c>
      <c r="C10" s="1693">
        <f t="shared" ref="C10:H10" si="4">AVERAGE(C11,C12,C13)</f>
        <v>0.16666666666666666</v>
      </c>
      <c r="D10" s="1693">
        <f t="shared" si="4"/>
        <v>0.5</v>
      </c>
      <c r="E10" s="1693">
        <f t="shared" si="4"/>
        <v>0.16666666666666666</v>
      </c>
      <c r="F10" s="1693">
        <f t="shared" si="4"/>
        <v>0.5</v>
      </c>
      <c r="G10" s="1693">
        <f t="shared" si="4"/>
        <v>0.33333333333333331</v>
      </c>
      <c r="H10" s="1696">
        <f t="shared" si="4"/>
        <v>0</v>
      </c>
      <c r="I10" s="1752"/>
      <c r="J10" s="1076"/>
      <c r="K10" s="1076"/>
      <c r="L10" s="1076"/>
      <c r="M10" s="1068"/>
      <c r="N10" s="1068"/>
      <c r="O10" s="1068"/>
      <c r="P10" s="1076"/>
      <c r="Q10" s="1076"/>
    </row>
    <row r="11" spans="1:17" ht="32.1" customHeight="1">
      <c r="A11" s="1052"/>
      <c r="B11" s="1053" t="s">
        <v>25</v>
      </c>
      <c r="C11" s="1474">
        <v>0.5</v>
      </c>
      <c r="D11" s="1474">
        <v>0.5</v>
      </c>
      <c r="E11" s="1474">
        <v>0.5</v>
      </c>
      <c r="F11" s="1474">
        <v>0.5</v>
      </c>
      <c r="G11" s="1474">
        <v>0.5</v>
      </c>
      <c r="H11" s="1475">
        <v>0</v>
      </c>
      <c r="I11" s="1752" t="s">
        <v>26</v>
      </c>
      <c r="J11" s="1395" t="s">
        <v>6557</v>
      </c>
      <c r="K11" s="1398" t="s">
        <v>6230</v>
      </c>
      <c r="L11" s="1392" t="s">
        <v>5851</v>
      </c>
      <c r="M11" s="1396" t="s">
        <v>6035</v>
      </c>
      <c r="N11" s="1070" t="s">
        <v>5359</v>
      </c>
      <c r="O11" s="1075" t="s">
        <v>5568</v>
      </c>
      <c r="P11" s="1070">
        <v>1</v>
      </c>
      <c r="Q11" s="1070">
        <v>0</v>
      </c>
    </row>
    <row r="12" spans="1:17" ht="32.1" customHeight="1">
      <c r="A12" s="1052"/>
      <c r="B12" s="1053" t="s">
        <v>27</v>
      </c>
      <c r="C12" s="1694">
        <v>0</v>
      </c>
      <c r="D12" s="1474">
        <v>0.5</v>
      </c>
      <c r="E12" s="1474">
        <v>0</v>
      </c>
      <c r="F12" s="1474">
        <v>1</v>
      </c>
      <c r="G12" s="1474">
        <v>0</v>
      </c>
      <c r="H12" s="1475">
        <v>0</v>
      </c>
      <c r="I12" s="1752" t="s">
        <v>28</v>
      </c>
      <c r="J12" s="1395" t="s">
        <v>6558</v>
      </c>
      <c r="K12" s="1077" t="s">
        <v>6231</v>
      </c>
      <c r="L12" s="1071" t="s">
        <v>5852</v>
      </c>
      <c r="M12" s="1578" t="s">
        <v>6036</v>
      </c>
      <c r="N12" s="1393" t="s">
        <v>5360</v>
      </c>
      <c r="O12" s="1075" t="s">
        <v>5569</v>
      </c>
      <c r="P12" s="1070">
        <v>1</v>
      </c>
      <c r="Q12" s="1070">
        <v>0</v>
      </c>
    </row>
    <row r="13" spans="1:17" ht="32.1" customHeight="1">
      <c r="A13" s="1052"/>
      <c r="B13" s="1053" t="s">
        <v>29</v>
      </c>
      <c r="C13" s="1694">
        <v>0</v>
      </c>
      <c r="D13" s="1474">
        <v>0.5</v>
      </c>
      <c r="E13" s="1474">
        <v>0</v>
      </c>
      <c r="F13" s="1474">
        <v>0</v>
      </c>
      <c r="G13" s="1474">
        <v>0.5</v>
      </c>
      <c r="H13" s="1475">
        <v>0</v>
      </c>
      <c r="I13" s="1752" t="s">
        <v>30</v>
      </c>
      <c r="J13" s="1395" t="s">
        <v>6559</v>
      </c>
      <c r="K13" s="1070" t="s">
        <v>6232</v>
      </c>
      <c r="L13" s="1071" t="s">
        <v>5853</v>
      </c>
      <c r="M13" s="1396" t="s">
        <v>6037</v>
      </c>
      <c r="N13" s="1070" t="s">
        <v>5361</v>
      </c>
      <c r="O13" s="1070" t="s">
        <v>5570</v>
      </c>
      <c r="P13" s="1070">
        <v>1</v>
      </c>
      <c r="Q13" s="1070">
        <v>0</v>
      </c>
    </row>
    <row r="14" spans="1:17" ht="32.1" customHeight="1">
      <c r="A14" s="1066" t="s">
        <v>31</v>
      </c>
      <c r="B14" s="1067" t="s">
        <v>32</v>
      </c>
      <c r="C14" s="1461">
        <f t="shared" ref="C14:H14" si="5">AVERAGE(C15:C29)</f>
        <v>0.77999999999999992</v>
      </c>
      <c r="D14" s="1461">
        <f t="shared" si="5"/>
        <v>0.74666666666666659</v>
      </c>
      <c r="E14" s="1461">
        <f t="shared" si="5"/>
        <v>0.22</v>
      </c>
      <c r="F14" s="1693">
        <f t="shared" si="5"/>
        <v>0.71333333333333326</v>
      </c>
      <c r="G14" s="1693">
        <f t="shared" si="5"/>
        <v>0.4</v>
      </c>
      <c r="H14" s="1460">
        <f t="shared" si="5"/>
        <v>6.6666666666666666E-2</v>
      </c>
      <c r="I14" s="1752"/>
      <c r="J14" s="1076"/>
      <c r="K14" s="1076"/>
      <c r="L14" s="1068"/>
      <c r="M14" s="1068"/>
      <c r="N14" s="1068"/>
      <c r="O14" s="1068"/>
      <c r="P14" s="1076"/>
      <c r="Q14" s="1076"/>
    </row>
    <row r="15" spans="1:17" ht="32.1" customHeight="1">
      <c r="A15" s="1052"/>
      <c r="B15" s="1053" t="s">
        <v>33</v>
      </c>
      <c r="C15" s="1474">
        <v>1</v>
      </c>
      <c r="D15" s="1474">
        <v>0.5</v>
      </c>
      <c r="E15" s="1474">
        <v>0</v>
      </c>
      <c r="F15" s="1474">
        <v>1</v>
      </c>
      <c r="G15" s="1474">
        <v>0.5</v>
      </c>
      <c r="H15" s="1475">
        <v>0</v>
      </c>
      <c r="I15" s="1752" t="s">
        <v>34</v>
      </c>
      <c r="J15" s="1395" t="s">
        <v>6560</v>
      </c>
      <c r="K15" s="1072" t="s">
        <v>6233</v>
      </c>
      <c r="L15" s="1071" t="s">
        <v>5854</v>
      </c>
      <c r="M15" s="1075" t="s">
        <v>6038</v>
      </c>
      <c r="N15" s="1070" t="s">
        <v>5362</v>
      </c>
      <c r="O15" s="1070" t="s">
        <v>5571</v>
      </c>
      <c r="P15" s="1070"/>
      <c r="Q15" s="1070"/>
    </row>
    <row r="16" spans="1:17" ht="32.1" customHeight="1">
      <c r="A16" s="1052"/>
      <c r="B16" s="1053" t="s">
        <v>35</v>
      </c>
      <c r="C16" s="1694">
        <v>0.5</v>
      </c>
      <c r="D16" s="1694">
        <v>0.5</v>
      </c>
      <c r="E16" s="1694">
        <v>0</v>
      </c>
      <c r="F16" s="1694">
        <v>0.5</v>
      </c>
      <c r="G16" s="1694">
        <v>0.5</v>
      </c>
      <c r="H16" s="1695">
        <v>0</v>
      </c>
      <c r="I16" s="1752" t="s">
        <v>36</v>
      </c>
      <c r="J16" s="1397" t="s">
        <v>6561</v>
      </c>
      <c r="K16" s="1398" t="s">
        <v>6234</v>
      </c>
      <c r="L16" s="1071" t="s">
        <v>5855</v>
      </c>
      <c r="M16" s="1075" t="s">
        <v>6039</v>
      </c>
      <c r="N16" s="1070" t="s">
        <v>5363</v>
      </c>
      <c r="O16" s="1070" t="s">
        <v>5572</v>
      </c>
      <c r="P16" s="1070">
        <v>1</v>
      </c>
      <c r="Q16" s="1070">
        <v>0</v>
      </c>
    </row>
    <row r="17" spans="1:158" ht="32.1" customHeight="1">
      <c r="A17" s="1052"/>
      <c r="B17" s="1404" t="s">
        <v>37</v>
      </c>
      <c r="C17" s="1694">
        <v>1</v>
      </c>
      <c r="D17" s="1694">
        <v>1</v>
      </c>
      <c r="E17" s="1694">
        <v>0</v>
      </c>
      <c r="F17" s="1694">
        <v>0.5</v>
      </c>
      <c r="G17" s="1694">
        <v>1</v>
      </c>
      <c r="H17" s="1695">
        <v>0</v>
      </c>
      <c r="I17" s="1752" t="s">
        <v>38</v>
      </c>
      <c r="J17" s="1395" t="s">
        <v>6562</v>
      </c>
      <c r="K17" s="1077" t="s">
        <v>6235</v>
      </c>
      <c r="L17" s="1071" t="s">
        <v>5856</v>
      </c>
      <c r="M17" s="1396" t="s">
        <v>6040</v>
      </c>
      <c r="N17" s="1393" t="s">
        <v>5363</v>
      </c>
      <c r="O17" s="1070" t="s">
        <v>5573</v>
      </c>
      <c r="P17" s="1070">
        <v>1</v>
      </c>
      <c r="Q17" s="1070">
        <v>0</v>
      </c>
    </row>
    <row r="18" spans="1:158" ht="32.1" customHeight="1">
      <c r="A18" s="1052"/>
      <c r="B18" s="1053" t="s">
        <v>39</v>
      </c>
      <c r="C18" s="1694">
        <v>1</v>
      </c>
      <c r="D18" s="1694">
        <v>1</v>
      </c>
      <c r="E18" s="1694">
        <v>0</v>
      </c>
      <c r="F18" s="1694">
        <v>1</v>
      </c>
      <c r="G18" s="1694">
        <v>0.5</v>
      </c>
      <c r="H18" s="1695">
        <v>0</v>
      </c>
      <c r="I18" s="1752" t="s">
        <v>40</v>
      </c>
      <c r="J18" s="1069" t="s">
        <v>6563</v>
      </c>
      <c r="K18" s="1070" t="s">
        <v>6236</v>
      </c>
      <c r="L18" s="1071" t="s">
        <v>5857</v>
      </c>
      <c r="M18" s="1069" t="s">
        <v>6041</v>
      </c>
      <c r="N18" s="1070" t="s">
        <v>5364</v>
      </c>
      <c r="O18" s="1070" t="s">
        <v>5574</v>
      </c>
      <c r="P18" s="1070">
        <v>1</v>
      </c>
      <c r="Q18" s="1070">
        <v>0</v>
      </c>
    </row>
    <row r="19" spans="1:158" ht="32.1" customHeight="1">
      <c r="A19" s="1579" t="s">
        <v>2148</v>
      </c>
      <c r="B19" s="1053" t="s">
        <v>41</v>
      </c>
      <c r="C19" s="1694">
        <v>0</v>
      </c>
      <c r="D19" s="1694">
        <v>1</v>
      </c>
      <c r="E19" s="1694">
        <v>0</v>
      </c>
      <c r="F19" s="1694">
        <v>0.5</v>
      </c>
      <c r="G19" s="1694">
        <v>0</v>
      </c>
      <c r="H19" s="1695">
        <v>0</v>
      </c>
      <c r="I19" s="1752" t="s">
        <v>42</v>
      </c>
      <c r="J19" s="1395" t="s">
        <v>6564</v>
      </c>
      <c r="K19" s="1070" t="s">
        <v>6237</v>
      </c>
      <c r="L19" s="1071" t="s">
        <v>5858</v>
      </c>
      <c r="M19" s="1396" t="s">
        <v>6042</v>
      </c>
      <c r="N19" s="1070" t="s">
        <v>5365</v>
      </c>
      <c r="O19" s="1070" t="s">
        <v>5575</v>
      </c>
      <c r="P19" s="1070">
        <v>1</v>
      </c>
      <c r="Q19" s="1070">
        <v>0</v>
      </c>
    </row>
    <row r="20" spans="1:158" ht="32.1" customHeight="1">
      <c r="A20" s="1052"/>
      <c r="B20" s="1053" t="s">
        <v>43</v>
      </c>
      <c r="C20" s="1694">
        <v>1</v>
      </c>
      <c r="D20" s="1694">
        <v>1</v>
      </c>
      <c r="E20" s="1694">
        <v>1</v>
      </c>
      <c r="F20" s="1694">
        <v>1</v>
      </c>
      <c r="G20" s="1694">
        <v>0.5</v>
      </c>
      <c r="H20" s="1695">
        <v>0.5</v>
      </c>
      <c r="I20" s="1752" t="s">
        <v>42</v>
      </c>
      <c r="J20" s="1069" t="s">
        <v>809</v>
      </c>
      <c r="K20" s="1077" t="s">
        <v>6238</v>
      </c>
      <c r="L20" s="1071" t="s">
        <v>5859</v>
      </c>
      <c r="M20" s="1069" t="s">
        <v>6043</v>
      </c>
      <c r="N20" s="1393" t="s">
        <v>5366</v>
      </c>
      <c r="O20" s="1070" t="s">
        <v>5576</v>
      </c>
      <c r="P20" s="1070">
        <v>1</v>
      </c>
      <c r="Q20" s="1070">
        <v>0</v>
      </c>
    </row>
    <row r="21" spans="1:158" ht="32.1" customHeight="1">
      <c r="A21" s="1052"/>
      <c r="B21" s="1053" t="s">
        <v>44</v>
      </c>
      <c r="C21" s="1694">
        <v>0.7</v>
      </c>
      <c r="D21" s="1694">
        <v>0.7</v>
      </c>
      <c r="E21" s="1694">
        <v>0.3</v>
      </c>
      <c r="F21" s="1694">
        <v>0.7</v>
      </c>
      <c r="G21" s="1694">
        <v>0.5</v>
      </c>
      <c r="H21" s="1695">
        <v>0</v>
      </c>
      <c r="I21" s="1752" t="s">
        <v>45</v>
      </c>
      <c r="J21" s="1395" t="s">
        <v>6565</v>
      </c>
      <c r="K21" s="1398" t="s">
        <v>6239</v>
      </c>
      <c r="L21" s="1399" t="s">
        <v>5860</v>
      </c>
      <c r="M21" s="1393" t="s">
        <v>6044</v>
      </c>
      <c r="N21" s="1393" t="s">
        <v>5367</v>
      </c>
      <c r="O21" s="1070" t="s">
        <v>5577</v>
      </c>
      <c r="P21" s="1070">
        <v>1</v>
      </c>
      <c r="Q21" s="1070">
        <v>0</v>
      </c>
    </row>
    <row r="22" spans="1:158" ht="32.1" customHeight="1">
      <c r="A22" s="1052"/>
      <c r="B22" s="1053" t="s">
        <v>46</v>
      </c>
      <c r="C22" s="1694">
        <v>0.5</v>
      </c>
      <c r="D22" s="1694">
        <v>0.5</v>
      </c>
      <c r="E22" s="1694">
        <v>0</v>
      </c>
      <c r="F22" s="1694">
        <v>0.5</v>
      </c>
      <c r="G22" s="1694">
        <v>0</v>
      </c>
      <c r="H22" s="1695">
        <v>0</v>
      </c>
      <c r="I22" s="1752" t="s">
        <v>47</v>
      </c>
      <c r="J22" s="1395" t="s">
        <v>6566</v>
      </c>
      <c r="K22" s="1580" t="s">
        <v>6240</v>
      </c>
      <c r="L22" s="1071" t="s">
        <v>5861</v>
      </c>
      <c r="M22" s="1396" t="s">
        <v>6045</v>
      </c>
      <c r="N22" s="1393" t="s">
        <v>5368</v>
      </c>
      <c r="O22" s="1070" t="s">
        <v>5578</v>
      </c>
      <c r="P22" s="1070">
        <v>1</v>
      </c>
      <c r="Q22" s="1070">
        <v>0</v>
      </c>
    </row>
    <row r="23" spans="1:158" ht="32.1" customHeight="1">
      <c r="A23" s="1052"/>
      <c r="B23" s="1053" t="s">
        <v>48</v>
      </c>
      <c r="C23" s="1694">
        <v>0.5</v>
      </c>
      <c r="D23" s="1694">
        <v>0.5</v>
      </c>
      <c r="E23" s="1694">
        <v>0.5</v>
      </c>
      <c r="F23" s="1694">
        <v>0.5</v>
      </c>
      <c r="G23" s="1694">
        <v>0</v>
      </c>
      <c r="H23" s="1695">
        <v>0</v>
      </c>
      <c r="I23" s="1752" t="s">
        <v>49</v>
      </c>
      <c r="J23" s="1069" t="s">
        <v>6831</v>
      </c>
      <c r="K23" s="1077" t="s">
        <v>6241</v>
      </c>
      <c r="L23" s="1071" t="s">
        <v>5862</v>
      </c>
      <c r="M23" s="1069" t="s">
        <v>6046</v>
      </c>
      <c r="N23" s="1070" t="s">
        <v>5369</v>
      </c>
      <c r="O23" s="1070" t="s">
        <v>5579</v>
      </c>
      <c r="P23" s="1070">
        <v>1</v>
      </c>
      <c r="Q23" s="1070">
        <v>0</v>
      </c>
    </row>
    <row r="24" spans="1:158" ht="32.1" customHeight="1">
      <c r="A24" s="1052"/>
      <c r="B24" s="1053" t="s">
        <v>50</v>
      </c>
      <c r="C24" s="1694">
        <v>1</v>
      </c>
      <c r="D24" s="1694">
        <v>0.5</v>
      </c>
      <c r="E24" s="1694">
        <v>0.5</v>
      </c>
      <c r="F24" s="1694">
        <v>0.5</v>
      </c>
      <c r="G24" s="1694">
        <v>0.5</v>
      </c>
      <c r="H24" s="1695">
        <v>0</v>
      </c>
      <c r="I24" s="1752" t="s">
        <v>51</v>
      </c>
      <c r="J24" s="1069" t="s">
        <v>6567</v>
      </c>
      <c r="K24" s="1393" t="s">
        <v>6242</v>
      </c>
      <c r="L24" s="1392" t="s">
        <v>5863</v>
      </c>
      <c r="M24" s="1396" t="s">
        <v>6780</v>
      </c>
      <c r="N24" s="1393" t="s">
        <v>5370</v>
      </c>
      <c r="O24" s="1070" t="s">
        <v>5580</v>
      </c>
      <c r="P24" s="1070">
        <v>1</v>
      </c>
      <c r="Q24" s="1070">
        <v>0</v>
      </c>
    </row>
    <row r="25" spans="1:158" ht="32.1" customHeight="1">
      <c r="A25" s="1052"/>
      <c r="B25" s="1053" t="s">
        <v>52</v>
      </c>
      <c r="C25" s="1694">
        <v>1</v>
      </c>
      <c r="D25" s="1694">
        <v>1</v>
      </c>
      <c r="E25" s="1694">
        <v>0.5</v>
      </c>
      <c r="F25" s="1694">
        <v>1</v>
      </c>
      <c r="G25" s="1694">
        <v>0.5</v>
      </c>
      <c r="H25" s="1695">
        <v>0</v>
      </c>
      <c r="I25" s="1752" t="s">
        <v>53</v>
      </c>
      <c r="J25" s="1069" t="s">
        <v>6568</v>
      </c>
      <c r="K25" s="1070" t="s">
        <v>6243</v>
      </c>
      <c r="L25" s="1392" t="s">
        <v>5864</v>
      </c>
      <c r="M25" s="1069" t="s">
        <v>845</v>
      </c>
      <c r="N25" s="1070" t="s">
        <v>5371</v>
      </c>
      <c r="O25" s="1070" t="s">
        <v>5581</v>
      </c>
      <c r="P25" s="1070">
        <v>1</v>
      </c>
      <c r="Q25" s="1070">
        <v>0</v>
      </c>
    </row>
    <row r="26" spans="1:158" ht="32.1" customHeight="1">
      <c r="A26" s="1052"/>
      <c r="B26" s="1053" t="s">
        <v>54</v>
      </c>
      <c r="C26" s="1694">
        <v>1</v>
      </c>
      <c r="D26" s="1694">
        <v>1</v>
      </c>
      <c r="E26" s="1694">
        <v>0</v>
      </c>
      <c r="F26" s="1694">
        <v>0.5</v>
      </c>
      <c r="G26" s="1694">
        <v>0</v>
      </c>
      <c r="H26" s="1695">
        <v>0</v>
      </c>
      <c r="I26" s="1752" t="s">
        <v>55</v>
      </c>
      <c r="J26" s="1395" t="s">
        <v>6569</v>
      </c>
      <c r="K26" s="1070" t="s">
        <v>6803</v>
      </c>
      <c r="L26" s="1071" t="s">
        <v>5865</v>
      </c>
      <c r="M26" s="1396" t="s">
        <v>6781</v>
      </c>
      <c r="N26" s="1070" t="s">
        <v>5372</v>
      </c>
      <c r="O26" s="1070" t="s">
        <v>5582</v>
      </c>
      <c r="P26" s="1070">
        <v>1</v>
      </c>
      <c r="Q26" s="1070">
        <v>0</v>
      </c>
    </row>
    <row r="27" spans="1:158" ht="32.1" customHeight="1">
      <c r="A27" s="1052"/>
      <c r="B27" s="1053" t="s">
        <v>56</v>
      </c>
      <c r="C27" s="1694">
        <v>1</v>
      </c>
      <c r="D27" s="1694">
        <v>1</v>
      </c>
      <c r="E27" s="1694">
        <v>0.5</v>
      </c>
      <c r="F27" s="1694">
        <v>1</v>
      </c>
      <c r="G27" s="1694">
        <v>1</v>
      </c>
      <c r="H27" s="1695">
        <v>0.5</v>
      </c>
      <c r="I27" s="1752" t="s">
        <v>57</v>
      </c>
      <c r="J27" s="1069" t="s">
        <v>6570</v>
      </c>
      <c r="K27" s="1084" t="s">
        <v>6244</v>
      </c>
      <c r="L27" s="1071" t="s">
        <v>5866</v>
      </c>
      <c r="M27" s="1069" t="s">
        <v>859</v>
      </c>
      <c r="N27" s="1393" t="s">
        <v>5373</v>
      </c>
      <c r="O27" s="1790" t="s">
        <v>5583</v>
      </c>
      <c r="P27" s="1070">
        <v>1</v>
      </c>
      <c r="Q27" s="1070">
        <v>0</v>
      </c>
    </row>
    <row r="28" spans="1:158" ht="32.1" customHeight="1">
      <c r="A28" s="1052"/>
      <c r="B28" s="1053" t="s">
        <v>58</v>
      </c>
      <c r="C28" s="1694">
        <v>0.5</v>
      </c>
      <c r="D28" s="1694">
        <v>0.5</v>
      </c>
      <c r="E28" s="1694">
        <v>0</v>
      </c>
      <c r="F28" s="1694">
        <v>0.5</v>
      </c>
      <c r="G28" s="1694">
        <v>0.5</v>
      </c>
      <c r="H28" s="1695">
        <v>0</v>
      </c>
      <c r="I28" s="1752" t="s">
        <v>59</v>
      </c>
      <c r="J28" s="1395" t="s">
        <v>6571</v>
      </c>
      <c r="K28" s="1393" t="s">
        <v>6245</v>
      </c>
      <c r="L28" s="1071" t="s">
        <v>5867</v>
      </c>
      <c r="M28" s="1393" t="s">
        <v>6047</v>
      </c>
      <c r="N28" s="1393" t="s">
        <v>5374</v>
      </c>
      <c r="O28" s="1070" t="s">
        <v>5584</v>
      </c>
      <c r="P28" s="1070">
        <v>1</v>
      </c>
      <c r="Q28" s="1070">
        <v>0</v>
      </c>
    </row>
    <row r="29" spans="1:158" ht="32.1" customHeight="1">
      <c r="A29" s="1052"/>
      <c r="B29" s="1053" t="s">
        <v>60</v>
      </c>
      <c r="C29" s="1694">
        <v>1</v>
      </c>
      <c r="D29" s="1694">
        <v>0.5</v>
      </c>
      <c r="E29" s="1694">
        <v>0</v>
      </c>
      <c r="F29" s="1694">
        <v>1</v>
      </c>
      <c r="G29" s="1694">
        <v>0</v>
      </c>
      <c r="H29" s="1695">
        <v>0</v>
      </c>
      <c r="I29" s="1752" t="s">
        <v>38</v>
      </c>
      <c r="J29" s="1069" t="s">
        <v>6572</v>
      </c>
      <c r="K29" s="1393" t="s">
        <v>6246</v>
      </c>
      <c r="L29" s="1071" t="s">
        <v>5868</v>
      </c>
      <c r="M29" s="1396" t="s">
        <v>6048</v>
      </c>
      <c r="N29" s="1393" t="s">
        <v>5375</v>
      </c>
      <c r="O29" s="1070" t="s">
        <v>5585</v>
      </c>
      <c r="P29" s="1070">
        <v>1</v>
      </c>
      <c r="Q29" s="1070">
        <v>0</v>
      </c>
    </row>
    <row r="30" spans="1:158" ht="32.1" customHeight="1">
      <c r="A30" s="1066" t="s">
        <v>61</v>
      </c>
      <c r="B30" s="1067" t="s">
        <v>62</v>
      </c>
      <c r="C30" s="1478">
        <f t="shared" ref="C30:H30" si="6">AVERAGE(C31,C32)</f>
        <v>0.72699999999999987</v>
      </c>
      <c r="D30" s="1478">
        <f t="shared" si="6"/>
        <v>0.98064999999999991</v>
      </c>
      <c r="E30" s="1478">
        <f t="shared" si="6"/>
        <v>0.19880000000000003</v>
      </c>
      <c r="F30" s="1478">
        <f t="shared" si="6"/>
        <v>0.69015000000000004</v>
      </c>
      <c r="G30" s="1478">
        <f t="shared" si="6"/>
        <v>0.82105000000000006</v>
      </c>
      <c r="H30" s="1478">
        <f t="shared" si="6"/>
        <v>0.16499999999999998</v>
      </c>
      <c r="I30" s="1753"/>
      <c r="J30" s="1076"/>
      <c r="K30" s="1076"/>
      <c r="L30" s="1076"/>
      <c r="M30" s="1068"/>
      <c r="N30" s="1085"/>
      <c r="O30" s="1085"/>
      <c r="P30" s="1076"/>
      <c r="Q30" s="1076"/>
    </row>
    <row r="31" spans="1:158" s="1088" customFormat="1" ht="32.1" customHeight="1">
      <c r="A31" s="1086"/>
      <c r="B31" s="1087" t="s">
        <v>6782</v>
      </c>
      <c r="C31" s="1459">
        <f>(41.89-100)/(0-100)</f>
        <v>0.58109999999999995</v>
      </c>
      <c r="D31" s="1459">
        <f>(4.22-100)/(0-100)</f>
        <v>0.95779999999999998</v>
      </c>
      <c r="E31" s="1459">
        <f>(79.1-100)/(0-100)</f>
        <v>0.20900000000000005</v>
      </c>
      <c r="F31" s="1459">
        <f>(40.4-100)/(0-100)</f>
        <v>0.59599999999999997</v>
      </c>
      <c r="G31" s="1459">
        <f>(21.89-100)/(0-100)</f>
        <v>0.78110000000000002</v>
      </c>
      <c r="H31" s="1459">
        <f>(79.3-100)/(0-100)</f>
        <v>0.20700000000000002</v>
      </c>
      <c r="I31" s="1752" t="s">
        <v>5340</v>
      </c>
      <c r="J31" s="1395" t="s">
        <v>878</v>
      </c>
      <c r="K31" s="1400" t="s">
        <v>6247</v>
      </c>
      <c r="L31" s="1392" t="s">
        <v>5869</v>
      </c>
      <c r="M31" s="1069" t="s">
        <v>6049</v>
      </c>
      <c r="N31" s="1401" t="s">
        <v>5376</v>
      </c>
      <c r="O31" s="1401" t="s">
        <v>5586</v>
      </c>
      <c r="P31" s="1072">
        <v>0</v>
      </c>
      <c r="Q31" s="1072">
        <v>100</v>
      </c>
      <c r="R31" s="1081"/>
      <c r="S31" s="1082"/>
      <c r="T31" s="1082"/>
      <c r="U31" s="1082"/>
      <c r="V31" s="1082"/>
      <c r="W31" s="1082"/>
      <c r="X31" s="1082"/>
      <c r="Y31" s="1082"/>
      <c r="Z31" s="1082"/>
      <c r="AA31" s="1082"/>
      <c r="AB31" s="1082"/>
      <c r="AC31" s="1082"/>
      <c r="AD31" s="1082"/>
      <c r="AE31" s="1082"/>
      <c r="AF31" s="1082"/>
      <c r="AG31" s="1082"/>
      <c r="AH31" s="1082"/>
      <c r="AI31" s="1082"/>
      <c r="AJ31" s="1082"/>
      <c r="AK31" s="1082"/>
      <c r="AL31" s="1082"/>
      <c r="AM31" s="1082"/>
      <c r="AN31" s="1082"/>
      <c r="AO31" s="1082"/>
      <c r="AP31" s="1082"/>
      <c r="AQ31" s="1082"/>
      <c r="AR31" s="1082"/>
      <c r="AS31" s="1082"/>
      <c r="AT31" s="1082"/>
      <c r="AU31" s="1082"/>
      <c r="AV31" s="1082"/>
      <c r="AW31" s="1082"/>
      <c r="AX31" s="1082"/>
      <c r="AY31" s="1082"/>
      <c r="AZ31" s="1082"/>
      <c r="BA31" s="1082"/>
      <c r="BB31" s="1082"/>
      <c r="BC31" s="1082"/>
      <c r="BD31" s="1082"/>
      <c r="BE31" s="1082"/>
      <c r="BF31" s="1082"/>
      <c r="BG31" s="1082"/>
      <c r="BH31" s="1082"/>
      <c r="BI31" s="1082"/>
      <c r="BJ31" s="1082"/>
      <c r="BK31" s="1082"/>
      <c r="BL31" s="1082"/>
      <c r="BM31" s="1082"/>
      <c r="BN31" s="1082"/>
      <c r="BO31" s="1082"/>
      <c r="BP31" s="1082"/>
      <c r="BQ31" s="1082"/>
      <c r="BR31" s="1082"/>
      <c r="BS31" s="1082"/>
      <c r="BT31" s="1082"/>
      <c r="BU31" s="1082"/>
      <c r="BV31" s="1082"/>
      <c r="BW31" s="1082"/>
      <c r="BX31" s="1082"/>
      <c r="BY31" s="1082"/>
      <c r="BZ31" s="1082"/>
      <c r="CA31" s="1082"/>
      <c r="CB31" s="1082"/>
      <c r="CC31" s="1082"/>
      <c r="CD31" s="1082"/>
      <c r="CE31" s="1082"/>
      <c r="CF31" s="1082"/>
      <c r="CG31" s="1082"/>
      <c r="CH31" s="1082"/>
      <c r="CI31" s="1082"/>
      <c r="CJ31" s="1082"/>
      <c r="CK31" s="1082"/>
      <c r="CL31" s="1082"/>
      <c r="CM31" s="1082"/>
      <c r="CN31" s="1082"/>
      <c r="CO31" s="1082"/>
      <c r="CP31" s="1082"/>
      <c r="CQ31" s="1082"/>
      <c r="CR31" s="1082"/>
      <c r="CS31" s="1082"/>
      <c r="CT31" s="1082"/>
      <c r="CU31" s="1082"/>
      <c r="CV31" s="1082"/>
      <c r="CW31" s="1082"/>
      <c r="CX31" s="1082"/>
      <c r="CY31" s="1082"/>
      <c r="CZ31" s="1082"/>
      <c r="DA31" s="1082"/>
      <c r="DB31" s="1082"/>
      <c r="DC31" s="1082"/>
      <c r="DD31" s="1082"/>
      <c r="DE31" s="1082"/>
      <c r="DF31" s="1082"/>
      <c r="DG31" s="1082"/>
      <c r="DH31" s="1082"/>
      <c r="DI31" s="1082"/>
      <c r="DJ31" s="1082"/>
      <c r="DK31" s="1082"/>
      <c r="DL31" s="1082"/>
      <c r="DM31" s="1082"/>
      <c r="DN31" s="1082"/>
      <c r="DO31" s="1082"/>
      <c r="DP31" s="1082"/>
      <c r="DQ31" s="1082"/>
      <c r="DR31" s="1082"/>
      <c r="DS31" s="1082"/>
      <c r="DT31" s="1082"/>
      <c r="DU31" s="1082"/>
      <c r="DV31" s="1082"/>
      <c r="DW31" s="1082"/>
      <c r="DX31" s="1082"/>
      <c r="DY31" s="1082"/>
      <c r="DZ31" s="1082"/>
      <c r="EA31" s="1082"/>
      <c r="EB31" s="1082"/>
      <c r="EC31" s="1082"/>
      <c r="ED31" s="1082"/>
      <c r="EE31" s="1082"/>
      <c r="EF31" s="1082"/>
      <c r="EG31" s="1082"/>
      <c r="EH31" s="1082"/>
      <c r="EI31" s="1082"/>
      <c r="EJ31" s="1082"/>
      <c r="EK31" s="1082"/>
      <c r="EL31" s="1082"/>
      <c r="EM31" s="1082"/>
      <c r="EN31" s="1082"/>
      <c r="EO31" s="1082"/>
      <c r="EP31" s="1082"/>
      <c r="EQ31" s="1082"/>
      <c r="ER31" s="1082"/>
      <c r="ES31" s="1082"/>
      <c r="ET31" s="1082"/>
      <c r="EU31" s="1082"/>
      <c r="EV31" s="1082"/>
      <c r="EW31" s="1082"/>
      <c r="EX31" s="1082"/>
      <c r="EY31" s="1082"/>
      <c r="EZ31" s="1082"/>
      <c r="FA31" s="1082"/>
      <c r="FB31" s="1082"/>
    </row>
    <row r="32" spans="1:158" ht="57.95" customHeight="1">
      <c r="A32" s="1697"/>
      <c r="B32" s="1601" t="s">
        <v>6933</v>
      </c>
      <c r="C32" s="1459">
        <f>(12.71-100)/(0-100)</f>
        <v>0.8728999999999999</v>
      </c>
      <c r="D32" s="1459">
        <f>(-0.35-100)/(0-100)</f>
        <v>1.0034999999999998</v>
      </c>
      <c r="E32" s="1459">
        <f>(81.14-100)/(0-100)</f>
        <v>0.18859999999999999</v>
      </c>
      <c r="F32" s="1459">
        <f>(21.57-100)/(0-100)</f>
        <v>0.78430000000000011</v>
      </c>
      <c r="G32" s="1459">
        <f>(13.9-100)/(0-100)</f>
        <v>0.86099999999999999</v>
      </c>
      <c r="H32" s="1459">
        <f>(87.7-100)/(0-100)</f>
        <v>0.12299999999999997</v>
      </c>
      <c r="I32" s="1754" t="s">
        <v>5341</v>
      </c>
      <c r="J32" s="1393" t="s">
        <v>6813</v>
      </c>
      <c r="K32" s="1398" t="s">
        <v>6248</v>
      </c>
      <c r="L32" s="1401" t="s">
        <v>6814</v>
      </c>
      <c r="M32" s="1070" t="s">
        <v>6050</v>
      </c>
      <c r="N32" s="1393" t="s">
        <v>6815</v>
      </c>
      <c r="O32" s="1393" t="s">
        <v>6816</v>
      </c>
      <c r="P32" s="1070">
        <v>0</v>
      </c>
      <c r="Q32" s="1070">
        <v>100</v>
      </c>
    </row>
    <row r="33" spans="1:158" ht="32.1" customHeight="1">
      <c r="A33" s="1089" t="s">
        <v>5267</v>
      </c>
      <c r="B33" s="1616" t="s">
        <v>6783</v>
      </c>
      <c r="C33" s="1479">
        <f t="shared" ref="C33:H33" si="7">AVERAGE(C34,C46)</f>
        <v>0.76620370370370372</v>
      </c>
      <c r="D33" s="1479">
        <f t="shared" si="7"/>
        <v>0.70370370370370372</v>
      </c>
      <c r="E33" s="1479">
        <f t="shared" si="7"/>
        <v>5.3571428571428568E-2</v>
      </c>
      <c r="F33" s="1479">
        <f t="shared" si="7"/>
        <v>0.71858465608465605</v>
      </c>
      <c r="G33" s="1479">
        <f t="shared" si="7"/>
        <v>0.64153439153439151</v>
      </c>
      <c r="H33" s="1479">
        <f t="shared" si="7"/>
        <v>0.32539682539682541</v>
      </c>
      <c r="I33" s="1755"/>
      <c r="J33" s="1064"/>
      <c r="K33" s="1064"/>
      <c r="L33" s="1061"/>
      <c r="M33" s="1064"/>
      <c r="N33" s="1064"/>
      <c r="O33" s="1064"/>
      <c r="P33" s="1064"/>
      <c r="Q33" s="1064"/>
    </row>
    <row r="34" spans="1:158" s="1095" customFormat="1" ht="32.1" customHeight="1">
      <c r="A34" s="1090" t="s">
        <v>65</v>
      </c>
      <c r="B34" s="1091" t="s">
        <v>66</v>
      </c>
      <c r="C34" s="1458">
        <f t="shared" ref="C34:H34" si="8">AVERAGE(C35,C36,C37,C38,C41:C45)</f>
        <v>0.60383597883597884</v>
      </c>
      <c r="D34" s="1458">
        <f t="shared" si="8"/>
        <v>0.47883597883597884</v>
      </c>
      <c r="E34" s="1458">
        <f t="shared" si="8"/>
        <v>3.5714285714285712E-2</v>
      </c>
      <c r="F34" s="1458">
        <f t="shared" si="8"/>
        <v>0.43716931216931215</v>
      </c>
      <c r="G34" s="1458">
        <f t="shared" si="8"/>
        <v>0.42592592592592587</v>
      </c>
      <c r="H34" s="1458">
        <f t="shared" si="8"/>
        <v>7.9365079365079361E-3</v>
      </c>
      <c r="I34" s="1195"/>
      <c r="J34" s="1093"/>
      <c r="K34" s="1093"/>
      <c r="L34" s="1094"/>
      <c r="M34" s="1093"/>
      <c r="N34" s="1093"/>
      <c r="O34" s="1093"/>
      <c r="P34" s="1093"/>
      <c r="Q34" s="1093"/>
      <c r="R34" s="1081"/>
      <c r="S34" s="1082"/>
      <c r="T34" s="1082"/>
      <c r="U34" s="1082"/>
      <c r="V34" s="1082"/>
      <c r="W34" s="1082"/>
      <c r="X34" s="1082"/>
      <c r="Y34" s="1082"/>
      <c r="Z34" s="1082"/>
      <c r="AA34" s="1082"/>
      <c r="AB34" s="1082"/>
      <c r="AC34" s="1082"/>
      <c r="AD34" s="1082"/>
      <c r="AE34" s="1082"/>
      <c r="AF34" s="1082"/>
      <c r="AG34" s="1082"/>
      <c r="AH34" s="1082"/>
      <c r="AI34" s="1082"/>
      <c r="AJ34" s="1082"/>
      <c r="AK34" s="1082"/>
      <c r="AL34" s="1082"/>
      <c r="AM34" s="1082"/>
      <c r="AN34" s="1082"/>
      <c r="AO34" s="1082"/>
      <c r="AP34" s="1082"/>
      <c r="AQ34" s="1082"/>
      <c r="AR34" s="1082"/>
      <c r="AS34" s="1082"/>
      <c r="AT34" s="1082"/>
      <c r="AU34" s="1082"/>
      <c r="AV34" s="1082"/>
      <c r="AW34" s="1082"/>
      <c r="AX34" s="1082"/>
      <c r="AY34" s="1082"/>
      <c r="AZ34" s="1082"/>
      <c r="BA34" s="1082"/>
      <c r="BB34" s="1082"/>
      <c r="BC34" s="1082"/>
      <c r="BD34" s="1082"/>
      <c r="BE34" s="1082"/>
      <c r="BF34" s="1082"/>
      <c r="BG34" s="1082"/>
      <c r="BH34" s="1082"/>
      <c r="BI34" s="1082"/>
      <c r="BJ34" s="1082"/>
      <c r="BK34" s="1082"/>
      <c r="BL34" s="1082"/>
      <c r="BM34" s="1082"/>
      <c r="BN34" s="1082"/>
      <c r="BO34" s="1082"/>
      <c r="BP34" s="1082"/>
      <c r="BQ34" s="1082"/>
      <c r="BR34" s="1082"/>
      <c r="BS34" s="1082"/>
      <c r="BT34" s="1082"/>
      <c r="BU34" s="1082"/>
      <c r="BV34" s="1082"/>
      <c r="BW34" s="1082"/>
      <c r="BX34" s="1082"/>
      <c r="BY34" s="1082"/>
      <c r="BZ34" s="1082"/>
      <c r="CA34" s="1082"/>
      <c r="CB34" s="1082"/>
      <c r="CC34" s="1082"/>
      <c r="CD34" s="1082"/>
      <c r="CE34" s="1082"/>
      <c r="CF34" s="1082"/>
      <c r="CG34" s="1082"/>
      <c r="CH34" s="1082"/>
      <c r="CI34" s="1082"/>
      <c r="CJ34" s="1082"/>
      <c r="CK34" s="1082"/>
      <c r="CL34" s="1082"/>
      <c r="CM34" s="1082"/>
      <c r="CN34" s="1082"/>
      <c r="CO34" s="1082"/>
      <c r="CP34" s="1082"/>
      <c r="CQ34" s="1082"/>
      <c r="CR34" s="1082"/>
      <c r="CS34" s="1082"/>
      <c r="CT34" s="1082"/>
      <c r="CU34" s="1082"/>
      <c r="CV34" s="1082"/>
      <c r="CW34" s="1082"/>
      <c r="CX34" s="1082"/>
      <c r="CY34" s="1082"/>
      <c r="CZ34" s="1082"/>
      <c r="DA34" s="1082"/>
      <c r="DB34" s="1082"/>
      <c r="DC34" s="1082"/>
      <c r="DD34" s="1082"/>
      <c r="DE34" s="1082"/>
      <c r="DF34" s="1082"/>
      <c r="DG34" s="1082"/>
      <c r="DH34" s="1082"/>
      <c r="DI34" s="1082"/>
      <c r="DJ34" s="1082"/>
      <c r="DK34" s="1082"/>
      <c r="DL34" s="1082"/>
      <c r="DM34" s="1082"/>
      <c r="DN34" s="1082"/>
      <c r="DO34" s="1082"/>
      <c r="DP34" s="1082"/>
      <c r="DQ34" s="1082"/>
      <c r="DR34" s="1082"/>
      <c r="DS34" s="1082"/>
      <c r="DT34" s="1082"/>
      <c r="DU34" s="1082"/>
      <c r="DV34" s="1082"/>
      <c r="DW34" s="1082"/>
      <c r="DX34" s="1082"/>
      <c r="DY34" s="1082"/>
      <c r="DZ34" s="1082"/>
      <c r="EA34" s="1082"/>
      <c r="EB34" s="1082"/>
      <c r="EC34" s="1082"/>
      <c r="ED34" s="1082"/>
      <c r="EE34" s="1082"/>
      <c r="EF34" s="1082"/>
      <c r="EG34" s="1082"/>
      <c r="EH34" s="1082"/>
      <c r="EI34" s="1082"/>
      <c r="EJ34" s="1082"/>
      <c r="EK34" s="1082"/>
      <c r="EL34" s="1082"/>
      <c r="EM34" s="1082"/>
      <c r="EN34" s="1082"/>
      <c r="EO34" s="1082"/>
      <c r="EP34" s="1082"/>
      <c r="EQ34" s="1082"/>
      <c r="ER34" s="1082"/>
      <c r="ES34" s="1082"/>
      <c r="ET34" s="1082"/>
      <c r="EU34" s="1082"/>
      <c r="EV34" s="1082"/>
      <c r="EW34" s="1082"/>
      <c r="EX34" s="1082"/>
      <c r="EY34" s="1082"/>
      <c r="EZ34" s="1082"/>
      <c r="FA34" s="1082"/>
      <c r="FB34" s="1082"/>
    </row>
    <row r="35" spans="1:158" s="1099" customFormat="1" ht="32.1" customHeight="1">
      <c r="A35" s="1096"/>
      <c r="B35" s="1097" t="s">
        <v>67</v>
      </c>
      <c r="C35" s="1457">
        <f t="shared" ref="C35:H37" si="9">IF(J35&gt;$P35,1,IF(J35&lt;$Q35,0,(J35-$Q35)/($P35-$Q35)))</f>
        <v>0.625</v>
      </c>
      <c r="D35" s="1457">
        <f t="shared" si="9"/>
        <v>0.5</v>
      </c>
      <c r="E35" s="1457">
        <f t="shared" si="9"/>
        <v>0.25</v>
      </c>
      <c r="F35" s="1457">
        <f t="shared" si="9"/>
        <v>0.625</v>
      </c>
      <c r="G35" s="1457">
        <f t="shared" si="9"/>
        <v>0.5</v>
      </c>
      <c r="H35" s="1457">
        <f t="shared" si="9"/>
        <v>0</v>
      </c>
      <c r="I35" s="1195" t="s">
        <v>5343</v>
      </c>
      <c r="J35" s="1098">
        <v>10</v>
      </c>
      <c r="K35" s="1098">
        <v>9</v>
      </c>
      <c r="L35" s="1098">
        <v>7</v>
      </c>
      <c r="M35" s="1098">
        <v>10</v>
      </c>
      <c r="N35" s="1098">
        <v>9</v>
      </c>
      <c r="O35" s="1098">
        <v>5</v>
      </c>
      <c r="P35" s="1098">
        <v>13</v>
      </c>
      <c r="Q35" s="1098">
        <v>5</v>
      </c>
      <c r="R35" s="1081"/>
      <c r="S35" s="1082"/>
      <c r="T35" s="1082"/>
      <c r="U35" s="1082"/>
      <c r="V35" s="1082"/>
      <c r="W35" s="1082"/>
      <c r="X35" s="1082"/>
      <c r="Y35" s="1082"/>
      <c r="Z35" s="1082"/>
      <c r="AA35" s="1082"/>
      <c r="AB35" s="1082"/>
      <c r="AC35" s="1082"/>
      <c r="AD35" s="1082"/>
      <c r="AE35" s="1082"/>
      <c r="AF35" s="1082"/>
      <c r="AG35" s="1082"/>
      <c r="AH35" s="1082"/>
      <c r="AI35" s="1082"/>
      <c r="AJ35" s="1082"/>
      <c r="AK35" s="1082"/>
      <c r="AL35" s="1082"/>
      <c r="AM35" s="1082"/>
      <c r="AN35" s="1082"/>
      <c r="AO35" s="1082"/>
      <c r="AP35" s="1082"/>
      <c r="AQ35" s="1082"/>
      <c r="AR35" s="1082"/>
      <c r="AS35" s="1082"/>
      <c r="AT35" s="1082"/>
      <c r="AU35" s="1082"/>
      <c r="AV35" s="1082"/>
      <c r="AW35" s="1082"/>
      <c r="AX35" s="1082"/>
      <c r="AY35" s="1082"/>
      <c r="AZ35" s="1082"/>
      <c r="BA35" s="1082"/>
      <c r="BB35" s="1082"/>
      <c r="BC35" s="1082"/>
      <c r="BD35" s="1082"/>
      <c r="BE35" s="1082"/>
      <c r="BF35" s="1082"/>
      <c r="BG35" s="1082"/>
      <c r="BH35" s="1082"/>
      <c r="BI35" s="1082"/>
      <c r="BJ35" s="1082"/>
      <c r="BK35" s="1082"/>
      <c r="BL35" s="1082"/>
      <c r="BM35" s="1082"/>
      <c r="BN35" s="1082"/>
      <c r="BO35" s="1082"/>
      <c r="BP35" s="1082"/>
      <c r="BQ35" s="1082"/>
      <c r="BR35" s="1082"/>
      <c r="BS35" s="1082"/>
      <c r="BT35" s="1082"/>
      <c r="BU35" s="1082"/>
      <c r="BV35" s="1082"/>
      <c r="BW35" s="1082"/>
      <c r="BX35" s="1082"/>
      <c r="BY35" s="1082"/>
      <c r="BZ35" s="1082"/>
      <c r="CA35" s="1082"/>
      <c r="CB35" s="1082"/>
      <c r="CC35" s="1082"/>
      <c r="CD35" s="1082"/>
      <c r="CE35" s="1082"/>
      <c r="CF35" s="1082"/>
      <c r="CG35" s="1082"/>
      <c r="CH35" s="1082"/>
      <c r="CI35" s="1082"/>
      <c r="CJ35" s="1082"/>
      <c r="CK35" s="1082"/>
      <c r="CL35" s="1082"/>
      <c r="CM35" s="1082"/>
      <c r="CN35" s="1082"/>
      <c r="CO35" s="1082"/>
      <c r="CP35" s="1082"/>
      <c r="CQ35" s="1082"/>
      <c r="CR35" s="1082"/>
      <c r="CS35" s="1082"/>
      <c r="CT35" s="1082"/>
      <c r="CU35" s="1082"/>
      <c r="CV35" s="1082"/>
      <c r="CW35" s="1082"/>
      <c r="CX35" s="1082"/>
      <c r="CY35" s="1082"/>
      <c r="CZ35" s="1082"/>
      <c r="DA35" s="1082"/>
      <c r="DB35" s="1082"/>
      <c r="DC35" s="1082"/>
      <c r="DD35" s="1082"/>
      <c r="DE35" s="1082"/>
      <c r="DF35" s="1082"/>
      <c r="DG35" s="1082"/>
      <c r="DH35" s="1082"/>
      <c r="DI35" s="1082"/>
      <c r="DJ35" s="1082"/>
      <c r="DK35" s="1082"/>
      <c r="DL35" s="1082"/>
      <c r="DM35" s="1082"/>
      <c r="DN35" s="1082"/>
      <c r="DO35" s="1082"/>
      <c r="DP35" s="1082"/>
      <c r="DQ35" s="1082"/>
      <c r="DR35" s="1082"/>
      <c r="DS35" s="1082"/>
      <c r="DT35" s="1082"/>
      <c r="DU35" s="1082"/>
      <c r="DV35" s="1082"/>
      <c r="DW35" s="1082"/>
      <c r="DX35" s="1082"/>
      <c r="DY35" s="1082"/>
      <c r="DZ35" s="1082"/>
      <c r="EA35" s="1082"/>
      <c r="EB35" s="1082"/>
      <c r="EC35" s="1082"/>
      <c r="ED35" s="1082"/>
      <c r="EE35" s="1082"/>
      <c r="EF35" s="1082"/>
      <c r="EG35" s="1082"/>
      <c r="EH35" s="1082"/>
      <c r="EI35" s="1082"/>
      <c r="EJ35" s="1082"/>
      <c r="EK35" s="1082"/>
      <c r="EL35" s="1082"/>
      <c r="EM35" s="1082"/>
      <c r="EN35" s="1082"/>
      <c r="EO35" s="1082"/>
      <c r="EP35" s="1082"/>
      <c r="EQ35" s="1082"/>
      <c r="ER35" s="1082"/>
      <c r="ES35" s="1082"/>
      <c r="ET35" s="1082"/>
      <c r="EU35" s="1082"/>
      <c r="EV35" s="1082"/>
      <c r="EW35" s="1082"/>
      <c r="EX35" s="1082"/>
      <c r="EY35" s="1082"/>
      <c r="EZ35" s="1082"/>
      <c r="FA35" s="1082"/>
      <c r="FB35" s="1082"/>
    </row>
    <row r="36" spans="1:158" s="1099" customFormat="1" ht="32.1" customHeight="1">
      <c r="A36" s="1096"/>
      <c r="B36" s="1597" t="s">
        <v>68</v>
      </c>
      <c r="C36" s="1457">
        <f t="shared" si="9"/>
        <v>0.6428571428571429</v>
      </c>
      <c r="D36" s="1457">
        <f t="shared" si="9"/>
        <v>0.6428571428571429</v>
      </c>
      <c r="E36" s="1457">
        <f t="shared" si="9"/>
        <v>7.1428571428571425E-2</v>
      </c>
      <c r="F36" s="1457">
        <f t="shared" si="9"/>
        <v>0.6428571428571429</v>
      </c>
      <c r="G36" s="1457">
        <f t="shared" si="9"/>
        <v>0.5</v>
      </c>
      <c r="H36" s="1457">
        <f t="shared" si="9"/>
        <v>7.1428571428571425E-2</v>
      </c>
      <c r="I36" s="1195" t="s">
        <v>5344</v>
      </c>
      <c r="J36" s="1098">
        <v>11</v>
      </c>
      <c r="K36" s="1098">
        <v>11</v>
      </c>
      <c r="L36" s="1098">
        <v>3</v>
      </c>
      <c r="M36" s="1098">
        <v>11</v>
      </c>
      <c r="N36" s="1098">
        <v>9</v>
      </c>
      <c r="O36" s="1098">
        <v>3</v>
      </c>
      <c r="P36" s="1098">
        <v>16</v>
      </c>
      <c r="Q36" s="1098">
        <v>2</v>
      </c>
      <c r="R36" s="1081"/>
      <c r="S36" s="1082"/>
      <c r="T36" s="1082"/>
      <c r="U36" s="1082"/>
      <c r="V36" s="1082"/>
      <c r="W36" s="1082"/>
      <c r="X36" s="1082"/>
      <c r="Y36" s="1082"/>
      <c r="Z36" s="1082"/>
      <c r="AA36" s="1082"/>
      <c r="AB36" s="1082"/>
      <c r="AC36" s="1082"/>
      <c r="AD36" s="1082"/>
      <c r="AE36" s="1082"/>
      <c r="AF36" s="1082"/>
      <c r="AG36" s="1082"/>
      <c r="AH36" s="1082"/>
      <c r="AI36" s="1082"/>
      <c r="AJ36" s="1082"/>
      <c r="AK36" s="1082"/>
      <c r="AL36" s="1082"/>
      <c r="AM36" s="1082"/>
      <c r="AN36" s="1082"/>
      <c r="AO36" s="1082"/>
      <c r="AP36" s="1082"/>
      <c r="AQ36" s="1082"/>
      <c r="AR36" s="1082"/>
      <c r="AS36" s="1082"/>
      <c r="AT36" s="1082"/>
      <c r="AU36" s="1082"/>
      <c r="AV36" s="1082"/>
      <c r="AW36" s="1082"/>
      <c r="AX36" s="1082"/>
      <c r="AY36" s="1082"/>
      <c r="AZ36" s="1082"/>
      <c r="BA36" s="1082"/>
      <c r="BB36" s="1082"/>
      <c r="BC36" s="1082"/>
      <c r="BD36" s="1082"/>
      <c r="BE36" s="1082"/>
      <c r="BF36" s="1082"/>
      <c r="BG36" s="1082"/>
      <c r="BH36" s="1082"/>
      <c r="BI36" s="1082"/>
      <c r="BJ36" s="1082"/>
      <c r="BK36" s="1082"/>
      <c r="BL36" s="1082"/>
      <c r="BM36" s="1082"/>
      <c r="BN36" s="1082"/>
      <c r="BO36" s="1082"/>
      <c r="BP36" s="1082"/>
      <c r="BQ36" s="1082"/>
      <c r="BR36" s="1082"/>
      <c r="BS36" s="1082"/>
      <c r="BT36" s="1082"/>
      <c r="BU36" s="1082"/>
      <c r="BV36" s="1082"/>
      <c r="BW36" s="1082"/>
      <c r="BX36" s="1082"/>
      <c r="BY36" s="1082"/>
      <c r="BZ36" s="1082"/>
      <c r="CA36" s="1082"/>
      <c r="CB36" s="1082"/>
      <c r="CC36" s="1082"/>
      <c r="CD36" s="1082"/>
      <c r="CE36" s="1082"/>
      <c r="CF36" s="1082"/>
      <c r="CG36" s="1082"/>
      <c r="CH36" s="1082"/>
      <c r="CI36" s="1082"/>
      <c r="CJ36" s="1082"/>
      <c r="CK36" s="1082"/>
      <c r="CL36" s="1082"/>
      <c r="CM36" s="1082"/>
      <c r="CN36" s="1082"/>
      <c r="CO36" s="1082"/>
      <c r="CP36" s="1082"/>
      <c r="CQ36" s="1082"/>
      <c r="CR36" s="1082"/>
      <c r="CS36" s="1082"/>
      <c r="CT36" s="1082"/>
      <c r="CU36" s="1082"/>
      <c r="CV36" s="1082"/>
      <c r="CW36" s="1082"/>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2"/>
      <c r="DS36" s="1082"/>
      <c r="DT36" s="1082"/>
      <c r="DU36" s="1082"/>
      <c r="DV36" s="1082"/>
      <c r="DW36" s="1082"/>
      <c r="DX36" s="1082"/>
      <c r="DY36" s="1082"/>
      <c r="DZ36" s="1082"/>
      <c r="EA36" s="1082"/>
      <c r="EB36" s="1082"/>
      <c r="EC36" s="1082"/>
      <c r="ED36" s="1082"/>
      <c r="EE36" s="1082"/>
      <c r="EF36" s="1082"/>
      <c r="EG36" s="1082"/>
      <c r="EH36" s="1082"/>
      <c r="EI36" s="1082"/>
      <c r="EJ36" s="1082"/>
      <c r="EK36" s="1082"/>
      <c r="EL36" s="1082"/>
      <c r="EM36" s="1082"/>
      <c r="EN36" s="1082"/>
      <c r="EO36" s="1082"/>
      <c r="EP36" s="1082"/>
      <c r="EQ36" s="1082"/>
      <c r="ER36" s="1082"/>
      <c r="ES36" s="1082"/>
      <c r="ET36" s="1082"/>
      <c r="EU36" s="1082"/>
      <c r="EV36" s="1082"/>
      <c r="EW36" s="1082"/>
      <c r="EX36" s="1082"/>
      <c r="EY36" s="1082"/>
      <c r="EZ36" s="1082"/>
      <c r="FA36" s="1082"/>
      <c r="FB36" s="1082"/>
    </row>
    <row r="37" spans="1:158" s="1099" customFormat="1" ht="32.1" customHeight="1">
      <c r="A37" s="1096"/>
      <c r="B37" s="1097" t="s">
        <v>69</v>
      </c>
      <c r="C37" s="1457">
        <f t="shared" si="9"/>
        <v>0.66666666666666663</v>
      </c>
      <c r="D37" s="1457">
        <f t="shared" si="9"/>
        <v>0.66666666666666663</v>
      </c>
      <c r="E37" s="1457">
        <f t="shared" si="9"/>
        <v>0</v>
      </c>
      <c r="F37" s="1457">
        <f t="shared" si="9"/>
        <v>0.66666666666666663</v>
      </c>
      <c r="G37" s="1457">
        <f t="shared" si="9"/>
        <v>0.33333333333333331</v>
      </c>
      <c r="H37" s="1457">
        <f t="shared" si="9"/>
        <v>0</v>
      </c>
      <c r="I37" s="1195" t="s">
        <v>5345</v>
      </c>
      <c r="J37" s="1098">
        <v>7</v>
      </c>
      <c r="K37" s="1098">
        <v>7</v>
      </c>
      <c r="L37" s="1098">
        <v>3</v>
      </c>
      <c r="M37" s="1098">
        <v>7</v>
      </c>
      <c r="N37" s="1098">
        <v>5</v>
      </c>
      <c r="O37" s="1098">
        <v>3</v>
      </c>
      <c r="P37" s="1098">
        <v>9</v>
      </c>
      <c r="Q37" s="1098">
        <v>3</v>
      </c>
      <c r="R37" s="1081"/>
      <c r="S37" s="1082"/>
      <c r="T37" s="1082"/>
      <c r="U37" s="1082"/>
      <c r="V37" s="1082"/>
      <c r="W37" s="1082"/>
      <c r="X37" s="1082"/>
      <c r="Y37" s="1082"/>
      <c r="Z37" s="1082"/>
      <c r="AA37" s="1082"/>
      <c r="AB37" s="1082"/>
      <c r="AC37" s="1082"/>
      <c r="AD37" s="1082"/>
      <c r="AE37" s="1082"/>
      <c r="AF37" s="1082"/>
      <c r="AG37" s="1082"/>
      <c r="AH37" s="1082"/>
      <c r="AI37" s="1082"/>
      <c r="AJ37" s="1082"/>
      <c r="AK37" s="1082"/>
      <c r="AL37" s="1082"/>
      <c r="AM37" s="1082"/>
      <c r="AN37" s="1082"/>
      <c r="AO37" s="1082"/>
      <c r="AP37" s="1082"/>
      <c r="AQ37" s="1082"/>
      <c r="AR37" s="1082"/>
      <c r="AS37" s="1082"/>
      <c r="AT37" s="1082"/>
      <c r="AU37" s="1082"/>
      <c r="AV37" s="1082"/>
      <c r="AW37" s="1082"/>
      <c r="AX37" s="1082"/>
      <c r="AY37" s="1082"/>
      <c r="AZ37" s="1082"/>
      <c r="BA37" s="1082"/>
      <c r="BB37" s="1082"/>
      <c r="BC37" s="1082"/>
      <c r="BD37" s="1082"/>
      <c r="BE37" s="1082"/>
      <c r="BF37" s="1082"/>
      <c r="BG37" s="1082"/>
      <c r="BH37" s="1082"/>
      <c r="BI37" s="1082"/>
      <c r="BJ37" s="1082"/>
      <c r="BK37" s="1082"/>
      <c r="BL37" s="1082"/>
      <c r="BM37" s="1082"/>
      <c r="BN37" s="1082"/>
      <c r="BO37" s="1082"/>
      <c r="BP37" s="1082"/>
      <c r="BQ37" s="1082"/>
      <c r="BR37" s="1082"/>
      <c r="BS37" s="1082"/>
      <c r="BT37" s="1082"/>
      <c r="BU37" s="1082"/>
      <c r="BV37" s="1082"/>
      <c r="BW37" s="1082"/>
      <c r="BX37" s="1082"/>
      <c r="BY37" s="1082"/>
      <c r="BZ37" s="1082"/>
      <c r="CA37" s="1082"/>
      <c r="CB37" s="1082"/>
      <c r="CC37" s="1082"/>
      <c r="CD37" s="1082"/>
      <c r="CE37" s="1082"/>
      <c r="CF37" s="1082"/>
      <c r="CG37" s="1082"/>
      <c r="CH37" s="1082"/>
      <c r="CI37" s="1082"/>
      <c r="CJ37" s="1082"/>
      <c r="CK37" s="1082"/>
      <c r="CL37" s="1082"/>
      <c r="CM37" s="1082"/>
      <c r="CN37" s="1082"/>
      <c r="CO37" s="1082"/>
      <c r="CP37" s="1082"/>
      <c r="CQ37" s="1082"/>
      <c r="CR37" s="1082"/>
      <c r="CS37" s="1082"/>
      <c r="CT37" s="1082"/>
      <c r="CU37" s="1082"/>
      <c r="CV37" s="1082"/>
      <c r="CW37" s="1082"/>
      <c r="CX37" s="1082"/>
      <c r="CY37" s="1082"/>
      <c r="CZ37" s="1082"/>
      <c r="DA37" s="1082"/>
      <c r="DB37" s="1082"/>
      <c r="DC37" s="1082"/>
      <c r="DD37" s="1082"/>
      <c r="DE37" s="1082"/>
      <c r="DF37" s="1082"/>
      <c r="DG37" s="1082"/>
      <c r="DH37" s="1082"/>
      <c r="DI37" s="1082"/>
      <c r="DJ37" s="1082"/>
      <c r="DK37" s="1082"/>
      <c r="DL37" s="1082"/>
      <c r="DM37" s="1082"/>
      <c r="DN37" s="1082"/>
      <c r="DO37" s="1082"/>
      <c r="DP37" s="1082"/>
      <c r="DQ37" s="1082"/>
      <c r="DR37" s="1082"/>
      <c r="DS37" s="1082"/>
      <c r="DT37" s="1082"/>
      <c r="DU37" s="1082"/>
      <c r="DV37" s="1082"/>
      <c r="DW37" s="1082"/>
      <c r="DX37" s="1082"/>
      <c r="DY37" s="1082"/>
      <c r="DZ37" s="1082"/>
      <c r="EA37" s="1082"/>
      <c r="EB37" s="1082"/>
      <c r="EC37" s="1082"/>
      <c r="ED37" s="1082"/>
      <c r="EE37" s="1082"/>
      <c r="EF37" s="1082"/>
      <c r="EG37" s="1082"/>
      <c r="EH37" s="1082"/>
      <c r="EI37" s="1082"/>
      <c r="EJ37" s="1082"/>
      <c r="EK37" s="1082"/>
      <c r="EL37" s="1082"/>
      <c r="EM37" s="1082"/>
      <c r="EN37" s="1082"/>
      <c r="EO37" s="1082"/>
      <c r="EP37" s="1082"/>
      <c r="EQ37" s="1082"/>
      <c r="ER37" s="1082"/>
      <c r="ES37" s="1082"/>
      <c r="ET37" s="1082"/>
      <c r="EU37" s="1082"/>
      <c r="EV37" s="1082"/>
      <c r="EW37" s="1082"/>
      <c r="EX37" s="1082"/>
      <c r="EY37" s="1082"/>
      <c r="EZ37" s="1082"/>
      <c r="FA37" s="1082"/>
      <c r="FB37" s="1082"/>
    </row>
    <row r="38" spans="1:158" s="1109" customFormat="1" ht="32.1" customHeight="1">
      <c r="A38" s="1100"/>
      <c r="B38" s="1101" t="s">
        <v>70</v>
      </c>
      <c r="C38" s="1480">
        <v>1</v>
      </c>
      <c r="D38" s="1480">
        <v>1</v>
      </c>
      <c r="E38" s="1480">
        <v>0</v>
      </c>
      <c r="F38" s="1480">
        <v>0.5</v>
      </c>
      <c r="G38" s="1480">
        <v>0.5</v>
      </c>
      <c r="H38" s="1480">
        <v>0</v>
      </c>
      <c r="I38" s="1756" t="s">
        <v>6833</v>
      </c>
      <c r="J38" s="1200" t="s">
        <v>960</v>
      </c>
      <c r="K38" s="1410" t="s">
        <v>6249</v>
      </c>
      <c r="L38" s="1412" t="s">
        <v>5870</v>
      </c>
      <c r="M38" s="1102" t="s">
        <v>6051</v>
      </c>
      <c r="N38" s="1102" t="s">
        <v>5377</v>
      </c>
      <c r="O38" s="1105" t="s">
        <v>5587</v>
      </c>
      <c r="P38" s="1106">
        <v>1</v>
      </c>
      <c r="Q38" s="1106">
        <v>0</v>
      </c>
      <c r="R38" s="1107"/>
      <c r="S38" s="1108"/>
      <c r="T38" s="1108"/>
      <c r="U38" s="1108"/>
      <c r="V38" s="1108"/>
      <c r="W38" s="1108"/>
      <c r="X38" s="1108"/>
      <c r="Y38" s="1108"/>
      <c r="Z38" s="1108"/>
      <c r="AA38" s="1108"/>
      <c r="AB38" s="1108"/>
      <c r="AC38" s="1108"/>
      <c r="AD38" s="1108"/>
      <c r="AE38" s="1108"/>
      <c r="AF38" s="1108"/>
      <c r="AG38" s="1108"/>
      <c r="AH38" s="1108"/>
      <c r="AI38" s="1108"/>
      <c r="AJ38" s="1108"/>
      <c r="AK38" s="1108"/>
      <c r="AL38" s="1108"/>
      <c r="AM38" s="1108"/>
      <c r="AN38" s="1108"/>
      <c r="AO38" s="1108"/>
      <c r="AP38" s="1108"/>
      <c r="AQ38" s="1108"/>
      <c r="AR38" s="1108"/>
      <c r="AS38" s="1108"/>
      <c r="AT38" s="1108"/>
      <c r="AU38" s="1108"/>
      <c r="AV38" s="1108"/>
      <c r="AW38" s="1108"/>
      <c r="AX38" s="1108"/>
      <c r="AY38" s="1108"/>
      <c r="AZ38" s="1108"/>
      <c r="BA38" s="1108"/>
      <c r="BB38" s="1108"/>
      <c r="BC38" s="1108"/>
      <c r="BD38" s="1108"/>
      <c r="BE38" s="1108"/>
      <c r="BF38" s="1108"/>
      <c r="BG38" s="1108"/>
      <c r="BH38" s="1108"/>
      <c r="BI38" s="1108"/>
      <c r="BJ38" s="1108"/>
      <c r="BK38" s="1108"/>
      <c r="BL38" s="1108"/>
      <c r="BM38" s="1108"/>
      <c r="BN38" s="1108"/>
      <c r="BO38" s="1108"/>
      <c r="BP38" s="1108"/>
      <c r="BQ38" s="1108"/>
      <c r="BR38" s="1108"/>
      <c r="BS38" s="1108"/>
      <c r="BT38" s="1108"/>
      <c r="BU38" s="1108"/>
      <c r="BV38" s="1108"/>
      <c r="BW38" s="1108"/>
      <c r="BX38" s="1108"/>
      <c r="BY38" s="1108"/>
      <c r="BZ38" s="1108"/>
      <c r="CA38" s="1108"/>
      <c r="CB38" s="1108"/>
      <c r="CC38" s="1108"/>
      <c r="CD38" s="1108"/>
      <c r="CE38" s="1108"/>
      <c r="CF38" s="1108"/>
      <c r="CG38" s="1108"/>
      <c r="CH38" s="1108"/>
      <c r="CI38" s="1108"/>
      <c r="CJ38" s="1108"/>
      <c r="CK38" s="1108"/>
      <c r="CL38" s="1108"/>
      <c r="CM38" s="1108"/>
      <c r="CN38" s="1108"/>
      <c r="CO38" s="1108"/>
      <c r="CP38" s="1108"/>
      <c r="CQ38" s="1108"/>
      <c r="CR38" s="1108"/>
      <c r="CS38" s="1108"/>
      <c r="CT38" s="1108"/>
      <c r="CU38" s="1108"/>
      <c r="CV38" s="1108"/>
      <c r="CW38" s="1108"/>
      <c r="CX38" s="1108"/>
      <c r="CY38" s="1108"/>
      <c r="CZ38" s="1108"/>
      <c r="DA38" s="1108"/>
      <c r="DB38" s="1108"/>
      <c r="DC38" s="1108"/>
      <c r="DD38" s="1108"/>
      <c r="DE38" s="1108"/>
      <c r="DF38" s="1108"/>
      <c r="DG38" s="1108"/>
      <c r="DH38" s="1108"/>
      <c r="DI38" s="1108"/>
      <c r="DJ38" s="1108"/>
      <c r="DK38" s="1108"/>
      <c r="DL38" s="1108"/>
      <c r="DM38" s="1108"/>
      <c r="DN38" s="1108"/>
      <c r="DO38" s="1108"/>
      <c r="DP38" s="1108"/>
      <c r="DQ38" s="1108"/>
      <c r="DR38" s="1108"/>
      <c r="DS38" s="1108"/>
      <c r="DT38" s="1108"/>
      <c r="DU38" s="1108"/>
      <c r="DV38" s="1108"/>
      <c r="DW38" s="1108"/>
      <c r="DX38" s="1108"/>
      <c r="DY38" s="1108"/>
      <c r="DZ38" s="1108"/>
      <c r="EA38" s="1108"/>
      <c r="EB38" s="1108"/>
      <c r="EC38" s="1108"/>
      <c r="ED38" s="1108"/>
      <c r="EE38" s="1108"/>
      <c r="EF38" s="1108"/>
      <c r="EG38" s="1108"/>
      <c r="EH38" s="1108"/>
      <c r="EI38" s="1108"/>
      <c r="EJ38" s="1108"/>
      <c r="EK38" s="1108"/>
      <c r="EL38" s="1108"/>
      <c r="EM38" s="1108"/>
      <c r="EN38" s="1108"/>
      <c r="EO38" s="1108"/>
      <c r="EP38" s="1108"/>
      <c r="EQ38" s="1108"/>
      <c r="ER38" s="1108"/>
      <c r="ES38" s="1108"/>
      <c r="ET38" s="1108"/>
      <c r="EU38" s="1108"/>
      <c r="EV38" s="1108"/>
      <c r="EW38" s="1108"/>
      <c r="EX38" s="1108"/>
      <c r="EY38" s="1108"/>
      <c r="EZ38" s="1108"/>
      <c r="FA38" s="1108"/>
      <c r="FB38" s="1108"/>
    </row>
    <row r="39" spans="1:158" s="1109" customFormat="1" ht="32.1" customHeight="1">
      <c r="A39" s="1100"/>
      <c r="B39" s="1599"/>
      <c r="C39" s="1480"/>
      <c r="D39" s="1480"/>
      <c r="E39" s="1480"/>
      <c r="F39" s="1480"/>
      <c r="G39" s="1480"/>
      <c r="H39" s="1480"/>
      <c r="I39" s="1756"/>
      <c r="J39" s="1102"/>
      <c r="K39" s="1103"/>
      <c r="L39" s="1392"/>
      <c r="M39" s="1411"/>
      <c r="N39" s="1411"/>
      <c r="O39" s="1413"/>
      <c r="P39" s="1106"/>
      <c r="Q39" s="1106"/>
      <c r="R39" s="1107"/>
      <c r="S39" s="1108"/>
      <c r="T39" s="1108"/>
      <c r="U39" s="1108"/>
      <c r="V39" s="1108"/>
      <c r="W39" s="1108"/>
      <c r="X39" s="1108"/>
      <c r="Y39" s="1108"/>
      <c r="Z39" s="1108"/>
      <c r="AA39" s="1108"/>
      <c r="AB39" s="1108"/>
      <c r="AC39" s="1108"/>
      <c r="AD39" s="1108"/>
      <c r="AE39" s="1108"/>
      <c r="AF39" s="1108"/>
      <c r="AG39" s="1108"/>
      <c r="AH39" s="1108"/>
      <c r="AI39" s="1108"/>
      <c r="AJ39" s="1108"/>
      <c r="AK39" s="1108"/>
      <c r="AL39" s="1108"/>
      <c r="AM39" s="1108"/>
      <c r="AN39" s="1108"/>
      <c r="AO39" s="1108"/>
      <c r="AP39" s="1108"/>
      <c r="AQ39" s="1108"/>
      <c r="AR39" s="1108"/>
      <c r="AS39" s="1108"/>
      <c r="AT39" s="1108"/>
      <c r="AU39" s="1108"/>
      <c r="AV39" s="1108"/>
      <c r="AW39" s="1108"/>
      <c r="AX39" s="1108"/>
      <c r="AY39" s="1108"/>
      <c r="AZ39" s="1108"/>
      <c r="BA39" s="1108"/>
      <c r="BB39" s="1108"/>
      <c r="BC39" s="1108"/>
      <c r="BD39" s="1108"/>
      <c r="BE39" s="1108"/>
      <c r="BF39" s="1108"/>
      <c r="BG39" s="1108"/>
      <c r="BH39" s="1108"/>
      <c r="BI39" s="1108"/>
      <c r="BJ39" s="1108"/>
      <c r="BK39" s="1108"/>
      <c r="BL39" s="1108"/>
      <c r="BM39" s="1108"/>
      <c r="BN39" s="1108"/>
      <c r="BO39" s="1108"/>
      <c r="BP39" s="1108"/>
      <c r="BQ39" s="1108"/>
      <c r="BR39" s="1108"/>
      <c r="BS39" s="1108"/>
      <c r="BT39" s="1108"/>
      <c r="BU39" s="1108"/>
      <c r="BV39" s="1108"/>
      <c r="BW39" s="1108"/>
      <c r="BX39" s="1108"/>
      <c r="BY39" s="1108"/>
      <c r="BZ39" s="1108"/>
      <c r="CA39" s="1108"/>
      <c r="CB39" s="1108"/>
      <c r="CC39" s="1108"/>
      <c r="CD39" s="1108"/>
      <c r="CE39" s="1108"/>
      <c r="CF39" s="1108"/>
      <c r="CG39" s="1108"/>
      <c r="CH39" s="1108"/>
      <c r="CI39" s="1108"/>
      <c r="CJ39" s="1108"/>
      <c r="CK39" s="1108"/>
      <c r="CL39" s="1108"/>
      <c r="CM39" s="1108"/>
      <c r="CN39" s="1108"/>
      <c r="CO39" s="1108"/>
      <c r="CP39" s="1108"/>
      <c r="CQ39" s="1108"/>
      <c r="CR39" s="1108"/>
      <c r="CS39" s="1108"/>
      <c r="CT39" s="1108"/>
      <c r="CU39" s="1108"/>
      <c r="CV39" s="1108"/>
      <c r="CW39" s="1108"/>
      <c r="CX39" s="1108"/>
      <c r="CY39" s="1108"/>
      <c r="CZ39" s="1108"/>
      <c r="DA39" s="1108"/>
      <c r="DB39" s="1108"/>
      <c r="DC39" s="1108"/>
      <c r="DD39" s="1108"/>
      <c r="DE39" s="1108"/>
      <c r="DF39" s="1108"/>
      <c r="DG39" s="1108"/>
      <c r="DH39" s="1108"/>
      <c r="DI39" s="1108"/>
      <c r="DJ39" s="1108"/>
      <c r="DK39" s="1108"/>
      <c r="DL39" s="1108"/>
      <c r="DM39" s="1108"/>
      <c r="DN39" s="1108"/>
      <c r="DO39" s="1108"/>
      <c r="DP39" s="1108"/>
      <c r="DQ39" s="1108"/>
      <c r="DR39" s="1108"/>
      <c r="DS39" s="1108"/>
      <c r="DT39" s="1108"/>
      <c r="DU39" s="1108"/>
      <c r="DV39" s="1108"/>
      <c r="DW39" s="1108"/>
      <c r="DX39" s="1108"/>
      <c r="DY39" s="1108"/>
      <c r="DZ39" s="1108"/>
      <c r="EA39" s="1108"/>
      <c r="EB39" s="1108"/>
      <c r="EC39" s="1108"/>
      <c r="ED39" s="1108"/>
      <c r="EE39" s="1108"/>
      <c r="EF39" s="1108"/>
      <c r="EG39" s="1108"/>
      <c r="EH39" s="1108"/>
      <c r="EI39" s="1108"/>
      <c r="EJ39" s="1108"/>
      <c r="EK39" s="1108"/>
      <c r="EL39" s="1108"/>
      <c r="EM39" s="1108"/>
      <c r="EN39" s="1108"/>
      <c r="EO39" s="1108"/>
      <c r="EP39" s="1108"/>
      <c r="EQ39" s="1108"/>
      <c r="ER39" s="1108"/>
      <c r="ES39" s="1108"/>
      <c r="ET39" s="1108"/>
      <c r="EU39" s="1108"/>
      <c r="EV39" s="1108"/>
      <c r="EW39" s="1108"/>
      <c r="EX39" s="1108"/>
      <c r="EY39" s="1108"/>
      <c r="EZ39" s="1108"/>
      <c r="FA39" s="1108"/>
      <c r="FB39" s="1108"/>
    </row>
    <row r="40" spans="1:158" s="1112" customFormat="1" ht="32.1" customHeight="1">
      <c r="A40" s="1111"/>
      <c r="B40" s="1110"/>
      <c r="C40" s="1480"/>
      <c r="D40" s="1480"/>
      <c r="E40" s="1480"/>
      <c r="F40" s="1480"/>
      <c r="G40" s="1480"/>
      <c r="H40" s="1480"/>
      <c r="I40" s="1756"/>
      <c r="J40" s="1102"/>
      <c r="K40" s="1410"/>
      <c r="L40" s="1412"/>
      <c r="M40" s="1411"/>
      <c r="N40" s="1411"/>
      <c r="O40" s="1413"/>
      <c r="P40" s="1106"/>
      <c r="Q40" s="1106"/>
      <c r="R40" s="1107"/>
      <c r="S40" s="1108"/>
      <c r="T40" s="1108"/>
      <c r="U40" s="1108"/>
      <c r="V40" s="1108"/>
      <c r="W40" s="1108"/>
      <c r="X40" s="1108"/>
      <c r="Y40" s="1108"/>
      <c r="Z40" s="1108"/>
      <c r="AA40" s="1108"/>
      <c r="AB40" s="1108"/>
      <c r="AC40" s="1108"/>
      <c r="AD40" s="1108"/>
      <c r="AE40" s="1108"/>
      <c r="AF40" s="1108"/>
      <c r="AG40" s="1108"/>
      <c r="AH40" s="1108"/>
      <c r="AI40" s="1108"/>
      <c r="AJ40" s="1108"/>
      <c r="AK40" s="1108"/>
      <c r="AL40" s="1108"/>
      <c r="AM40" s="1108"/>
      <c r="AN40" s="1108"/>
      <c r="AO40" s="1108"/>
      <c r="AP40" s="1108"/>
      <c r="AQ40" s="1108"/>
      <c r="AR40" s="1108"/>
      <c r="AS40" s="1108"/>
      <c r="AT40" s="1108"/>
      <c r="AU40" s="1108"/>
      <c r="AV40" s="1108"/>
      <c r="AW40" s="1108"/>
      <c r="AX40" s="1108"/>
      <c r="AY40" s="1108"/>
      <c r="AZ40" s="1108"/>
      <c r="BA40" s="1108"/>
      <c r="BB40" s="1108"/>
      <c r="BC40" s="1108"/>
      <c r="BD40" s="1108"/>
      <c r="BE40" s="1108"/>
      <c r="BF40" s="1108"/>
      <c r="BG40" s="1108"/>
      <c r="BH40" s="1108"/>
      <c r="BI40" s="1108"/>
      <c r="BJ40" s="1108"/>
      <c r="BK40" s="1108"/>
      <c r="BL40" s="1108"/>
      <c r="BM40" s="1108"/>
      <c r="BN40" s="1108"/>
      <c r="BO40" s="1108"/>
      <c r="BP40" s="1108"/>
      <c r="BQ40" s="1108"/>
      <c r="BR40" s="1108"/>
      <c r="BS40" s="1108"/>
      <c r="BT40" s="1108"/>
      <c r="BU40" s="1108"/>
      <c r="BV40" s="1108"/>
      <c r="BW40" s="1108"/>
      <c r="BX40" s="1108"/>
      <c r="BY40" s="1108"/>
      <c r="BZ40" s="1108"/>
      <c r="CA40" s="1108"/>
      <c r="CB40" s="1108"/>
      <c r="CC40" s="1108"/>
      <c r="CD40" s="1108"/>
      <c r="CE40" s="1108"/>
      <c r="CF40" s="1108"/>
      <c r="CG40" s="1108"/>
      <c r="CH40" s="1108"/>
      <c r="CI40" s="1108"/>
      <c r="CJ40" s="1108"/>
      <c r="CK40" s="1108"/>
      <c r="CL40" s="1108"/>
      <c r="CM40" s="1108"/>
      <c r="CN40" s="1108"/>
      <c r="CO40" s="1108"/>
      <c r="CP40" s="1108"/>
      <c r="CQ40" s="1108"/>
      <c r="CR40" s="1108"/>
      <c r="CS40" s="1108"/>
      <c r="CT40" s="1108"/>
      <c r="CU40" s="1108"/>
      <c r="CV40" s="1108"/>
      <c r="CW40" s="1108"/>
      <c r="CX40" s="1108"/>
      <c r="CY40" s="1108"/>
      <c r="CZ40" s="1108"/>
      <c r="DA40" s="1108"/>
      <c r="DB40" s="1108"/>
      <c r="DC40" s="1108"/>
      <c r="DD40" s="1108"/>
      <c r="DE40" s="1108"/>
      <c r="DF40" s="1108"/>
      <c r="DG40" s="1108"/>
      <c r="DH40" s="1108"/>
      <c r="DI40" s="1108"/>
      <c r="DJ40" s="1108"/>
      <c r="DK40" s="1108"/>
      <c r="DL40" s="1108"/>
      <c r="DM40" s="1108"/>
      <c r="DN40" s="1108"/>
      <c r="DO40" s="1108"/>
      <c r="DP40" s="1108"/>
      <c r="DQ40" s="1108"/>
      <c r="DR40" s="1108"/>
      <c r="DS40" s="1108"/>
      <c r="DT40" s="1108"/>
      <c r="DU40" s="1108"/>
      <c r="DV40" s="1108"/>
      <c r="DW40" s="1108"/>
      <c r="DX40" s="1108"/>
      <c r="DY40" s="1108"/>
      <c r="DZ40" s="1108"/>
      <c r="EA40" s="1108"/>
      <c r="EB40" s="1108"/>
      <c r="EC40" s="1108"/>
      <c r="ED40" s="1108"/>
      <c r="EE40" s="1108"/>
      <c r="EF40" s="1108"/>
      <c r="EG40" s="1108"/>
      <c r="EH40" s="1108"/>
      <c r="EI40" s="1108"/>
      <c r="EJ40" s="1108"/>
      <c r="EK40" s="1108"/>
      <c r="EL40" s="1108"/>
      <c r="EM40" s="1108"/>
      <c r="EN40" s="1108"/>
      <c r="EO40" s="1108"/>
      <c r="EP40" s="1108"/>
      <c r="EQ40" s="1108"/>
      <c r="ER40" s="1108"/>
      <c r="ES40" s="1108"/>
      <c r="ET40" s="1108"/>
      <c r="EU40" s="1108"/>
      <c r="EV40" s="1108"/>
      <c r="EW40" s="1108"/>
      <c r="EX40" s="1108"/>
      <c r="EY40" s="1108"/>
      <c r="EZ40" s="1108"/>
      <c r="FA40" s="1108"/>
      <c r="FB40" s="1108"/>
    </row>
    <row r="41" spans="1:158" s="1112" customFormat="1" ht="32.1" customHeight="1">
      <c r="A41" s="1111"/>
      <c r="B41" s="1110" t="s">
        <v>71</v>
      </c>
      <c r="C41" s="1480">
        <v>1</v>
      </c>
      <c r="D41" s="1480">
        <v>1</v>
      </c>
      <c r="E41" s="1480">
        <v>0</v>
      </c>
      <c r="F41" s="1480">
        <v>1</v>
      </c>
      <c r="G41" s="1480">
        <v>1</v>
      </c>
      <c r="H41" s="1480">
        <v>0</v>
      </c>
      <c r="I41" s="1756" t="s">
        <v>6834</v>
      </c>
      <c r="J41" s="1102" t="s">
        <v>960</v>
      </c>
      <c r="K41" s="1103" t="s">
        <v>6250</v>
      </c>
      <c r="L41" s="1071" t="s">
        <v>5871</v>
      </c>
      <c r="M41" s="1102" t="s">
        <v>1134</v>
      </c>
      <c r="N41" s="1411" t="s">
        <v>5378</v>
      </c>
      <c r="O41" s="1413" t="s">
        <v>5588</v>
      </c>
      <c r="P41" s="1106">
        <v>1</v>
      </c>
      <c r="Q41" s="1106">
        <v>0</v>
      </c>
      <c r="R41" s="1107"/>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c r="AY41" s="1108"/>
      <c r="AZ41" s="1108"/>
      <c r="BA41" s="1108"/>
      <c r="BB41" s="1108"/>
      <c r="BC41" s="1108"/>
      <c r="BD41" s="1108"/>
      <c r="BE41" s="1108"/>
      <c r="BF41" s="1108"/>
      <c r="BG41" s="1108"/>
      <c r="BH41" s="1108"/>
      <c r="BI41" s="1108"/>
      <c r="BJ41" s="1108"/>
      <c r="BK41" s="1108"/>
      <c r="BL41" s="1108"/>
      <c r="BM41" s="1108"/>
      <c r="BN41" s="1108"/>
      <c r="BO41" s="1108"/>
      <c r="BP41" s="1108"/>
      <c r="BQ41" s="1108"/>
      <c r="BR41" s="1108"/>
      <c r="BS41" s="1108"/>
      <c r="BT41" s="1108"/>
      <c r="BU41" s="1108"/>
      <c r="BV41" s="1108"/>
      <c r="BW41" s="1108"/>
      <c r="BX41" s="1108"/>
      <c r="BY41" s="1108"/>
      <c r="BZ41" s="1108"/>
      <c r="CA41" s="1108"/>
      <c r="CB41" s="1108"/>
      <c r="CC41" s="1108"/>
      <c r="CD41" s="1108"/>
      <c r="CE41" s="1108"/>
      <c r="CF41" s="1108"/>
      <c r="CG41" s="1108"/>
      <c r="CH41" s="1108"/>
      <c r="CI41" s="1108"/>
      <c r="CJ41" s="1108"/>
      <c r="CK41" s="1108"/>
      <c r="CL41" s="1108"/>
      <c r="CM41" s="1108"/>
      <c r="CN41" s="1108"/>
      <c r="CO41" s="1108"/>
      <c r="CP41" s="1108"/>
      <c r="CQ41" s="1108"/>
      <c r="CR41" s="1108"/>
      <c r="CS41" s="1108"/>
      <c r="CT41" s="1108"/>
      <c r="CU41" s="1108"/>
      <c r="CV41" s="1108"/>
      <c r="CW41" s="1108"/>
      <c r="CX41" s="1108"/>
      <c r="CY41" s="1108"/>
      <c r="CZ41" s="1108"/>
      <c r="DA41" s="1108"/>
      <c r="DB41" s="1108"/>
      <c r="DC41" s="1108"/>
      <c r="DD41" s="1108"/>
      <c r="DE41" s="1108"/>
      <c r="DF41" s="1108"/>
      <c r="DG41" s="1108"/>
      <c r="DH41" s="1108"/>
      <c r="DI41" s="1108"/>
      <c r="DJ41" s="1108"/>
      <c r="DK41" s="1108"/>
      <c r="DL41" s="1108"/>
      <c r="DM41" s="1108"/>
      <c r="DN41" s="1108"/>
      <c r="DO41" s="1108"/>
      <c r="DP41" s="1108"/>
      <c r="DQ41" s="1108"/>
      <c r="DR41" s="1108"/>
      <c r="DS41" s="1108"/>
      <c r="DT41" s="1108"/>
      <c r="DU41" s="1108"/>
      <c r="DV41" s="1108"/>
      <c r="DW41" s="1108"/>
      <c r="DX41" s="1108"/>
      <c r="DY41" s="1108"/>
      <c r="DZ41" s="1108"/>
      <c r="EA41" s="1108"/>
      <c r="EB41" s="1108"/>
      <c r="EC41" s="1108"/>
      <c r="ED41" s="1108"/>
      <c r="EE41" s="1108"/>
      <c r="EF41" s="1108"/>
      <c r="EG41" s="1108"/>
      <c r="EH41" s="1108"/>
      <c r="EI41" s="1108"/>
      <c r="EJ41" s="1108"/>
      <c r="EK41" s="1108"/>
      <c r="EL41" s="1108"/>
      <c r="EM41" s="1108"/>
      <c r="EN41" s="1108"/>
      <c r="EO41" s="1108"/>
      <c r="EP41" s="1108"/>
      <c r="EQ41" s="1108"/>
      <c r="ER41" s="1108"/>
      <c r="ES41" s="1108"/>
      <c r="ET41" s="1108"/>
      <c r="EU41" s="1108"/>
      <c r="EV41" s="1108"/>
      <c r="EW41" s="1108"/>
      <c r="EX41" s="1108"/>
      <c r="EY41" s="1108"/>
      <c r="EZ41" s="1108"/>
      <c r="FA41" s="1108"/>
      <c r="FB41" s="1108"/>
    </row>
    <row r="42" spans="1:158" s="1112" customFormat="1" ht="32.1" customHeight="1">
      <c r="A42" s="1100"/>
      <c r="B42" s="1599" t="s">
        <v>6912</v>
      </c>
      <c r="C42" s="1480">
        <v>0</v>
      </c>
      <c r="D42" s="1480">
        <v>0</v>
      </c>
      <c r="E42" s="1480">
        <v>0</v>
      </c>
      <c r="F42" s="1480">
        <v>0</v>
      </c>
      <c r="G42" s="1480">
        <v>0</v>
      </c>
      <c r="H42" s="1480">
        <v>0</v>
      </c>
      <c r="I42" s="1195" t="s">
        <v>38</v>
      </c>
      <c r="J42" s="1411" t="s">
        <v>6913</v>
      </c>
      <c r="K42" s="1410" t="s">
        <v>6886</v>
      </c>
      <c r="L42" s="1071" t="s">
        <v>5872</v>
      </c>
      <c r="M42" s="1075" t="s">
        <v>6784</v>
      </c>
      <c r="N42" s="1102" t="s">
        <v>5379</v>
      </c>
      <c r="O42" s="1105" t="s">
        <v>5589</v>
      </c>
      <c r="P42" s="1106">
        <v>1</v>
      </c>
      <c r="Q42" s="1106">
        <v>0</v>
      </c>
      <c r="R42" s="1107"/>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c r="AY42" s="1108"/>
      <c r="AZ42" s="1108"/>
      <c r="BA42" s="1108"/>
      <c r="BB42" s="1108"/>
      <c r="BC42" s="1108"/>
      <c r="BD42" s="1108"/>
      <c r="BE42" s="1108"/>
      <c r="BF42" s="1108"/>
      <c r="BG42" s="1108"/>
      <c r="BH42" s="1108"/>
      <c r="BI42" s="1108"/>
      <c r="BJ42" s="1108"/>
      <c r="BK42" s="1108"/>
      <c r="BL42" s="1108"/>
      <c r="BM42" s="1108"/>
      <c r="BN42" s="1108"/>
      <c r="BO42" s="1108"/>
      <c r="BP42" s="1108"/>
      <c r="BQ42" s="1108"/>
      <c r="BR42" s="1108"/>
      <c r="BS42" s="1108"/>
      <c r="BT42" s="1108"/>
      <c r="BU42" s="1108"/>
      <c r="BV42" s="1108"/>
      <c r="BW42" s="1108"/>
      <c r="BX42" s="1108"/>
      <c r="BY42" s="1108"/>
      <c r="BZ42" s="1108"/>
      <c r="CA42" s="1108"/>
      <c r="CB42" s="1108"/>
      <c r="CC42" s="1108"/>
      <c r="CD42" s="1108"/>
      <c r="CE42" s="1108"/>
      <c r="CF42" s="1108"/>
      <c r="CG42" s="1108"/>
      <c r="CH42" s="1108"/>
      <c r="CI42" s="1108"/>
      <c r="CJ42" s="1108"/>
      <c r="CK42" s="1108"/>
      <c r="CL42" s="1108"/>
      <c r="CM42" s="1108"/>
      <c r="CN42" s="1108"/>
      <c r="CO42" s="1108"/>
      <c r="CP42" s="1108"/>
      <c r="CQ42" s="1108"/>
      <c r="CR42" s="1108"/>
      <c r="CS42" s="1108"/>
      <c r="CT42" s="1108"/>
      <c r="CU42" s="1108"/>
      <c r="CV42" s="1108"/>
      <c r="CW42" s="1108"/>
      <c r="CX42" s="1108"/>
      <c r="CY42" s="1108"/>
      <c r="CZ42" s="1108"/>
      <c r="DA42" s="1108"/>
      <c r="DB42" s="1108"/>
      <c r="DC42" s="1108"/>
      <c r="DD42" s="1108"/>
      <c r="DE42" s="1108"/>
      <c r="DF42" s="1108"/>
      <c r="DG42" s="1108"/>
      <c r="DH42" s="1108"/>
      <c r="DI42" s="1108"/>
      <c r="DJ42" s="1108"/>
      <c r="DK42" s="1108"/>
      <c r="DL42" s="1108"/>
      <c r="DM42" s="1108"/>
      <c r="DN42" s="1108"/>
      <c r="DO42" s="1108"/>
      <c r="DP42" s="1108"/>
      <c r="DQ42" s="1108"/>
      <c r="DR42" s="1108"/>
      <c r="DS42" s="1108"/>
      <c r="DT42" s="1108"/>
      <c r="DU42" s="1108"/>
      <c r="DV42" s="1108"/>
      <c r="DW42" s="1108"/>
      <c r="DX42" s="1108"/>
      <c r="DY42" s="1108"/>
      <c r="DZ42" s="1108"/>
      <c r="EA42" s="1108"/>
      <c r="EB42" s="1108"/>
      <c r="EC42" s="1108"/>
      <c r="ED42" s="1108"/>
      <c r="EE42" s="1108"/>
      <c r="EF42" s="1108"/>
      <c r="EG42" s="1108"/>
      <c r="EH42" s="1108"/>
      <c r="EI42" s="1108"/>
      <c r="EJ42" s="1108"/>
      <c r="EK42" s="1108"/>
      <c r="EL42" s="1108"/>
      <c r="EM42" s="1108"/>
      <c r="EN42" s="1108"/>
      <c r="EO42" s="1108"/>
      <c r="EP42" s="1108"/>
      <c r="EQ42" s="1108"/>
      <c r="ER42" s="1108"/>
      <c r="ES42" s="1108"/>
      <c r="ET42" s="1108"/>
      <c r="EU42" s="1108"/>
      <c r="EV42" s="1108"/>
      <c r="EW42" s="1108"/>
      <c r="EX42" s="1108"/>
      <c r="EY42" s="1108"/>
      <c r="EZ42" s="1108"/>
      <c r="FA42" s="1108"/>
      <c r="FB42" s="1108"/>
    </row>
    <row r="43" spans="1:158" s="1112" customFormat="1" ht="32.1" customHeight="1">
      <c r="A43" s="1100"/>
      <c r="B43" s="1599" t="s">
        <v>72</v>
      </c>
      <c r="C43" s="1480">
        <v>0</v>
      </c>
      <c r="D43" s="1480">
        <v>0</v>
      </c>
      <c r="E43" s="1480">
        <v>0</v>
      </c>
      <c r="F43" s="1480">
        <v>0.5</v>
      </c>
      <c r="G43" s="1480">
        <v>0</v>
      </c>
      <c r="H43" s="1480">
        <v>0</v>
      </c>
      <c r="I43" s="1195" t="s">
        <v>38</v>
      </c>
      <c r="J43" s="1102" t="s">
        <v>1060</v>
      </c>
      <c r="K43" s="1103" t="s">
        <v>6251</v>
      </c>
      <c r="L43" s="1113" t="s">
        <v>748</v>
      </c>
      <c r="M43" s="1102" t="s">
        <v>6052</v>
      </c>
      <c r="N43" s="1102" t="s">
        <v>5380</v>
      </c>
      <c r="O43" s="1413" t="s">
        <v>5590</v>
      </c>
      <c r="P43" s="1106">
        <v>1</v>
      </c>
      <c r="Q43" s="1106">
        <v>0</v>
      </c>
      <c r="R43" s="1107"/>
      <c r="S43" s="1108"/>
      <c r="T43" s="1108"/>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8"/>
      <c r="BB43" s="1108"/>
      <c r="BC43" s="1108"/>
      <c r="BD43" s="1108"/>
      <c r="BE43" s="1108"/>
      <c r="BF43" s="1108"/>
      <c r="BG43" s="1108"/>
      <c r="BH43" s="1108"/>
      <c r="BI43" s="1108"/>
      <c r="BJ43" s="1108"/>
      <c r="BK43" s="1108"/>
      <c r="BL43" s="1108"/>
      <c r="BM43" s="1108"/>
      <c r="BN43" s="1108"/>
      <c r="BO43" s="1108"/>
      <c r="BP43" s="1108"/>
      <c r="BQ43" s="1108"/>
      <c r="BR43" s="1108"/>
      <c r="BS43" s="1108"/>
      <c r="BT43" s="1108"/>
      <c r="BU43" s="1108"/>
      <c r="BV43" s="1108"/>
      <c r="BW43" s="1108"/>
      <c r="BX43" s="1108"/>
      <c r="BY43" s="1108"/>
      <c r="BZ43" s="1108"/>
      <c r="CA43" s="1108"/>
      <c r="CB43" s="1108"/>
      <c r="CC43" s="1108"/>
      <c r="CD43" s="1108"/>
      <c r="CE43" s="1108"/>
      <c r="CF43" s="1108"/>
      <c r="CG43" s="1108"/>
      <c r="CH43" s="1108"/>
      <c r="CI43" s="1108"/>
      <c r="CJ43" s="1108"/>
      <c r="CK43" s="1108"/>
      <c r="CL43" s="1108"/>
      <c r="CM43" s="1108"/>
      <c r="CN43" s="1108"/>
      <c r="CO43" s="1108"/>
      <c r="CP43" s="1108"/>
      <c r="CQ43" s="1108"/>
      <c r="CR43" s="1108"/>
      <c r="CS43" s="1108"/>
      <c r="CT43" s="1108"/>
      <c r="CU43" s="1108"/>
      <c r="CV43" s="1108"/>
      <c r="CW43" s="1108"/>
      <c r="CX43" s="1108"/>
      <c r="CY43" s="1108"/>
      <c r="CZ43" s="1108"/>
      <c r="DA43" s="1108"/>
      <c r="DB43" s="1108"/>
      <c r="DC43" s="1108"/>
      <c r="DD43" s="1108"/>
      <c r="DE43" s="1108"/>
      <c r="DF43" s="1108"/>
      <c r="DG43" s="1108"/>
      <c r="DH43" s="1108"/>
      <c r="DI43" s="1108"/>
      <c r="DJ43" s="1108"/>
      <c r="DK43" s="1108"/>
      <c r="DL43" s="1108"/>
      <c r="DM43" s="1108"/>
      <c r="DN43" s="1108"/>
      <c r="DO43" s="1108"/>
      <c r="DP43" s="1108"/>
      <c r="DQ43" s="1108"/>
      <c r="DR43" s="1108"/>
      <c r="DS43" s="1108"/>
      <c r="DT43" s="1108"/>
      <c r="DU43" s="1108"/>
      <c r="DV43" s="1108"/>
      <c r="DW43" s="1108"/>
      <c r="DX43" s="1108"/>
      <c r="DY43" s="1108"/>
      <c r="DZ43" s="1108"/>
      <c r="EA43" s="1108"/>
      <c r="EB43" s="1108"/>
      <c r="EC43" s="1108"/>
      <c r="ED43" s="1108"/>
      <c r="EE43" s="1108"/>
      <c r="EF43" s="1108"/>
      <c r="EG43" s="1108"/>
      <c r="EH43" s="1108"/>
      <c r="EI43" s="1108"/>
      <c r="EJ43" s="1108"/>
      <c r="EK43" s="1108"/>
      <c r="EL43" s="1108"/>
      <c r="EM43" s="1108"/>
      <c r="EN43" s="1108"/>
      <c r="EO43" s="1108"/>
      <c r="EP43" s="1108"/>
      <c r="EQ43" s="1108"/>
      <c r="ER43" s="1108"/>
      <c r="ES43" s="1108"/>
      <c r="ET43" s="1108"/>
      <c r="EU43" s="1108"/>
      <c r="EV43" s="1108"/>
      <c r="EW43" s="1108"/>
      <c r="EX43" s="1108"/>
      <c r="EY43" s="1108"/>
      <c r="EZ43" s="1108"/>
      <c r="FA43" s="1108"/>
      <c r="FB43" s="1108"/>
    </row>
    <row r="44" spans="1:158" s="1112" customFormat="1" ht="32.1" customHeight="1">
      <c r="A44" s="1100"/>
      <c r="B44" s="1110" t="s">
        <v>73</v>
      </c>
      <c r="C44" s="1480">
        <v>0.5</v>
      </c>
      <c r="D44" s="1480">
        <v>0</v>
      </c>
      <c r="E44" s="1480">
        <v>0</v>
      </c>
      <c r="F44" s="1480">
        <v>0</v>
      </c>
      <c r="G44" s="1480">
        <v>0.5</v>
      </c>
      <c r="H44" s="1480">
        <v>0</v>
      </c>
      <c r="I44" s="1195" t="s">
        <v>38</v>
      </c>
      <c r="J44" s="1411" t="s">
        <v>6573</v>
      </c>
      <c r="K44" s="1103" t="s">
        <v>6252</v>
      </c>
      <c r="L44" s="1071" t="s">
        <v>5873</v>
      </c>
      <c r="M44" s="1411" t="s">
        <v>6053</v>
      </c>
      <c r="N44" s="1411" t="s">
        <v>6734</v>
      </c>
      <c r="O44" s="1413" t="s">
        <v>5591</v>
      </c>
      <c r="P44" s="1106">
        <v>1</v>
      </c>
      <c r="Q44" s="1106">
        <v>0</v>
      </c>
      <c r="R44" s="1107"/>
      <c r="S44" s="1108"/>
      <c r="T44" s="1108"/>
      <c r="U44" s="1108"/>
      <c r="V44" s="1108"/>
      <c r="W44" s="1108"/>
      <c r="X44" s="1108"/>
      <c r="Y44" s="1108"/>
      <c r="Z44" s="1108"/>
      <c r="AA44" s="1108"/>
      <c r="AB44" s="1108"/>
      <c r="AC44" s="1108"/>
      <c r="AD44" s="1108"/>
      <c r="AE44" s="1108"/>
      <c r="AF44" s="1108"/>
      <c r="AG44" s="1108"/>
      <c r="AH44" s="1108"/>
      <c r="AI44" s="1108"/>
      <c r="AJ44" s="1108"/>
      <c r="AK44" s="1108"/>
      <c r="AL44" s="1108"/>
      <c r="AM44" s="1108"/>
      <c r="AN44" s="1108"/>
      <c r="AO44" s="1108"/>
      <c r="AP44" s="1108"/>
      <c r="AQ44" s="1108"/>
      <c r="AR44" s="1108"/>
      <c r="AS44" s="1108"/>
      <c r="AT44" s="1108"/>
      <c r="AU44" s="1108"/>
      <c r="AV44" s="1108"/>
      <c r="AW44" s="1108"/>
      <c r="AX44" s="1108"/>
      <c r="AY44" s="1108"/>
      <c r="AZ44" s="1108"/>
      <c r="BA44" s="1108"/>
      <c r="BB44" s="1108"/>
      <c r="BC44" s="1108"/>
      <c r="BD44" s="1108"/>
      <c r="BE44" s="1108"/>
      <c r="BF44" s="1108"/>
      <c r="BG44" s="1108"/>
      <c r="BH44" s="1108"/>
      <c r="BI44" s="1108"/>
      <c r="BJ44" s="1108"/>
      <c r="BK44" s="1108"/>
      <c r="BL44" s="1108"/>
      <c r="BM44" s="1108"/>
      <c r="BN44" s="1108"/>
      <c r="BO44" s="1108"/>
      <c r="BP44" s="1108"/>
      <c r="BQ44" s="1108"/>
      <c r="BR44" s="1108"/>
      <c r="BS44" s="1108"/>
      <c r="BT44" s="1108"/>
      <c r="BU44" s="1108"/>
      <c r="BV44" s="1108"/>
      <c r="BW44" s="1108"/>
      <c r="BX44" s="1108"/>
      <c r="BY44" s="1108"/>
      <c r="BZ44" s="1108"/>
      <c r="CA44" s="1108"/>
      <c r="CB44" s="1108"/>
      <c r="CC44" s="1108"/>
      <c r="CD44" s="1108"/>
      <c r="CE44" s="1108"/>
      <c r="CF44" s="1108"/>
      <c r="CG44" s="1108"/>
      <c r="CH44" s="1108"/>
      <c r="CI44" s="1108"/>
      <c r="CJ44" s="1108"/>
      <c r="CK44" s="1108"/>
      <c r="CL44" s="1108"/>
      <c r="CM44" s="1108"/>
      <c r="CN44" s="1108"/>
      <c r="CO44" s="1108"/>
      <c r="CP44" s="1108"/>
      <c r="CQ44" s="1108"/>
      <c r="CR44" s="1108"/>
      <c r="CS44" s="1108"/>
      <c r="CT44" s="1108"/>
      <c r="CU44" s="1108"/>
      <c r="CV44" s="1108"/>
      <c r="CW44" s="1108"/>
      <c r="CX44" s="1108"/>
      <c r="CY44" s="1108"/>
      <c r="CZ44" s="1108"/>
      <c r="DA44" s="1108"/>
      <c r="DB44" s="1108"/>
      <c r="DC44" s="1108"/>
      <c r="DD44" s="1108"/>
      <c r="DE44" s="1108"/>
      <c r="DF44" s="1108"/>
      <c r="DG44" s="1108"/>
      <c r="DH44" s="1108"/>
      <c r="DI44" s="1108"/>
      <c r="DJ44" s="1108"/>
      <c r="DK44" s="1108"/>
      <c r="DL44" s="1108"/>
      <c r="DM44" s="1108"/>
      <c r="DN44" s="1108"/>
      <c r="DO44" s="1108"/>
      <c r="DP44" s="1108"/>
      <c r="DQ44" s="1108"/>
      <c r="DR44" s="1108"/>
      <c r="DS44" s="1108"/>
      <c r="DT44" s="1108"/>
      <c r="DU44" s="1108"/>
      <c r="DV44" s="1108"/>
      <c r="DW44" s="1108"/>
      <c r="DX44" s="1108"/>
      <c r="DY44" s="1108"/>
      <c r="DZ44" s="1108"/>
      <c r="EA44" s="1108"/>
      <c r="EB44" s="1108"/>
      <c r="EC44" s="1108"/>
      <c r="ED44" s="1108"/>
      <c r="EE44" s="1108"/>
      <c r="EF44" s="1108"/>
      <c r="EG44" s="1108"/>
      <c r="EH44" s="1108"/>
      <c r="EI44" s="1108"/>
      <c r="EJ44" s="1108"/>
      <c r="EK44" s="1108"/>
      <c r="EL44" s="1108"/>
      <c r="EM44" s="1108"/>
      <c r="EN44" s="1108"/>
      <c r="EO44" s="1108"/>
      <c r="EP44" s="1108"/>
      <c r="EQ44" s="1108"/>
      <c r="ER44" s="1108"/>
      <c r="ES44" s="1108"/>
      <c r="ET44" s="1108"/>
      <c r="EU44" s="1108"/>
      <c r="EV44" s="1108"/>
      <c r="EW44" s="1108"/>
      <c r="EX44" s="1108"/>
      <c r="EY44" s="1108"/>
      <c r="EZ44" s="1108"/>
      <c r="FA44" s="1108"/>
      <c r="FB44" s="1108"/>
    </row>
    <row r="45" spans="1:158" s="1112" customFormat="1" ht="32.1" customHeight="1">
      <c r="A45" s="1100"/>
      <c r="B45" s="1110" t="s">
        <v>74</v>
      </c>
      <c r="C45" s="1480">
        <v>1</v>
      </c>
      <c r="D45" s="1480">
        <v>0.5</v>
      </c>
      <c r="E45" s="1480">
        <v>0</v>
      </c>
      <c r="F45" s="1480">
        <v>0</v>
      </c>
      <c r="G45" s="1480">
        <v>0.5</v>
      </c>
      <c r="H45" s="1480">
        <v>0</v>
      </c>
      <c r="I45" s="1195" t="s">
        <v>38</v>
      </c>
      <c r="J45" s="1102" t="s">
        <v>960</v>
      </c>
      <c r="K45" s="1103" t="s">
        <v>6253</v>
      </c>
      <c r="L45" s="1071" t="s">
        <v>5874</v>
      </c>
      <c r="M45" s="1411" t="s">
        <v>6917</v>
      </c>
      <c r="N45" s="1102" t="s">
        <v>5381</v>
      </c>
      <c r="O45" s="1413" t="s">
        <v>5592</v>
      </c>
      <c r="P45" s="1106">
        <v>1</v>
      </c>
      <c r="Q45" s="1106">
        <v>0</v>
      </c>
      <c r="R45" s="1107"/>
      <c r="S45" s="1108"/>
      <c r="T45" s="1108"/>
      <c r="U45" s="1108"/>
      <c r="V45" s="1108"/>
      <c r="W45" s="1108"/>
      <c r="X45" s="1108"/>
      <c r="Y45" s="1108"/>
      <c r="Z45" s="1108"/>
      <c r="AA45" s="1108"/>
      <c r="AB45" s="1108"/>
      <c r="AC45" s="1108"/>
      <c r="AD45" s="1108"/>
      <c r="AE45" s="1108"/>
      <c r="AF45" s="1108"/>
      <c r="AG45" s="1108"/>
      <c r="AH45" s="1108"/>
      <c r="AI45" s="1108"/>
      <c r="AJ45" s="1108"/>
      <c r="AK45" s="1108"/>
      <c r="AL45" s="1108"/>
      <c r="AM45" s="1108"/>
      <c r="AN45" s="1108"/>
      <c r="AO45" s="1108"/>
      <c r="AP45" s="1108"/>
      <c r="AQ45" s="1108"/>
      <c r="AR45" s="1108"/>
      <c r="AS45" s="1108"/>
      <c r="AT45" s="1108"/>
      <c r="AU45" s="1108"/>
      <c r="AV45" s="1108"/>
      <c r="AW45" s="1108"/>
      <c r="AX45" s="1108"/>
      <c r="AY45" s="1108"/>
      <c r="AZ45" s="1108"/>
      <c r="BA45" s="1108"/>
      <c r="BB45" s="1108"/>
      <c r="BC45" s="1108"/>
      <c r="BD45" s="1108"/>
      <c r="BE45" s="1108"/>
      <c r="BF45" s="1108"/>
      <c r="BG45" s="1108"/>
      <c r="BH45" s="1108"/>
      <c r="BI45" s="1108"/>
      <c r="BJ45" s="1108"/>
      <c r="BK45" s="1108"/>
      <c r="BL45" s="1108"/>
      <c r="BM45" s="1108"/>
      <c r="BN45" s="1108"/>
      <c r="BO45" s="1108"/>
      <c r="BP45" s="1108"/>
      <c r="BQ45" s="1108"/>
      <c r="BR45" s="1108"/>
      <c r="BS45" s="1108"/>
      <c r="BT45" s="1108"/>
      <c r="BU45" s="1108"/>
      <c r="BV45" s="1108"/>
      <c r="BW45" s="1108"/>
      <c r="BX45" s="1108"/>
      <c r="BY45" s="1108"/>
      <c r="BZ45" s="1108"/>
      <c r="CA45" s="1108"/>
      <c r="CB45" s="1108"/>
      <c r="CC45" s="1108"/>
      <c r="CD45" s="1108"/>
      <c r="CE45" s="1108"/>
      <c r="CF45" s="1108"/>
      <c r="CG45" s="1108"/>
      <c r="CH45" s="1108"/>
      <c r="CI45" s="1108"/>
      <c r="CJ45" s="1108"/>
      <c r="CK45" s="1108"/>
      <c r="CL45" s="1108"/>
      <c r="CM45" s="1108"/>
      <c r="CN45" s="1108"/>
      <c r="CO45" s="1108"/>
      <c r="CP45" s="1108"/>
      <c r="CQ45" s="1108"/>
      <c r="CR45" s="1108"/>
      <c r="CS45" s="1108"/>
      <c r="CT45" s="1108"/>
      <c r="CU45" s="1108"/>
      <c r="CV45" s="1108"/>
      <c r="CW45" s="1108"/>
      <c r="CX45" s="1108"/>
      <c r="CY45" s="1108"/>
      <c r="CZ45" s="1108"/>
      <c r="DA45" s="1108"/>
      <c r="DB45" s="1108"/>
      <c r="DC45" s="1108"/>
      <c r="DD45" s="1108"/>
      <c r="DE45" s="1108"/>
      <c r="DF45" s="1108"/>
      <c r="DG45" s="1108"/>
      <c r="DH45" s="1108"/>
      <c r="DI45" s="1108"/>
      <c r="DJ45" s="1108"/>
      <c r="DK45" s="1108"/>
      <c r="DL45" s="1108"/>
      <c r="DM45" s="1108"/>
      <c r="DN45" s="1108"/>
      <c r="DO45" s="1108"/>
      <c r="DP45" s="1108"/>
      <c r="DQ45" s="1108"/>
      <c r="DR45" s="1108"/>
      <c r="DS45" s="1108"/>
      <c r="DT45" s="1108"/>
      <c r="DU45" s="1108"/>
      <c r="DV45" s="1108"/>
      <c r="DW45" s="1108"/>
      <c r="DX45" s="1108"/>
      <c r="DY45" s="1108"/>
      <c r="DZ45" s="1108"/>
      <c r="EA45" s="1108"/>
      <c r="EB45" s="1108"/>
      <c r="EC45" s="1108"/>
      <c r="ED45" s="1108"/>
      <c r="EE45" s="1108"/>
      <c r="EF45" s="1108"/>
      <c r="EG45" s="1108"/>
      <c r="EH45" s="1108"/>
      <c r="EI45" s="1108"/>
      <c r="EJ45" s="1108"/>
      <c r="EK45" s="1108"/>
      <c r="EL45" s="1108"/>
      <c r="EM45" s="1108"/>
      <c r="EN45" s="1108"/>
      <c r="EO45" s="1108"/>
      <c r="EP45" s="1108"/>
      <c r="EQ45" s="1108"/>
      <c r="ER45" s="1108"/>
      <c r="ES45" s="1108"/>
      <c r="ET45" s="1108"/>
      <c r="EU45" s="1108"/>
      <c r="EV45" s="1108"/>
      <c r="EW45" s="1108"/>
      <c r="EX45" s="1108"/>
      <c r="EY45" s="1108"/>
      <c r="EZ45" s="1108"/>
      <c r="FA45" s="1108"/>
      <c r="FB45" s="1108"/>
    </row>
    <row r="46" spans="1:158" s="1095" customFormat="1" ht="32.1" customHeight="1">
      <c r="A46" s="1114" t="s">
        <v>75</v>
      </c>
      <c r="B46" s="1091" t="s">
        <v>76</v>
      </c>
      <c r="C46" s="1481">
        <f t="shared" ref="C46:H46" si="10">AVERAGE(C47,C48,C49,C50,C51,C52,C53)</f>
        <v>0.9285714285714286</v>
      </c>
      <c r="D46" s="1481">
        <f t="shared" si="10"/>
        <v>0.9285714285714286</v>
      </c>
      <c r="E46" s="1481">
        <f t="shared" si="10"/>
        <v>7.1428571428571425E-2</v>
      </c>
      <c r="F46" s="1481">
        <f t="shared" si="10"/>
        <v>1</v>
      </c>
      <c r="G46" s="1481">
        <f t="shared" si="10"/>
        <v>0.8571428571428571</v>
      </c>
      <c r="H46" s="1481">
        <f t="shared" si="10"/>
        <v>0.6428571428571429</v>
      </c>
      <c r="I46" s="1195"/>
      <c r="J46" s="1115"/>
      <c r="K46" s="1115"/>
      <c r="L46" s="1115"/>
      <c r="M46" s="1115"/>
      <c r="N46" s="1115"/>
      <c r="O46" s="1116"/>
      <c r="P46" s="1115"/>
      <c r="Q46" s="1115"/>
      <c r="R46" s="1081"/>
      <c r="S46" s="1082"/>
      <c r="T46" s="1082"/>
      <c r="U46" s="1082"/>
      <c r="V46" s="1082"/>
      <c r="W46" s="1082"/>
      <c r="X46" s="1082"/>
      <c r="Y46" s="1082"/>
      <c r="Z46" s="1082"/>
      <c r="AA46" s="1082"/>
      <c r="AB46" s="1082"/>
      <c r="AC46" s="1082"/>
      <c r="AD46" s="1082"/>
      <c r="AE46" s="1082"/>
      <c r="AF46" s="1082"/>
      <c r="AG46" s="1082"/>
      <c r="AH46" s="1082"/>
      <c r="AI46" s="1082"/>
      <c r="AJ46" s="1082"/>
      <c r="AK46" s="1082"/>
      <c r="AL46" s="1082"/>
      <c r="AM46" s="1082"/>
      <c r="AN46" s="1082"/>
      <c r="AO46" s="1082"/>
      <c r="AP46" s="1082"/>
      <c r="AQ46" s="1082"/>
      <c r="AR46" s="1082"/>
      <c r="AS46" s="1082"/>
      <c r="AT46" s="1082"/>
      <c r="AU46" s="1082"/>
      <c r="AV46" s="1082"/>
      <c r="AW46" s="1082"/>
      <c r="AX46" s="1082"/>
      <c r="AY46" s="1082"/>
      <c r="AZ46" s="1082"/>
      <c r="BA46" s="1082"/>
      <c r="BB46" s="1082"/>
      <c r="BC46" s="1082"/>
      <c r="BD46" s="1082"/>
      <c r="BE46" s="1082"/>
      <c r="BF46" s="1082"/>
      <c r="BG46" s="1082"/>
      <c r="BH46" s="1082"/>
      <c r="BI46" s="1082"/>
      <c r="BJ46" s="1082"/>
      <c r="BK46" s="1082"/>
      <c r="BL46" s="1082"/>
      <c r="BM46" s="1082"/>
      <c r="BN46" s="1082"/>
      <c r="BO46" s="1082"/>
      <c r="BP46" s="1082"/>
      <c r="BQ46" s="1082"/>
      <c r="BR46" s="1082"/>
      <c r="BS46" s="1082"/>
      <c r="BT46" s="1082"/>
      <c r="BU46" s="1082"/>
      <c r="BV46" s="1082"/>
      <c r="BW46" s="1082"/>
      <c r="BX46" s="1082"/>
      <c r="BY46" s="1082"/>
      <c r="BZ46" s="1082"/>
      <c r="CA46" s="1082"/>
      <c r="CB46" s="1082"/>
      <c r="CC46" s="1082"/>
      <c r="CD46" s="1082"/>
      <c r="CE46" s="1082"/>
      <c r="CF46" s="1082"/>
      <c r="CG46" s="1082"/>
      <c r="CH46" s="1082"/>
      <c r="CI46" s="1082"/>
      <c r="CJ46" s="1082"/>
      <c r="CK46" s="1082"/>
      <c r="CL46" s="1082"/>
      <c r="CM46" s="1082"/>
      <c r="CN46" s="1082"/>
      <c r="CO46" s="1082"/>
      <c r="CP46" s="1082"/>
      <c r="CQ46" s="1082"/>
      <c r="CR46" s="1082"/>
      <c r="CS46" s="1082"/>
      <c r="CT46" s="1082"/>
      <c r="CU46" s="1082"/>
      <c r="CV46" s="1082"/>
      <c r="CW46" s="1082"/>
      <c r="CX46" s="1082"/>
      <c r="CY46" s="1082"/>
      <c r="CZ46" s="1082"/>
      <c r="DA46" s="1082"/>
      <c r="DB46" s="1082"/>
      <c r="DC46" s="1082"/>
      <c r="DD46" s="1082"/>
      <c r="DE46" s="1082"/>
      <c r="DF46" s="1082"/>
      <c r="DG46" s="1082"/>
      <c r="DH46" s="1082"/>
      <c r="DI46" s="1082"/>
      <c r="DJ46" s="1082"/>
      <c r="DK46" s="1082"/>
      <c r="DL46" s="1082"/>
      <c r="DM46" s="1082"/>
      <c r="DN46" s="1082"/>
      <c r="DO46" s="1082"/>
      <c r="DP46" s="1082"/>
      <c r="DQ46" s="1082"/>
      <c r="DR46" s="1082"/>
      <c r="DS46" s="1082"/>
      <c r="DT46" s="1082"/>
      <c r="DU46" s="1082"/>
      <c r="DV46" s="1082"/>
      <c r="DW46" s="1082"/>
      <c r="DX46" s="1082"/>
      <c r="DY46" s="1082"/>
      <c r="DZ46" s="1082"/>
      <c r="EA46" s="1082"/>
      <c r="EB46" s="1082"/>
      <c r="EC46" s="1082"/>
      <c r="ED46" s="1082"/>
      <c r="EE46" s="1082"/>
      <c r="EF46" s="1082"/>
      <c r="EG46" s="1082"/>
      <c r="EH46" s="1082"/>
      <c r="EI46" s="1082"/>
      <c r="EJ46" s="1082"/>
      <c r="EK46" s="1082"/>
      <c r="EL46" s="1082"/>
      <c r="EM46" s="1082"/>
      <c r="EN46" s="1082"/>
      <c r="EO46" s="1082"/>
      <c r="EP46" s="1082"/>
      <c r="EQ46" s="1082"/>
      <c r="ER46" s="1082"/>
      <c r="ES46" s="1082"/>
      <c r="ET46" s="1082"/>
      <c r="EU46" s="1082"/>
      <c r="EV46" s="1082"/>
      <c r="EW46" s="1082"/>
      <c r="EX46" s="1082"/>
      <c r="EY46" s="1082"/>
      <c r="EZ46" s="1082"/>
      <c r="FA46" s="1082"/>
      <c r="FB46" s="1082"/>
    </row>
    <row r="47" spans="1:158" ht="32.1" customHeight="1">
      <c r="A47" s="1052"/>
      <c r="B47" s="1053" t="s">
        <v>77</v>
      </c>
      <c r="C47" s="1698">
        <v>1</v>
      </c>
      <c r="D47" s="1698">
        <v>1</v>
      </c>
      <c r="E47" s="1698">
        <v>0</v>
      </c>
      <c r="F47" s="1698">
        <v>1</v>
      </c>
      <c r="G47" s="1698">
        <v>1</v>
      </c>
      <c r="H47" s="1698">
        <v>1</v>
      </c>
      <c r="I47" s="1195" t="s">
        <v>38</v>
      </c>
      <c r="J47" s="1117" t="s">
        <v>4392</v>
      </c>
      <c r="K47" s="1077" t="s">
        <v>6254</v>
      </c>
      <c r="L47" s="1079" t="s">
        <v>748</v>
      </c>
      <c r="M47" s="1118" t="s">
        <v>921</v>
      </c>
      <c r="N47" s="1073" t="s">
        <v>811</v>
      </c>
      <c r="O47" s="1119" t="s">
        <v>923</v>
      </c>
      <c r="P47" s="1073">
        <v>1</v>
      </c>
      <c r="Q47" s="1073">
        <v>0</v>
      </c>
    </row>
    <row r="48" spans="1:158" ht="32.1" customHeight="1">
      <c r="A48" s="1052"/>
      <c r="B48" s="1053" t="s">
        <v>78</v>
      </c>
      <c r="C48" s="1698">
        <v>0.5</v>
      </c>
      <c r="D48" s="1698">
        <v>1</v>
      </c>
      <c r="E48" s="1698">
        <v>0.5</v>
      </c>
      <c r="F48" s="1698">
        <v>1</v>
      </c>
      <c r="G48" s="1699">
        <v>0.5</v>
      </c>
      <c r="H48" s="1698">
        <v>0</v>
      </c>
      <c r="I48" s="1195" t="s">
        <v>38</v>
      </c>
      <c r="J48" s="1581" t="s">
        <v>6574</v>
      </c>
      <c r="K48" s="1120" t="s">
        <v>6255</v>
      </c>
      <c r="L48" s="1392" t="s">
        <v>5875</v>
      </c>
      <c r="M48" s="1078" t="s">
        <v>6054</v>
      </c>
      <c r="N48" s="1411" t="s">
        <v>6785</v>
      </c>
      <c r="O48" s="1121" t="s">
        <v>5593</v>
      </c>
      <c r="P48" s="1073">
        <v>1</v>
      </c>
      <c r="Q48" s="1073">
        <v>0</v>
      </c>
    </row>
    <row r="49" spans="1:158" ht="32.1" customHeight="1">
      <c r="A49" s="1052"/>
      <c r="B49" s="1053" t="s">
        <v>79</v>
      </c>
      <c r="C49" s="1698">
        <v>1</v>
      </c>
      <c r="D49" s="1698">
        <v>1</v>
      </c>
      <c r="E49" s="1698">
        <v>0</v>
      </c>
      <c r="F49" s="1698">
        <v>1</v>
      </c>
      <c r="G49" s="1698">
        <v>1</v>
      </c>
      <c r="H49" s="1698">
        <v>1</v>
      </c>
      <c r="I49" s="1195" t="s">
        <v>38</v>
      </c>
      <c r="J49" s="1122" t="s">
        <v>4392</v>
      </c>
      <c r="K49" s="1120" t="s">
        <v>6256</v>
      </c>
      <c r="L49" s="1079" t="s">
        <v>748</v>
      </c>
      <c r="M49" s="1078" t="s">
        <v>932</v>
      </c>
      <c r="N49" s="1073" t="s">
        <v>811</v>
      </c>
      <c r="O49" s="1119" t="s">
        <v>811</v>
      </c>
      <c r="P49" s="1073">
        <v>1</v>
      </c>
      <c r="Q49" s="1073">
        <v>0</v>
      </c>
    </row>
    <row r="50" spans="1:158" ht="32.1" customHeight="1">
      <c r="A50" s="1052"/>
      <c r="B50" s="1404" t="s">
        <v>80</v>
      </c>
      <c r="C50" s="1698">
        <v>1</v>
      </c>
      <c r="D50" s="1698">
        <v>1</v>
      </c>
      <c r="E50" s="1698">
        <v>0</v>
      </c>
      <c r="F50" s="1698">
        <v>1</v>
      </c>
      <c r="G50" s="1698">
        <v>1</v>
      </c>
      <c r="H50" s="1698">
        <v>1</v>
      </c>
      <c r="I50" s="1195" t="s">
        <v>38</v>
      </c>
      <c r="J50" s="1073" t="s">
        <v>4392</v>
      </c>
      <c r="K50" s="1073" t="s">
        <v>6257</v>
      </c>
      <c r="L50" s="1079" t="s">
        <v>748</v>
      </c>
      <c r="M50" s="1078" t="s">
        <v>935</v>
      </c>
      <c r="N50" s="1073" t="s">
        <v>811</v>
      </c>
      <c r="O50" s="1123" t="s">
        <v>5594</v>
      </c>
      <c r="P50" s="1073">
        <v>1</v>
      </c>
      <c r="Q50" s="1073">
        <v>0</v>
      </c>
    </row>
    <row r="51" spans="1:158" ht="32.1" customHeight="1">
      <c r="A51" s="1052"/>
      <c r="B51" s="1404" t="s">
        <v>81</v>
      </c>
      <c r="C51" s="1698">
        <v>1</v>
      </c>
      <c r="D51" s="1698">
        <v>1</v>
      </c>
      <c r="E51" s="1698">
        <v>0</v>
      </c>
      <c r="F51" s="1698">
        <v>1</v>
      </c>
      <c r="G51" s="1698">
        <v>1</v>
      </c>
      <c r="H51" s="1698">
        <v>0</v>
      </c>
      <c r="I51" s="1195" t="s">
        <v>38</v>
      </c>
      <c r="J51" s="1124" t="s">
        <v>6575</v>
      </c>
      <c r="K51" s="1120" t="s">
        <v>6258</v>
      </c>
      <c r="L51" s="1079" t="s">
        <v>748</v>
      </c>
      <c r="M51" s="1078" t="s">
        <v>6055</v>
      </c>
      <c r="N51" s="1073" t="s">
        <v>811</v>
      </c>
      <c r="O51" s="1687" t="s">
        <v>5595</v>
      </c>
      <c r="P51" s="1073">
        <v>1</v>
      </c>
      <c r="Q51" s="1073">
        <v>0</v>
      </c>
    </row>
    <row r="52" spans="1:158" ht="32.1" customHeight="1">
      <c r="A52" s="1052"/>
      <c r="B52" s="1404" t="s">
        <v>6837</v>
      </c>
      <c r="C52" s="1698">
        <v>1</v>
      </c>
      <c r="D52" s="1698">
        <v>1</v>
      </c>
      <c r="E52" s="1698">
        <v>0</v>
      </c>
      <c r="F52" s="1698">
        <v>1</v>
      </c>
      <c r="G52" s="1698">
        <v>1</v>
      </c>
      <c r="H52" s="1698">
        <v>1</v>
      </c>
      <c r="I52" s="1195" t="s">
        <v>38</v>
      </c>
      <c r="J52" s="1073" t="s">
        <v>6576</v>
      </c>
      <c r="K52" s="1073" t="s">
        <v>6259</v>
      </c>
      <c r="L52" s="1079" t="s">
        <v>748</v>
      </c>
      <c r="M52" s="1078" t="s">
        <v>946</v>
      </c>
      <c r="N52" s="1073" t="s">
        <v>811</v>
      </c>
      <c r="O52" s="1119" t="s">
        <v>5596</v>
      </c>
      <c r="P52" s="1073">
        <v>1</v>
      </c>
      <c r="Q52" s="1073">
        <v>0</v>
      </c>
    </row>
    <row r="53" spans="1:158" ht="32.1" customHeight="1">
      <c r="A53" s="1052"/>
      <c r="B53" s="1404" t="s">
        <v>83</v>
      </c>
      <c r="C53" s="1698">
        <v>1</v>
      </c>
      <c r="D53" s="1698">
        <v>0.5</v>
      </c>
      <c r="E53" s="1698">
        <v>0</v>
      </c>
      <c r="F53" s="1698">
        <v>1</v>
      </c>
      <c r="G53" s="1698">
        <v>0.5</v>
      </c>
      <c r="H53" s="1698">
        <v>0.5</v>
      </c>
      <c r="I53" s="1195" t="s">
        <v>38</v>
      </c>
      <c r="J53" s="1073" t="s">
        <v>949</v>
      </c>
      <c r="K53" s="1408" t="s">
        <v>6887</v>
      </c>
      <c r="L53" s="1079" t="s">
        <v>748</v>
      </c>
      <c r="M53" s="1078" t="s">
        <v>6056</v>
      </c>
      <c r="N53" s="1411" t="s">
        <v>6927</v>
      </c>
      <c r="O53" s="1600" t="s">
        <v>953</v>
      </c>
      <c r="P53" s="1073">
        <v>1</v>
      </c>
      <c r="Q53" s="1073">
        <v>0</v>
      </c>
    </row>
    <row r="54" spans="1:158" ht="32.1" customHeight="1">
      <c r="A54" s="1089" t="s">
        <v>5268</v>
      </c>
      <c r="B54" s="1063" t="s">
        <v>84</v>
      </c>
      <c r="C54" s="1479">
        <f t="shared" ref="C54:H54" si="11">AVERAGE(C55,C87,C95)</f>
        <v>0.73542518518518518</v>
      </c>
      <c r="D54" s="1479">
        <f t="shared" si="11"/>
        <v>0.82130740740740737</v>
      </c>
      <c r="E54" s="1479">
        <f t="shared" si="11"/>
        <v>0.40145296296296301</v>
      </c>
      <c r="F54" s="1479">
        <f t="shared" si="11"/>
        <v>0.74157777777777767</v>
      </c>
      <c r="G54" s="1479">
        <f t="shared" si="11"/>
        <v>0.65837777777777784</v>
      </c>
      <c r="H54" s="1479">
        <f t="shared" si="11"/>
        <v>0.45041666666666663</v>
      </c>
      <c r="I54" s="1755"/>
      <c r="J54" s="1065"/>
      <c r="K54" s="1064"/>
      <c r="L54" s="1125"/>
      <c r="M54" s="1064"/>
      <c r="N54" s="1064"/>
      <c r="O54" s="1064"/>
      <c r="P54" s="1064"/>
      <c r="Q54" s="1064"/>
    </row>
    <row r="55" spans="1:158" ht="32.1" customHeight="1">
      <c r="A55" s="1066" t="s">
        <v>85</v>
      </c>
      <c r="B55" s="1067" t="s">
        <v>86</v>
      </c>
      <c r="C55" s="1461">
        <f t="shared" ref="C55:H55" si="12">AVERAGE(C56,C63,C70,C76,C80)</f>
        <v>0.60738666666666674</v>
      </c>
      <c r="D55" s="1461">
        <f t="shared" si="12"/>
        <v>0.80086666666666662</v>
      </c>
      <c r="E55" s="1461">
        <f t="shared" si="12"/>
        <v>0.31405333333333335</v>
      </c>
      <c r="F55" s="1461">
        <f t="shared" si="12"/>
        <v>0.56473333333333342</v>
      </c>
      <c r="G55" s="1461">
        <f t="shared" si="12"/>
        <v>0.61596666666666666</v>
      </c>
      <c r="H55" s="1461">
        <f t="shared" si="12"/>
        <v>0.27999999999999997</v>
      </c>
      <c r="I55" s="1195"/>
      <c r="J55" s="1068"/>
      <c r="K55" s="1126"/>
      <c r="L55" s="1126"/>
      <c r="M55" s="1126"/>
      <c r="N55" s="1126"/>
      <c r="O55" s="1126"/>
      <c r="P55" s="1126"/>
      <c r="Q55" s="1126"/>
    </row>
    <row r="56" spans="1:158" ht="32.1" customHeight="1">
      <c r="A56" s="1066" t="s">
        <v>87</v>
      </c>
      <c r="B56" s="1067" t="s">
        <v>88</v>
      </c>
      <c r="C56" s="1461">
        <f t="shared" ref="C56:H56" si="13">AVERAGE(C57:C62)</f>
        <v>0.75</v>
      </c>
      <c r="D56" s="1461">
        <f t="shared" si="13"/>
        <v>1</v>
      </c>
      <c r="E56" s="1461">
        <f t="shared" si="13"/>
        <v>0.16666666666666666</v>
      </c>
      <c r="F56" s="1461">
        <f t="shared" si="13"/>
        <v>0.83333333333333337</v>
      </c>
      <c r="G56" s="1461">
        <f t="shared" si="13"/>
        <v>0.5</v>
      </c>
      <c r="H56" s="1461">
        <f t="shared" si="13"/>
        <v>0.16666666666666666</v>
      </c>
      <c r="I56" s="1195"/>
      <c r="J56" s="1068"/>
      <c r="K56" s="1126"/>
      <c r="L56" s="1126"/>
      <c r="M56" s="1126"/>
      <c r="N56" s="1126"/>
      <c r="O56" s="1126"/>
      <c r="P56" s="1126"/>
      <c r="Q56" s="1126"/>
    </row>
    <row r="57" spans="1:158" ht="32.1" customHeight="1">
      <c r="A57" s="1086"/>
      <c r="B57" s="1101" t="s">
        <v>89</v>
      </c>
      <c r="C57" s="1700">
        <v>1</v>
      </c>
      <c r="D57" s="1700">
        <v>1</v>
      </c>
      <c r="E57" s="1700">
        <v>0</v>
      </c>
      <c r="F57" s="1700">
        <v>1</v>
      </c>
      <c r="G57" s="1700">
        <v>1</v>
      </c>
      <c r="H57" s="1700">
        <v>0</v>
      </c>
      <c r="I57" s="1195" t="s">
        <v>38</v>
      </c>
      <c r="J57" s="1070" t="s">
        <v>6577</v>
      </c>
      <c r="K57" s="1070" t="s">
        <v>6260</v>
      </c>
      <c r="L57" s="1071" t="s">
        <v>5876</v>
      </c>
      <c r="M57" s="1072" t="s">
        <v>6057</v>
      </c>
      <c r="N57" s="1073" t="s">
        <v>5382</v>
      </c>
      <c r="O57" s="1073" t="s">
        <v>5597</v>
      </c>
      <c r="P57" s="1070">
        <v>1</v>
      </c>
      <c r="Q57" s="1070">
        <v>0</v>
      </c>
    </row>
    <row r="58" spans="1:158" ht="32.1" customHeight="1">
      <c r="A58" s="1086"/>
      <c r="B58" s="1701" t="s">
        <v>90</v>
      </c>
      <c r="C58" s="1700">
        <v>0.5</v>
      </c>
      <c r="D58" s="1700">
        <v>1</v>
      </c>
      <c r="E58" s="1700">
        <v>0</v>
      </c>
      <c r="F58" s="1700">
        <v>0.5</v>
      </c>
      <c r="G58" s="1700">
        <v>0.5</v>
      </c>
      <c r="H58" s="1700">
        <v>0</v>
      </c>
      <c r="I58" s="1195" t="s">
        <v>91</v>
      </c>
      <c r="J58" s="1393" t="s">
        <v>6578</v>
      </c>
      <c r="K58" s="1070" t="s">
        <v>6261</v>
      </c>
      <c r="L58" s="1071" t="s">
        <v>748</v>
      </c>
      <c r="M58" s="1070" t="s">
        <v>6058</v>
      </c>
      <c r="N58" s="1073" t="s">
        <v>5383</v>
      </c>
      <c r="O58" s="1073" t="s">
        <v>5598</v>
      </c>
      <c r="P58" s="1070">
        <v>1</v>
      </c>
      <c r="Q58" s="1070">
        <v>0</v>
      </c>
    </row>
    <row r="59" spans="1:158" ht="32.1" customHeight="1">
      <c r="A59" s="1086"/>
      <c r="B59" s="1101" t="s">
        <v>92</v>
      </c>
      <c r="C59" s="1700">
        <v>0</v>
      </c>
      <c r="D59" s="1700">
        <v>1</v>
      </c>
      <c r="E59" s="1700">
        <v>0</v>
      </c>
      <c r="F59" s="1700">
        <v>0.5</v>
      </c>
      <c r="G59" s="1700">
        <v>0.5</v>
      </c>
      <c r="H59" s="1700">
        <v>0</v>
      </c>
      <c r="I59" s="1757" t="s">
        <v>93</v>
      </c>
      <c r="J59" s="1070" t="s">
        <v>6579</v>
      </c>
      <c r="K59" s="1070" t="s">
        <v>6262</v>
      </c>
      <c r="L59" s="1071" t="s">
        <v>5877</v>
      </c>
      <c r="M59" s="1396" t="s">
        <v>6786</v>
      </c>
      <c r="N59" s="1073" t="s">
        <v>5384</v>
      </c>
      <c r="O59" s="1073" t="s">
        <v>5599</v>
      </c>
      <c r="P59" s="1070">
        <v>1</v>
      </c>
      <c r="Q59" s="1070">
        <v>0</v>
      </c>
    </row>
    <row r="60" spans="1:158" ht="32.1" customHeight="1">
      <c r="A60" s="1086"/>
      <c r="B60" s="1128" t="s">
        <v>94</v>
      </c>
      <c r="C60" s="1700">
        <v>1</v>
      </c>
      <c r="D60" s="1700">
        <v>1</v>
      </c>
      <c r="E60" s="1700">
        <v>0</v>
      </c>
      <c r="F60" s="1700">
        <v>1</v>
      </c>
      <c r="G60" s="1700">
        <v>0</v>
      </c>
      <c r="H60" s="1702">
        <v>0</v>
      </c>
      <c r="I60" s="1752" t="s">
        <v>95</v>
      </c>
      <c r="J60" s="1070" t="s">
        <v>6580</v>
      </c>
      <c r="K60" s="1393" t="s">
        <v>6263</v>
      </c>
      <c r="L60" s="1071" t="s">
        <v>5878</v>
      </c>
      <c r="M60" s="1075" t="s">
        <v>1600</v>
      </c>
      <c r="N60" s="1394" t="s">
        <v>5385</v>
      </c>
      <c r="O60" s="1075" t="s">
        <v>5600</v>
      </c>
      <c r="P60" s="1073">
        <v>1</v>
      </c>
      <c r="Q60" s="1073">
        <v>0</v>
      </c>
    </row>
    <row r="61" spans="1:158" ht="32.1" customHeight="1">
      <c r="A61" s="1086"/>
      <c r="B61" s="1101" t="s">
        <v>96</v>
      </c>
      <c r="C61" s="1700">
        <v>1</v>
      </c>
      <c r="D61" s="1700">
        <v>1</v>
      </c>
      <c r="E61" s="1700">
        <v>0</v>
      </c>
      <c r="F61" s="1700">
        <v>1</v>
      </c>
      <c r="G61" s="1700">
        <v>0</v>
      </c>
      <c r="H61" s="1702">
        <v>0</v>
      </c>
      <c r="I61" s="1752" t="s">
        <v>38</v>
      </c>
      <c r="J61" s="1393" t="s">
        <v>6581</v>
      </c>
      <c r="K61" s="1393" t="s">
        <v>6264</v>
      </c>
      <c r="L61" s="1071" t="s">
        <v>5879</v>
      </c>
      <c r="M61" s="1396" t="s">
        <v>6059</v>
      </c>
      <c r="N61" s="1394" t="s">
        <v>5386</v>
      </c>
      <c r="O61" s="1394" t="s">
        <v>5601</v>
      </c>
      <c r="P61" s="1070">
        <v>1</v>
      </c>
      <c r="Q61" s="1070">
        <v>0</v>
      </c>
    </row>
    <row r="62" spans="1:158" s="1088" customFormat="1" ht="32.1" customHeight="1">
      <c r="A62" s="1086"/>
      <c r="B62" s="1128" t="s">
        <v>97</v>
      </c>
      <c r="C62" s="1456">
        <v>1</v>
      </c>
      <c r="D62" s="1456">
        <v>1</v>
      </c>
      <c r="E62" s="1483">
        <v>1</v>
      </c>
      <c r="F62" s="1483">
        <v>1</v>
      </c>
      <c r="G62" s="1483">
        <v>1</v>
      </c>
      <c r="H62" s="1484">
        <v>1</v>
      </c>
      <c r="I62" s="1752" t="s">
        <v>38</v>
      </c>
      <c r="J62" s="1072" t="s">
        <v>6582</v>
      </c>
      <c r="K62" s="1401" t="s">
        <v>6265</v>
      </c>
      <c r="L62" s="1071" t="s">
        <v>5880</v>
      </c>
      <c r="M62" s="1069" t="s">
        <v>6060</v>
      </c>
      <c r="N62" s="1102" t="s">
        <v>5387</v>
      </c>
      <c r="O62" s="1102" t="s">
        <v>5602</v>
      </c>
      <c r="P62" s="1072">
        <v>1</v>
      </c>
      <c r="Q62" s="1072">
        <v>0</v>
      </c>
      <c r="R62" s="1081"/>
      <c r="S62" s="1082"/>
      <c r="T62" s="1082"/>
      <c r="U62" s="1082"/>
      <c r="V62" s="1082"/>
      <c r="W62" s="1082"/>
      <c r="X62" s="1082"/>
      <c r="Y62" s="1082"/>
      <c r="Z62" s="1082"/>
      <c r="AA62" s="1082"/>
      <c r="AB62" s="1082"/>
      <c r="AC62" s="1082"/>
      <c r="AD62" s="1082"/>
      <c r="AE62" s="1082"/>
      <c r="AF62" s="1082"/>
      <c r="AG62" s="1082"/>
      <c r="AH62" s="1082"/>
      <c r="AI62" s="1082"/>
      <c r="AJ62" s="1082"/>
      <c r="AK62" s="1082"/>
      <c r="AL62" s="1082"/>
      <c r="AM62" s="1082"/>
      <c r="AN62" s="1082"/>
      <c r="AO62" s="1082"/>
      <c r="AP62" s="1082"/>
      <c r="AQ62" s="1082"/>
      <c r="AR62" s="1082"/>
      <c r="AS62" s="1082"/>
      <c r="AT62" s="1082"/>
      <c r="AU62" s="1082"/>
      <c r="AV62" s="1082"/>
      <c r="AW62" s="1082"/>
      <c r="AX62" s="1082"/>
      <c r="AY62" s="1082"/>
      <c r="AZ62" s="1082"/>
      <c r="BA62" s="1082"/>
      <c r="BB62" s="1082"/>
      <c r="BC62" s="1082"/>
      <c r="BD62" s="1082"/>
      <c r="BE62" s="1082"/>
      <c r="BF62" s="1082"/>
      <c r="BG62" s="1082"/>
      <c r="BH62" s="1082"/>
      <c r="BI62" s="1082"/>
      <c r="BJ62" s="1082"/>
      <c r="BK62" s="1082"/>
      <c r="BL62" s="1082"/>
      <c r="BM62" s="1082"/>
      <c r="BN62" s="1082"/>
      <c r="BO62" s="1082"/>
      <c r="BP62" s="1082"/>
      <c r="BQ62" s="1082"/>
      <c r="BR62" s="1082"/>
      <c r="BS62" s="1082"/>
      <c r="BT62" s="1082"/>
      <c r="BU62" s="1082"/>
      <c r="BV62" s="1082"/>
      <c r="BW62" s="1082"/>
      <c r="BX62" s="1082"/>
      <c r="BY62" s="1082"/>
      <c r="BZ62" s="1082"/>
      <c r="CA62" s="1082"/>
      <c r="CB62" s="1082"/>
      <c r="CC62" s="1082"/>
      <c r="CD62" s="1082"/>
      <c r="CE62" s="1082"/>
      <c r="CF62" s="1082"/>
      <c r="CG62" s="1082"/>
      <c r="CH62" s="1082"/>
      <c r="CI62" s="1082"/>
      <c r="CJ62" s="1082"/>
      <c r="CK62" s="1082"/>
      <c r="CL62" s="1082"/>
      <c r="CM62" s="1082"/>
      <c r="CN62" s="1082"/>
      <c r="CO62" s="1082"/>
      <c r="CP62" s="1082"/>
      <c r="CQ62" s="1082"/>
      <c r="CR62" s="1082"/>
      <c r="CS62" s="1082"/>
      <c r="CT62" s="1082"/>
      <c r="CU62" s="1082"/>
      <c r="CV62" s="1082"/>
      <c r="CW62" s="1082"/>
      <c r="CX62" s="1082"/>
      <c r="CY62" s="1082"/>
      <c r="CZ62" s="1082"/>
      <c r="DA62" s="1082"/>
      <c r="DB62" s="1082"/>
      <c r="DC62" s="1082"/>
      <c r="DD62" s="1082"/>
      <c r="DE62" s="1082"/>
      <c r="DF62" s="1082"/>
      <c r="DG62" s="1082"/>
      <c r="DH62" s="1082"/>
      <c r="DI62" s="1082"/>
      <c r="DJ62" s="1082"/>
      <c r="DK62" s="1082"/>
      <c r="DL62" s="1082"/>
      <c r="DM62" s="1082"/>
      <c r="DN62" s="1082"/>
      <c r="DO62" s="1082"/>
      <c r="DP62" s="1082"/>
      <c r="DQ62" s="1082"/>
      <c r="DR62" s="1082"/>
      <c r="DS62" s="1082"/>
      <c r="DT62" s="1082"/>
      <c r="DU62" s="1082"/>
      <c r="DV62" s="1082"/>
      <c r="DW62" s="1082"/>
      <c r="DX62" s="1082"/>
      <c r="DY62" s="1082"/>
      <c r="DZ62" s="1082"/>
      <c r="EA62" s="1082"/>
      <c r="EB62" s="1082"/>
      <c r="EC62" s="1082"/>
      <c r="ED62" s="1082"/>
      <c r="EE62" s="1082"/>
      <c r="EF62" s="1082"/>
      <c r="EG62" s="1082"/>
      <c r="EH62" s="1082"/>
      <c r="EI62" s="1082"/>
      <c r="EJ62" s="1082"/>
      <c r="EK62" s="1082"/>
      <c r="EL62" s="1082"/>
      <c r="EM62" s="1082"/>
      <c r="EN62" s="1082"/>
      <c r="EO62" s="1082"/>
      <c r="EP62" s="1082"/>
      <c r="EQ62" s="1082"/>
      <c r="ER62" s="1082"/>
      <c r="ES62" s="1082"/>
      <c r="ET62" s="1082"/>
      <c r="EU62" s="1082"/>
      <c r="EV62" s="1082"/>
      <c r="EW62" s="1082"/>
      <c r="EX62" s="1082"/>
      <c r="EY62" s="1082"/>
      <c r="EZ62" s="1082"/>
      <c r="FA62" s="1082"/>
      <c r="FB62" s="1082"/>
    </row>
    <row r="63" spans="1:158" ht="32.1" customHeight="1">
      <c r="A63" s="1129" t="s">
        <v>98</v>
      </c>
      <c r="B63" s="1067" t="s">
        <v>99</v>
      </c>
      <c r="C63" s="1455">
        <f t="shared" ref="C63:H63" si="14">AVERAGE(C64:C69)</f>
        <v>0.58333333333333337</v>
      </c>
      <c r="D63" s="1455">
        <f t="shared" si="14"/>
        <v>0.91666666666666663</v>
      </c>
      <c r="E63" s="1455">
        <f t="shared" si="14"/>
        <v>0</v>
      </c>
      <c r="F63" s="1455">
        <f t="shared" si="14"/>
        <v>0.91666666666666663</v>
      </c>
      <c r="G63" s="1455">
        <f t="shared" si="14"/>
        <v>0.91666666666666663</v>
      </c>
      <c r="H63" s="1454">
        <f t="shared" si="14"/>
        <v>0.33333333333333331</v>
      </c>
      <c r="I63" s="1752"/>
      <c r="J63" s="1130"/>
      <c r="K63" s="1131"/>
      <c r="L63" s="1131"/>
      <c r="M63" s="1131"/>
      <c r="N63" s="1131"/>
      <c r="O63" s="1131"/>
      <c r="P63" s="1131"/>
      <c r="Q63" s="1131"/>
    </row>
    <row r="64" spans="1:158" s="1088" customFormat="1" ht="32.1" customHeight="1">
      <c r="A64" s="1132"/>
      <c r="B64" s="1128" t="s">
        <v>5330</v>
      </c>
      <c r="C64" s="1453">
        <v>0.5</v>
      </c>
      <c r="D64" s="1453">
        <v>0.5</v>
      </c>
      <c r="E64" s="1453">
        <v>0</v>
      </c>
      <c r="F64" s="1485">
        <v>0.5</v>
      </c>
      <c r="G64" s="1453">
        <v>0.5</v>
      </c>
      <c r="H64" s="1452">
        <v>0</v>
      </c>
      <c r="I64" s="1752" t="s">
        <v>5329</v>
      </c>
      <c r="J64" s="1072" t="s">
        <v>6583</v>
      </c>
      <c r="K64" s="1072" t="s">
        <v>6266</v>
      </c>
      <c r="L64" s="1071" t="s">
        <v>5881</v>
      </c>
      <c r="M64" s="1075" t="s">
        <v>6061</v>
      </c>
      <c r="N64" s="1102" t="s">
        <v>5388</v>
      </c>
      <c r="O64" s="1102" t="s">
        <v>5603</v>
      </c>
      <c r="P64" s="1072">
        <v>1</v>
      </c>
      <c r="Q64" s="1072">
        <v>0</v>
      </c>
      <c r="R64" s="1081"/>
      <c r="S64" s="1082"/>
      <c r="T64" s="1082"/>
      <c r="U64" s="1082"/>
      <c r="V64" s="1082"/>
      <c r="W64" s="1082"/>
      <c r="X64" s="1082"/>
      <c r="Y64" s="1082"/>
      <c r="Z64" s="1082"/>
      <c r="AA64" s="1082"/>
      <c r="AB64" s="1082"/>
      <c r="AC64" s="1082"/>
      <c r="AD64" s="1082"/>
      <c r="AE64" s="1082"/>
      <c r="AF64" s="1082"/>
      <c r="AG64" s="1082"/>
      <c r="AH64" s="1082"/>
      <c r="AI64" s="1082"/>
      <c r="AJ64" s="1082"/>
      <c r="AK64" s="1082"/>
      <c r="AL64" s="1082"/>
      <c r="AM64" s="1082"/>
      <c r="AN64" s="1082"/>
      <c r="AO64" s="1082"/>
      <c r="AP64" s="1082"/>
      <c r="AQ64" s="1082"/>
      <c r="AR64" s="1082"/>
      <c r="AS64" s="1082"/>
      <c r="AT64" s="1082"/>
      <c r="AU64" s="1082"/>
      <c r="AV64" s="1082"/>
      <c r="AW64" s="1082"/>
      <c r="AX64" s="1082"/>
      <c r="AY64" s="1082"/>
      <c r="AZ64" s="1082"/>
      <c r="BA64" s="1082"/>
      <c r="BB64" s="1082"/>
      <c r="BC64" s="1082"/>
      <c r="BD64" s="1082"/>
      <c r="BE64" s="1082"/>
      <c r="BF64" s="1082"/>
      <c r="BG64" s="1082"/>
      <c r="BH64" s="1082"/>
      <c r="BI64" s="1082"/>
      <c r="BJ64" s="1082"/>
      <c r="BK64" s="1082"/>
      <c r="BL64" s="1082"/>
      <c r="BM64" s="1082"/>
      <c r="BN64" s="1082"/>
      <c r="BO64" s="1082"/>
      <c r="BP64" s="1082"/>
      <c r="BQ64" s="1082"/>
      <c r="BR64" s="1082"/>
      <c r="BS64" s="1082"/>
      <c r="BT64" s="1082"/>
      <c r="BU64" s="1082"/>
      <c r="BV64" s="1082"/>
      <c r="BW64" s="1082"/>
      <c r="BX64" s="1082"/>
      <c r="BY64" s="1082"/>
      <c r="BZ64" s="1082"/>
      <c r="CA64" s="1082"/>
      <c r="CB64" s="1082"/>
      <c r="CC64" s="1082"/>
      <c r="CD64" s="1082"/>
      <c r="CE64" s="1082"/>
      <c r="CF64" s="1082"/>
      <c r="CG64" s="1082"/>
      <c r="CH64" s="1082"/>
      <c r="CI64" s="1082"/>
      <c r="CJ64" s="1082"/>
      <c r="CK64" s="1082"/>
      <c r="CL64" s="1082"/>
      <c r="CM64" s="1082"/>
      <c r="CN64" s="1082"/>
      <c r="CO64" s="1082"/>
      <c r="CP64" s="1082"/>
      <c r="CQ64" s="1082"/>
      <c r="CR64" s="1082"/>
      <c r="CS64" s="1082"/>
      <c r="CT64" s="1082"/>
      <c r="CU64" s="1082"/>
      <c r="CV64" s="1082"/>
      <c r="CW64" s="1082"/>
      <c r="CX64" s="1082"/>
      <c r="CY64" s="1082"/>
      <c r="CZ64" s="1082"/>
      <c r="DA64" s="1082"/>
      <c r="DB64" s="1082"/>
      <c r="DC64" s="1082"/>
      <c r="DD64" s="1082"/>
      <c r="DE64" s="1082"/>
      <c r="DF64" s="1082"/>
      <c r="DG64" s="1082"/>
      <c r="DH64" s="1082"/>
      <c r="DI64" s="1082"/>
      <c r="DJ64" s="1082"/>
      <c r="DK64" s="1082"/>
      <c r="DL64" s="1082"/>
      <c r="DM64" s="1082"/>
      <c r="DN64" s="1082"/>
      <c r="DO64" s="1082"/>
      <c r="DP64" s="1082"/>
      <c r="DQ64" s="1082"/>
      <c r="DR64" s="1082"/>
      <c r="DS64" s="1082"/>
      <c r="DT64" s="1082"/>
      <c r="DU64" s="1082"/>
      <c r="DV64" s="1082"/>
      <c r="DW64" s="1082"/>
      <c r="DX64" s="1082"/>
      <c r="DY64" s="1082"/>
      <c r="DZ64" s="1082"/>
      <c r="EA64" s="1082"/>
      <c r="EB64" s="1082"/>
      <c r="EC64" s="1082"/>
      <c r="ED64" s="1082"/>
      <c r="EE64" s="1082"/>
      <c r="EF64" s="1082"/>
      <c r="EG64" s="1082"/>
      <c r="EH64" s="1082"/>
      <c r="EI64" s="1082"/>
      <c r="EJ64" s="1082"/>
      <c r="EK64" s="1082"/>
      <c r="EL64" s="1082"/>
      <c r="EM64" s="1082"/>
      <c r="EN64" s="1082"/>
      <c r="EO64" s="1082"/>
      <c r="EP64" s="1082"/>
      <c r="EQ64" s="1082"/>
      <c r="ER64" s="1082"/>
      <c r="ES64" s="1082"/>
      <c r="ET64" s="1082"/>
      <c r="EU64" s="1082"/>
      <c r="EV64" s="1082"/>
      <c r="EW64" s="1082"/>
      <c r="EX64" s="1082"/>
      <c r="EY64" s="1082"/>
      <c r="EZ64" s="1082"/>
      <c r="FA64" s="1082"/>
      <c r="FB64" s="1082"/>
    </row>
    <row r="65" spans="1:158" ht="32.1" customHeight="1">
      <c r="A65" s="1086"/>
      <c r="B65" s="1101" t="s">
        <v>100</v>
      </c>
      <c r="C65" s="1703">
        <v>0</v>
      </c>
      <c r="D65" s="1703">
        <v>1</v>
      </c>
      <c r="E65" s="1453">
        <v>0</v>
      </c>
      <c r="F65" s="1453">
        <v>1</v>
      </c>
      <c r="G65" s="1703">
        <v>1</v>
      </c>
      <c r="H65" s="1704">
        <v>0</v>
      </c>
      <c r="I65" s="1752" t="s">
        <v>101</v>
      </c>
      <c r="J65" s="1070" t="s">
        <v>6584</v>
      </c>
      <c r="K65" s="1393" t="s">
        <v>6267</v>
      </c>
      <c r="L65" s="1409" t="s">
        <v>6821</v>
      </c>
      <c r="M65" s="1078" t="s">
        <v>6062</v>
      </c>
      <c r="N65" s="1073" t="s">
        <v>5389</v>
      </c>
      <c r="O65" s="1075" t="s">
        <v>5604</v>
      </c>
      <c r="P65" s="1070">
        <v>1</v>
      </c>
      <c r="Q65" s="1070">
        <v>0</v>
      </c>
    </row>
    <row r="66" spans="1:158" ht="32.1" customHeight="1">
      <c r="A66" s="1086"/>
      <c r="B66" s="1101" t="s">
        <v>102</v>
      </c>
      <c r="C66" s="1453">
        <v>1</v>
      </c>
      <c r="D66" s="1453">
        <v>1</v>
      </c>
      <c r="E66" s="1453">
        <v>0</v>
      </c>
      <c r="F66" s="1485">
        <v>1</v>
      </c>
      <c r="G66" s="1485">
        <v>1</v>
      </c>
      <c r="H66" s="1705">
        <v>0</v>
      </c>
      <c r="I66" s="1752" t="s">
        <v>103</v>
      </c>
      <c r="J66" s="1070" t="s">
        <v>1635</v>
      </c>
      <c r="K66" s="1393" t="s">
        <v>6268</v>
      </c>
      <c r="L66" s="1071" t="s">
        <v>748</v>
      </c>
      <c r="M66" s="1069" t="s">
        <v>6063</v>
      </c>
      <c r="N66" s="1408" t="s">
        <v>1638</v>
      </c>
      <c r="O66" s="1408" t="s">
        <v>5605</v>
      </c>
      <c r="P66" s="1070">
        <v>1</v>
      </c>
      <c r="Q66" s="1070">
        <v>0</v>
      </c>
    </row>
    <row r="67" spans="1:158" ht="32.1" customHeight="1">
      <c r="A67" s="1086"/>
      <c r="B67" s="1101" t="s">
        <v>104</v>
      </c>
      <c r="C67" s="1456">
        <v>0</v>
      </c>
      <c r="D67" s="1456">
        <v>1</v>
      </c>
      <c r="E67" s="1456">
        <v>0</v>
      </c>
      <c r="F67" s="1456">
        <v>1</v>
      </c>
      <c r="G67" s="1459">
        <v>1</v>
      </c>
      <c r="H67" s="1706">
        <v>0</v>
      </c>
      <c r="I67" s="1752" t="s">
        <v>38</v>
      </c>
      <c r="J67" s="1070" t="s">
        <v>1640</v>
      </c>
      <c r="K67" s="1070" t="s">
        <v>6269</v>
      </c>
      <c r="L67" s="1071" t="s">
        <v>748</v>
      </c>
      <c r="M67" s="1072" t="s">
        <v>6787</v>
      </c>
      <c r="N67" s="1070" t="s">
        <v>1642</v>
      </c>
      <c r="O67" s="1070" t="s">
        <v>5606</v>
      </c>
      <c r="P67" s="1070">
        <v>1</v>
      </c>
      <c r="Q67" s="1070">
        <v>0</v>
      </c>
    </row>
    <row r="68" spans="1:158" ht="32.1" customHeight="1">
      <c r="A68" s="1086"/>
      <c r="B68" s="1101" t="s">
        <v>105</v>
      </c>
      <c r="C68" s="1456">
        <v>1</v>
      </c>
      <c r="D68" s="1456">
        <v>1</v>
      </c>
      <c r="E68" s="1456">
        <v>0</v>
      </c>
      <c r="F68" s="1456">
        <v>1</v>
      </c>
      <c r="G68" s="1483">
        <v>1</v>
      </c>
      <c r="H68" s="1484">
        <v>1</v>
      </c>
      <c r="I68" s="1752" t="s">
        <v>38</v>
      </c>
      <c r="J68" s="1070" t="s">
        <v>1643</v>
      </c>
      <c r="K68" s="1070" t="s">
        <v>6270</v>
      </c>
      <c r="L68" s="1071" t="s">
        <v>748</v>
      </c>
      <c r="M68" s="1069" t="s">
        <v>1646</v>
      </c>
      <c r="N68" s="1070" t="s">
        <v>5390</v>
      </c>
      <c r="O68" s="1070" t="s">
        <v>5607</v>
      </c>
      <c r="P68" s="1073">
        <v>1</v>
      </c>
      <c r="Q68" s="1073">
        <v>0</v>
      </c>
    </row>
    <row r="69" spans="1:158" ht="32.1" customHeight="1">
      <c r="A69" s="1086"/>
      <c r="B69" s="1101" t="s">
        <v>106</v>
      </c>
      <c r="C69" s="1442">
        <v>1</v>
      </c>
      <c r="D69" s="1442">
        <v>1</v>
      </c>
      <c r="E69" s="1442">
        <v>0</v>
      </c>
      <c r="F69" s="1442">
        <v>1</v>
      </c>
      <c r="G69" s="1442">
        <v>1</v>
      </c>
      <c r="H69" s="1707">
        <v>1</v>
      </c>
      <c r="I69" s="1752" t="s">
        <v>38</v>
      </c>
      <c r="J69" s="1070" t="s">
        <v>1655</v>
      </c>
      <c r="K69" s="1070" t="s">
        <v>6271</v>
      </c>
      <c r="L69" s="1071" t="s">
        <v>5882</v>
      </c>
      <c r="M69" s="1069" t="s">
        <v>6064</v>
      </c>
      <c r="N69" s="1073" t="s">
        <v>5391</v>
      </c>
      <c r="O69" s="1073" t="s">
        <v>5608</v>
      </c>
      <c r="P69" s="1070">
        <v>1</v>
      </c>
      <c r="Q69" s="1070">
        <v>0</v>
      </c>
    </row>
    <row r="70" spans="1:158" ht="32.1" customHeight="1">
      <c r="A70" s="1066" t="s">
        <v>107</v>
      </c>
      <c r="B70" s="1067" t="s">
        <v>108</v>
      </c>
      <c r="C70" s="1461">
        <f t="shared" ref="C70:H70" si="15">AVERAGE(C71:C75)</f>
        <v>0.8</v>
      </c>
      <c r="D70" s="1461">
        <f t="shared" si="15"/>
        <v>0.8</v>
      </c>
      <c r="E70" s="1461">
        <f t="shared" si="15"/>
        <v>0.4</v>
      </c>
      <c r="F70" s="1461">
        <f t="shared" si="15"/>
        <v>0.6</v>
      </c>
      <c r="G70" s="1461">
        <f t="shared" si="15"/>
        <v>0.6</v>
      </c>
      <c r="H70" s="1460">
        <f t="shared" si="15"/>
        <v>0.4</v>
      </c>
      <c r="I70" s="1752"/>
      <c r="J70" s="1130"/>
      <c r="K70" s="1131"/>
      <c r="L70" s="1131"/>
      <c r="M70" s="1131"/>
      <c r="N70" s="1131"/>
      <c r="O70" s="1131"/>
      <c r="P70" s="1131"/>
      <c r="Q70" s="1131"/>
    </row>
    <row r="71" spans="1:158" s="1088" customFormat="1" ht="32.1" customHeight="1">
      <c r="A71" s="1086"/>
      <c r="B71" s="1101" t="s">
        <v>109</v>
      </c>
      <c r="C71" s="1456">
        <v>0</v>
      </c>
      <c r="D71" s="1456">
        <v>0</v>
      </c>
      <c r="E71" s="1456">
        <v>0</v>
      </c>
      <c r="F71" s="1485">
        <v>1</v>
      </c>
      <c r="G71" s="1456">
        <v>0</v>
      </c>
      <c r="H71" s="1445">
        <v>0</v>
      </c>
      <c r="I71" s="1752" t="s">
        <v>1662</v>
      </c>
      <c r="J71" s="1072" t="s">
        <v>1663</v>
      </c>
      <c r="K71" s="1582" t="s">
        <v>6272</v>
      </c>
      <c r="L71" s="1079" t="s">
        <v>748</v>
      </c>
      <c r="M71" s="1395" t="s">
        <v>6065</v>
      </c>
      <c r="N71" s="1134" t="s">
        <v>5392</v>
      </c>
      <c r="O71" s="1134" t="s">
        <v>5609</v>
      </c>
      <c r="P71" s="1072">
        <v>1</v>
      </c>
      <c r="Q71" s="1072">
        <v>0</v>
      </c>
      <c r="R71" s="1081"/>
      <c r="S71" s="1082"/>
      <c r="T71" s="1082"/>
      <c r="U71" s="1082"/>
      <c r="V71" s="1082"/>
      <c r="W71" s="1082"/>
      <c r="X71" s="1082"/>
      <c r="Y71" s="1082"/>
      <c r="Z71" s="1082"/>
      <c r="AA71" s="1082"/>
      <c r="AB71" s="1082"/>
      <c r="AC71" s="1082"/>
      <c r="AD71" s="1082"/>
      <c r="AE71" s="1082"/>
      <c r="AF71" s="1082"/>
      <c r="AG71" s="1082"/>
      <c r="AH71" s="1082"/>
      <c r="AI71" s="1082"/>
      <c r="AJ71" s="1082"/>
      <c r="AK71" s="1082"/>
      <c r="AL71" s="1082"/>
      <c r="AM71" s="1082"/>
      <c r="AN71" s="1082"/>
      <c r="AO71" s="1082"/>
      <c r="AP71" s="1082"/>
      <c r="AQ71" s="1082"/>
      <c r="AR71" s="1082"/>
      <c r="AS71" s="1082"/>
      <c r="AT71" s="1082"/>
      <c r="AU71" s="1082"/>
      <c r="AV71" s="1082"/>
      <c r="AW71" s="1082"/>
      <c r="AX71" s="1082"/>
      <c r="AY71" s="1082"/>
      <c r="AZ71" s="1082"/>
      <c r="BA71" s="1082"/>
      <c r="BB71" s="1082"/>
      <c r="BC71" s="1082"/>
      <c r="BD71" s="1082"/>
      <c r="BE71" s="1082"/>
      <c r="BF71" s="1082"/>
      <c r="BG71" s="1082"/>
      <c r="BH71" s="1082"/>
      <c r="BI71" s="1082"/>
      <c r="BJ71" s="1082"/>
      <c r="BK71" s="1082"/>
      <c r="BL71" s="1082"/>
      <c r="BM71" s="1082"/>
      <c r="BN71" s="1082"/>
      <c r="BO71" s="1082"/>
      <c r="BP71" s="1082"/>
      <c r="BQ71" s="1082"/>
      <c r="BR71" s="1082"/>
      <c r="BS71" s="1082"/>
      <c r="BT71" s="1082"/>
      <c r="BU71" s="1082"/>
      <c r="BV71" s="1082"/>
      <c r="BW71" s="1082"/>
      <c r="BX71" s="1082"/>
      <c r="BY71" s="1082"/>
      <c r="BZ71" s="1082"/>
      <c r="CA71" s="1082"/>
      <c r="CB71" s="1082"/>
      <c r="CC71" s="1082"/>
      <c r="CD71" s="1082"/>
      <c r="CE71" s="1082"/>
      <c r="CF71" s="1082"/>
      <c r="CG71" s="1082"/>
      <c r="CH71" s="1082"/>
      <c r="CI71" s="1082"/>
      <c r="CJ71" s="1082"/>
      <c r="CK71" s="1082"/>
      <c r="CL71" s="1082"/>
      <c r="CM71" s="1082"/>
      <c r="CN71" s="1082"/>
      <c r="CO71" s="1082"/>
      <c r="CP71" s="1082"/>
      <c r="CQ71" s="1082"/>
      <c r="CR71" s="1082"/>
      <c r="CS71" s="1082"/>
      <c r="CT71" s="1082"/>
      <c r="CU71" s="1082"/>
      <c r="CV71" s="1082"/>
      <c r="CW71" s="1082"/>
      <c r="CX71" s="1082"/>
      <c r="CY71" s="1082"/>
      <c r="CZ71" s="1082"/>
      <c r="DA71" s="1082"/>
      <c r="DB71" s="1082"/>
      <c r="DC71" s="1082"/>
      <c r="DD71" s="1082"/>
      <c r="DE71" s="1082"/>
      <c r="DF71" s="1082"/>
      <c r="DG71" s="1082"/>
      <c r="DH71" s="1082"/>
      <c r="DI71" s="1082"/>
      <c r="DJ71" s="1082"/>
      <c r="DK71" s="1082"/>
      <c r="DL71" s="1082"/>
      <c r="DM71" s="1082"/>
      <c r="DN71" s="1082"/>
      <c r="DO71" s="1082"/>
      <c r="DP71" s="1082"/>
      <c r="DQ71" s="1082"/>
      <c r="DR71" s="1082"/>
      <c r="DS71" s="1082"/>
      <c r="DT71" s="1082"/>
      <c r="DU71" s="1082"/>
      <c r="DV71" s="1082"/>
      <c r="DW71" s="1082"/>
      <c r="DX71" s="1082"/>
      <c r="DY71" s="1082"/>
      <c r="DZ71" s="1082"/>
      <c r="EA71" s="1082"/>
      <c r="EB71" s="1082"/>
      <c r="EC71" s="1082"/>
      <c r="ED71" s="1082"/>
      <c r="EE71" s="1082"/>
      <c r="EF71" s="1082"/>
      <c r="EG71" s="1082"/>
      <c r="EH71" s="1082"/>
      <c r="EI71" s="1082"/>
      <c r="EJ71" s="1082"/>
      <c r="EK71" s="1082"/>
      <c r="EL71" s="1082"/>
      <c r="EM71" s="1082"/>
      <c r="EN71" s="1082"/>
      <c r="EO71" s="1082"/>
      <c r="EP71" s="1082"/>
      <c r="EQ71" s="1082"/>
      <c r="ER71" s="1082"/>
      <c r="ES71" s="1082"/>
      <c r="ET71" s="1082"/>
      <c r="EU71" s="1082"/>
      <c r="EV71" s="1082"/>
      <c r="EW71" s="1082"/>
      <c r="EX71" s="1082"/>
      <c r="EY71" s="1082"/>
      <c r="EZ71" s="1082"/>
      <c r="FA71" s="1082"/>
      <c r="FB71" s="1082"/>
    </row>
    <row r="72" spans="1:158" s="1088" customFormat="1" ht="32.1" customHeight="1">
      <c r="A72" s="1086"/>
      <c r="B72" s="1101" t="s">
        <v>5348</v>
      </c>
      <c r="C72" s="1456">
        <v>1</v>
      </c>
      <c r="D72" s="1456">
        <v>1</v>
      </c>
      <c r="E72" s="1456">
        <v>0</v>
      </c>
      <c r="F72" s="1485">
        <v>0</v>
      </c>
      <c r="G72" s="1456">
        <v>0</v>
      </c>
      <c r="H72" s="1445">
        <v>0</v>
      </c>
      <c r="I72" s="1752" t="s">
        <v>38</v>
      </c>
      <c r="J72" s="1072" t="s">
        <v>6585</v>
      </c>
      <c r="K72" s="1133" t="s">
        <v>6273</v>
      </c>
      <c r="L72" s="1079" t="s">
        <v>748</v>
      </c>
      <c r="M72" s="1072" t="s">
        <v>6066</v>
      </c>
      <c r="N72" s="1134" t="s">
        <v>5393</v>
      </c>
      <c r="O72" s="1134" t="s">
        <v>5610</v>
      </c>
      <c r="P72" s="1072">
        <v>1</v>
      </c>
      <c r="Q72" s="1072">
        <v>0</v>
      </c>
      <c r="R72" s="1081"/>
      <c r="S72" s="1082"/>
      <c r="T72" s="1082"/>
      <c r="U72" s="1082"/>
      <c r="V72" s="1082"/>
      <c r="W72" s="1082"/>
      <c r="X72" s="1082"/>
      <c r="Y72" s="1082"/>
      <c r="Z72" s="1082"/>
      <c r="AA72" s="1082"/>
      <c r="AB72" s="1082"/>
      <c r="AC72" s="1082"/>
      <c r="AD72" s="1082"/>
      <c r="AE72" s="1082"/>
      <c r="AF72" s="1082"/>
      <c r="AG72" s="1082"/>
      <c r="AH72" s="1082"/>
      <c r="AI72" s="1082"/>
      <c r="AJ72" s="1082"/>
      <c r="AK72" s="1082"/>
      <c r="AL72" s="1082"/>
      <c r="AM72" s="1082"/>
      <c r="AN72" s="1082"/>
      <c r="AO72" s="1082"/>
      <c r="AP72" s="1082"/>
      <c r="AQ72" s="1082"/>
      <c r="AR72" s="1082"/>
      <c r="AS72" s="1082"/>
      <c r="AT72" s="1082"/>
      <c r="AU72" s="1082"/>
      <c r="AV72" s="1082"/>
      <c r="AW72" s="1082"/>
      <c r="AX72" s="1082"/>
      <c r="AY72" s="1082"/>
      <c r="AZ72" s="1082"/>
      <c r="BA72" s="1082"/>
      <c r="BB72" s="1082"/>
      <c r="BC72" s="1082"/>
      <c r="BD72" s="1082"/>
      <c r="BE72" s="1082"/>
      <c r="BF72" s="1082"/>
      <c r="BG72" s="1082"/>
      <c r="BH72" s="1082"/>
      <c r="BI72" s="1082"/>
      <c r="BJ72" s="1082"/>
      <c r="BK72" s="1082"/>
      <c r="BL72" s="1082"/>
      <c r="BM72" s="1082"/>
      <c r="BN72" s="1082"/>
      <c r="BO72" s="1082"/>
      <c r="BP72" s="1082"/>
      <c r="BQ72" s="1082"/>
      <c r="BR72" s="1082"/>
      <c r="BS72" s="1082"/>
      <c r="BT72" s="1082"/>
      <c r="BU72" s="1082"/>
      <c r="BV72" s="1082"/>
      <c r="BW72" s="1082"/>
      <c r="BX72" s="1082"/>
      <c r="BY72" s="1082"/>
      <c r="BZ72" s="1082"/>
      <c r="CA72" s="1082"/>
      <c r="CB72" s="1082"/>
      <c r="CC72" s="1082"/>
      <c r="CD72" s="1082"/>
      <c r="CE72" s="1082"/>
      <c r="CF72" s="1082"/>
      <c r="CG72" s="1082"/>
      <c r="CH72" s="1082"/>
      <c r="CI72" s="1082"/>
      <c r="CJ72" s="1082"/>
      <c r="CK72" s="1082"/>
      <c r="CL72" s="1082"/>
      <c r="CM72" s="1082"/>
      <c r="CN72" s="1082"/>
      <c r="CO72" s="1082"/>
      <c r="CP72" s="1082"/>
      <c r="CQ72" s="1082"/>
      <c r="CR72" s="1082"/>
      <c r="CS72" s="1082"/>
      <c r="CT72" s="1082"/>
      <c r="CU72" s="1082"/>
      <c r="CV72" s="1082"/>
      <c r="CW72" s="1082"/>
      <c r="CX72" s="1082"/>
      <c r="CY72" s="1082"/>
      <c r="CZ72" s="1082"/>
      <c r="DA72" s="1082"/>
      <c r="DB72" s="1082"/>
      <c r="DC72" s="1082"/>
      <c r="DD72" s="1082"/>
      <c r="DE72" s="1082"/>
      <c r="DF72" s="1082"/>
      <c r="DG72" s="1082"/>
      <c r="DH72" s="1082"/>
      <c r="DI72" s="1082"/>
      <c r="DJ72" s="1082"/>
      <c r="DK72" s="1082"/>
      <c r="DL72" s="1082"/>
      <c r="DM72" s="1082"/>
      <c r="DN72" s="1082"/>
      <c r="DO72" s="1082"/>
      <c r="DP72" s="1082"/>
      <c r="DQ72" s="1082"/>
      <c r="DR72" s="1082"/>
      <c r="DS72" s="1082"/>
      <c r="DT72" s="1082"/>
      <c r="DU72" s="1082"/>
      <c r="DV72" s="1082"/>
      <c r="DW72" s="1082"/>
      <c r="DX72" s="1082"/>
      <c r="DY72" s="1082"/>
      <c r="DZ72" s="1082"/>
      <c r="EA72" s="1082"/>
      <c r="EB72" s="1082"/>
      <c r="EC72" s="1082"/>
      <c r="ED72" s="1082"/>
      <c r="EE72" s="1082"/>
      <c r="EF72" s="1082"/>
      <c r="EG72" s="1082"/>
      <c r="EH72" s="1082"/>
      <c r="EI72" s="1082"/>
      <c r="EJ72" s="1082"/>
      <c r="EK72" s="1082"/>
      <c r="EL72" s="1082"/>
      <c r="EM72" s="1082"/>
      <c r="EN72" s="1082"/>
      <c r="EO72" s="1082"/>
      <c r="EP72" s="1082"/>
      <c r="EQ72" s="1082"/>
      <c r="ER72" s="1082"/>
      <c r="ES72" s="1082"/>
      <c r="ET72" s="1082"/>
      <c r="EU72" s="1082"/>
      <c r="EV72" s="1082"/>
      <c r="EW72" s="1082"/>
      <c r="EX72" s="1082"/>
      <c r="EY72" s="1082"/>
      <c r="EZ72" s="1082"/>
      <c r="FA72" s="1082"/>
      <c r="FB72" s="1082"/>
    </row>
    <row r="73" spans="1:158" ht="32.1" customHeight="1">
      <c r="A73" s="1086"/>
      <c r="B73" s="1101" t="s">
        <v>5287</v>
      </c>
      <c r="C73" s="1456">
        <v>1</v>
      </c>
      <c r="D73" s="1456">
        <v>1</v>
      </c>
      <c r="E73" s="1456">
        <v>1</v>
      </c>
      <c r="F73" s="1456">
        <v>1</v>
      </c>
      <c r="G73" s="1456">
        <v>1</v>
      </c>
      <c r="H73" s="1445">
        <v>1</v>
      </c>
      <c r="I73" s="1752" t="s">
        <v>38</v>
      </c>
      <c r="J73" s="1070" t="s">
        <v>1673</v>
      </c>
      <c r="K73" s="1070" t="s">
        <v>6274</v>
      </c>
      <c r="L73" s="1079" t="s">
        <v>5883</v>
      </c>
      <c r="M73" s="1070" t="s">
        <v>1068</v>
      </c>
      <c r="N73" s="1124" t="s">
        <v>5394</v>
      </c>
      <c r="O73" s="1408" t="s">
        <v>5611</v>
      </c>
      <c r="P73" s="1070">
        <v>1</v>
      </c>
      <c r="Q73" s="1070">
        <v>0</v>
      </c>
    </row>
    <row r="74" spans="1:158" ht="32.1" customHeight="1">
      <c r="A74" s="1086"/>
      <c r="B74" s="1101" t="s">
        <v>5331</v>
      </c>
      <c r="C74" s="1456">
        <v>1</v>
      </c>
      <c r="D74" s="1456">
        <v>1</v>
      </c>
      <c r="E74" s="1456">
        <v>1</v>
      </c>
      <c r="F74" s="1456">
        <v>0</v>
      </c>
      <c r="G74" s="1456">
        <v>1</v>
      </c>
      <c r="H74" s="1445">
        <v>0</v>
      </c>
      <c r="I74" s="1752" t="s">
        <v>38</v>
      </c>
      <c r="J74" s="1070" t="s">
        <v>6586</v>
      </c>
      <c r="K74" s="1070" t="s">
        <v>6275</v>
      </c>
      <c r="L74" s="1079" t="s">
        <v>5883</v>
      </c>
      <c r="M74" s="1070" t="s">
        <v>6067</v>
      </c>
      <c r="N74" s="1124" t="s">
        <v>5395</v>
      </c>
      <c r="O74" s="1134" t="s">
        <v>5610</v>
      </c>
      <c r="P74" s="1070">
        <v>1</v>
      </c>
      <c r="Q74" s="1070">
        <v>0</v>
      </c>
    </row>
    <row r="75" spans="1:158" s="1088" customFormat="1" ht="32.1" customHeight="1">
      <c r="A75" s="1086"/>
      <c r="B75" s="1101" t="s">
        <v>113</v>
      </c>
      <c r="C75" s="1456">
        <v>1</v>
      </c>
      <c r="D75" s="1456">
        <v>1</v>
      </c>
      <c r="E75" s="1456">
        <v>0</v>
      </c>
      <c r="F75" s="1456">
        <v>1</v>
      </c>
      <c r="G75" s="1456">
        <v>1</v>
      </c>
      <c r="H75" s="1445">
        <v>1</v>
      </c>
      <c r="I75" s="1752" t="s">
        <v>1683</v>
      </c>
      <c r="J75" s="1072" t="s">
        <v>6587</v>
      </c>
      <c r="K75" s="1072" t="s">
        <v>6276</v>
      </c>
      <c r="L75" s="1079" t="s">
        <v>748</v>
      </c>
      <c r="M75" s="1395" t="s">
        <v>6068</v>
      </c>
      <c r="N75" s="1134" t="s">
        <v>5396</v>
      </c>
      <c r="O75" s="1134" t="s">
        <v>5612</v>
      </c>
      <c r="P75" s="1072">
        <v>1</v>
      </c>
      <c r="Q75" s="1072">
        <v>0</v>
      </c>
      <c r="R75" s="1081"/>
      <c r="S75" s="1082"/>
      <c r="T75" s="1082"/>
      <c r="U75" s="1082"/>
      <c r="V75" s="1082"/>
      <c r="W75" s="1082"/>
      <c r="X75" s="1082"/>
      <c r="Y75" s="1082"/>
      <c r="Z75" s="1082"/>
      <c r="AA75" s="1082"/>
      <c r="AB75" s="1082"/>
      <c r="AC75" s="1082"/>
      <c r="AD75" s="1082"/>
      <c r="AE75" s="1082"/>
      <c r="AF75" s="1082"/>
      <c r="AG75" s="1082"/>
      <c r="AH75" s="1082"/>
      <c r="AI75" s="1082"/>
      <c r="AJ75" s="1082"/>
      <c r="AK75" s="1082"/>
      <c r="AL75" s="1082"/>
      <c r="AM75" s="1082"/>
      <c r="AN75" s="1082"/>
      <c r="AO75" s="1082"/>
      <c r="AP75" s="1082"/>
      <c r="AQ75" s="1082"/>
      <c r="AR75" s="1082"/>
      <c r="AS75" s="1082"/>
      <c r="AT75" s="1082"/>
      <c r="AU75" s="1082"/>
      <c r="AV75" s="1082"/>
      <c r="AW75" s="1082"/>
      <c r="AX75" s="1082"/>
      <c r="AY75" s="1082"/>
      <c r="AZ75" s="1082"/>
      <c r="BA75" s="1082"/>
      <c r="BB75" s="1082"/>
      <c r="BC75" s="1082"/>
      <c r="BD75" s="1082"/>
      <c r="BE75" s="1082"/>
      <c r="BF75" s="1082"/>
      <c r="BG75" s="1082"/>
      <c r="BH75" s="1082"/>
      <c r="BI75" s="1082"/>
      <c r="BJ75" s="1082"/>
      <c r="BK75" s="1082"/>
      <c r="BL75" s="1082"/>
      <c r="BM75" s="1082"/>
      <c r="BN75" s="1082"/>
      <c r="BO75" s="1082"/>
      <c r="BP75" s="1082"/>
      <c r="BQ75" s="1082"/>
      <c r="BR75" s="1082"/>
      <c r="BS75" s="1082"/>
      <c r="BT75" s="1082"/>
      <c r="BU75" s="1082"/>
      <c r="BV75" s="1082"/>
      <c r="BW75" s="1082"/>
      <c r="BX75" s="1082"/>
      <c r="BY75" s="1082"/>
      <c r="BZ75" s="1082"/>
      <c r="CA75" s="1082"/>
      <c r="CB75" s="1082"/>
      <c r="CC75" s="1082"/>
      <c r="CD75" s="1082"/>
      <c r="CE75" s="1082"/>
      <c r="CF75" s="1082"/>
      <c r="CG75" s="1082"/>
      <c r="CH75" s="1082"/>
      <c r="CI75" s="1082"/>
      <c r="CJ75" s="1082"/>
      <c r="CK75" s="1082"/>
      <c r="CL75" s="1082"/>
      <c r="CM75" s="1082"/>
      <c r="CN75" s="1082"/>
      <c r="CO75" s="1082"/>
      <c r="CP75" s="1082"/>
      <c r="CQ75" s="1082"/>
      <c r="CR75" s="1082"/>
      <c r="CS75" s="1082"/>
      <c r="CT75" s="1082"/>
      <c r="CU75" s="1082"/>
      <c r="CV75" s="1082"/>
      <c r="CW75" s="1082"/>
      <c r="CX75" s="1082"/>
      <c r="CY75" s="1082"/>
      <c r="CZ75" s="1082"/>
      <c r="DA75" s="1082"/>
      <c r="DB75" s="1082"/>
      <c r="DC75" s="1082"/>
      <c r="DD75" s="1082"/>
      <c r="DE75" s="1082"/>
      <c r="DF75" s="1082"/>
      <c r="DG75" s="1082"/>
      <c r="DH75" s="1082"/>
      <c r="DI75" s="1082"/>
      <c r="DJ75" s="1082"/>
      <c r="DK75" s="1082"/>
      <c r="DL75" s="1082"/>
      <c r="DM75" s="1082"/>
      <c r="DN75" s="1082"/>
      <c r="DO75" s="1082"/>
      <c r="DP75" s="1082"/>
      <c r="DQ75" s="1082"/>
      <c r="DR75" s="1082"/>
      <c r="DS75" s="1082"/>
      <c r="DT75" s="1082"/>
      <c r="DU75" s="1082"/>
      <c r="DV75" s="1082"/>
      <c r="DW75" s="1082"/>
      <c r="DX75" s="1082"/>
      <c r="DY75" s="1082"/>
      <c r="DZ75" s="1082"/>
      <c r="EA75" s="1082"/>
      <c r="EB75" s="1082"/>
      <c r="EC75" s="1082"/>
      <c r="ED75" s="1082"/>
      <c r="EE75" s="1082"/>
      <c r="EF75" s="1082"/>
      <c r="EG75" s="1082"/>
      <c r="EH75" s="1082"/>
      <c r="EI75" s="1082"/>
      <c r="EJ75" s="1082"/>
      <c r="EK75" s="1082"/>
      <c r="EL75" s="1082"/>
      <c r="EM75" s="1082"/>
      <c r="EN75" s="1082"/>
      <c r="EO75" s="1082"/>
      <c r="EP75" s="1082"/>
      <c r="EQ75" s="1082"/>
      <c r="ER75" s="1082"/>
      <c r="ES75" s="1082"/>
      <c r="ET75" s="1082"/>
      <c r="EU75" s="1082"/>
      <c r="EV75" s="1082"/>
      <c r="EW75" s="1082"/>
      <c r="EX75" s="1082"/>
      <c r="EY75" s="1082"/>
      <c r="EZ75" s="1082"/>
      <c r="FA75" s="1082"/>
      <c r="FB75" s="1082"/>
    </row>
    <row r="76" spans="1:158" ht="32.1" customHeight="1">
      <c r="A76" s="1066" t="s">
        <v>114</v>
      </c>
      <c r="B76" s="1067" t="s">
        <v>115</v>
      </c>
      <c r="C76" s="1461">
        <f t="shared" ref="C76:H76" si="16">AVERAGE(C77,C78,C79)</f>
        <v>0.5</v>
      </c>
      <c r="D76" s="1461">
        <f t="shared" si="16"/>
        <v>0.5</v>
      </c>
      <c r="E76" s="1461">
        <f t="shared" si="16"/>
        <v>1</v>
      </c>
      <c r="F76" s="1461">
        <f t="shared" si="16"/>
        <v>0</v>
      </c>
      <c r="G76" s="1461">
        <f t="shared" si="16"/>
        <v>0.5</v>
      </c>
      <c r="H76" s="1460">
        <f t="shared" si="16"/>
        <v>0.5</v>
      </c>
      <c r="I76" s="1752"/>
      <c r="J76" s="1130"/>
      <c r="K76" s="1131"/>
      <c r="L76" s="1131"/>
      <c r="M76" s="1131"/>
      <c r="N76" s="1131"/>
      <c r="O76" s="1131"/>
      <c r="P76" s="1131"/>
      <c r="Q76" s="1131"/>
    </row>
    <row r="77" spans="1:158" ht="32.1" customHeight="1">
      <c r="A77" s="1086"/>
      <c r="B77" s="1101" t="s">
        <v>116</v>
      </c>
      <c r="C77" s="1456">
        <v>1</v>
      </c>
      <c r="D77" s="1456">
        <v>0</v>
      </c>
      <c r="E77" s="1456">
        <v>1</v>
      </c>
      <c r="F77" s="1456">
        <v>0</v>
      </c>
      <c r="G77" s="1456">
        <v>1</v>
      </c>
      <c r="H77" s="1445">
        <v>1</v>
      </c>
      <c r="I77" s="1752" t="s">
        <v>38</v>
      </c>
      <c r="J77" s="1070" t="s">
        <v>1690</v>
      </c>
      <c r="K77" s="1070" t="s">
        <v>6277</v>
      </c>
      <c r="L77" s="1079" t="s">
        <v>811</v>
      </c>
      <c r="M77" s="1069" t="s">
        <v>1691</v>
      </c>
      <c r="N77" s="1124" t="s">
        <v>5397</v>
      </c>
      <c r="O77" s="1124" t="s">
        <v>5613</v>
      </c>
      <c r="P77" s="1070">
        <v>1</v>
      </c>
      <c r="Q77" s="1070">
        <v>0</v>
      </c>
    </row>
    <row r="78" spans="1:158" ht="32.1" customHeight="1">
      <c r="A78" s="1086"/>
      <c r="B78" s="1101" t="s">
        <v>117</v>
      </c>
      <c r="C78" s="1456">
        <v>0</v>
      </c>
      <c r="D78" s="1456">
        <v>1</v>
      </c>
      <c r="E78" s="1456">
        <v>1</v>
      </c>
      <c r="F78" s="1456">
        <v>0</v>
      </c>
      <c r="G78" s="1456">
        <v>0</v>
      </c>
      <c r="H78" s="1445">
        <v>0</v>
      </c>
      <c r="I78" s="1752" t="s">
        <v>38</v>
      </c>
      <c r="J78" s="1070" t="s">
        <v>1693</v>
      </c>
      <c r="K78" s="1070" t="s">
        <v>6278</v>
      </c>
      <c r="L78" s="1079" t="s">
        <v>5884</v>
      </c>
      <c r="M78" s="1069" t="s">
        <v>1695</v>
      </c>
      <c r="N78" s="1124" t="s">
        <v>5398</v>
      </c>
      <c r="O78" s="1124" t="s">
        <v>1693</v>
      </c>
      <c r="P78" s="1070">
        <v>1</v>
      </c>
      <c r="Q78" s="1070">
        <v>0</v>
      </c>
    </row>
    <row r="79" spans="1:158" ht="32.1" customHeight="1">
      <c r="A79" s="1086"/>
      <c r="B79" s="1101"/>
      <c r="C79" s="1459"/>
      <c r="D79" s="1459"/>
      <c r="E79" s="1459"/>
      <c r="F79" s="1459"/>
      <c r="G79" s="1459"/>
      <c r="H79" s="1706"/>
      <c r="I79" s="1752"/>
      <c r="J79" s="1077"/>
      <c r="K79" s="1070"/>
      <c r="L79" s="1079"/>
      <c r="M79" s="1401"/>
      <c r="N79" s="1124"/>
      <c r="O79" s="1408"/>
      <c r="P79" s="1070"/>
      <c r="Q79" s="1070"/>
    </row>
    <row r="80" spans="1:158" ht="32.1" customHeight="1">
      <c r="A80" s="1135" t="s">
        <v>119</v>
      </c>
      <c r="B80" s="1136" t="s">
        <v>6788</v>
      </c>
      <c r="C80" s="1461">
        <f t="shared" ref="C80:H80" si="17">AVERAGE(C81:C86)</f>
        <v>0.40360000000000007</v>
      </c>
      <c r="D80" s="1461">
        <f t="shared" si="17"/>
        <v>0.78766666666666663</v>
      </c>
      <c r="E80" s="1461">
        <f t="shared" si="17"/>
        <v>3.5999999999999943E-3</v>
      </c>
      <c r="F80" s="1461">
        <f t="shared" si="17"/>
        <v>0.47366666666666674</v>
      </c>
      <c r="G80" s="1461">
        <f t="shared" si="17"/>
        <v>0.56316666666666659</v>
      </c>
      <c r="H80" s="1460">
        <f t="shared" si="17"/>
        <v>0</v>
      </c>
      <c r="I80" s="1758"/>
      <c r="J80" s="1137"/>
      <c r="K80" s="1138"/>
      <c r="L80" s="1138"/>
      <c r="M80" s="1138"/>
      <c r="N80" s="1138"/>
      <c r="O80" s="1139"/>
      <c r="P80" s="1138"/>
      <c r="Q80" s="1138"/>
    </row>
    <row r="81" spans="1:158" s="1088" customFormat="1" ht="32.1" customHeight="1">
      <c r="A81" s="1132"/>
      <c r="B81" s="1101" t="s">
        <v>121</v>
      </c>
      <c r="C81" s="1483">
        <v>0</v>
      </c>
      <c r="D81" s="1456">
        <v>1</v>
      </c>
      <c r="E81" s="1456">
        <v>0</v>
      </c>
      <c r="F81" s="1456">
        <v>0</v>
      </c>
      <c r="G81" s="1456">
        <v>0</v>
      </c>
      <c r="H81" s="1445">
        <v>0</v>
      </c>
      <c r="I81" s="1752" t="s">
        <v>5332</v>
      </c>
      <c r="J81" s="1072" t="s">
        <v>1705</v>
      </c>
      <c r="K81" s="1072" t="s">
        <v>6279</v>
      </c>
      <c r="L81" s="1079" t="s">
        <v>748</v>
      </c>
      <c r="M81" s="1396" t="s">
        <v>6069</v>
      </c>
      <c r="N81" s="1134" t="s">
        <v>5399</v>
      </c>
      <c r="O81" s="1134" t="s">
        <v>5614</v>
      </c>
      <c r="P81" s="1072">
        <v>1</v>
      </c>
      <c r="Q81" s="1072">
        <v>0</v>
      </c>
      <c r="R81" s="1081"/>
      <c r="S81" s="1082"/>
      <c r="T81" s="1082"/>
      <c r="U81" s="1082"/>
      <c r="V81" s="1082"/>
      <c r="W81" s="1082"/>
      <c r="X81" s="1082"/>
      <c r="Y81" s="1082"/>
      <c r="Z81" s="1082"/>
      <c r="AA81" s="1082"/>
      <c r="AB81" s="1082"/>
      <c r="AC81" s="1082"/>
      <c r="AD81" s="1082"/>
      <c r="AE81" s="1082"/>
      <c r="AF81" s="1082"/>
      <c r="AG81" s="1082"/>
      <c r="AH81" s="1082"/>
      <c r="AI81" s="1082"/>
      <c r="AJ81" s="1082"/>
      <c r="AK81" s="1082"/>
      <c r="AL81" s="1082"/>
      <c r="AM81" s="1082"/>
      <c r="AN81" s="1082"/>
      <c r="AO81" s="1082"/>
      <c r="AP81" s="1082"/>
      <c r="AQ81" s="1082"/>
      <c r="AR81" s="1082"/>
      <c r="AS81" s="1082"/>
      <c r="AT81" s="1082"/>
      <c r="AU81" s="1082"/>
      <c r="AV81" s="1082"/>
      <c r="AW81" s="1082"/>
      <c r="AX81" s="1082"/>
      <c r="AY81" s="1082"/>
      <c r="AZ81" s="1082"/>
      <c r="BA81" s="1082"/>
      <c r="BB81" s="1082"/>
      <c r="BC81" s="1082"/>
      <c r="BD81" s="1082"/>
      <c r="BE81" s="1082"/>
      <c r="BF81" s="1082"/>
      <c r="BG81" s="1082"/>
      <c r="BH81" s="1082"/>
      <c r="BI81" s="1082"/>
      <c r="BJ81" s="1082"/>
      <c r="BK81" s="1082"/>
      <c r="BL81" s="1082"/>
      <c r="BM81" s="1082"/>
      <c r="BN81" s="1082"/>
      <c r="BO81" s="1082"/>
      <c r="BP81" s="1082"/>
      <c r="BQ81" s="1082"/>
      <c r="BR81" s="1082"/>
      <c r="BS81" s="1082"/>
      <c r="BT81" s="1082"/>
      <c r="BU81" s="1082"/>
      <c r="BV81" s="1082"/>
      <c r="BW81" s="1082"/>
      <c r="BX81" s="1082"/>
      <c r="BY81" s="1082"/>
      <c r="BZ81" s="1082"/>
      <c r="CA81" s="1082"/>
      <c r="CB81" s="1082"/>
      <c r="CC81" s="1082"/>
      <c r="CD81" s="1082"/>
      <c r="CE81" s="1082"/>
      <c r="CF81" s="1082"/>
      <c r="CG81" s="1082"/>
      <c r="CH81" s="1082"/>
      <c r="CI81" s="1082"/>
      <c r="CJ81" s="1082"/>
      <c r="CK81" s="1082"/>
      <c r="CL81" s="1082"/>
      <c r="CM81" s="1082"/>
      <c r="CN81" s="1082"/>
      <c r="CO81" s="1082"/>
      <c r="CP81" s="1082"/>
      <c r="CQ81" s="1082"/>
      <c r="CR81" s="1082"/>
      <c r="CS81" s="1082"/>
      <c r="CT81" s="1082"/>
      <c r="CU81" s="1082"/>
      <c r="CV81" s="1082"/>
      <c r="CW81" s="1082"/>
      <c r="CX81" s="1082"/>
      <c r="CY81" s="1082"/>
      <c r="CZ81" s="1082"/>
      <c r="DA81" s="1082"/>
      <c r="DB81" s="1082"/>
      <c r="DC81" s="1082"/>
      <c r="DD81" s="1082"/>
      <c r="DE81" s="1082"/>
      <c r="DF81" s="1082"/>
      <c r="DG81" s="1082"/>
      <c r="DH81" s="1082"/>
      <c r="DI81" s="1082"/>
      <c r="DJ81" s="1082"/>
      <c r="DK81" s="1082"/>
      <c r="DL81" s="1082"/>
      <c r="DM81" s="1082"/>
      <c r="DN81" s="1082"/>
      <c r="DO81" s="1082"/>
      <c r="DP81" s="1082"/>
      <c r="DQ81" s="1082"/>
      <c r="DR81" s="1082"/>
      <c r="DS81" s="1082"/>
      <c r="DT81" s="1082"/>
      <c r="DU81" s="1082"/>
      <c r="DV81" s="1082"/>
      <c r="DW81" s="1082"/>
      <c r="DX81" s="1082"/>
      <c r="DY81" s="1082"/>
      <c r="DZ81" s="1082"/>
      <c r="EA81" s="1082"/>
      <c r="EB81" s="1082"/>
      <c r="EC81" s="1082"/>
      <c r="ED81" s="1082"/>
      <c r="EE81" s="1082"/>
      <c r="EF81" s="1082"/>
      <c r="EG81" s="1082"/>
      <c r="EH81" s="1082"/>
      <c r="EI81" s="1082"/>
      <c r="EJ81" s="1082"/>
      <c r="EK81" s="1082"/>
      <c r="EL81" s="1082"/>
      <c r="EM81" s="1082"/>
      <c r="EN81" s="1082"/>
      <c r="EO81" s="1082"/>
      <c r="EP81" s="1082"/>
      <c r="EQ81" s="1082"/>
      <c r="ER81" s="1082"/>
      <c r="ES81" s="1082"/>
      <c r="ET81" s="1082"/>
      <c r="EU81" s="1082"/>
      <c r="EV81" s="1082"/>
      <c r="EW81" s="1082"/>
      <c r="EX81" s="1082"/>
      <c r="EY81" s="1082"/>
      <c r="EZ81" s="1082"/>
      <c r="FA81" s="1082"/>
      <c r="FB81" s="1082"/>
    </row>
    <row r="82" spans="1:158" s="1088" customFormat="1" ht="32.1" customHeight="1">
      <c r="A82" s="1086"/>
      <c r="B82" s="1101" t="s">
        <v>122</v>
      </c>
      <c r="C82" s="1483">
        <v>0</v>
      </c>
      <c r="D82" s="1483">
        <v>1</v>
      </c>
      <c r="E82" s="1456">
        <v>0</v>
      </c>
      <c r="F82" s="1456">
        <v>1</v>
      </c>
      <c r="G82" s="1483">
        <v>1</v>
      </c>
      <c r="H82" s="1484">
        <v>0</v>
      </c>
      <c r="I82" s="1752" t="s">
        <v>5333</v>
      </c>
      <c r="J82" s="1072" t="s">
        <v>1710</v>
      </c>
      <c r="K82" s="1072" t="s">
        <v>6280</v>
      </c>
      <c r="L82" s="1079" t="s">
        <v>748</v>
      </c>
      <c r="M82" s="1069" t="s">
        <v>6070</v>
      </c>
      <c r="N82" s="1134" t="s">
        <v>1713</v>
      </c>
      <c r="O82" s="1134" t="s">
        <v>5615</v>
      </c>
      <c r="P82" s="1072">
        <v>1</v>
      </c>
      <c r="Q82" s="1072">
        <v>0</v>
      </c>
      <c r="R82" s="1081"/>
      <c r="S82" s="1082"/>
      <c r="T82" s="1082"/>
      <c r="U82" s="1082"/>
      <c r="V82" s="1082"/>
      <c r="W82" s="1082"/>
      <c r="X82" s="1082"/>
      <c r="Y82" s="1082"/>
      <c r="Z82" s="1082"/>
      <c r="AA82" s="1082"/>
      <c r="AB82" s="1082"/>
      <c r="AC82" s="1082"/>
      <c r="AD82" s="1082"/>
      <c r="AE82" s="1082"/>
      <c r="AF82" s="1082"/>
      <c r="AG82" s="1082"/>
      <c r="AH82" s="1082"/>
      <c r="AI82" s="1082"/>
      <c r="AJ82" s="1082"/>
      <c r="AK82" s="1082"/>
      <c r="AL82" s="1082"/>
      <c r="AM82" s="1082"/>
      <c r="AN82" s="1082"/>
      <c r="AO82" s="1082"/>
      <c r="AP82" s="1082"/>
      <c r="AQ82" s="1082"/>
      <c r="AR82" s="1082"/>
      <c r="AS82" s="1082"/>
      <c r="AT82" s="1082"/>
      <c r="AU82" s="1082"/>
      <c r="AV82" s="1082"/>
      <c r="AW82" s="1082"/>
      <c r="AX82" s="1082"/>
      <c r="AY82" s="1082"/>
      <c r="AZ82" s="1082"/>
      <c r="BA82" s="1082"/>
      <c r="BB82" s="1082"/>
      <c r="BC82" s="1082"/>
      <c r="BD82" s="1082"/>
      <c r="BE82" s="1082"/>
      <c r="BF82" s="1082"/>
      <c r="BG82" s="1082"/>
      <c r="BH82" s="1082"/>
      <c r="BI82" s="1082"/>
      <c r="BJ82" s="1082"/>
      <c r="BK82" s="1082"/>
      <c r="BL82" s="1082"/>
      <c r="BM82" s="1082"/>
      <c r="BN82" s="1082"/>
      <c r="BO82" s="1082"/>
      <c r="BP82" s="1082"/>
      <c r="BQ82" s="1082"/>
      <c r="BR82" s="1082"/>
      <c r="BS82" s="1082"/>
      <c r="BT82" s="1082"/>
      <c r="BU82" s="1082"/>
      <c r="BV82" s="1082"/>
      <c r="BW82" s="1082"/>
      <c r="BX82" s="1082"/>
      <c r="BY82" s="1082"/>
      <c r="BZ82" s="1082"/>
      <c r="CA82" s="1082"/>
      <c r="CB82" s="1082"/>
      <c r="CC82" s="1082"/>
      <c r="CD82" s="1082"/>
      <c r="CE82" s="1082"/>
      <c r="CF82" s="1082"/>
      <c r="CG82" s="1082"/>
      <c r="CH82" s="1082"/>
      <c r="CI82" s="1082"/>
      <c r="CJ82" s="1082"/>
      <c r="CK82" s="1082"/>
      <c r="CL82" s="1082"/>
      <c r="CM82" s="1082"/>
      <c r="CN82" s="1082"/>
      <c r="CO82" s="1082"/>
      <c r="CP82" s="1082"/>
      <c r="CQ82" s="1082"/>
      <c r="CR82" s="1082"/>
      <c r="CS82" s="1082"/>
      <c r="CT82" s="1082"/>
      <c r="CU82" s="1082"/>
      <c r="CV82" s="1082"/>
      <c r="CW82" s="1082"/>
      <c r="CX82" s="1082"/>
      <c r="CY82" s="1082"/>
      <c r="CZ82" s="1082"/>
      <c r="DA82" s="1082"/>
      <c r="DB82" s="1082"/>
      <c r="DC82" s="1082"/>
      <c r="DD82" s="1082"/>
      <c r="DE82" s="1082"/>
      <c r="DF82" s="1082"/>
      <c r="DG82" s="1082"/>
      <c r="DH82" s="1082"/>
      <c r="DI82" s="1082"/>
      <c r="DJ82" s="1082"/>
      <c r="DK82" s="1082"/>
      <c r="DL82" s="1082"/>
      <c r="DM82" s="1082"/>
      <c r="DN82" s="1082"/>
      <c r="DO82" s="1082"/>
      <c r="DP82" s="1082"/>
      <c r="DQ82" s="1082"/>
      <c r="DR82" s="1082"/>
      <c r="DS82" s="1082"/>
      <c r="DT82" s="1082"/>
      <c r="DU82" s="1082"/>
      <c r="DV82" s="1082"/>
      <c r="DW82" s="1082"/>
      <c r="DX82" s="1082"/>
      <c r="DY82" s="1082"/>
      <c r="DZ82" s="1082"/>
      <c r="EA82" s="1082"/>
      <c r="EB82" s="1082"/>
      <c r="EC82" s="1082"/>
      <c r="ED82" s="1082"/>
      <c r="EE82" s="1082"/>
      <c r="EF82" s="1082"/>
      <c r="EG82" s="1082"/>
      <c r="EH82" s="1082"/>
      <c r="EI82" s="1082"/>
      <c r="EJ82" s="1082"/>
      <c r="EK82" s="1082"/>
      <c r="EL82" s="1082"/>
      <c r="EM82" s="1082"/>
      <c r="EN82" s="1082"/>
      <c r="EO82" s="1082"/>
      <c r="EP82" s="1082"/>
      <c r="EQ82" s="1082"/>
      <c r="ER82" s="1082"/>
      <c r="ES82" s="1082"/>
      <c r="ET82" s="1082"/>
      <c r="EU82" s="1082"/>
      <c r="EV82" s="1082"/>
      <c r="EW82" s="1082"/>
      <c r="EX82" s="1082"/>
      <c r="EY82" s="1082"/>
      <c r="EZ82" s="1082"/>
      <c r="FA82" s="1082"/>
      <c r="FB82" s="1082"/>
    </row>
    <row r="83" spans="1:158" s="1088" customFormat="1" ht="32.1" customHeight="1">
      <c r="A83" s="1086"/>
      <c r="B83" s="1101" t="s">
        <v>124</v>
      </c>
      <c r="C83" s="1708">
        <v>1</v>
      </c>
      <c r="D83" s="1708">
        <v>1</v>
      </c>
      <c r="E83" s="1709">
        <v>0</v>
      </c>
      <c r="F83" s="1708">
        <v>1</v>
      </c>
      <c r="G83" s="1710">
        <v>1</v>
      </c>
      <c r="H83" s="1708">
        <v>0</v>
      </c>
      <c r="I83" s="1752" t="s">
        <v>5332</v>
      </c>
      <c r="J83" s="1072" t="s">
        <v>1714</v>
      </c>
      <c r="K83" s="1072" t="s">
        <v>6281</v>
      </c>
      <c r="L83" s="1079" t="s">
        <v>748</v>
      </c>
      <c r="M83" s="1072" t="s">
        <v>6071</v>
      </c>
      <c r="N83" s="1102" t="s">
        <v>5400</v>
      </c>
      <c r="O83" s="1102" t="s">
        <v>5616</v>
      </c>
      <c r="P83" s="1072">
        <v>1</v>
      </c>
      <c r="Q83" s="1072">
        <v>0</v>
      </c>
      <c r="R83" s="1081"/>
      <c r="S83" s="1082"/>
      <c r="T83" s="1082"/>
      <c r="U83" s="1082"/>
      <c r="V83" s="1082"/>
      <c r="W83" s="1082"/>
      <c r="X83" s="1082"/>
      <c r="Y83" s="1082"/>
      <c r="Z83" s="1082"/>
      <c r="AA83" s="1082"/>
      <c r="AB83" s="1082"/>
      <c r="AC83" s="1082"/>
      <c r="AD83" s="1082"/>
      <c r="AE83" s="1082"/>
      <c r="AF83" s="1082"/>
      <c r="AG83" s="1082"/>
      <c r="AH83" s="1082"/>
      <c r="AI83" s="1082"/>
      <c r="AJ83" s="1082"/>
      <c r="AK83" s="1082"/>
      <c r="AL83" s="1082"/>
      <c r="AM83" s="1082"/>
      <c r="AN83" s="1082"/>
      <c r="AO83" s="1082"/>
      <c r="AP83" s="1082"/>
      <c r="AQ83" s="1082"/>
      <c r="AR83" s="1082"/>
      <c r="AS83" s="1082"/>
      <c r="AT83" s="1082"/>
      <c r="AU83" s="1082"/>
      <c r="AV83" s="1082"/>
      <c r="AW83" s="1082"/>
      <c r="AX83" s="1082"/>
      <c r="AY83" s="1082"/>
      <c r="AZ83" s="1082"/>
      <c r="BA83" s="1082"/>
      <c r="BB83" s="1082"/>
      <c r="BC83" s="1082"/>
      <c r="BD83" s="1082"/>
      <c r="BE83" s="1082"/>
      <c r="BF83" s="1082"/>
      <c r="BG83" s="1082"/>
      <c r="BH83" s="1082"/>
      <c r="BI83" s="1082"/>
      <c r="BJ83" s="1082"/>
      <c r="BK83" s="1082"/>
      <c r="BL83" s="1082"/>
      <c r="BM83" s="1082"/>
      <c r="BN83" s="1082"/>
      <c r="BO83" s="1082"/>
      <c r="BP83" s="1082"/>
      <c r="BQ83" s="1082"/>
      <c r="BR83" s="1082"/>
      <c r="BS83" s="1082"/>
      <c r="BT83" s="1082"/>
      <c r="BU83" s="1082"/>
      <c r="BV83" s="1082"/>
      <c r="BW83" s="1082"/>
      <c r="BX83" s="1082"/>
      <c r="BY83" s="1082"/>
      <c r="BZ83" s="1082"/>
      <c r="CA83" s="1082"/>
      <c r="CB83" s="1082"/>
      <c r="CC83" s="1082"/>
      <c r="CD83" s="1082"/>
      <c r="CE83" s="1082"/>
      <c r="CF83" s="1082"/>
      <c r="CG83" s="1082"/>
      <c r="CH83" s="1082"/>
      <c r="CI83" s="1082"/>
      <c r="CJ83" s="1082"/>
      <c r="CK83" s="1082"/>
      <c r="CL83" s="1082"/>
      <c r="CM83" s="1082"/>
      <c r="CN83" s="1082"/>
      <c r="CO83" s="1082"/>
      <c r="CP83" s="1082"/>
      <c r="CQ83" s="1082"/>
      <c r="CR83" s="1082"/>
      <c r="CS83" s="1082"/>
      <c r="CT83" s="1082"/>
      <c r="CU83" s="1082"/>
      <c r="CV83" s="1082"/>
      <c r="CW83" s="1082"/>
      <c r="CX83" s="1082"/>
      <c r="CY83" s="1082"/>
      <c r="CZ83" s="1082"/>
      <c r="DA83" s="1082"/>
      <c r="DB83" s="1082"/>
      <c r="DC83" s="1082"/>
      <c r="DD83" s="1082"/>
      <c r="DE83" s="1082"/>
      <c r="DF83" s="1082"/>
      <c r="DG83" s="1082"/>
      <c r="DH83" s="1082"/>
      <c r="DI83" s="1082"/>
      <c r="DJ83" s="1082"/>
      <c r="DK83" s="1082"/>
      <c r="DL83" s="1082"/>
      <c r="DM83" s="1082"/>
      <c r="DN83" s="1082"/>
      <c r="DO83" s="1082"/>
      <c r="DP83" s="1082"/>
      <c r="DQ83" s="1082"/>
      <c r="DR83" s="1082"/>
      <c r="DS83" s="1082"/>
      <c r="DT83" s="1082"/>
      <c r="DU83" s="1082"/>
      <c r="DV83" s="1082"/>
      <c r="DW83" s="1082"/>
      <c r="DX83" s="1082"/>
      <c r="DY83" s="1082"/>
      <c r="DZ83" s="1082"/>
      <c r="EA83" s="1082"/>
      <c r="EB83" s="1082"/>
      <c r="EC83" s="1082"/>
      <c r="ED83" s="1082"/>
      <c r="EE83" s="1082"/>
      <c r="EF83" s="1082"/>
      <c r="EG83" s="1082"/>
      <c r="EH83" s="1082"/>
      <c r="EI83" s="1082"/>
      <c r="EJ83" s="1082"/>
      <c r="EK83" s="1082"/>
      <c r="EL83" s="1082"/>
      <c r="EM83" s="1082"/>
      <c r="EN83" s="1082"/>
      <c r="EO83" s="1082"/>
      <c r="EP83" s="1082"/>
      <c r="EQ83" s="1082"/>
      <c r="ER83" s="1082"/>
      <c r="ES83" s="1082"/>
      <c r="ET83" s="1082"/>
      <c r="EU83" s="1082"/>
      <c r="EV83" s="1082"/>
      <c r="EW83" s="1082"/>
      <c r="EX83" s="1082"/>
      <c r="EY83" s="1082"/>
      <c r="EZ83" s="1082"/>
      <c r="FA83" s="1082"/>
      <c r="FB83" s="1082"/>
    </row>
    <row r="84" spans="1:158" ht="32.1" customHeight="1">
      <c r="A84" s="1086"/>
      <c r="B84" s="1701" t="s">
        <v>6817</v>
      </c>
      <c r="C84" s="1711">
        <f>(14.2-$Q84)/($P84-$Q84)</f>
        <v>0.85799999999999998</v>
      </c>
      <c r="D84" s="1711">
        <f>(12.8-$Q84)/($P84-$Q84)</f>
        <v>0.872</v>
      </c>
      <c r="E84" s="1711">
        <f>(98.2-$Q84)/($P84-$Q84)</f>
        <v>1.7999999999999971E-2</v>
      </c>
      <c r="F84" s="1711">
        <f>(58.6-$Q84)/($P84-$Q84)</f>
        <v>0.41399999999999998</v>
      </c>
      <c r="G84" s="1711">
        <f>(9.9-$Q84)/($P84-$Q84)</f>
        <v>0.90099999999999991</v>
      </c>
      <c r="H84" s="1712">
        <f>(100-$Q84)/($P84-$Q84)</f>
        <v>0</v>
      </c>
      <c r="I84" s="1752" t="s">
        <v>64</v>
      </c>
      <c r="J84" s="1393" t="s">
        <v>6818</v>
      </c>
      <c r="K84" s="1393" t="s">
        <v>6819</v>
      </c>
      <c r="L84" s="1407" t="s">
        <v>6820</v>
      </c>
      <c r="M84" s="1080" t="s">
        <v>6072</v>
      </c>
      <c r="N84" s="1124" t="s">
        <v>5401</v>
      </c>
      <c r="O84" s="1408" t="s">
        <v>5617</v>
      </c>
      <c r="P84" s="1070">
        <v>0</v>
      </c>
      <c r="Q84" s="1070">
        <v>100</v>
      </c>
    </row>
    <row r="85" spans="1:158" s="1088" customFormat="1" ht="32.1" customHeight="1">
      <c r="A85" s="1140"/>
      <c r="B85" s="1713" t="s">
        <v>127</v>
      </c>
      <c r="C85" s="1714" t="s">
        <v>1073</v>
      </c>
      <c r="D85" s="1711">
        <f>IF(16&gt;$P85,1,(16-$Q85)/($P85-$Q85))</f>
        <v>0.32</v>
      </c>
      <c r="E85" s="1711">
        <f>IF(0&gt;$P85,1,(0-$Q85)/($P85-$Q85))</f>
        <v>0</v>
      </c>
      <c r="F85" s="1711">
        <f>IF(7.4&gt;$P85,1,(7.4-$Q85)/($P85-$Q85))</f>
        <v>0.14800000000000002</v>
      </c>
      <c r="G85" s="1711">
        <f>IF(18.6&gt;$P85,1,(18.6-$Q85)/($P85-$Q85))</f>
        <v>0.37200000000000005</v>
      </c>
      <c r="H85" s="1712">
        <f>IF(0&gt;$P85,1,(0-$Q85)/($P85-$Q85))</f>
        <v>0</v>
      </c>
      <c r="I85" s="1583" t="s">
        <v>5349</v>
      </c>
      <c r="J85" s="1567" t="s">
        <v>1060</v>
      </c>
      <c r="K85" s="1143" t="s">
        <v>6282</v>
      </c>
      <c r="L85" s="1079" t="s">
        <v>748</v>
      </c>
      <c r="M85" s="1584" t="s">
        <v>6073</v>
      </c>
      <c r="N85" s="1144" t="s">
        <v>5402</v>
      </c>
      <c r="O85" s="1144" t="s">
        <v>5618</v>
      </c>
      <c r="P85" s="1142">
        <v>50</v>
      </c>
      <c r="Q85" s="1142">
        <v>0</v>
      </c>
      <c r="R85" s="1081"/>
      <c r="S85" s="1082"/>
      <c r="T85" s="1082"/>
      <c r="U85" s="1082"/>
      <c r="V85" s="1082"/>
      <c r="W85" s="1082"/>
      <c r="X85" s="1082"/>
      <c r="Y85" s="1082"/>
      <c r="Z85" s="1082"/>
      <c r="AA85" s="1082"/>
      <c r="AB85" s="1082"/>
      <c r="AC85" s="1082"/>
      <c r="AD85" s="1082"/>
      <c r="AE85" s="1082"/>
      <c r="AF85" s="1082"/>
      <c r="AG85" s="1082"/>
      <c r="AH85" s="1082"/>
      <c r="AI85" s="1082"/>
      <c r="AJ85" s="1082"/>
      <c r="AK85" s="1082"/>
      <c r="AL85" s="1082"/>
      <c r="AM85" s="1082"/>
      <c r="AN85" s="1082"/>
      <c r="AO85" s="1082"/>
      <c r="AP85" s="1082"/>
      <c r="AQ85" s="1082"/>
      <c r="AR85" s="1082"/>
      <c r="AS85" s="1082"/>
      <c r="AT85" s="1082"/>
      <c r="AU85" s="1082"/>
      <c r="AV85" s="1082"/>
      <c r="AW85" s="1082"/>
      <c r="AX85" s="1082"/>
      <c r="AY85" s="1082"/>
      <c r="AZ85" s="1082"/>
      <c r="BA85" s="1082"/>
      <c r="BB85" s="1082"/>
      <c r="BC85" s="1082"/>
      <c r="BD85" s="1082"/>
      <c r="BE85" s="1082"/>
      <c r="BF85" s="1082"/>
      <c r="BG85" s="1082"/>
      <c r="BH85" s="1082"/>
      <c r="BI85" s="1082"/>
      <c r="BJ85" s="1082"/>
      <c r="BK85" s="1082"/>
      <c r="BL85" s="1082"/>
      <c r="BM85" s="1082"/>
      <c r="BN85" s="1082"/>
      <c r="BO85" s="1082"/>
      <c r="BP85" s="1082"/>
      <c r="BQ85" s="1082"/>
      <c r="BR85" s="1082"/>
      <c r="BS85" s="1082"/>
      <c r="BT85" s="1082"/>
      <c r="BU85" s="1082"/>
      <c r="BV85" s="1082"/>
      <c r="BW85" s="1082"/>
      <c r="BX85" s="1082"/>
      <c r="BY85" s="1082"/>
      <c r="BZ85" s="1082"/>
      <c r="CA85" s="1082"/>
      <c r="CB85" s="1082"/>
      <c r="CC85" s="1082"/>
      <c r="CD85" s="1082"/>
      <c r="CE85" s="1082"/>
      <c r="CF85" s="1082"/>
      <c r="CG85" s="1082"/>
      <c r="CH85" s="1082"/>
      <c r="CI85" s="1082"/>
      <c r="CJ85" s="1082"/>
      <c r="CK85" s="1082"/>
      <c r="CL85" s="1082"/>
      <c r="CM85" s="1082"/>
      <c r="CN85" s="1082"/>
      <c r="CO85" s="1082"/>
      <c r="CP85" s="1082"/>
      <c r="CQ85" s="1082"/>
      <c r="CR85" s="1082"/>
      <c r="CS85" s="1082"/>
      <c r="CT85" s="1082"/>
      <c r="CU85" s="1082"/>
      <c r="CV85" s="1082"/>
      <c r="CW85" s="1082"/>
      <c r="CX85" s="1082"/>
      <c r="CY85" s="1082"/>
      <c r="CZ85" s="1082"/>
      <c r="DA85" s="1082"/>
      <c r="DB85" s="1082"/>
      <c r="DC85" s="1082"/>
      <c r="DD85" s="1082"/>
      <c r="DE85" s="1082"/>
      <c r="DF85" s="1082"/>
      <c r="DG85" s="1082"/>
      <c r="DH85" s="1082"/>
      <c r="DI85" s="1082"/>
      <c r="DJ85" s="1082"/>
      <c r="DK85" s="1082"/>
      <c r="DL85" s="1082"/>
      <c r="DM85" s="1082"/>
      <c r="DN85" s="1082"/>
      <c r="DO85" s="1082"/>
      <c r="DP85" s="1082"/>
      <c r="DQ85" s="1082"/>
      <c r="DR85" s="1082"/>
      <c r="DS85" s="1082"/>
      <c r="DT85" s="1082"/>
      <c r="DU85" s="1082"/>
      <c r="DV85" s="1082"/>
      <c r="DW85" s="1082"/>
      <c r="DX85" s="1082"/>
      <c r="DY85" s="1082"/>
      <c r="DZ85" s="1082"/>
      <c r="EA85" s="1082"/>
      <c r="EB85" s="1082"/>
      <c r="EC85" s="1082"/>
      <c r="ED85" s="1082"/>
      <c r="EE85" s="1082"/>
      <c r="EF85" s="1082"/>
      <c r="EG85" s="1082"/>
      <c r="EH85" s="1082"/>
      <c r="EI85" s="1082"/>
      <c r="EJ85" s="1082"/>
      <c r="EK85" s="1082"/>
      <c r="EL85" s="1082"/>
      <c r="EM85" s="1082"/>
      <c r="EN85" s="1082"/>
      <c r="EO85" s="1082"/>
      <c r="EP85" s="1082"/>
      <c r="EQ85" s="1082"/>
      <c r="ER85" s="1082"/>
      <c r="ES85" s="1082"/>
      <c r="ET85" s="1082"/>
      <c r="EU85" s="1082"/>
      <c r="EV85" s="1082"/>
      <c r="EW85" s="1082"/>
      <c r="EX85" s="1082"/>
      <c r="EY85" s="1082"/>
      <c r="EZ85" s="1082"/>
      <c r="FA85" s="1082"/>
      <c r="FB85" s="1082"/>
    </row>
    <row r="86" spans="1:158" s="1088" customFormat="1" ht="32.1" customHeight="1">
      <c r="A86" s="1140"/>
      <c r="B86" s="1141" t="s">
        <v>128</v>
      </c>
      <c r="C86" s="1711">
        <f>IF(8&gt;50,0,8/50)</f>
        <v>0.16</v>
      </c>
      <c r="D86" s="1711">
        <f>IF(26.7&gt;50,0,26.7/50)</f>
        <v>0.53400000000000003</v>
      </c>
      <c r="E86" s="1711"/>
      <c r="F86" s="1711">
        <f>IF(14&gt;50,0,14/50)</f>
        <v>0.28000000000000003</v>
      </c>
      <c r="G86" s="1711">
        <f>IF(5.3&gt;50,0,5.3/50)</f>
        <v>0.106</v>
      </c>
      <c r="H86" s="1711"/>
      <c r="I86" s="1583" t="s">
        <v>6835</v>
      </c>
      <c r="J86" s="1585" t="s">
        <v>6588</v>
      </c>
      <c r="K86" s="1142" t="s">
        <v>6283</v>
      </c>
      <c r="L86" s="1079" t="s">
        <v>5885</v>
      </c>
      <c r="M86" s="1142" t="s">
        <v>6074</v>
      </c>
      <c r="N86" s="1144" t="s">
        <v>5403</v>
      </c>
      <c r="O86" s="1586" t="s">
        <v>5619</v>
      </c>
      <c r="P86" s="1142">
        <v>0</v>
      </c>
      <c r="Q86" s="1142">
        <v>50</v>
      </c>
      <c r="R86" s="1081"/>
      <c r="S86" s="1082"/>
      <c r="T86" s="1082"/>
      <c r="U86" s="1082"/>
      <c r="V86" s="1082"/>
      <c r="W86" s="1082"/>
      <c r="X86" s="1082"/>
      <c r="Y86" s="1082"/>
      <c r="Z86" s="1082"/>
      <c r="AA86" s="1082"/>
      <c r="AB86" s="1082"/>
      <c r="AC86" s="1082"/>
      <c r="AD86" s="1082"/>
      <c r="AE86" s="1082"/>
      <c r="AF86" s="1082"/>
      <c r="AG86" s="1082"/>
      <c r="AH86" s="1082"/>
      <c r="AI86" s="1082"/>
      <c r="AJ86" s="1082"/>
      <c r="AK86" s="1082"/>
      <c r="AL86" s="1082"/>
      <c r="AM86" s="1082"/>
      <c r="AN86" s="1082"/>
      <c r="AO86" s="1082"/>
      <c r="AP86" s="1082"/>
      <c r="AQ86" s="1082"/>
      <c r="AR86" s="1082"/>
      <c r="AS86" s="1082"/>
      <c r="AT86" s="1082"/>
      <c r="AU86" s="1082"/>
      <c r="AV86" s="1082"/>
      <c r="AW86" s="1082"/>
      <c r="AX86" s="1082"/>
      <c r="AY86" s="1082"/>
      <c r="AZ86" s="1082"/>
      <c r="BA86" s="1082"/>
      <c r="BB86" s="1082"/>
      <c r="BC86" s="1082"/>
      <c r="BD86" s="1082"/>
      <c r="BE86" s="1082"/>
      <c r="BF86" s="1082"/>
      <c r="BG86" s="1082"/>
      <c r="BH86" s="1082"/>
      <c r="BI86" s="1082"/>
      <c r="BJ86" s="1082"/>
      <c r="BK86" s="1082"/>
      <c r="BL86" s="1082"/>
      <c r="BM86" s="1082"/>
      <c r="BN86" s="1082"/>
      <c r="BO86" s="1082"/>
      <c r="BP86" s="1082"/>
      <c r="BQ86" s="1082"/>
      <c r="BR86" s="1082"/>
      <c r="BS86" s="1082"/>
      <c r="BT86" s="1082"/>
      <c r="BU86" s="1082"/>
      <c r="BV86" s="1082"/>
      <c r="BW86" s="1082"/>
      <c r="BX86" s="1082"/>
      <c r="BY86" s="1082"/>
      <c r="BZ86" s="1082"/>
      <c r="CA86" s="1082"/>
      <c r="CB86" s="1082"/>
      <c r="CC86" s="1082"/>
      <c r="CD86" s="1082"/>
      <c r="CE86" s="1082"/>
      <c r="CF86" s="1082"/>
      <c r="CG86" s="1082"/>
      <c r="CH86" s="1082"/>
      <c r="CI86" s="1082"/>
      <c r="CJ86" s="1082"/>
      <c r="CK86" s="1082"/>
      <c r="CL86" s="1082"/>
      <c r="CM86" s="1082"/>
      <c r="CN86" s="1082"/>
      <c r="CO86" s="1082"/>
      <c r="CP86" s="1082"/>
      <c r="CQ86" s="1082"/>
      <c r="CR86" s="1082"/>
      <c r="CS86" s="1082"/>
      <c r="CT86" s="1082"/>
      <c r="CU86" s="1082"/>
      <c r="CV86" s="1082"/>
      <c r="CW86" s="1082"/>
      <c r="CX86" s="1082"/>
      <c r="CY86" s="1082"/>
      <c r="CZ86" s="1082"/>
      <c r="DA86" s="1082"/>
      <c r="DB86" s="1082"/>
      <c r="DC86" s="1082"/>
      <c r="DD86" s="1082"/>
      <c r="DE86" s="1082"/>
      <c r="DF86" s="1082"/>
      <c r="DG86" s="1082"/>
      <c r="DH86" s="1082"/>
      <c r="DI86" s="1082"/>
      <c r="DJ86" s="1082"/>
      <c r="DK86" s="1082"/>
      <c r="DL86" s="1082"/>
      <c r="DM86" s="1082"/>
      <c r="DN86" s="1082"/>
      <c r="DO86" s="1082"/>
      <c r="DP86" s="1082"/>
      <c r="DQ86" s="1082"/>
      <c r="DR86" s="1082"/>
      <c r="DS86" s="1082"/>
      <c r="DT86" s="1082"/>
      <c r="DU86" s="1082"/>
      <c r="DV86" s="1082"/>
      <c r="DW86" s="1082"/>
      <c r="DX86" s="1082"/>
      <c r="DY86" s="1082"/>
      <c r="DZ86" s="1082"/>
      <c r="EA86" s="1082"/>
      <c r="EB86" s="1082"/>
      <c r="EC86" s="1082"/>
      <c r="ED86" s="1082"/>
      <c r="EE86" s="1082"/>
      <c r="EF86" s="1082"/>
      <c r="EG86" s="1082"/>
      <c r="EH86" s="1082"/>
      <c r="EI86" s="1082"/>
      <c r="EJ86" s="1082"/>
      <c r="EK86" s="1082"/>
      <c r="EL86" s="1082"/>
      <c r="EM86" s="1082"/>
      <c r="EN86" s="1082"/>
      <c r="EO86" s="1082"/>
      <c r="EP86" s="1082"/>
      <c r="EQ86" s="1082"/>
      <c r="ER86" s="1082"/>
      <c r="ES86" s="1082"/>
      <c r="ET86" s="1082"/>
      <c r="EU86" s="1082"/>
      <c r="EV86" s="1082"/>
      <c r="EW86" s="1082"/>
      <c r="EX86" s="1082"/>
      <c r="EY86" s="1082"/>
      <c r="EZ86" s="1082"/>
      <c r="FA86" s="1082"/>
      <c r="FB86" s="1082"/>
    </row>
    <row r="87" spans="1:158" ht="32.1" customHeight="1">
      <c r="A87" s="1066" t="s">
        <v>129</v>
      </c>
      <c r="B87" s="1067" t="s">
        <v>130</v>
      </c>
      <c r="C87" s="1461">
        <f t="shared" ref="C87:H87" si="18">AVERAGE(C88,C89,C90)</f>
        <v>0.87111111111111106</v>
      </c>
      <c r="D87" s="1461">
        <f t="shared" si="18"/>
        <v>0.93111111111111111</v>
      </c>
      <c r="E87" s="1461">
        <f t="shared" si="18"/>
        <v>0.63266666666666671</v>
      </c>
      <c r="F87" s="1461">
        <f t="shared" si="18"/>
        <v>0.97666666666666657</v>
      </c>
      <c r="G87" s="1461">
        <f t="shared" si="18"/>
        <v>0.82444444444444454</v>
      </c>
      <c r="H87" s="1460">
        <f t="shared" si="18"/>
        <v>0.81777777777777771</v>
      </c>
      <c r="I87" s="1752"/>
      <c r="J87" s="1130"/>
      <c r="K87" s="1059"/>
      <c r="L87" s="1059"/>
      <c r="M87" s="1131"/>
      <c r="N87" s="1059"/>
      <c r="O87" s="1131"/>
      <c r="P87" s="1059"/>
      <c r="Q87" s="1059"/>
    </row>
    <row r="88" spans="1:158" s="1676" customFormat="1" ht="32.1" customHeight="1">
      <c r="A88" s="1674"/>
      <c r="B88" s="1713" t="s">
        <v>6918</v>
      </c>
      <c r="C88" s="1444">
        <f>IF(5.8&gt;$Q88,0,(5.8-$Q88)/($P88-$Q88))</f>
        <v>0.61333333333333329</v>
      </c>
      <c r="D88" s="1444">
        <f>IF(3.1&gt;$Q88,0,(3.1-$Q88)/($P88-$Q88))</f>
        <v>0.79333333333333333</v>
      </c>
      <c r="E88" s="1444">
        <f>IF(1.53&gt;$Q88,0,(1.53-$Q88)/($P88-$Q88))</f>
        <v>0.89800000000000002</v>
      </c>
      <c r="F88" s="1444">
        <f>IF(1.05&gt;$Q88,0,(1.05-$Q88)/($P88-$Q88))</f>
        <v>0.92999999999999994</v>
      </c>
      <c r="G88" s="1444">
        <f>IF(7.9&gt;$Q88,0,(7.9-$Q88)/($P88-$Q88))</f>
        <v>0.47333333333333333</v>
      </c>
      <c r="H88" s="1443">
        <f>IF(8.2&gt;$Q88,0,(8.2-$Q88)/($P88-$Q88))</f>
        <v>0.45333333333333337</v>
      </c>
      <c r="I88" s="1583" t="s">
        <v>6919</v>
      </c>
      <c r="J88" s="1585" t="s">
        <v>6920</v>
      </c>
      <c r="K88" s="1585" t="s">
        <v>6923</v>
      </c>
      <c r="L88" s="1392" t="s">
        <v>6924</v>
      </c>
      <c r="M88" s="1677" t="s">
        <v>6925</v>
      </c>
      <c r="N88" s="1586" t="s">
        <v>6921</v>
      </c>
      <c r="O88" s="1586" t="s">
        <v>6922</v>
      </c>
      <c r="P88" s="1585">
        <v>0</v>
      </c>
      <c r="Q88" s="1585">
        <v>15</v>
      </c>
      <c r="R88" s="1595"/>
      <c r="S88" s="1675"/>
      <c r="T88" s="1675"/>
      <c r="U88" s="1675"/>
      <c r="V88" s="1675"/>
      <c r="W88" s="1675"/>
      <c r="X88" s="1675"/>
      <c r="Y88" s="1675"/>
      <c r="Z88" s="1675"/>
      <c r="AA88" s="1675"/>
      <c r="AB88" s="1675"/>
      <c r="AC88" s="1675"/>
      <c r="AD88" s="1675"/>
      <c r="AE88" s="1675"/>
      <c r="AF88" s="1675"/>
      <c r="AG88" s="1675"/>
      <c r="AH88" s="1675"/>
      <c r="AI88" s="1675"/>
      <c r="AJ88" s="1675"/>
      <c r="AK88" s="1675"/>
      <c r="AL88" s="1675"/>
      <c r="AM88" s="1675"/>
      <c r="AN88" s="1675"/>
      <c r="AO88" s="1675"/>
      <c r="AP88" s="1675"/>
      <c r="AQ88" s="1675"/>
      <c r="AR88" s="1675"/>
      <c r="AS88" s="1675"/>
      <c r="AT88" s="1675"/>
      <c r="AU88" s="1675"/>
      <c r="AV88" s="1675"/>
      <c r="AW88" s="1675"/>
      <c r="AX88" s="1675"/>
      <c r="AY88" s="1675"/>
      <c r="AZ88" s="1675"/>
      <c r="BA88" s="1675"/>
      <c r="BB88" s="1675"/>
      <c r="BC88" s="1675"/>
      <c r="BD88" s="1675"/>
      <c r="BE88" s="1675"/>
      <c r="BF88" s="1675"/>
      <c r="BG88" s="1675"/>
      <c r="BH88" s="1675"/>
      <c r="BI88" s="1675"/>
      <c r="BJ88" s="1675"/>
      <c r="BK88" s="1675"/>
      <c r="BL88" s="1675"/>
      <c r="BM88" s="1675"/>
      <c r="BN88" s="1675"/>
      <c r="BO88" s="1675"/>
      <c r="BP88" s="1675"/>
      <c r="BQ88" s="1675"/>
      <c r="BR88" s="1675"/>
      <c r="BS88" s="1675"/>
      <c r="BT88" s="1675"/>
      <c r="BU88" s="1675"/>
      <c r="BV88" s="1675"/>
      <c r="BW88" s="1675"/>
      <c r="BX88" s="1675"/>
      <c r="BY88" s="1675"/>
      <c r="BZ88" s="1675"/>
      <c r="CA88" s="1675"/>
      <c r="CB88" s="1675"/>
      <c r="CC88" s="1675"/>
      <c r="CD88" s="1675"/>
      <c r="CE88" s="1675"/>
      <c r="CF88" s="1675"/>
      <c r="CG88" s="1675"/>
      <c r="CH88" s="1675"/>
      <c r="CI88" s="1675"/>
      <c r="CJ88" s="1675"/>
      <c r="CK88" s="1675"/>
      <c r="CL88" s="1675"/>
      <c r="CM88" s="1675"/>
      <c r="CN88" s="1675"/>
      <c r="CO88" s="1675"/>
      <c r="CP88" s="1675"/>
      <c r="CQ88" s="1675"/>
      <c r="CR88" s="1675"/>
      <c r="CS88" s="1675"/>
      <c r="CT88" s="1675"/>
      <c r="CU88" s="1675"/>
      <c r="CV88" s="1675"/>
      <c r="CW88" s="1675"/>
      <c r="CX88" s="1675"/>
      <c r="CY88" s="1675"/>
      <c r="CZ88" s="1675"/>
      <c r="DA88" s="1675"/>
      <c r="DB88" s="1675"/>
      <c r="DC88" s="1675"/>
      <c r="DD88" s="1675"/>
      <c r="DE88" s="1675"/>
      <c r="DF88" s="1675"/>
      <c r="DG88" s="1675"/>
      <c r="DH88" s="1675"/>
      <c r="DI88" s="1675"/>
      <c r="DJ88" s="1675"/>
      <c r="DK88" s="1675"/>
      <c r="DL88" s="1675"/>
      <c r="DM88" s="1675"/>
      <c r="DN88" s="1675"/>
      <c r="DO88" s="1675"/>
      <c r="DP88" s="1675"/>
      <c r="DQ88" s="1675"/>
      <c r="DR88" s="1675"/>
      <c r="DS88" s="1675"/>
      <c r="DT88" s="1675"/>
      <c r="DU88" s="1675"/>
      <c r="DV88" s="1675"/>
      <c r="DW88" s="1675"/>
      <c r="DX88" s="1675"/>
      <c r="DY88" s="1675"/>
      <c r="DZ88" s="1675"/>
      <c r="EA88" s="1675"/>
      <c r="EB88" s="1675"/>
      <c r="EC88" s="1675"/>
      <c r="ED88" s="1675"/>
      <c r="EE88" s="1675"/>
      <c r="EF88" s="1675"/>
      <c r="EG88" s="1675"/>
      <c r="EH88" s="1675"/>
      <c r="EI88" s="1675"/>
      <c r="EJ88" s="1675"/>
      <c r="EK88" s="1675"/>
      <c r="EL88" s="1675"/>
      <c r="EM88" s="1675"/>
      <c r="EN88" s="1675"/>
      <c r="EO88" s="1675"/>
      <c r="EP88" s="1675"/>
      <c r="EQ88" s="1675"/>
      <c r="ER88" s="1675"/>
      <c r="ES88" s="1675"/>
      <c r="ET88" s="1675"/>
      <c r="EU88" s="1675"/>
      <c r="EV88" s="1675"/>
      <c r="EW88" s="1675"/>
      <c r="EX88" s="1675"/>
      <c r="EY88" s="1675"/>
      <c r="EZ88" s="1675"/>
      <c r="FA88" s="1675"/>
      <c r="FB88" s="1675"/>
    </row>
    <row r="89" spans="1:158" ht="32.1" customHeight="1">
      <c r="A89" s="1052"/>
      <c r="B89" s="1053" t="s">
        <v>131</v>
      </c>
      <c r="C89" s="1447">
        <v>1</v>
      </c>
      <c r="D89" s="1447">
        <v>1</v>
      </c>
      <c r="E89" s="1447">
        <v>0</v>
      </c>
      <c r="F89" s="1489">
        <v>1</v>
      </c>
      <c r="G89" s="1447">
        <v>1</v>
      </c>
      <c r="H89" s="1446">
        <v>1</v>
      </c>
      <c r="I89" s="1752" t="s">
        <v>123</v>
      </c>
      <c r="J89" s="1070" t="s">
        <v>1750</v>
      </c>
      <c r="K89" s="1070" t="s">
        <v>6284</v>
      </c>
      <c r="L89" s="1079" t="s">
        <v>748</v>
      </c>
      <c r="M89" s="1078" t="s">
        <v>1753</v>
      </c>
      <c r="N89" s="1124" t="s">
        <v>5404</v>
      </c>
      <c r="O89" s="1792" t="s">
        <v>5620</v>
      </c>
      <c r="P89" s="1477">
        <v>1</v>
      </c>
      <c r="Q89" s="1477">
        <v>0</v>
      </c>
    </row>
    <row r="90" spans="1:158" ht="32.1" customHeight="1">
      <c r="A90" s="1052"/>
      <c r="B90" s="1053" t="s">
        <v>132</v>
      </c>
      <c r="C90" s="1450">
        <f>AVERAGE(C91:C94)</f>
        <v>1</v>
      </c>
      <c r="D90" s="1450">
        <f t="shared" ref="D90:H90" si="19">AVERAGE(D91:D94)</f>
        <v>1</v>
      </c>
      <c r="E90" s="1450">
        <f t="shared" si="19"/>
        <v>1</v>
      </c>
      <c r="F90" s="1450">
        <f t="shared" si="19"/>
        <v>1</v>
      </c>
      <c r="G90" s="1450">
        <f t="shared" si="19"/>
        <v>1</v>
      </c>
      <c r="H90" s="1450">
        <f t="shared" si="19"/>
        <v>1</v>
      </c>
      <c r="I90" s="1753"/>
      <c r="J90" s="1070"/>
      <c r="K90" s="1070"/>
      <c r="L90" s="1079"/>
      <c r="M90" s="1102"/>
      <c r="N90" s="1477"/>
      <c r="O90" s="1477"/>
      <c r="P90" s="1477"/>
      <c r="Q90" s="1477"/>
    </row>
    <row r="91" spans="1:158" ht="32.1" customHeight="1">
      <c r="A91" s="1052"/>
      <c r="B91" s="1145" t="s">
        <v>133</v>
      </c>
      <c r="C91" s="1447">
        <v>1</v>
      </c>
      <c r="D91" s="1447">
        <v>1</v>
      </c>
      <c r="E91" s="1447">
        <v>1</v>
      </c>
      <c r="F91" s="1447">
        <v>1</v>
      </c>
      <c r="G91" s="1447">
        <v>1</v>
      </c>
      <c r="H91" s="1447">
        <v>1</v>
      </c>
      <c r="I91" s="1195" t="s">
        <v>123</v>
      </c>
      <c r="J91" s="1070" t="s">
        <v>1756</v>
      </c>
      <c r="K91" s="1070" t="s">
        <v>6285</v>
      </c>
      <c r="L91" s="1079" t="s">
        <v>811</v>
      </c>
      <c r="M91" s="1078" t="s">
        <v>1759</v>
      </c>
      <c r="N91" s="1477" t="s">
        <v>5405</v>
      </c>
      <c r="O91" s="1477" t="s">
        <v>5621</v>
      </c>
      <c r="P91" s="1477">
        <v>1</v>
      </c>
      <c r="Q91" s="1477">
        <v>0</v>
      </c>
    </row>
    <row r="92" spans="1:158" ht="32.1" customHeight="1">
      <c r="A92" s="1052"/>
      <c r="B92" s="1145" t="s">
        <v>134</v>
      </c>
      <c r="C92" s="1447">
        <v>1</v>
      </c>
      <c r="D92" s="1447">
        <v>1</v>
      </c>
      <c r="E92" s="1447">
        <v>1</v>
      </c>
      <c r="F92" s="1447">
        <v>1</v>
      </c>
      <c r="G92" s="1447">
        <v>1</v>
      </c>
      <c r="H92" s="1447">
        <v>1</v>
      </c>
      <c r="I92" s="1195" t="s">
        <v>123</v>
      </c>
      <c r="J92" s="1070" t="s">
        <v>1762</v>
      </c>
      <c r="K92" s="1070" t="s">
        <v>6286</v>
      </c>
      <c r="L92" s="1079" t="s">
        <v>811</v>
      </c>
      <c r="M92" s="1078" t="s">
        <v>1763</v>
      </c>
      <c r="N92" s="1073" t="s">
        <v>5406</v>
      </c>
      <c r="O92" s="1073" t="s">
        <v>5622</v>
      </c>
      <c r="P92" s="1073">
        <v>1</v>
      </c>
      <c r="Q92" s="1073">
        <v>0</v>
      </c>
    </row>
    <row r="93" spans="1:158" ht="32.1" customHeight="1">
      <c r="A93" s="1052"/>
      <c r="B93" s="1145" t="s">
        <v>135</v>
      </c>
      <c r="C93" s="1447">
        <v>1</v>
      </c>
      <c r="D93" s="1447">
        <v>1</v>
      </c>
      <c r="E93" s="1447">
        <v>1</v>
      </c>
      <c r="F93" s="1447">
        <v>1</v>
      </c>
      <c r="G93" s="1447">
        <v>1</v>
      </c>
      <c r="H93" s="1447">
        <v>1</v>
      </c>
      <c r="I93" s="1195" t="s">
        <v>123</v>
      </c>
      <c r="J93" s="1070" t="s">
        <v>1765</v>
      </c>
      <c r="K93" s="1070" t="s">
        <v>6287</v>
      </c>
      <c r="L93" s="1079" t="s">
        <v>811</v>
      </c>
      <c r="M93" s="1078" t="s">
        <v>1766</v>
      </c>
      <c r="N93" s="1073" t="s">
        <v>1134</v>
      </c>
      <c r="O93" s="1073" t="s">
        <v>1765</v>
      </c>
      <c r="P93" s="1073">
        <v>1</v>
      </c>
      <c r="Q93" s="1073">
        <v>0</v>
      </c>
    </row>
    <row r="94" spans="1:158" ht="51" customHeight="1">
      <c r="A94" s="1052"/>
      <c r="B94" s="1145" t="s">
        <v>136</v>
      </c>
      <c r="C94" s="1447">
        <v>1</v>
      </c>
      <c r="D94" s="1447">
        <v>1</v>
      </c>
      <c r="E94" s="1447">
        <v>1</v>
      </c>
      <c r="F94" s="1447">
        <v>1</v>
      </c>
      <c r="G94" s="1447">
        <v>1</v>
      </c>
      <c r="H94" s="1447">
        <v>1</v>
      </c>
      <c r="I94" s="1195" t="s">
        <v>123</v>
      </c>
      <c r="J94" s="1070" t="s">
        <v>1767</v>
      </c>
      <c r="K94" s="1070" t="s">
        <v>6288</v>
      </c>
      <c r="L94" s="1079" t="s">
        <v>811</v>
      </c>
      <c r="M94" s="1078" t="s">
        <v>811</v>
      </c>
      <c r="N94" s="1073" t="s">
        <v>948</v>
      </c>
      <c r="O94" s="1073" t="s">
        <v>5623</v>
      </c>
      <c r="P94" s="1073">
        <v>1</v>
      </c>
      <c r="Q94" s="1073">
        <v>0</v>
      </c>
    </row>
    <row r="95" spans="1:158" ht="32.1" customHeight="1">
      <c r="A95" s="1146" t="s">
        <v>137</v>
      </c>
      <c r="B95" s="1063" t="s">
        <v>138</v>
      </c>
      <c r="C95" s="1479">
        <f t="shared" ref="C95:H95" si="20">AVERAGE(C96,C107,C117,C135)</f>
        <v>0.72777777777777775</v>
      </c>
      <c r="D95" s="1479">
        <f t="shared" si="20"/>
        <v>0.73194444444444451</v>
      </c>
      <c r="E95" s="1479">
        <f t="shared" si="20"/>
        <v>0.25763888888888892</v>
      </c>
      <c r="F95" s="1479">
        <f t="shared" si="20"/>
        <v>0.68333333333333335</v>
      </c>
      <c r="G95" s="1479">
        <f t="shared" si="20"/>
        <v>0.53472222222222221</v>
      </c>
      <c r="H95" s="1479">
        <f t="shared" si="20"/>
        <v>0.25347222222222221</v>
      </c>
      <c r="I95" s="1759"/>
      <c r="J95" s="1065"/>
      <c r="K95" s="1061"/>
      <c r="L95" s="1147"/>
      <c r="M95" s="1147"/>
      <c r="N95" s="1061"/>
      <c r="O95" s="1064"/>
      <c r="P95" s="1061"/>
      <c r="Q95" s="1061"/>
    </row>
    <row r="96" spans="1:158" ht="32.1" customHeight="1">
      <c r="A96" s="1066" t="s">
        <v>139</v>
      </c>
      <c r="B96" s="1067" t="s">
        <v>140</v>
      </c>
      <c r="C96" s="1461">
        <f t="shared" ref="C96:H96" si="21">AVERAGE(C97,C98,C99,C103)</f>
        <v>0.75</v>
      </c>
      <c r="D96" s="1461">
        <f t="shared" si="21"/>
        <v>0.83333333333333326</v>
      </c>
      <c r="E96" s="1461">
        <f t="shared" si="21"/>
        <v>0.20833333333333331</v>
      </c>
      <c r="F96" s="1461">
        <f t="shared" si="21"/>
        <v>0.66666666666666663</v>
      </c>
      <c r="G96" s="1461">
        <f t="shared" si="21"/>
        <v>0.5</v>
      </c>
      <c r="H96" s="1461">
        <f t="shared" si="21"/>
        <v>0.29166666666666669</v>
      </c>
      <c r="I96" s="1195"/>
      <c r="J96" s="1130"/>
      <c r="K96" s="1059"/>
      <c r="L96" s="1079"/>
      <c r="M96" s="1148"/>
      <c r="N96" s="1131"/>
      <c r="O96" s="1131"/>
      <c r="P96" s="1059"/>
      <c r="Q96" s="1059"/>
    </row>
    <row r="97" spans="1:17" ht="32.1" customHeight="1">
      <c r="A97" s="1715"/>
      <c r="B97" s="1701" t="s">
        <v>141</v>
      </c>
      <c r="C97" s="1716">
        <v>1</v>
      </c>
      <c r="D97" s="1716">
        <v>1</v>
      </c>
      <c r="E97" s="1716">
        <v>0</v>
      </c>
      <c r="F97" s="1496">
        <v>1</v>
      </c>
      <c r="G97" s="1716">
        <v>1</v>
      </c>
      <c r="H97" s="1716">
        <v>0</v>
      </c>
      <c r="I97" s="1760" t="s">
        <v>142</v>
      </c>
      <c r="J97" s="1070" t="s">
        <v>1770</v>
      </c>
      <c r="K97" s="1075" t="s">
        <v>6289</v>
      </c>
      <c r="L97" s="1079" t="s">
        <v>5420</v>
      </c>
      <c r="M97" s="1149" t="s">
        <v>1773</v>
      </c>
      <c r="N97" s="1393" t="s">
        <v>5407</v>
      </c>
      <c r="O97" s="1070" t="s">
        <v>5624</v>
      </c>
      <c r="P97" s="1070">
        <v>1</v>
      </c>
      <c r="Q97" s="1070">
        <v>0</v>
      </c>
    </row>
    <row r="98" spans="1:17" ht="32.1" customHeight="1">
      <c r="A98" s="1132"/>
      <c r="B98" s="1159" t="s">
        <v>143</v>
      </c>
      <c r="C98" s="1442">
        <v>0</v>
      </c>
      <c r="D98" s="1442">
        <v>1</v>
      </c>
      <c r="E98" s="1442">
        <v>0</v>
      </c>
      <c r="F98" s="1442">
        <v>1</v>
      </c>
      <c r="G98" s="1497">
        <v>0</v>
      </c>
      <c r="H98" s="1497">
        <v>0</v>
      </c>
      <c r="I98" s="1761" t="s">
        <v>144</v>
      </c>
      <c r="J98" s="1790" t="s">
        <v>1776</v>
      </c>
      <c r="K98" s="1070" t="s">
        <v>748</v>
      </c>
      <c r="L98" s="1079" t="s">
        <v>811</v>
      </c>
      <c r="M98" s="1070" t="s">
        <v>763</v>
      </c>
      <c r="N98" s="1070" t="s">
        <v>5408</v>
      </c>
      <c r="O98" s="1070" t="s">
        <v>5625</v>
      </c>
      <c r="P98" s="1070">
        <v>0</v>
      </c>
      <c r="Q98" s="1070">
        <v>1</v>
      </c>
    </row>
    <row r="99" spans="1:17" ht="32.1" customHeight="1">
      <c r="A99" s="1132"/>
      <c r="B99" s="1717" t="s">
        <v>145</v>
      </c>
      <c r="C99" s="1716">
        <f t="shared" ref="C99:H99" si="22">AVERAGE(C100:C102)</f>
        <v>1</v>
      </c>
      <c r="D99" s="1716">
        <f t="shared" si="22"/>
        <v>0.66666666666666663</v>
      </c>
      <c r="E99" s="1716">
        <f t="shared" si="22"/>
        <v>0.33333333333333331</v>
      </c>
      <c r="F99" s="1716">
        <f t="shared" si="22"/>
        <v>0.5</v>
      </c>
      <c r="G99" s="1716">
        <f t="shared" si="22"/>
        <v>1</v>
      </c>
      <c r="H99" s="1716">
        <f t="shared" si="22"/>
        <v>0.83333333333333337</v>
      </c>
      <c r="I99" s="1195"/>
      <c r="J99" s="1152"/>
      <c r="K99" s="1153"/>
      <c r="L99" s="1079"/>
      <c r="M99" s="1154"/>
      <c r="N99" s="1070" t="s">
        <v>5409</v>
      </c>
      <c r="O99" s="1070" t="s">
        <v>5626</v>
      </c>
      <c r="P99" s="1070"/>
      <c r="Q99" s="1070"/>
    </row>
    <row r="100" spans="1:17" ht="32.1" customHeight="1">
      <c r="A100" s="1132"/>
      <c r="B100" s="1718" t="s">
        <v>146</v>
      </c>
      <c r="C100" s="1442">
        <v>1</v>
      </c>
      <c r="D100" s="1442">
        <v>1</v>
      </c>
      <c r="E100" s="1442">
        <v>0.5</v>
      </c>
      <c r="F100" s="1442">
        <v>0.5</v>
      </c>
      <c r="G100" s="1442">
        <v>1</v>
      </c>
      <c r="H100" s="1442">
        <v>0.5</v>
      </c>
      <c r="I100" s="1195" t="s">
        <v>147</v>
      </c>
      <c r="J100" s="1070" t="s">
        <v>6589</v>
      </c>
      <c r="K100" s="1154" t="s">
        <v>6290</v>
      </c>
      <c r="L100" s="1079" t="s">
        <v>3989</v>
      </c>
      <c r="M100" s="1678" t="s">
        <v>6075</v>
      </c>
      <c r="N100" s="1070" t="s">
        <v>811</v>
      </c>
      <c r="O100" s="1074" t="s">
        <v>1788</v>
      </c>
      <c r="P100" s="1070">
        <v>1</v>
      </c>
      <c r="Q100" s="1070">
        <v>0</v>
      </c>
    </row>
    <row r="101" spans="1:17" ht="32.1" customHeight="1">
      <c r="A101" s="1132"/>
      <c r="B101" s="1718" t="s">
        <v>148</v>
      </c>
      <c r="C101" s="1497">
        <v>1</v>
      </c>
      <c r="D101" s="1442">
        <v>1</v>
      </c>
      <c r="E101" s="1497">
        <v>0.5</v>
      </c>
      <c r="F101" s="1442">
        <v>0.5</v>
      </c>
      <c r="G101" s="1442">
        <v>1</v>
      </c>
      <c r="H101" s="1442">
        <v>1</v>
      </c>
      <c r="I101" s="1195" t="s">
        <v>147</v>
      </c>
      <c r="J101" s="1070" t="s">
        <v>6590</v>
      </c>
      <c r="K101" s="1070" t="s">
        <v>1790</v>
      </c>
      <c r="L101" s="1079" t="s">
        <v>3989</v>
      </c>
      <c r="M101" s="1075" t="s">
        <v>6076</v>
      </c>
      <c r="N101" s="1070" t="s">
        <v>811</v>
      </c>
      <c r="O101" s="1070" t="s">
        <v>5627</v>
      </c>
      <c r="P101" s="1070">
        <v>1</v>
      </c>
      <c r="Q101" s="1070">
        <v>0</v>
      </c>
    </row>
    <row r="102" spans="1:17" ht="32.1" customHeight="1">
      <c r="A102" s="1132"/>
      <c r="B102" s="1718" t="s">
        <v>149</v>
      </c>
      <c r="C102" s="1442">
        <v>1</v>
      </c>
      <c r="D102" s="1497">
        <v>0</v>
      </c>
      <c r="E102" s="1497">
        <v>0</v>
      </c>
      <c r="F102" s="1497">
        <v>0.5</v>
      </c>
      <c r="G102" s="1497">
        <v>1</v>
      </c>
      <c r="H102" s="1497">
        <v>1</v>
      </c>
      <c r="I102" s="1195" t="s">
        <v>38</v>
      </c>
      <c r="J102" s="1070" t="s">
        <v>1794</v>
      </c>
      <c r="K102" s="1084" t="s">
        <v>6291</v>
      </c>
      <c r="L102" s="1079" t="s">
        <v>3989</v>
      </c>
      <c r="M102" s="1075" t="s">
        <v>6077</v>
      </c>
      <c r="N102" s="1070" t="s">
        <v>811</v>
      </c>
      <c r="O102" s="1070" t="s">
        <v>5628</v>
      </c>
      <c r="P102" s="1070">
        <v>1</v>
      </c>
      <c r="Q102" s="1070">
        <v>0</v>
      </c>
    </row>
    <row r="103" spans="1:17" ht="32.1" customHeight="1">
      <c r="A103" s="1132"/>
      <c r="B103" s="1159" t="s">
        <v>150</v>
      </c>
      <c r="C103" s="1716">
        <f t="shared" ref="C103:H103" si="23">AVERAGE(C104:C106)</f>
        <v>1</v>
      </c>
      <c r="D103" s="1716">
        <f t="shared" si="23"/>
        <v>0.66666666666666663</v>
      </c>
      <c r="E103" s="1716">
        <f t="shared" si="23"/>
        <v>0.5</v>
      </c>
      <c r="F103" s="1716">
        <f t="shared" si="23"/>
        <v>0.16666666666666666</v>
      </c>
      <c r="G103" s="1716">
        <f t="shared" si="23"/>
        <v>0</v>
      </c>
      <c r="H103" s="1716">
        <f t="shared" si="23"/>
        <v>0.33333333333333331</v>
      </c>
      <c r="I103" s="1195"/>
      <c r="J103" s="1070"/>
      <c r="K103" s="1154"/>
      <c r="L103" s="1079" t="s">
        <v>5886</v>
      </c>
      <c r="M103" s="1154"/>
      <c r="N103" s="1070" t="s">
        <v>5410</v>
      </c>
      <c r="O103" s="1077" t="s">
        <v>5629</v>
      </c>
      <c r="P103" s="1070"/>
      <c r="Q103" s="1070"/>
    </row>
    <row r="104" spans="1:17" ht="32.1" customHeight="1">
      <c r="A104" s="1132"/>
      <c r="B104" s="1718" t="s">
        <v>146</v>
      </c>
      <c r="C104" s="1497">
        <v>1</v>
      </c>
      <c r="D104" s="1442">
        <v>1</v>
      </c>
      <c r="E104" s="1719">
        <v>0.5</v>
      </c>
      <c r="F104" s="1719">
        <v>0</v>
      </c>
      <c r="G104" s="1719">
        <v>0</v>
      </c>
      <c r="H104" s="1719">
        <v>0.5</v>
      </c>
      <c r="I104" s="1195" t="s">
        <v>147</v>
      </c>
      <c r="J104" s="1070" t="s">
        <v>6591</v>
      </c>
      <c r="K104" s="1154" t="s">
        <v>6292</v>
      </c>
      <c r="L104" s="1079" t="s">
        <v>5427</v>
      </c>
      <c r="M104" s="1075" t="s">
        <v>6078</v>
      </c>
      <c r="N104" s="1070" t="s">
        <v>2425</v>
      </c>
      <c r="O104" s="1790" t="s">
        <v>5630</v>
      </c>
      <c r="P104" s="1070">
        <v>1</v>
      </c>
      <c r="Q104" s="1070">
        <v>0</v>
      </c>
    </row>
    <row r="105" spans="1:17" ht="32.1" customHeight="1">
      <c r="A105" s="1132"/>
      <c r="B105" s="1718" t="s">
        <v>148</v>
      </c>
      <c r="C105" s="1497">
        <v>1</v>
      </c>
      <c r="D105" s="1442">
        <v>1</v>
      </c>
      <c r="E105" s="1719">
        <v>0.5</v>
      </c>
      <c r="F105" s="1719">
        <v>0.5</v>
      </c>
      <c r="G105" s="1497">
        <v>0</v>
      </c>
      <c r="H105" s="1497">
        <v>0.5</v>
      </c>
      <c r="I105" s="1195" t="s">
        <v>147</v>
      </c>
      <c r="J105" s="1070" t="s">
        <v>6592</v>
      </c>
      <c r="K105" s="1154" t="s">
        <v>6293</v>
      </c>
      <c r="L105" s="1079" t="s">
        <v>5427</v>
      </c>
      <c r="M105" s="1156" t="s">
        <v>6079</v>
      </c>
      <c r="N105" s="1070" t="s">
        <v>2425</v>
      </c>
      <c r="O105" s="1790" t="s">
        <v>5631</v>
      </c>
      <c r="P105" s="1070">
        <v>1</v>
      </c>
      <c r="Q105" s="1070">
        <v>0</v>
      </c>
    </row>
    <row r="106" spans="1:17" ht="32.1" customHeight="1">
      <c r="A106" s="1132"/>
      <c r="B106" s="1718" t="s">
        <v>149</v>
      </c>
      <c r="C106" s="1497">
        <v>1</v>
      </c>
      <c r="D106" s="1497">
        <v>0</v>
      </c>
      <c r="E106" s="1719">
        <v>0.5</v>
      </c>
      <c r="F106" s="1497">
        <v>0</v>
      </c>
      <c r="G106" s="1497">
        <v>0</v>
      </c>
      <c r="H106" s="1497">
        <v>0</v>
      </c>
      <c r="I106" s="1195" t="s">
        <v>147</v>
      </c>
      <c r="J106" s="1070" t="s">
        <v>6593</v>
      </c>
      <c r="K106" s="1154" t="s">
        <v>6294</v>
      </c>
      <c r="L106" s="1079" t="s">
        <v>5427</v>
      </c>
      <c r="M106" s="1156" t="s">
        <v>6080</v>
      </c>
      <c r="N106" s="1070" t="s">
        <v>2425</v>
      </c>
      <c r="O106" s="1070" t="s">
        <v>5632</v>
      </c>
      <c r="P106" s="1070">
        <v>1</v>
      </c>
      <c r="Q106" s="1070">
        <v>0</v>
      </c>
    </row>
    <row r="107" spans="1:17" ht="32.1" customHeight="1">
      <c r="A107" s="1066" t="s">
        <v>151</v>
      </c>
      <c r="B107" s="1067" t="s">
        <v>152</v>
      </c>
      <c r="C107" s="1478">
        <f t="shared" ref="C107:H107" si="24">AVERAGE(C108:C116)</f>
        <v>0.77777777777777779</v>
      </c>
      <c r="D107" s="1478">
        <f t="shared" si="24"/>
        <v>0.83333333333333337</v>
      </c>
      <c r="E107" s="1478">
        <f t="shared" si="24"/>
        <v>0.3888888888888889</v>
      </c>
      <c r="F107" s="1478">
        <f t="shared" si="24"/>
        <v>0.77777777777777779</v>
      </c>
      <c r="G107" s="1478">
        <f t="shared" si="24"/>
        <v>0.66666666666666663</v>
      </c>
      <c r="H107" s="1478">
        <f t="shared" si="24"/>
        <v>0.22222222222222221</v>
      </c>
      <c r="I107" s="1195"/>
      <c r="J107" s="1157"/>
      <c r="K107" s="1157"/>
      <c r="L107" s="1157"/>
      <c r="M107" s="1157"/>
      <c r="N107" s="1157"/>
      <c r="O107" s="1158"/>
      <c r="P107" s="1059"/>
      <c r="Q107" s="1059"/>
    </row>
    <row r="108" spans="1:17" ht="32.1" customHeight="1">
      <c r="A108" s="1052"/>
      <c r="B108" s="1151" t="s">
        <v>153</v>
      </c>
      <c r="C108" s="1450">
        <v>0.5</v>
      </c>
      <c r="D108" s="1450">
        <v>1</v>
      </c>
      <c r="E108" s="1450">
        <v>1</v>
      </c>
      <c r="F108" s="1450">
        <v>1</v>
      </c>
      <c r="G108" s="1450">
        <v>0.5</v>
      </c>
      <c r="H108" s="1450">
        <v>0</v>
      </c>
      <c r="I108" s="1195" t="s">
        <v>154</v>
      </c>
      <c r="J108" s="1070" t="s">
        <v>6594</v>
      </c>
      <c r="K108" s="1393" t="s">
        <v>6295</v>
      </c>
      <c r="L108" s="1079" t="s">
        <v>811</v>
      </c>
      <c r="M108" s="1396" t="s">
        <v>6081</v>
      </c>
      <c r="N108" s="1070" t="s">
        <v>5411</v>
      </c>
      <c r="O108" s="1393" t="s">
        <v>5633</v>
      </c>
      <c r="P108" s="1070">
        <v>1</v>
      </c>
      <c r="Q108" s="1070">
        <v>0</v>
      </c>
    </row>
    <row r="109" spans="1:17" ht="32.1" customHeight="1">
      <c r="A109" s="1086"/>
      <c r="B109" s="1159" t="s">
        <v>155</v>
      </c>
      <c r="C109" s="1442">
        <v>1</v>
      </c>
      <c r="D109" s="1442">
        <v>1</v>
      </c>
      <c r="E109" s="1442">
        <v>1</v>
      </c>
      <c r="F109" s="1442">
        <v>1</v>
      </c>
      <c r="G109" s="1442">
        <v>1</v>
      </c>
      <c r="H109" s="1442">
        <v>0</v>
      </c>
      <c r="I109" s="1195" t="s">
        <v>156</v>
      </c>
      <c r="J109" s="1070" t="s">
        <v>1818</v>
      </c>
      <c r="K109" s="1154" t="s">
        <v>6296</v>
      </c>
      <c r="L109" s="1071" t="s">
        <v>1820</v>
      </c>
      <c r="M109" s="1075" t="s">
        <v>6082</v>
      </c>
      <c r="N109" s="1790" t="s">
        <v>5412</v>
      </c>
      <c r="O109" s="1791" t="s">
        <v>5634</v>
      </c>
      <c r="P109" s="1070">
        <v>1</v>
      </c>
      <c r="Q109" s="1070">
        <v>0</v>
      </c>
    </row>
    <row r="110" spans="1:17" ht="32.1" customHeight="1">
      <c r="A110" s="1086"/>
      <c r="B110" s="1159" t="s">
        <v>157</v>
      </c>
      <c r="C110" s="1442">
        <v>0</v>
      </c>
      <c r="D110" s="1497">
        <v>0</v>
      </c>
      <c r="E110" s="1442">
        <v>0</v>
      </c>
      <c r="F110" s="1442">
        <v>0</v>
      </c>
      <c r="G110" s="1442">
        <v>0</v>
      </c>
      <c r="H110" s="1442">
        <v>1</v>
      </c>
      <c r="I110" s="1195" t="s">
        <v>38</v>
      </c>
      <c r="J110" s="1070" t="s">
        <v>1824</v>
      </c>
      <c r="K110" s="1069" t="s">
        <v>763</v>
      </c>
      <c r="L110" s="1079" t="s">
        <v>2425</v>
      </c>
      <c r="M110" s="1075" t="s">
        <v>6083</v>
      </c>
      <c r="N110" s="1070" t="s">
        <v>5413</v>
      </c>
      <c r="O110" s="1393" t="s">
        <v>5635</v>
      </c>
      <c r="P110" s="1070">
        <v>1</v>
      </c>
      <c r="Q110" s="1070">
        <v>0</v>
      </c>
    </row>
    <row r="111" spans="1:17" ht="32.1" customHeight="1">
      <c r="A111" s="1086"/>
      <c r="B111" s="1159" t="s">
        <v>158</v>
      </c>
      <c r="C111" s="1497">
        <v>1</v>
      </c>
      <c r="D111" s="1497">
        <v>1</v>
      </c>
      <c r="E111" s="1497">
        <v>1</v>
      </c>
      <c r="F111" s="1719">
        <v>1</v>
      </c>
      <c r="G111" s="1497">
        <v>0.5</v>
      </c>
      <c r="H111" s="1497">
        <v>0</v>
      </c>
      <c r="I111" s="1195" t="s">
        <v>147</v>
      </c>
      <c r="J111" s="1070" t="s">
        <v>1830</v>
      </c>
      <c r="K111" s="1154" t="s">
        <v>6297</v>
      </c>
      <c r="L111" s="1079" t="s">
        <v>811</v>
      </c>
      <c r="M111" s="1075" t="s">
        <v>6084</v>
      </c>
      <c r="N111" s="1790" t="s">
        <v>5414</v>
      </c>
      <c r="O111" s="1790" t="s">
        <v>763</v>
      </c>
      <c r="P111" s="1070">
        <v>1</v>
      </c>
      <c r="Q111" s="1070">
        <v>0</v>
      </c>
    </row>
    <row r="112" spans="1:17" ht="32.1" customHeight="1">
      <c r="A112" s="1086"/>
      <c r="B112" s="1159" t="s">
        <v>159</v>
      </c>
      <c r="C112" s="1497">
        <v>0.5</v>
      </c>
      <c r="D112" s="1442">
        <v>0.5</v>
      </c>
      <c r="E112" s="1442">
        <v>0</v>
      </c>
      <c r="F112" s="1442">
        <v>0.5</v>
      </c>
      <c r="G112" s="1442">
        <v>0.5</v>
      </c>
      <c r="H112" s="1442">
        <v>0</v>
      </c>
      <c r="I112" s="1195" t="s">
        <v>147</v>
      </c>
      <c r="J112" s="1393" t="s">
        <v>1835</v>
      </c>
      <c r="K112" s="1393" t="s">
        <v>6888</v>
      </c>
      <c r="L112" s="1079" t="s">
        <v>2425</v>
      </c>
      <c r="M112" s="1075" t="s">
        <v>6085</v>
      </c>
      <c r="N112" s="1070" t="s">
        <v>5415</v>
      </c>
      <c r="O112" s="1070" t="s">
        <v>5636</v>
      </c>
      <c r="P112" s="1070">
        <v>1</v>
      </c>
      <c r="Q112" s="1070">
        <v>0</v>
      </c>
    </row>
    <row r="113" spans="1:158" s="1088" customFormat="1" ht="32.1" customHeight="1">
      <c r="A113" s="1086"/>
      <c r="B113" s="1159" t="s">
        <v>160</v>
      </c>
      <c r="C113" s="1442">
        <v>1</v>
      </c>
      <c r="D113" s="1442">
        <v>1</v>
      </c>
      <c r="E113" s="1442">
        <v>0</v>
      </c>
      <c r="F113" s="1442">
        <v>1</v>
      </c>
      <c r="G113" s="1442">
        <v>1</v>
      </c>
      <c r="H113" s="1442">
        <v>0</v>
      </c>
      <c r="I113" s="1195" t="s">
        <v>6747</v>
      </c>
      <c r="J113" s="1072" t="s">
        <v>1842</v>
      </c>
      <c r="K113" s="1156" t="s">
        <v>6298</v>
      </c>
      <c r="L113" s="1079" t="s">
        <v>2425</v>
      </c>
      <c r="M113" s="1069" t="s">
        <v>6086</v>
      </c>
      <c r="N113" s="1070" t="s">
        <v>5416</v>
      </c>
      <c r="O113" s="1072" t="s">
        <v>1844</v>
      </c>
      <c r="P113" s="1072"/>
      <c r="Q113" s="1072"/>
      <c r="R113" s="1081"/>
      <c r="S113" s="1082"/>
      <c r="T113" s="1082"/>
      <c r="U113" s="1082"/>
      <c r="V113" s="1082"/>
      <c r="W113" s="1082"/>
      <c r="X113" s="1082"/>
      <c r="Y113" s="1082"/>
      <c r="Z113" s="1082"/>
      <c r="AA113" s="1082"/>
      <c r="AB113" s="1082"/>
      <c r="AC113" s="1082"/>
      <c r="AD113" s="1082"/>
      <c r="AE113" s="1082"/>
      <c r="AF113" s="1082"/>
      <c r="AG113" s="1082"/>
      <c r="AH113" s="1082"/>
      <c r="AI113" s="1082"/>
      <c r="AJ113" s="1082"/>
      <c r="AK113" s="1082"/>
      <c r="AL113" s="1082"/>
      <c r="AM113" s="1082"/>
      <c r="AN113" s="1082"/>
      <c r="AO113" s="1082"/>
      <c r="AP113" s="1082"/>
      <c r="AQ113" s="1082"/>
      <c r="AR113" s="1082"/>
      <c r="AS113" s="1082"/>
      <c r="AT113" s="1082"/>
      <c r="AU113" s="1082"/>
      <c r="AV113" s="1082"/>
      <c r="AW113" s="1082"/>
      <c r="AX113" s="1082"/>
      <c r="AY113" s="1082"/>
      <c r="AZ113" s="1082"/>
      <c r="BA113" s="1082"/>
      <c r="BB113" s="1082"/>
      <c r="BC113" s="1082"/>
      <c r="BD113" s="1082"/>
      <c r="BE113" s="1082"/>
      <c r="BF113" s="1082"/>
      <c r="BG113" s="1082"/>
      <c r="BH113" s="1082"/>
      <c r="BI113" s="1082"/>
      <c r="BJ113" s="1082"/>
      <c r="BK113" s="1082"/>
      <c r="BL113" s="1082"/>
      <c r="BM113" s="1082"/>
      <c r="BN113" s="1082"/>
      <c r="BO113" s="1082"/>
      <c r="BP113" s="1082"/>
      <c r="BQ113" s="1082"/>
      <c r="BR113" s="1082"/>
      <c r="BS113" s="1082"/>
      <c r="BT113" s="1082"/>
      <c r="BU113" s="1082"/>
      <c r="BV113" s="1082"/>
      <c r="BW113" s="1082"/>
      <c r="BX113" s="1082"/>
      <c r="BY113" s="1082"/>
      <c r="BZ113" s="1082"/>
      <c r="CA113" s="1082"/>
      <c r="CB113" s="1082"/>
      <c r="CC113" s="1082"/>
      <c r="CD113" s="1082"/>
      <c r="CE113" s="1082"/>
      <c r="CF113" s="1082"/>
      <c r="CG113" s="1082"/>
      <c r="CH113" s="1082"/>
      <c r="CI113" s="1082"/>
      <c r="CJ113" s="1082"/>
      <c r="CK113" s="1082"/>
      <c r="CL113" s="1082"/>
      <c r="CM113" s="1082"/>
      <c r="CN113" s="1082"/>
      <c r="CO113" s="1082"/>
      <c r="CP113" s="1082"/>
      <c r="CQ113" s="1082"/>
      <c r="CR113" s="1082"/>
      <c r="CS113" s="1082"/>
      <c r="CT113" s="1082"/>
      <c r="CU113" s="1082"/>
      <c r="CV113" s="1082"/>
      <c r="CW113" s="1082"/>
      <c r="CX113" s="1082"/>
      <c r="CY113" s="1082"/>
      <c r="CZ113" s="1082"/>
      <c r="DA113" s="1082"/>
      <c r="DB113" s="1082"/>
      <c r="DC113" s="1082"/>
      <c r="DD113" s="1082"/>
      <c r="DE113" s="1082"/>
      <c r="DF113" s="1082"/>
      <c r="DG113" s="1082"/>
      <c r="DH113" s="1082"/>
      <c r="DI113" s="1082"/>
      <c r="DJ113" s="1082"/>
      <c r="DK113" s="1082"/>
      <c r="DL113" s="1082"/>
      <c r="DM113" s="1082"/>
      <c r="DN113" s="1082"/>
      <c r="DO113" s="1082"/>
      <c r="DP113" s="1082"/>
      <c r="DQ113" s="1082"/>
      <c r="DR113" s="1082"/>
      <c r="DS113" s="1082"/>
      <c r="DT113" s="1082"/>
      <c r="DU113" s="1082"/>
      <c r="DV113" s="1082"/>
      <c r="DW113" s="1082"/>
      <c r="DX113" s="1082"/>
      <c r="DY113" s="1082"/>
      <c r="DZ113" s="1082"/>
      <c r="EA113" s="1082"/>
      <c r="EB113" s="1082"/>
      <c r="EC113" s="1082"/>
      <c r="ED113" s="1082"/>
      <c r="EE113" s="1082"/>
      <c r="EF113" s="1082"/>
      <c r="EG113" s="1082"/>
      <c r="EH113" s="1082"/>
      <c r="EI113" s="1082"/>
      <c r="EJ113" s="1082"/>
      <c r="EK113" s="1082"/>
      <c r="EL113" s="1082"/>
      <c r="EM113" s="1082"/>
      <c r="EN113" s="1082"/>
      <c r="EO113" s="1082"/>
      <c r="EP113" s="1082"/>
      <c r="EQ113" s="1082"/>
      <c r="ER113" s="1082"/>
      <c r="ES113" s="1082"/>
      <c r="ET113" s="1082"/>
      <c r="EU113" s="1082"/>
      <c r="EV113" s="1082"/>
      <c r="EW113" s="1082"/>
      <c r="EX113" s="1082"/>
      <c r="EY113" s="1082"/>
      <c r="EZ113" s="1082"/>
      <c r="FA113" s="1082"/>
      <c r="FB113" s="1082"/>
    </row>
    <row r="114" spans="1:158" ht="32.1" customHeight="1">
      <c r="A114" s="1086"/>
      <c r="B114" s="1159" t="s">
        <v>161</v>
      </c>
      <c r="C114" s="1442">
        <v>1</v>
      </c>
      <c r="D114" s="1720">
        <v>1</v>
      </c>
      <c r="E114" s="1442">
        <v>0.5</v>
      </c>
      <c r="F114" s="1720">
        <v>1</v>
      </c>
      <c r="G114" s="1442">
        <v>1</v>
      </c>
      <c r="H114" s="1442">
        <v>0</v>
      </c>
      <c r="I114" s="1195" t="s">
        <v>147</v>
      </c>
      <c r="J114" s="1070" t="s">
        <v>6595</v>
      </c>
      <c r="K114" s="1070" t="s">
        <v>6299</v>
      </c>
      <c r="L114" s="1079" t="s">
        <v>5887</v>
      </c>
      <c r="M114" s="1072" t="s">
        <v>6087</v>
      </c>
      <c r="N114" s="1070" t="s">
        <v>5417</v>
      </c>
      <c r="O114" s="1070" t="s">
        <v>5637</v>
      </c>
      <c r="P114" s="1070">
        <v>1</v>
      </c>
      <c r="Q114" s="1070">
        <v>0</v>
      </c>
    </row>
    <row r="115" spans="1:158" ht="32.1" customHeight="1">
      <c r="A115" s="1052"/>
      <c r="B115" s="1151" t="s">
        <v>162</v>
      </c>
      <c r="C115" s="1447">
        <v>1</v>
      </c>
      <c r="D115" s="1447">
        <v>1</v>
      </c>
      <c r="E115" s="1447">
        <v>0</v>
      </c>
      <c r="F115" s="1490">
        <v>0.5</v>
      </c>
      <c r="G115" s="1489">
        <v>1</v>
      </c>
      <c r="H115" s="1489">
        <v>0.5</v>
      </c>
      <c r="I115" s="1195" t="s">
        <v>147</v>
      </c>
      <c r="J115" s="1393" t="s">
        <v>1860</v>
      </c>
      <c r="K115" s="1393" t="s">
        <v>6300</v>
      </c>
      <c r="L115" s="1079" t="s">
        <v>5888</v>
      </c>
      <c r="M115" s="1078" t="s">
        <v>6088</v>
      </c>
      <c r="N115" s="1070" t="s">
        <v>811</v>
      </c>
      <c r="O115" s="1070" t="s">
        <v>5638</v>
      </c>
      <c r="P115" s="1070">
        <v>1</v>
      </c>
      <c r="Q115" s="1070">
        <v>0</v>
      </c>
    </row>
    <row r="116" spans="1:158" ht="32.1" customHeight="1">
      <c r="A116" s="1052"/>
      <c r="B116" s="1151" t="s">
        <v>163</v>
      </c>
      <c r="C116" s="1447">
        <v>1</v>
      </c>
      <c r="D116" s="1447">
        <v>1</v>
      </c>
      <c r="E116" s="1447">
        <v>0</v>
      </c>
      <c r="F116" s="1447">
        <v>1</v>
      </c>
      <c r="G116" s="1447">
        <v>0.5</v>
      </c>
      <c r="H116" s="1447">
        <v>0.5</v>
      </c>
      <c r="I116" s="1195" t="s">
        <v>147</v>
      </c>
      <c r="J116" s="1070" t="s">
        <v>1865</v>
      </c>
      <c r="K116" s="1154" t="s">
        <v>6301</v>
      </c>
      <c r="L116" s="1079" t="s">
        <v>2425</v>
      </c>
      <c r="M116" s="1075" t="s">
        <v>6089</v>
      </c>
      <c r="N116" s="1070" t="s">
        <v>5418</v>
      </c>
      <c r="O116" s="1077" t="s">
        <v>5639</v>
      </c>
      <c r="P116" s="1070">
        <v>1</v>
      </c>
      <c r="Q116" s="1070">
        <v>0</v>
      </c>
    </row>
    <row r="117" spans="1:158" ht="32.1" customHeight="1">
      <c r="A117" s="1066" t="s">
        <v>164</v>
      </c>
      <c r="B117" s="1067" t="s">
        <v>165</v>
      </c>
      <c r="C117" s="1478">
        <f t="shared" ref="C117:H117" si="25">AVERAGE(C118,C122,C126,C127,C131)</f>
        <v>0.8</v>
      </c>
      <c r="D117" s="1478">
        <f t="shared" si="25"/>
        <v>0.56666666666666665</v>
      </c>
      <c r="E117" s="1478">
        <f t="shared" si="25"/>
        <v>0.4333333333333334</v>
      </c>
      <c r="F117" s="1478">
        <f t="shared" si="25"/>
        <v>0.56666666666666665</v>
      </c>
      <c r="G117" s="1478">
        <f t="shared" si="25"/>
        <v>0.33333333333333337</v>
      </c>
      <c r="H117" s="1478">
        <f t="shared" si="25"/>
        <v>0.33333333333333337</v>
      </c>
      <c r="I117" s="1195"/>
      <c r="J117" s="1130"/>
      <c r="K117" s="1157"/>
      <c r="L117" s="1157"/>
      <c r="M117" s="1157"/>
      <c r="N117" s="1157"/>
      <c r="O117" s="1158"/>
      <c r="P117" s="1059"/>
      <c r="Q117" s="1059"/>
    </row>
    <row r="118" spans="1:158" ht="32.1" customHeight="1">
      <c r="A118" s="1052"/>
      <c r="B118" s="1151" t="s">
        <v>166</v>
      </c>
      <c r="C118" s="1447">
        <f t="shared" ref="C118:H118" si="26">AVERAGE(C119:C121)</f>
        <v>1</v>
      </c>
      <c r="D118" s="1447">
        <f t="shared" si="26"/>
        <v>1</v>
      </c>
      <c r="E118" s="1447">
        <f t="shared" si="26"/>
        <v>0.83333333333333337</v>
      </c>
      <c r="F118" s="1447">
        <f t="shared" si="26"/>
        <v>1</v>
      </c>
      <c r="G118" s="1447">
        <f t="shared" si="26"/>
        <v>1</v>
      </c>
      <c r="H118" s="1447">
        <f t="shared" si="26"/>
        <v>1</v>
      </c>
      <c r="I118" s="1195"/>
      <c r="J118" s="1070"/>
      <c r="K118" s="1160"/>
      <c r="L118" s="1079"/>
      <c r="M118" s="1154"/>
      <c r="N118" s="1070" t="s">
        <v>5419</v>
      </c>
      <c r="O118" s="1077" t="s">
        <v>5640</v>
      </c>
      <c r="P118" s="1161"/>
      <c r="Q118" s="1161"/>
    </row>
    <row r="119" spans="1:158" ht="32.1" customHeight="1">
      <c r="A119" s="1052"/>
      <c r="B119" s="1155" t="s">
        <v>167</v>
      </c>
      <c r="C119" s="1447">
        <v>1</v>
      </c>
      <c r="D119" s="1447">
        <v>1</v>
      </c>
      <c r="E119" s="1447">
        <v>1</v>
      </c>
      <c r="F119" s="1447">
        <v>1</v>
      </c>
      <c r="G119" s="1447">
        <v>1</v>
      </c>
      <c r="H119" s="1447">
        <v>1</v>
      </c>
      <c r="I119" s="1195" t="s">
        <v>147</v>
      </c>
      <c r="J119" s="1070" t="s">
        <v>1870</v>
      </c>
      <c r="K119" s="1070" t="s">
        <v>811</v>
      </c>
      <c r="L119" s="1079">
        <v>1</v>
      </c>
      <c r="M119" s="1162" t="s">
        <v>6090</v>
      </c>
      <c r="N119" s="1070" t="s">
        <v>5420</v>
      </c>
      <c r="O119" s="1070" t="s">
        <v>811</v>
      </c>
      <c r="P119" s="1070">
        <v>1</v>
      </c>
      <c r="Q119" s="1070">
        <v>0</v>
      </c>
    </row>
    <row r="120" spans="1:158" ht="32.1" customHeight="1">
      <c r="A120" s="1052"/>
      <c r="B120" s="1155" t="s">
        <v>168</v>
      </c>
      <c r="C120" s="1447">
        <v>1</v>
      </c>
      <c r="D120" s="1447">
        <v>1</v>
      </c>
      <c r="E120" s="1447">
        <v>1</v>
      </c>
      <c r="F120" s="1447">
        <v>1</v>
      </c>
      <c r="G120" s="1447">
        <v>1</v>
      </c>
      <c r="H120" s="1447">
        <v>1</v>
      </c>
      <c r="I120" s="1195" t="s">
        <v>38</v>
      </c>
      <c r="J120" s="1070" t="s">
        <v>1874</v>
      </c>
      <c r="K120" s="1070" t="s">
        <v>1068</v>
      </c>
      <c r="L120" s="1079">
        <v>1</v>
      </c>
      <c r="M120" s="1162" t="s">
        <v>6091</v>
      </c>
      <c r="N120" s="1070" t="s">
        <v>5420</v>
      </c>
      <c r="O120" s="1070" t="s">
        <v>811</v>
      </c>
      <c r="P120" s="1070">
        <v>1</v>
      </c>
      <c r="Q120" s="1070">
        <v>0</v>
      </c>
    </row>
    <row r="121" spans="1:158" ht="32.1" customHeight="1">
      <c r="A121" s="1086"/>
      <c r="B121" s="1155" t="s">
        <v>169</v>
      </c>
      <c r="C121" s="1447">
        <v>1</v>
      </c>
      <c r="D121" s="1447">
        <v>1</v>
      </c>
      <c r="E121" s="1447">
        <v>0.5</v>
      </c>
      <c r="F121" s="1441">
        <v>1</v>
      </c>
      <c r="G121" s="1447">
        <v>1</v>
      </c>
      <c r="H121" s="1447">
        <v>1</v>
      </c>
      <c r="I121" s="1195" t="s">
        <v>38</v>
      </c>
      <c r="J121" s="1070" t="s">
        <v>1878</v>
      </c>
      <c r="K121" s="1070" t="s">
        <v>811</v>
      </c>
      <c r="L121" s="1079" t="s">
        <v>5889</v>
      </c>
      <c r="M121" s="1163" t="s">
        <v>6092</v>
      </c>
      <c r="N121" s="1161" t="s">
        <v>5420</v>
      </c>
      <c r="O121" s="1070" t="s">
        <v>811</v>
      </c>
      <c r="P121" s="1070">
        <v>1</v>
      </c>
      <c r="Q121" s="1070">
        <v>0</v>
      </c>
    </row>
    <row r="122" spans="1:158" ht="32.1" customHeight="1">
      <c r="A122" s="1052"/>
      <c r="B122" s="1151" t="s">
        <v>170</v>
      </c>
      <c r="C122" s="1447">
        <f t="shared" ref="C122:H122" si="27">AVERAGE(C123:C125)</f>
        <v>1</v>
      </c>
      <c r="D122" s="1447">
        <f t="shared" si="27"/>
        <v>0.5</v>
      </c>
      <c r="E122" s="1447">
        <f t="shared" si="27"/>
        <v>0.5</v>
      </c>
      <c r="F122" s="1447">
        <f t="shared" si="27"/>
        <v>0.83333333333333337</v>
      </c>
      <c r="G122" s="1447">
        <f t="shared" si="27"/>
        <v>0.16666666666666666</v>
      </c>
      <c r="H122" s="1447">
        <f t="shared" si="27"/>
        <v>0.5</v>
      </c>
      <c r="I122" s="1195"/>
      <c r="J122" s="1070"/>
      <c r="K122" s="1160"/>
      <c r="L122" s="1079"/>
      <c r="M122" s="1164"/>
      <c r="N122" s="1070"/>
      <c r="O122" s="1070"/>
      <c r="P122" s="1070"/>
      <c r="Q122" s="1070"/>
    </row>
    <row r="123" spans="1:158" ht="32.1" customHeight="1">
      <c r="A123" s="1052"/>
      <c r="B123" s="1155" t="s">
        <v>167</v>
      </c>
      <c r="C123" s="1447">
        <v>1</v>
      </c>
      <c r="D123" s="1447">
        <v>0.5</v>
      </c>
      <c r="E123" s="1447">
        <v>0.5</v>
      </c>
      <c r="F123" s="1447">
        <v>1</v>
      </c>
      <c r="G123" s="1447">
        <v>0</v>
      </c>
      <c r="H123" s="1447">
        <v>0.5</v>
      </c>
      <c r="I123" s="1195" t="s">
        <v>147</v>
      </c>
      <c r="J123" s="1070" t="s">
        <v>1882</v>
      </c>
      <c r="K123" s="1162" t="s">
        <v>6302</v>
      </c>
      <c r="L123" s="1079">
        <v>0.5</v>
      </c>
      <c r="M123" s="1154" t="s">
        <v>6093</v>
      </c>
      <c r="N123" s="1070" t="s">
        <v>5421</v>
      </c>
      <c r="O123" s="1070" t="s">
        <v>6746</v>
      </c>
      <c r="P123" s="1070">
        <v>1</v>
      </c>
      <c r="Q123" s="1070">
        <v>0</v>
      </c>
    </row>
    <row r="124" spans="1:158" ht="32.1" customHeight="1">
      <c r="A124" s="1052"/>
      <c r="B124" s="1155" t="s">
        <v>168</v>
      </c>
      <c r="C124" s="1447">
        <v>1</v>
      </c>
      <c r="D124" s="1447">
        <v>0.5</v>
      </c>
      <c r="E124" s="1447">
        <v>0.5</v>
      </c>
      <c r="F124" s="1447">
        <v>1</v>
      </c>
      <c r="G124" s="1447">
        <v>0.5</v>
      </c>
      <c r="H124" s="1447">
        <v>0.5</v>
      </c>
      <c r="I124" s="1195" t="s">
        <v>147</v>
      </c>
      <c r="J124" s="1070" t="s">
        <v>1891</v>
      </c>
      <c r="K124" s="1162" t="s">
        <v>6303</v>
      </c>
      <c r="L124" s="1079">
        <v>0.5</v>
      </c>
      <c r="M124" s="1154" t="s">
        <v>6094</v>
      </c>
      <c r="N124" s="1070" t="s">
        <v>5422</v>
      </c>
      <c r="O124" s="1070" t="s">
        <v>5641</v>
      </c>
      <c r="P124" s="1070">
        <v>1</v>
      </c>
      <c r="Q124" s="1070">
        <v>0</v>
      </c>
    </row>
    <row r="125" spans="1:158" ht="32.1" customHeight="1">
      <c r="A125" s="1052"/>
      <c r="B125" s="1155" t="s">
        <v>169</v>
      </c>
      <c r="C125" s="1490">
        <v>1</v>
      </c>
      <c r="D125" s="1490">
        <v>0.5</v>
      </c>
      <c r="E125" s="1441">
        <v>0.5</v>
      </c>
      <c r="F125" s="1441">
        <v>0.5</v>
      </c>
      <c r="G125" s="1441">
        <v>0</v>
      </c>
      <c r="H125" s="1441">
        <v>0.5</v>
      </c>
      <c r="I125" s="1195" t="s">
        <v>147</v>
      </c>
      <c r="J125" s="1070" t="s">
        <v>1891</v>
      </c>
      <c r="K125" s="1154" t="s">
        <v>748</v>
      </c>
      <c r="L125" s="1079">
        <v>0.5</v>
      </c>
      <c r="M125" s="1163" t="s">
        <v>6095</v>
      </c>
      <c r="N125" s="1070" t="s">
        <v>2425</v>
      </c>
      <c r="O125" s="1070" t="s">
        <v>5642</v>
      </c>
      <c r="P125" s="1070">
        <v>1</v>
      </c>
      <c r="Q125" s="1070">
        <v>0</v>
      </c>
    </row>
    <row r="126" spans="1:158" ht="32.1" customHeight="1">
      <c r="A126" s="1052"/>
      <c r="B126" s="1151" t="s">
        <v>171</v>
      </c>
      <c r="C126" s="1719">
        <v>1</v>
      </c>
      <c r="D126" s="1489">
        <v>0.5</v>
      </c>
      <c r="E126" s="1447">
        <v>0.5</v>
      </c>
      <c r="F126" s="1489">
        <v>0.5</v>
      </c>
      <c r="G126" s="1489">
        <v>0</v>
      </c>
      <c r="H126" s="1489">
        <v>0</v>
      </c>
      <c r="I126" s="1195" t="s">
        <v>147</v>
      </c>
      <c r="J126" s="1070" t="s">
        <v>1897</v>
      </c>
      <c r="K126" s="1070" t="s">
        <v>6304</v>
      </c>
      <c r="L126" s="1079" t="s">
        <v>5890</v>
      </c>
      <c r="M126" s="1075" t="s">
        <v>6096</v>
      </c>
      <c r="N126" s="1070" t="s">
        <v>5423</v>
      </c>
      <c r="O126" s="1070" t="s">
        <v>5643</v>
      </c>
      <c r="P126" s="1070"/>
      <c r="Q126" s="1070"/>
    </row>
    <row r="127" spans="1:158" ht="32.1" customHeight="1">
      <c r="A127" s="1052"/>
      <c r="B127" s="1151" t="s">
        <v>172</v>
      </c>
      <c r="C127" s="1447">
        <f t="shared" ref="C127:H127" si="28">AVERAGE(C128:C130)</f>
        <v>1</v>
      </c>
      <c r="D127" s="1447">
        <f t="shared" si="28"/>
        <v>0.5</v>
      </c>
      <c r="E127" s="1447">
        <f t="shared" si="28"/>
        <v>0.33333333333333331</v>
      </c>
      <c r="F127" s="1447">
        <f t="shared" si="28"/>
        <v>0.5</v>
      </c>
      <c r="G127" s="1447">
        <f t="shared" si="28"/>
        <v>0.33333333333333331</v>
      </c>
      <c r="H127" s="1447">
        <f t="shared" si="28"/>
        <v>0.16666666666666666</v>
      </c>
      <c r="I127" s="1195"/>
      <c r="J127" s="1070"/>
      <c r="K127" s="1160"/>
      <c r="L127" s="1079"/>
      <c r="M127" s="1160"/>
      <c r="N127" s="1070" t="s">
        <v>5424</v>
      </c>
      <c r="O127" s="1070" t="s">
        <v>5644</v>
      </c>
      <c r="P127" s="1070"/>
      <c r="Q127" s="1070"/>
    </row>
    <row r="128" spans="1:158" ht="32.1" customHeight="1">
      <c r="A128" s="1052"/>
      <c r="B128" s="1155" t="s">
        <v>167</v>
      </c>
      <c r="C128" s="1447">
        <v>1</v>
      </c>
      <c r="D128" s="1447">
        <v>0.5</v>
      </c>
      <c r="E128" s="1447">
        <v>0.5</v>
      </c>
      <c r="F128" s="1447">
        <v>1</v>
      </c>
      <c r="G128" s="1447">
        <v>0</v>
      </c>
      <c r="H128" s="1447">
        <v>0</v>
      </c>
      <c r="I128" s="1195" t="s">
        <v>147</v>
      </c>
      <c r="J128" s="1070" t="s">
        <v>1904</v>
      </c>
      <c r="K128" s="1070" t="s">
        <v>6304</v>
      </c>
      <c r="L128" s="1079" t="s">
        <v>5427</v>
      </c>
      <c r="M128" s="1075" t="s">
        <v>6097</v>
      </c>
      <c r="N128" s="1070" t="s">
        <v>2425</v>
      </c>
      <c r="O128" s="1070" t="s">
        <v>748</v>
      </c>
      <c r="P128" s="1070">
        <v>1</v>
      </c>
      <c r="Q128" s="1070">
        <v>0</v>
      </c>
    </row>
    <row r="129" spans="1:158" ht="32.1" customHeight="1">
      <c r="A129" s="1052"/>
      <c r="B129" s="1155" t="s">
        <v>168</v>
      </c>
      <c r="C129" s="1489">
        <v>1</v>
      </c>
      <c r="D129" s="1447">
        <v>1</v>
      </c>
      <c r="E129" s="1447">
        <v>0.5</v>
      </c>
      <c r="F129" s="1447">
        <v>0.5</v>
      </c>
      <c r="G129" s="1447">
        <v>1</v>
      </c>
      <c r="H129" s="1447">
        <v>0.5</v>
      </c>
      <c r="I129" s="1195" t="s">
        <v>147</v>
      </c>
      <c r="J129" s="1070" t="s">
        <v>1904</v>
      </c>
      <c r="K129" s="1070" t="s">
        <v>811</v>
      </c>
      <c r="L129" s="1079" t="s">
        <v>5427</v>
      </c>
      <c r="M129" s="1154" t="s">
        <v>6098</v>
      </c>
      <c r="N129" s="1070" t="s">
        <v>5425</v>
      </c>
      <c r="O129" s="1070" t="s">
        <v>5427</v>
      </c>
      <c r="P129" s="1070">
        <v>1</v>
      </c>
      <c r="Q129" s="1070">
        <v>0</v>
      </c>
    </row>
    <row r="130" spans="1:158" ht="32.1" customHeight="1">
      <c r="A130" s="1052"/>
      <c r="B130" s="1155" t="s">
        <v>169</v>
      </c>
      <c r="C130" s="1447">
        <v>1</v>
      </c>
      <c r="D130" s="1447">
        <v>0</v>
      </c>
      <c r="E130" s="1447">
        <v>0</v>
      </c>
      <c r="F130" s="1447">
        <v>0</v>
      </c>
      <c r="G130" s="1447">
        <v>0</v>
      </c>
      <c r="H130" s="1447">
        <v>0</v>
      </c>
      <c r="I130" s="1195" t="s">
        <v>147</v>
      </c>
      <c r="J130" s="1070" t="s">
        <v>1911</v>
      </c>
      <c r="K130" s="1070" t="s">
        <v>748</v>
      </c>
      <c r="L130" s="1079" t="s">
        <v>2425</v>
      </c>
      <c r="M130" s="1077" t="s">
        <v>763</v>
      </c>
      <c r="N130" s="1070" t="s">
        <v>2425</v>
      </c>
      <c r="O130" s="1070" t="s">
        <v>748</v>
      </c>
      <c r="P130" s="1070">
        <v>1</v>
      </c>
      <c r="Q130" s="1070">
        <v>0</v>
      </c>
    </row>
    <row r="131" spans="1:158" ht="32.1" customHeight="1">
      <c r="A131" s="1052"/>
      <c r="B131" s="1151" t="s">
        <v>173</v>
      </c>
      <c r="C131" s="1447">
        <f t="shared" ref="C131:H131" si="29">AVERAGE(C132:C134)</f>
        <v>0</v>
      </c>
      <c r="D131" s="1447">
        <f t="shared" si="29"/>
        <v>0.33333333333333331</v>
      </c>
      <c r="E131" s="1447">
        <f t="shared" si="29"/>
        <v>0</v>
      </c>
      <c r="F131" s="1447">
        <f t="shared" si="29"/>
        <v>0</v>
      </c>
      <c r="G131" s="1447">
        <f t="shared" si="29"/>
        <v>0.16666666666666666</v>
      </c>
      <c r="H131" s="1447">
        <f t="shared" si="29"/>
        <v>0</v>
      </c>
      <c r="I131" s="1195"/>
      <c r="J131" s="1070"/>
      <c r="K131" s="1160"/>
      <c r="L131" s="1079"/>
      <c r="M131" s="1160"/>
      <c r="N131" s="1070"/>
      <c r="O131" s="1070"/>
      <c r="P131" s="1070"/>
      <c r="Q131" s="1070"/>
    </row>
    <row r="132" spans="1:158" ht="32.1" customHeight="1">
      <c r="A132" s="1052"/>
      <c r="B132" s="1155" t="s">
        <v>167</v>
      </c>
      <c r="C132" s="1447">
        <v>0</v>
      </c>
      <c r="D132" s="1447">
        <v>0</v>
      </c>
      <c r="E132" s="1447">
        <v>0</v>
      </c>
      <c r="F132" s="1447">
        <v>0</v>
      </c>
      <c r="G132" s="1447">
        <v>0.5</v>
      </c>
      <c r="H132" s="1447">
        <v>0</v>
      </c>
      <c r="I132" s="1195" t="s">
        <v>38</v>
      </c>
      <c r="J132" s="1070" t="s">
        <v>6596</v>
      </c>
      <c r="K132" s="1070" t="s">
        <v>748</v>
      </c>
      <c r="L132" s="1079" t="s">
        <v>2425</v>
      </c>
      <c r="M132" s="1156" t="s">
        <v>748</v>
      </c>
      <c r="N132" s="1070" t="s">
        <v>5424</v>
      </c>
      <c r="O132" s="1070" t="s">
        <v>5645</v>
      </c>
      <c r="P132" s="1070">
        <v>1</v>
      </c>
      <c r="Q132" s="1070">
        <v>0</v>
      </c>
    </row>
    <row r="133" spans="1:158" ht="32.1" customHeight="1">
      <c r="A133" s="1052"/>
      <c r="B133" s="1155" t="s">
        <v>168</v>
      </c>
      <c r="C133" s="1447">
        <v>0</v>
      </c>
      <c r="D133" s="1442">
        <v>1</v>
      </c>
      <c r="E133" s="1447">
        <v>0</v>
      </c>
      <c r="F133" s="1489">
        <v>0</v>
      </c>
      <c r="G133" s="1447">
        <v>0</v>
      </c>
      <c r="H133" s="1447">
        <v>0</v>
      </c>
      <c r="I133" s="1195" t="s">
        <v>147</v>
      </c>
      <c r="J133" s="1070" t="s">
        <v>6596</v>
      </c>
      <c r="K133" s="1393" t="s">
        <v>5420</v>
      </c>
      <c r="L133" s="1079" t="s">
        <v>2425</v>
      </c>
      <c r="M133" s="1156" t="s">
        <v>748</v>
      </c>
      <c r="N133" s="1154" t="s">
        <v>2425</v>
      </c>
      <c r="O133" s="1154" t="s">
        <v>5646</v>
      </c>
      <c r="P133" s="1070">
        <v>1</v>
      </c>
      <c r="Q133" s="1070">
        <v>0</v>
      </c>
    </row>
    <row r="134" spans="1:158" ht="32.1" customHeight="1">
      <c r="A134" s="1052"/>
      <c r="B134" s="1155" t="s">
        <v>169</v>
      </c>
      <c r="C134" s="1447">
        <v>0</v>
      </c>
      <c r="D134" s="1447">
        <v>0</v>
      </c>
      <c r="E134" s="1447">
        <v>0</v>
      </c>
      <c r="F134" s="1447">
        <v>0</v>
      </c>
      <c r="G134" s="1447">
        <v>0</v>
      </c>
      <c r="H134" s="1447">
        <v>0</v>
      </c>
      <c r="I134" s="1195" t="s">
        <v>38</v>
      </c>
      <c r="J134" s="1070" t="s">
        <v>6596</v>
      </c>
      <c r="K134" s="1070" t="s">
        <v>748</v>
      </c>
      <c r="L134" s="1079" t="s">
        <v>2425</v>
      </c>
      <c r="M134" s="1156" t="s">
        <v>748</v>
      </c>
      <c r="N134" s="1154" t="s">
        <v>2425</v>
      </c>
      <c r="O134" s="1154" t="s">
        <v>5647</v>
      </c>
      <c r="P134" s="1070">
        <v>1</v>
      </c>
      <c r="Q134" s="1070">
        <v>0</v>
      </c>
    </row>
    <row r="135" spans="1:158" ht="32.1" customHeight="1">
      <c r="A135" s="1066" t="s">
        <v>174</v>
      </c>
      <c r="B135" s="1067" t="s">
        <v>175</v>
      </c>
      <c r="C135" s="1461">
        <f t="shared" ref="C135:H135" si="30">AVERAGE(C136,C140,C141,C145,C146,C147)</f>
        <v>0.58333333333333337</v>
      </c>
      <c r="D135" s="1461">
        <f t="shared" si="30"/>
        <v>0.69444444444444453</v>
      </c>
      <c r="E135" s="1461">
        <f t="shared" si="30"/>
        <v>0</v>
      </c>
      <c r="F135" s="1461">
        <f t="shared" si="30"/>
        <v>0.72222222222222221</v>
      </c>
      <c r="G135" s="1461">
        <f t="shared" si="30"/>
        <v>0.63888888888888884</v>
      </c>
      <c r="H135" s="1461">
        <f t="shared" si="30"/>
        <v>0.16666666666666666</v>
      </c>
      <c r="I135" s="1195"/>
      <c r="J135" s="1092"/>
      <c r="K135" s="1092"/>
      <c r="L135" s="1092"/>
      <c r="M135" s="1092"/>
      <c r="N135" s="1092"/>
      <c r="O135" s="1092"/>
      <c r="P135" s="1092"/>
      <c r="Q135" s="1092"/>
    </row>
    <row r="136" spans="1:158" s="1088" customFormat="1" ht="32.1" customHeight="1">
      <c r="A136" s="1165"/>
      <c r="B136" s="1159" t="s">
        <v>176</v>
      </c>
      <c r="C136" s="1453">
        <f t="shared" ref="C136:H136" si="31">AVERAGE(C137:C139)</f>
        <v>0.5</v>
      </c>
      <c r="D136" s="1453">
        <f t="shared" si="31"/>
        <v>0.83333333333333337</v>
      </c>
      <c r="E136" s="1453">
        <f t="shared" si="31"/>
        <v>0</v>
      </c>
      <c r="F136" s="1453">
        <f t="shared" si="31"/>
        <v>0.66666666666666663</v>
      </c>
      <c r="G136" s="1453">
        <f t="shared" si="31"/>
        <v>0.5</v>
      </c>
      <c r="H136" s="1453">
        <f t="shared" si="31"/>
        <v>0.16666666666666666</v>
      </c>
      <c r="I136" s="1195" t="s">
        <v>38</v>
      </c>
      <c r="J136" s="1072" t="s">
        <v>960</v>
      </c>
      <c r="K136" s="1166" t="s">
        <v>960</v>
      </c>
      <c r="L136" s="1079" t="s">
        <v>2425</v>
      </c>
      <c r="M136" s="1075" t="s">
        <v>6099</v>
      </c>
      <c r="N136" s="1072" t="s">
        <v>5426</v>
      </c>
      <c r="O136" s="1072" t="s">
        <v>5648</v>
      </c>
      <c r="P136" s="1166"/>
      <c r="Q136" s="1166"/>
      <c r="R136" s="1081"/>
      <c r="S136" s="1082"/>
      <c r="T136" s="1082"/>
      <c r="U136" s="1082"/>
      <c r="V136" s="1082"/>
      <c r="W136" s="1082"/>
      <c r="X136" s="1082"/>
      <c r="Y136" s="1082"/>
      <c r="Z136" s="1082"/>
      <c r="AA136" s="1082"/>
      <c r="AB136" s="1082"/>
      <c r="AC136" s="1082"/>
      <c r="AD136" s="1082"/>
      <c r="AE136" s="1082"/>
      <c r="AF136" s="1082"/>
      <c r="AG136" s="1082"/>
      <c r="AH136" s="1082"/>
      <c r="AI136" s="1082"/>
      <c r="AJ136" s="1082"/>
      <c r="AK136" s="1082"/>
      <c r="AL136" s="1082"/>
      <c r="AM136" s="1082"/>
      <c r="AN136" s="1082"/>
      <c r="AO136" s="1082"/>
      <c r="AP136" s="1082"/>
      <c r="AQ136" s="1082"/>
      <c r="AR136" s="1082"/>
      <c r="AS136" s="1082"/>
      <c r="AT136" s="1082"/>
      <c r="AU136" s="1082"/>
      <c r="AV136" s="1082"/>
      <c r="AW136" s="1082"/>
      <c r="AX136" s="1082"/>
      <c r="AY136" s="1082"/>
      <c r="AZ136" s="1082"/>
      <c r="BA136" s="1082"/>
      <c r="BB136" s="1082"/>
      <c r="BC136" s="1082"/>
      <c r="BD136" s="1082"/>
      <c r="BE136" s="1082"/>
      <c r="BF136" s="1082"/>
      <c r="BG136" s="1082"/>
      <c r="BH136" s="1082"/>
      <c r="BI136" s="1082"/>
      <c r="BJ136" s="1082"/>
      <c r="BK136" s="1082"/>
      <c r="BL136" s="1082"/>
      <c r="BM136" s="1082"/>
      <c r="BN136" s="1082"/>
      <c r="BO136" s="1082"/>
      <c r="BP136" s="1082"/>
      <c r="BQ136" s="1082"/>
      <c r="BR136" s="1082"/>
      <c r="BS136" s="1082"/>
      <c r="BT136" s="1082"/>
      <c r="BU136" s="1082"/>
      <c r="BV136" s="1082"/>
      <c r="BW136" s="1082"/>
      <c r="BX136" s="1082"/>
      <c r="BY136" s="1082"/>
      <c r="BZ136" s="1082"/>
      <c r="CA136" s="1082"/>
      <c r="CB136" s="1082"/>
      <c r="CC136" s="1082"/>
      <c r="CD136" s="1082"/>
      <c r="CE136" s="1082"/>
      <c r="CF136" s="1082"/>
      <c r="CG136" s="1082"/>
      <c r="CH136" s="1082"/>
      <c r="CI136" s="1082"/>
      <c r="CJ136" s="1082"/>
      <c r="CK136" s="1082"/>
      <c r="CL136" s="1082"/>
      <c r="CM136" s="1082"/>
      <c r="CN136" s="1082"/>
      <c r="CO136" s="1082"/>
      <c r="CP136" s="1082"/>
      <c r="CQ136" s="1082"/>
      <c r="CR136" s="1082"/>
      <c r="CS136" s="1082"/>
      <c r="CT136" s="1082"/>
      <c r="CU136" s="1082"/>
      <c r="CV136" s="1082"/>
      <c r="CW136" s="1082"/>
      <c r="CX136" s="1082"/>
      <c r="CY136" s="1082"/>
      <c r="CZ136" s="1082"/>
      <c r="DA136" s="1082"/>
      <c r="DB136" s="1082"/>
      <c r="DC136" s="1082"/>
      <c r="DD136" s="1082"/>
      <c r="DE136" s="1082"/>
      <c r="DF136" s="1082"/>
      <c r="DG136" s="1082"/>
      <c r="DH136" s="1082"/>
      <c r="DI136" s="1082"/>
      <c r="DJ136" s="1082"/>
      <c r="DK136" s="1082"/>
      <c r="DL136" s="1082"/>
      <c r="DM136" s="1082"/>
      <c r="DN136" s="1082"/>
      <c r="DO136" s="1082"/>
      <c r="DP136" s="1082"/>
      <c r="DQ136" s="1082"/>
      <c r="DR136" s="1082"/>
      <c r="DS136" s="1082"/>
      <c r="DT136" s="1082"/>
      <c r="DU136" s="1082"/>
      <c r="DV136" s="1082"/>
      <c r="DW136" s="1082"/>
      <c r="DX136" s="1082"/>
      <c r="DY136" s="1082"/>
      <c r="DZ136" s="1082"/>
      <c r="EA136" s="1082"/>
      <c r="EB136" s="1082"/>
      <c r="EC136" s="1082"/>
      <c r="ED136" s="1082"/>
      <c r="EE136" s="1082"/>
      <c r="EF136" s="1082"/>
      <c r="EG136" s="1082"/>
      <c r="EH136" s="1082"/>
      <c r="EI136" s="1082"/>
      <c r="EJ136" s="1082"/>
      <c r="EK136" s="1082"/>
      <c r="EL136" s="1082"/>
      <c r="EM136" s="1082"/>
      <c r="EN136" s="1082"/>
      <c r="EO136" s="1082"/>
      <c r="EP136" s="1082"/>
      <c r="EQ136" s="1082"/>
      <c r="ER136" s="1082"/>
      <c r="ES136" s="1082"/>
      <c r="ET136" s="1082"/>
      <c r="EU136" s="1082"/>
      <c r="EV136" s="1082"/>
      <c r="EW136" s="1082"/>
      <c r="EX136" s="1082"/>
      <c r="EY136" s="1082"/>
      <c r="EZ136" s="1082"/>
      <c r="FA136" s="1082"/>
      <c r="FB136" s="1082"/>
    </row>
    <row r="137" spans="1:158" ht="32.1" customHeight="1">
      <c r="A137" s="1150"/>
      <c r="B137" s="1155" t="s">
        <v>167</v>
      </c>
      <c r="C137" s="1451">
        <v>0.5</v>
      </c>
      <c r="D137" s="1450">
        <v>0.5</v>
      </c>
      <c r="E137" s="1450">
        <v>0</v>
      </c>
      <c r="F137" s="1450">
        <v>1</v>
      </c>
      <c r="G137" s="1450">
        <v>0.5</v>
      </c>
      <c r="H137" s="1450">
        <v>0</v>
      </c>
      <c r="I137" s="1195" t="s">
        <v>154</v>
      </c>
      <c r="J137" s="1070" t="s">
        <v>1922</v>
      </c>
      <c r="K137" s="1070" t="s">
        <v>6305</v>
      </c>
      <c r="L137" s="1079" t="s">
        <v>748</v>
      </c>
      <c r="M137" s="1075" t="s">
        <v>6100</v>
      </c>
      <c r="N137" s="1070" t="s">
        <v>5427</v>
      </c>
      <c r="O137" s="1070" t="s">
        <v>5649</v>
      </c>
      <c r="P137" s="1070">
        <v>1</v>
      </c>
      <c r="Q137" s="1070">
        <v>0</v>
      </c>
    </row>
    <row r="138" spans="1:158" ht="32.1" customHeight="1">
      <c r="A138" s="1150"/>
      <c r="B138" s="1155" t="s">
        <v>168</v>
      </c>
      <c r="C138" s="1447">
        <v>0.5</v>
      </c>
      <c r="D138" s="1447">
        <v>1</v>
      </c>
      <c r="E138" s="1447">
        <v>0</v>
      </c>
      <c r="F138" s="1447">
        <v>0.5</v>
      </c>
      <c r="G138" s="1447">
        <v>0.5</v>
      </c>
      <c r="H138" s="1447">
        <v>0.5</v>
      </c>
      <c r="I138" s="1195" t="s">
        <v>154</v>
      </c>
      <c r="J138" s="1070" t="s">
        <v>1922</v>
      </c>
      <c r="K138" s="1070" t="s">
        <v>948</v>
      </c>
      <c r="L138" s="1079" t="s">
        <v>748</v>
      </c>
      <c r="M138" s="1075" t="s">
        <v>6789</v>
      </c>
      <c r="N138" s="1070" t="s">
        <v>5427</v>
      </c>
      <c r="O138" s="1070" t="s">
        <v>5650</v>
      </c>
      <c r="P138" s="1070">
        <v>1</v>
      </c>
      <c r="Q138" s="1070">
        <v>0</v>
      </c>
    </row>
    <row r="139" spans="1:158" ht="32.1" customHeight="1">
      <c r="A139" s="1150"/>
      <c r="B139" s="1155" t="s">
        <v>169</v>
      </c>
      <c r="C139" s="1447">
        <v>0.5</v>
      </c>
      <c r="D139" s="1447">
        <v>1</v>
      </c>
      <c r="E139" s="1447">
        <v>0</v>
      </c>
      <c r="F139" s="1447">
        <v>0.5</v>
      </c>
      <c r="G139" s="1489">
        <v>0.5</v>
      </c>
      <c r="H139" s="1489">
        <v>0</v>
      </c>
      <c r="I139" s="1195" t="s">
        <v>154</v>
      </c>
      <c r="J139" s="1070" t="s">
        <v>1922</v>
      </c>
      <c r="K139" s="1084" t="s">
        <v>6306</v>
      </c>
      <c r="L139" s="1079" t="s">
        <v>748</v>
      </c>
      <c r="M139" s="1075" t="s">
        <v>6101</v>
      </c>
      <c r="N139" s="1070" t="s">
        <v>5427</v>
      </c>
      <c r="O139" s="1070" t="s">
        <v>5649</v>
      </c>
      <c r="P139" s="1070">
        <v>1</v>
      </c>
      <c r="Q139" s="1070">
        <v>0</v>
      </c>
    </row>
    <row r="140" spans="1:158" ht="32.1" customHeight="1">
      <c r="A140" s="1150"/>
      <c r="B140" s="1151" t="s">
        <v>177</v>
      </c>
      <c r="C140" s="1447">
        <v>0</v>
      </c>
      <c r="D140" s="1447">
        <v>1</v>
      </c>
      <c r="E140" s="1447">
        <v>0</v>
      </c>
      <c r="F140" s="1447">
        <v>0</v>
      </c>
      <c r="G140" s="1489">
        <v>0</v>
      </c>
      <c r="H140" s="1489">
        <v>0</v>
      </c>
      <c r="I140" s="1195" t="s">
        <v>178</v>
      </c>
      <c r="J140" s="1070" t="s">
        <v>6597</v>
      </c>
      <c r="K140" s="1070" t="s">
        <v>6307</v>
      </c>
      <c r="L140" s="1079" t="s">
        <v>5891</v>
      </c>
      <c r="M140" s="1075" t="s">
        <v>6102</v>
      </c>
      <c r="N140" s="1070" t="s">
        <v>5428</v>
      </c>
      <c r="O140" s="1070" t="s">
        <v>5651</v>
      </c>
      <c r="P140" s="1070"/>
      <c r="Q140" s="1070"/>
    </row>
    <row r="141" spans="1:158" ht="32.1" customHeight="1">
      <c r="A141" s="1150"/>
      <c r="B141" s="1151" t="s">
        <v>179</v>
      </c>
      <c r="C141" s="1489">
        <f t="shared" ref="C141:H141" si="32">AVERAGE(C142:C144)</f>
        <v>0.5</v>
      </c>
      <c r="D141" s="1489">
        <f t="shared" si="32"/>
        <v>0.33333333333333331</v>
      </c>
      <c r="E141" s="1489">
        <f t="shared" si="32"/>
        <v>0</v>
      </c>
      <c r="F141" s="1489">
        <f t="shared" si="32"/>
        <v>0.66666666666666663</v>
      </c>
      <c r="G141" s="1489">
        <f t="shared" si="32"/>
        <v>0.33333333333333331</v>
      </c>
      <c r="H141" s="1489">
        <f t="shared" si="32"/>
        <v>0.33333333333333331</v>
      </c>
      <c r="I141" s="1195"/>
      <c r="J141" s="1070"/>
      <c r="K141" s="1070"/>
      <c r="L141" s="1079"/>
      <c r="M141" s="1156"/>
      <c r="N141" s="1077" t="s">
        <v>5429</v>
      </c>
      <c r="O141" s="1077" t="s">
        <v>5652</v>
      </c>
      <c r="P141" s="1070"/>
      <c r="Q141" s="1070"/>
    </row>
    <row r="142" spans="1:158" ht="32.1" customHeight="1">
      <c r="A142" s="1150"/>
      <c r="B142" s="1155" t="s">
        <v>167</v>
      </c>
      <c r="C142" s="1447">
        <v>0.5</v>
      </c>
      <c r="D142" s="1447">
        <v>0</v>
      </c>
      <c r="E142" s="1447">
        <v>0</v>
      </c>
      <c r="F142" s="1447">
        <v>1</v>
      </c>
      <c r="G142" s="1447">
        <v>0</v>
      </c>
      <c r="H142" s="1447">
        <v>0</v>
      </c>
      <c r="I142" s="1195" t="s">
        <v>147</v>
      </c>
      <c r="J142" s="1070" t="s">
        <v>6598</v>
      </c>
      <c r="K142" s="1070" t="s">
        <v>6308</v>
      </c>
      <c r="L142" s="1079" t="s">
        <v>748</v>
      </c>
      <c r="M142" s="1149" t="s">
        <v>6103</v>
      </c>
      <c r="N142" s="1070" t="s">
        <v>2425</v>
      </c>
      <c r="O142" s="1070" t="s">
        <v>1943</v>
      </c>
      <c r="P142" s="1070">
        <v>1</v>
      </c>
      <c r="Q142" s="1070">
        <v>0</v>
      </c>
    </row>
    <row r="143" spans="1:158" ht="32.1" customHeight="1">
      <c r="A143" s="1150"/>
      <c r="B143" s="1155" t="s">
        <v>168</v>
      </c>
      <c r="C143" s="1447">
        <v>1</v>
      </c>
      <c r="D143" s="1447">
        <v>1</v>
      </c>
      <c r="E143" s="1489">
        <v>0</v>
      </c>
      <c r="F143" s="1489">
        <v>1</v>
      </c>
      <c r="G143" s="1447">
        <v>1</v>
      </c>
      <c r="H143" s="1447">
        <v>1</v>
      </c>
      <c r="I143" s="1195" t="s">
        <v>147</v>
      </c>
      <c r="J143" s="1070" t="s">
        <v>1944</v>
      </c>
      <c r="K143" s="1154" t="s">
        <v>6309</v>
      </c>
      <c r="L143" s="1079" t="s">
        <v>748</v>
      </c>
      <c r="M143" s="1149" t="s">
        <v>6104</v>
      </c>
      <c r="N143" s="1070" t="s">
        <v>5430</v>
      </c>
      <c r="O143" s="1393" t="s">
        <v>5653</v>
      </c>
      <c r="P143" s="1070">
        <v>1</v>
      </c>
      <c r="Q143" s="1070">
        <v>0</v>
      </c>
    </row>
    <row r="144" spans="1:158" ht="32.1" customHeight="1">
      <c r="A144" s="1150"/>
      <c r="B144" s="1155" t="s">
        <v>180</v>
      </c>
      <c r="C144" s="1447">
        <v>0</v>
      </c>
      <c r="D144" s="1447">
        <v>0</v>
      </c>
      <c r="E144" s="1447">
        <v>0</v>
      </c>
      <c r="F144" s="1489">
        <v>0</v>
      </c>
      <c r="G144" s="1447">
        <v>0</v>
      </c>
      <c r="H144" s="1447">
        <v>0</v>
      </c>
      <c r="I144" s="1195" t="s">
        <v>38</v>
      </c>
      <c r="J144" s="1070" t="s">
        <v>6599</v>
      </c>
      <c r="K144" s="1167" t="s">
        <v>748</v>
      </c>
      <c r="L144" s="1079" t="s">
        <v>748</v>
      </c>
      <c r="M144" s="1156" t="s">
        <v>763</v>
      </c>
      <c r="N144" s="1070" t="s">
        <v>2425</v>
      </c>
      <c r="O144" s="1070" t="s">
        <v>5654</v>
      </c>
      <c r="P144" s="1070">
        <v>1</v>
      </c>
      <c r="Q144" s="1070">
        <v>0</v>
      </c>
    </row>
    <row r="145" spans="1:158" ht="32.1" customHeight="1">
      <c r="A145" s="1150"/>
      <c r="B145" s="1151" t="s">
        <v>181</v>
      </c>
      <c r="C145" s="1447">
        <v>1</v>
      </c>
      <c r="D145" s="1447">
        <v>0</v>
      </c>
      <c r="E145" s="1447">
        <v>0</v>
      </c>
      <c r="F145" s="1447">
        <v>1</v>
      </c>
      <c r="G145" s="1447">
        <v>1</v>
      </c>
      <c r="H145" s="1447">
        <v>0</v>
      </c>
      <c r="I145" s="1195" t="s">
        <v>147</v>
      </c>
      <c r="J145" s="1070" t="s">
        <v>1952</v>
      </c>
      <c r="K145" s="1154" t="s">
        <v>6310</v>
      </c>
      <c r="L145" s="1079" t="s">
        <v>748</v>
      </c>
      <c r="M145" s="1149" t="s">
        <v>6105</v>
      </c>
      <c r="N145" s="1077" t="s">
        <v>5431</v>
      </c>
      <c r="O145" s="1077" t="s">
        <v>748</v>
      </c>
      <c r="P145" s="1070">
        <v>1</v>
      </c>
      <c r="Q145" s="1070">
        <v>0</v>
      </c>
    </row>
    <row r="146" spans="1:158" ht="32.1" customHeight="1">
      <c r="A146" s="1150"/>
      <c r="B146" s="1151" t="s">
        <v>182</v>
      </c>
      <c r="C146" s="1489">
        <v>0.5</v>
      </c>
      <c r="D146" s="1447">
        <v>1</v>
      </c>
      <c r="E146" s="1447">
        <v>0</v>
      </c>
      <c r="F146" s="1447">
        <v>1</v>
      </c>
      <c r="G146" s="1447">
        <v>1</v>
      </c>
      <c r="H146" s="1447">
        <v>0.5</v>
      </c>
      <c r="I146" s="1195" t="s">
        <v>147</v>
      </c>
      <c r="J146" s="1070" t="s">
        <v>6600</v>
      </c>
      <c r="K146" s="1154" t="s">
        <v>6311</v>
      </c>
      <c r="L146" s="1079" t="s">
        <v>748</v>
      </c>
      <c r="M146" s="1154" t="s">
        <v>6106</v>
      </c>
      <c r="N146" s="1070" t="s">
        <v>5432</v>
      </c>
      <c r="O146" s="1790" t="s">
        <v>5655</v>
      </c>
      <c r="P146" s="1070">
        <v>1</v>
      </c>
      <c r="Q146" s="1070">
        <v>0</v>
      </c>
    </row>
    <row r="147" spans="1:158" ht="32.1" customHeight="1">
      <c r="A147" s="1150"/>
      <c r="B147" s="1151" t="s">
        <v>183</v>
      </c>
      <c r="C147" s="1489">
        <v>1</v>
      </c>
      <c r="D147" s="1447">
        <v>1</v>
      </c>
      <c r="E147" s="1447">
        <v>0</v>
      </c>
      <c r="F147" s="1447">
        <v>1</v>
      </c>
      <c r="G147" s="1447">
        <v>1</v>
      </c>
      <c r="H147" s="1447">
        <v>0</v>
      </c>
      <c r="I147" s="1195" t="s">
        <v>147</v>
      </c>
      <c r="J147" s="1070" t="s">
        <v>1961</v>
      </c>
      <c r="K147" s="1154" t="s">
        <v>6312</v>
      </c>
      <c r="L147" s="1079" t="s">
        <v>748</v>
      </c>
      <c r="M147" s="1162" t="s">
        <v>6107</v>
      </c>
      <c r="N147" s="1070" t="s">
        <v>5433</v>
      </c>
      <c r="O147" s="1070" t="s">
        <v>5656</v>
      </c>
      <c r="P147" s="1070">
        <v>1</v>
      </c>
      <c r="Q147" s="1070">
        <v>0</v>
      </c>
    </row>
    <row r="148" spans="1:158" ht="32.1" customHeight="1">
      <c r="A148" s="1089" t="s">
        <v>184</v>
      </c>
      <c r="B148" s="1168" t="s">
        <v>185</v>
      </c>
      <c r="C148" s="1492">
        <f t="shared" ref="C148:H148" si="33">AVERAGE(C149,C152)</f>
        <v>0.63471603403235166</v>
      </c>
      <c r="D148" s="1492">
        <f t="shared" si="33"/>
        <v>0.64205084934031653</v>
      </c>
      <c r="E148" s="1492">
        <f t="shared" si="33"/>
        <v>0.2154549078419617</v>
      </c>
      <c r="F148" s="1492">
        <f t="shared" si="33"/>
        <v>0.69137853420515261</v>
      </c>
      <c r="G148" s="1492">
        <f t="shared" si="33"/>
        <v>0.53161317382943674</v>
      </c>
      <c r="H148" s="1492">
        <f t="shared" si="33"/>
        <v>0.23371692333872204</v>
      </c>
      <c r="I148" s="1755"/>
      <c r="J148" s="1064"/>
      <c r="K148" s="1064"/>
      <c r="L148" s="1064"/>
      <c r="M148" s="1064"/>
      <c r="N148" s="1064"/>
      <c r="O148" s="1064"/>
      <c r="P148" s="1064"/>
      <c r="Q148" s="1064"/>
    </row>
    <row r="149" spans="1:158" ht="32.1" customHeight="1">
      <c r="A149" s="1066" t="s">
        <v>186</v>
      </c>
      <c r="B149" s="1067" t="s">
        <v>187</v>
      </c>
      <c r="C149" s="1461">
        <f t="shared" ref="C149:H149" si="34">AVERAGE(C150,C151)</f>
        <v>0.58210336471206037</v>
      </c>
      <c r="D149" s="1461">
        <f t="shared" si="34"/>
        <v>0.60164727556031905</v>
      </c>
      <c r="E149" s="1461">
        <f t="shared" si="34"/>
        <v>7.8997774649948532E-2</v>
      </c>
      <c r="F149" s="1461">
        <f t="shared" si="34"/>
        <v>0.68447807578242359</v>
      </c>
      <c r="G149" s="1461">
        <f t="shared" si="34"/>
        <v>0.55136813832466003</v>
      </c>
      <c r="H149" s="1461">
        <f t="shared" si="34"/>
        <v>2.1739130434782608E-2</v>
      </c>
      <c r="I149" s="1195"/>
      <c r="J149" s="1130"/>
      <c r="K149" s="1130"/>
      <c r="L149" s="1130"/>
      <c r="M149" s="1130"/>
      <c r="N149" s="1130"/>
      <c r="O149" s="1130"/>
      <c r="P149" s="1130"/>
      <c r="Q149" s="1130"/>
    </row>
    <row r="150" spans="1:158" s="1099" customFormat="1" ht="32.1" customHeight="1">
      <c r="A150" s="1169"/>
      <c r="B150" s="1097" t="s">
        <v>188</v>
      </c>
      <c r="C150" s="1493">
        <f t="shared" ref="C150:H151" si="35">IF(J150&lt;$P150,1,IF(J150&gt;$Q150,0,(J150-$Q150)/($P150-$Q150)))</f>
        <v>0.57971014492753625</v>
      </c>
      <c r="D150" s="1493">
        <f t="shared" si="35"/>
        <v>0.53623188405797106</v>
      </c>
      <c r="E150" s="1493">
        <f t="shared" si="35"/>
        <v>0.14492753623188406</v>
      </c>
      <c r="F150" s="1493">
        <f t="shared" si="35"/>
        <v>0.62318840579710144</v>
      </c>
      <c r="G150" s="1493">
        <f t="shared" si="35"/>
        <v>0.43478260869565216</v>
      </c>
      <c r="H150" s="1493">
        <f t="shared" si="35"/>
        <v>4.3478260869565216E-2</v>
      </c>
      <c r="I150" s="1572" t="s">
        <v>6836</v>
      </c>
      <c r="J150" s="1170">
        <v>53</v>
      </c>
      <c r="K150" s="1170">
        <v>56</v>
      </c>
      <c r="L150" s="1170">
        <v>83</v>
      </c>
      <c r="M150" s="1170">
        <v>50</v>
      </c>
      <c r="N150" s="1170">
        <v>63</v>
      </c>
      <c r="O150" s="1170">
        <v>90</v>
      </c>
      <c r="P150" s="1170">
        <v>24</v>
      </c>
      <c r="Q150" s="1170">
        <v>93</v>
      </c>
      <c r="R150" s="1081"/>
      <c r="S150" s="1082"/>
      <c r="T150" s="1082"/>
      <c r="U150" s="1082"/>
      <c r="V150" s="1082"/>
      <c r="W150" s="1082"/>
      <c r="X150" s="1082"/>
      <c r="Y150" s="1082"/>
      <c r="Z150" s="1082"/>
      <c r="AA150" s="1082"/>
      <c r="AB150" s="1082"/>
      <c r="AC150" s="1082"/>
      <c r="AD150" s="1082"/>
      <c r="AE150" s="1082"/>
      <c r="AF150" s="1082"/>
      <c r="AG150" s="1082"/>
      <c r="AH150" s="1082"/>
      <c r="AI150" s="1082"/>
      <c r="AJ150" s="1082"/>
      <c r="AK150" s="1082"/>
      <c r="AL150" s="1082"/>
      <c r="AM150" s="1082"/>
      <c r="AN150" s="1082"/>
      <c r="AO150" s="1082"/>
      <c r="AP150" s="1082"/>
      <c r="AQ150" s="1082"/>
      <c r="AR150" s="1082"/>
      <c r="AS150" s="1082"/>
      <c r="AT150" s="1082"/>
      <c r="AU150" s="1082"/>
      <c r="AV150" s="1082"/>
      <c r="AW150" s="1082"/>
      <c r="AX150" s="1082"/>
      <c r="AY150" s="1082"/>
      <c r="AZ150" s="1082"/>
      <c r="BA150" s="1082"/>
      <c r="BB150" s="1082"/>
      <c r="BC150" s="1082"/>
      <c r="BD150" s="1082"/>
      <c r="BE150" s="1082"/>
      <c r="BF150" s="1082"/>
      <c r="BG150" s="1082"/>
      <c r="BH150" s="1082"/>
      <c r="BI150" s="1082"/>
      <c r="BJ150" s="1082"/>
      <c r="BK150" s="1082"/>
      <c r="BL150" s="1082"/>
      <c r="BM150" s="1082"/>
      <c r="BN150" s="1082"/>
      <c r="BO150" s="1082"/>
      <c r="BP150" s="1082"/>
      <c r="BQ150" s="1082"/>
      <c r="BR150" s="1082"/>
      <c r="BS150" s="1082"/>
      <c r="BT150" s="1082"/>
      <c r="BU150" s="1082"/>
      <c r="BV150" s="1082"/>
      <c r="BW150" s="1082"/>
      <c r="BX150" s="1082"/>
      <c r="BY150" s="1082"/>
      <c r="BZ150" s="1082"/>
      <c r="CA150" s="1082"/>
      <c r="CB150" s="1082"/>
      <c r="CC150" s="1082"/>
      <c r="CD150" s="1082"/>
      <c r="CE150" s="1082"/>
      <c r="CF150" s="1082"/>
      <c r="CG150" s="1082"/>
      <c r="CH150" s="1082"/>
      <c r="CI150" s="1082"/>
      <c r="CJ150" s="1082"/>
      <c r="CK150" s="1082"/>
      <c r="CL150" s="1082"/>
      <c r="CM150" s="1082"/>
      <c r="CN150" s="1082"/>
      <c r="CO150" s="1082"/>
      <c r="CP150" s="1082"/>
      <c r="CQ150" s="1082"/>
      <c r="CR150" s="1082"/>
      <c r="CS150" s="1082"/>
      <c r="CT150" s="1082"/>
      <c r="CU150" s="1082"/>
      <c r="CV150" s="1082"/>
      <c r="CW150" s="1082"/>
      <c r="CX150" s="1082"/>
      <c r="CY150" s="1082"/>
      <c r="CZ150" s="1082"/>
      <c r="DA150" s="1082"/>
      <c r="DB150" s="1082"/>
      <c r="DC150" s="1082"/>
      <c r="DD150" s="1082"/>
      <c r="DE150" s="1082"/>
      <c r="DF150" s="1082"/>
      <c r="DG150" s="1082"/>
      <c r="DH150" s="1082"/>
      <c r="DI150" s="1082"/>
      <c r="DJ150" s="1082"/>
      <c r="DK150" s="1082"/>
      <c r="DL150" s="1082"/>
      <c r="DM150" s="1082"/>
      <c r="DN150" s="1082"/>
      <c r="DO150" s="1082"/>
      <c r="DP150" s="1082"/>
      <c r="DQ150" s="1082"/>
      <c r="DR150" s="1082"/>
      <c r="DS150" s="1082"/>
      <c r="DT150" s="1082"/>
      <c r="DU150" s="1082"/>
      <c r="DV150" s="1082"/>
      <c r="DW150" s="1082"/>
      <c r="DX150" s="1082"/>
      <c r="DY150" s="1082"/>
      <c r="DZ150" s="1082"/>
      <c r="EA150" s="1082"/>
      <c r="EB150" s="1082"/>
      <c r="EC150" s="1082"/>
      <c r="ED150" s="1082"/>
      <c r="EE150" s="1082"/>
      <c r="EF150" s="1082"/>
      <c r="EG150" s="1082"/>
      <c r="EH150" s="1082"/>
      <c r="EI150" s="1082"/>
      <c r="EJ150" s="1082"/>
      <c r="EK150" s="1082"/>
      <c r="EL150" s="1082"/>
      <c r="EM150" s="1082"/>
      <c r="EN150" s="1082"/>
      <c r="EO150" s="1082"/>
      <c r="EP150" s="1082"/>
      <c r="EQ150" s="1082"/>
      <c r="ER150" s="1082"/>
      <c r="ES150" s="1082"/>
      <c r="ET150" s="1082"/>
      <c r="EU150" s="1082"/>
      <c r="EV150" s="1082"/>
      <c r="EW150" s="1082"/>
      <c r="EX150" s="1082"/>
      <c r="EY150" s="1082"/>
      <c r="EZ150" s="1082"/>
      <c r="FA150" s="1082"/>
      <c r="FB150" s="1082"/>
    </row>
    <row r="151" spans="1:158" s="1099" customFormat="1" ht="32.1" customHeight="1">
      <c r="A151" s="1169"/>
      <c r="B151" s="1097" t="s">
        <v>189</v>
      </c>
      <c r="C151" s="1493">
        <f t="shared" si="35"/>
        <v>0.58449658449658448</v>
      </c>
      <c r="D151" s="1493">
        <f t="shared" si="35"/>
        <v>0.66706266706266693</v>
      </c>
      <c r="E151" s="1493">
        <f t="shared" si="35"/>
        <v>1.3068013068013E-2</v>
      </c>
      <c r="F151" s="1493">
        <f t="shared" si="35"/>
        <v>0.74576774576774563</v>
      </c>
      <c r="G151" s="1493">
        <f t="shared" si="35"/>
        <v>0.66795366795366784</v>
      </c>
      <c r="H151" s="1493">
        <f t="shared" si="35"/>
        <v>0</v>
      </c>
      <c r="I151" s="1572" t="s">
        <v>6729</v>
      </c>
      <c r="J151" s="1171">
        <v>33.19</v>
      </c>
      <c r="K151" s="1171">
        <v>30.41</v>
      </c>
      <c r="L151" s="1171">
        <v>52.43</v>
      </c>
      <c r="M151" s="1171">
        <v>27.76</v>
      </c>
      <c r="N151" s="1171">
        <v>30.38</v>
      </c>
      <c r="O151" s="1171">
        <v>56.4</v>
      </c>
      <c r="P151" s="1171">
        <v>19.2</v>
      </c>
      <c r="Q151" s="1171">
        <v>52.87</v>
      </c>
      <c r="R151" s="1081"/>
      <c r="S151" s="1082"/>
      <c r="T151" s="1082"/>
      <c r="U151" s="1082"/>
      <c r="V151" s="1082"/>
      <c r="W151" s="1082"/>
      <c r="X151" s="1082"/>
      <c r="Y151" s="1082"/>
      <c r="Z151" s="1082"/>
      <c r="AA151" s="1082"/>
      <c r="AB151" s="1082"/>
      <c r="AC151" s="1082"/>
      <c r="AD151" s="1082"/>
      <c r="AE151" s="1082"/>
      <c r="AF151" s="1082"/>
      <c r="AG151" s="1082"/>
      <c r="AH151" s="1082"/>
      <c r="AI151" s="1082"/>
      <c r="AJ151" s="1082"/>
      <c r="AK151" s="1082"/>
      <c r="AL151" s="1082"/>
      <c r="AM151" s="1082"/>
      <c r="AN151" s="1082"/>
      <c r="AO151" s="1082"/>
      <c r="AP151" s="1082"/>
      <c r="AQ151" s="1082"/>
      <c r="AR151" s="1082"/>
      <c r="AS151" s="1082"/>
      <c r="AT151" s="1082"/>
      <c r="AU151" s="1082"/>
      <c r="AV151" s="1082"/>
      <c r="AW151" s="1082"/>
      <c r="AX151" s="1082"/>
      <c r="AY151" s="1082"/>
      <c r="AZ151" s="1082"/>
      <c r="BA151" s="1082"/>
      <c r="BB151" s="1082"/>
      <c r="BC151" s="1082"/>
      <c r="BD151" s="1082"/>
      <c r="BE151" s="1082"/>
      <c r="BF151" s="1082"/>
      <c r="BG151" s="1082"/>
      <c r="BH151" s="1082"/>
      <c r="BI151" s="1082"/>
      <c r="BJ151" s="1082"/>
      <c r="BK151" s="1082"/>
      <c r="BL151" s="1082"/>
      <c r="BM151" s="1082"/>
      <c r="BN151" s="1082"/>
      <c r="BO151" s="1082"/>
      <c r="BP151" s="1082"/>
      <c r="BQ151" s="1082"/>
      <c r="BR151" s="1082"/>
      <c r="BS151" s="1082"/>
      <c r="BT151" s="1082"/>
      <c r="BU151" s="1082"/>
      <c r="BV151" s="1082"/>
      <c r="BW151" s="1082"/>
      <c r="BX151" s="1082"/>
      <c r="BY151" s="1082"/>
      <c r="BZ151" s="1082"/>
      <c r="CA151" s="1082"/>
      <c r="CB151" s="1082"/>
      <c r="CC151" s="1082"/>
      <c r="CD151" s="1082"/>
      <c r="CE151" s="1082"/>
      <c r="CF151" s="1082"/>
      <c r="CG151" s="1082"/>
      <c r="CH151" s="1082"/>
      <c r="CI151" s="1082"/>
      <c r="CJ151" s="1082"/>
      <c r="CK151" s="1082"/>
      <c r="CL151" s="1082"/>
      <c r="CM151" s="1082"/>
      <c r="CN151" s="1082"/>
      <c r="CO151" s="1082"/>
      <c r="CP151" s="1082"/>
      <c r="CQ151" s="1082"/>
      <c r="CR151" s="1082"/>
      <c r="CS151" s="1082"/>
      <c r="CT151" s="1082"/>
      <c r="CU151" s="1082"/>
      <c r="CV151" s="1082"/>
      <c r="CW151" s="1082"/>
      <c r="CX151" s="1082"/>
      <c r="CY151" s="1082"/>
      <c r="CZ151" s="1082"/>
      <c r="DA151" s="1082"/>
      <c r="DB151" s="1082"/>
      <c r="DC151" s="1082"/>
      <c r="DD151" s="1082"/>
      <c r="DE151" s="1082"/>
      <c r="DF151" s="1082"/>
      <c r="DG151" s="1082"/>
      <c r="DH151" s="1082"/>
      <c r="DI151" s="1082"/>
      <c r="DJ151" s="1082"/>
      <c r="DK151" s="1082"/>
      <c r="DL151" s="1082"/>
      <c r="DM151" s="1082"/>
      <c r="DN151" s="1082"/>
      <c r="DO151" s="1082"/>
      <c r="DP151" s="1082"/>
      <c r="DQ151" s="1082"/>
      <c r="DR151" s="1082"/>
      <c r="DS151" s="1082"/>
      <c r="DT151" s="1082"/>
      <c r="DU151" s="1082"/>
      <c r="DV151" s="1082"/>
      <c r="DW151" s="1082"/>
      <c r="DX151" s="1082"/>
      <c r="DY151" s="1082"/>
      <c r="DZ151" s="1082"/>
      <c r="EA151" s="1082"/>
      <c r="EB151" s="1082"/>
      <c r="EC151" s="1082"/>
      <c r="ED151" s="1082"/>
      <c r="EE151" s="1082"/>
      <c r="EF151" s="1082"/>
      <c r="EG151" s="1082"/>
      <c r="EH151" s="1082"/>
      <c r="EI151" s="1082"/>
      <c r="EJ151" s="1082"/>
      <c r="EK151" s="1082"/>
      <c r="EL151" s="1082"/>
      <c r="EM151" s="1082"/>
      <c r="EN151" s="1082"/>
      <c r="EO151" s="1082"/>
      <c r="EP151" s="1082"/>
      <c r="EQ151" s="1082"/>
      <c r="ER151" s="1082"/>
      <c r="ES151" s="1082"/>
      <c r="ET151" s="1082"/>
      <c r="EU151" s="1082"/>
      <c r="EV151" s="1082"/>
      <c r="EW151" s="1082"/>
      <c r="EX151" s="1082"/>
      <c r="EY151" s="1082"/>
      <c r="EZ151" s="1082"/>
      <c r="FA151" s="1082"/>
      <c r="FB151" s="1082"/>
    </row>
    <row r="152" spans="1:158" ht="32.1" customHeight="1">
      <c r="A152" s="1066" t="s">
        <v>190</v>
      </c>
      <c r="B152" s="1172" t="s">
        <v>191</v>
      </c>
      <c r="C152" s="1494">
        <f t="shared" ref="C152:H152" si="36">AVERAGE(C153:C159)</f>
        <v>0.68732870335264307</v>
      </c>
      <c r="D152" s="1494">
        <f t="shared" si="36"/>
        <v>0.6824544231203139</v>
      </c>
      <c r="E152" s="1494">
        <f t="shared" si="36"/>
        <v>0.35191204103397489</v>
      </c>
      <c r="F152" s="1494">
        <f t="shared" si="36"/>
        <v>0.69827899262788151</v>
      </c>
      <c r="G152" s="1494">
        <f t="shared" si="36"/>
        <v>0.51185820933421355</v>
      </c>
      <c r="H152" s="1494">
        <f t="shared" si="36"/>
        <v>0.44569471624266149</v>
      </c>
      <c r="I152" s="1762"/>
      <c r="J152" s="1130"/>
      <c r="K152" s="1131"/>
      <c r="L152" s="1131"/>
      <c r="M152" s="1131"/>
      <c r="N152" s="1131"/>
      <c r="O152" s="1131"/>
      <c r="P152" s="1131"/>
      <c r="Q152" s="1131"/>
    </row>
    <row r="153" spans="1:158" s="1099" customFormat="1" ht="32.1" customHeight="1">
      <c r="A153" s="1173"/>
      <c r="B153" s="1174" t="s">
        <v>192</v>
      </c>
      <c r="C153" s="1493">
        <f>IF(J153&gt;$P153,1,IF(J153&lt;$Q153,0,(J153-$Q153)/($P153-$Q153)))</f>
        <v>9.1324200913242091E-3</v>
      </c>
      <c r="D153" s="1493">
        <f t="shared" ref="D153:H154" si="37">IF(K153&gt;$P153,1,IF(K153&lt;$Q153,0,(K153-$Q153)/($P153-$Q153)))</f>
        <v>0.31735159817351594</v>
      </c>
      <c r="E153" s="1493">
        <f t="shared" si="37"/>
        <v>1</v>
      </c>
      <c r="F153" s="1493">
        <f t="shared" si="37"/>
        <v>0.17465753424657526</v>
      </c>
      <c r="G153" s="1493">
        <f t="shared" si="37"/>
        <v>0</v>
      </c>
      <c r="H153" s="1493">
        <f t="shared" si="37"/>
        <v>0.61986301369863017</v>
      </c>
      <c r="I153" s="1195" t="s">
        <v>6730</v>
      </c>
      <c r="J153" s="1175">
        <v>9.3000000000000007</v>
      </c>
      <c r="K153" s="1175">
        <v>14.7</v>
      </c>
      <c r="L153" s="1175">
        <v>28.8</v>
      </c>
      <c r="M153" s="1175">
        <v>12.2</v>
      </c>
      <c r="N153" s="1176">
        <v>9.1</v>
      </c>
      <c r="O153" s="1176">
        <v>20</v>
      </c>
      <c r="P153" s="1175">
        <v>26.66</v>
      </c>
      <c r="Q153" s="1175">
        <v>9.14</v>
      </c>
      <c r="R153" s="1081"/>
      <c r="S153" s="1082"/>
      <c r="T153" s="1082"/>
      <c r="U153" s="1082"/>
      <c r="V153" s="1082"/>
      <c r="W153" s="1082"/>
      <c r="X153" s="1082"/>
      <c r="Y153" s="1082"/>
      <c r="Z153" s="1082"/>
      <c r="AA153" s="1082"/>
      <c r="AB153" s="1082"/>
      <c r="AC153" s="1082"/>
      <c r="AD153" s="1082"/>
      <c r="AE153" s="1082"/>
      <c r="AF153" s="1082"/>
      <c r="AG153" s="1082"/>
      <c r="AH153" s="1082"/>
      <c r="AI153" s="1082"/>
      <c r="AJ153" s="1082"/>
      <c r="AK153" s="1082"/>
      <c r="AL153" s="1082"/>
      <c r="AM153" s="1082"/>
      <c r="AN153" s="1082"/>
      <c r="AO153" s="1082"/>
      <c r="AP153" s="1082"/>
      <c r="AQ153" s="1082"/>
      <c r="AR153" s="1082"/>
      <c r="AS153" s="1082"/>
      <c r="AT153" s="1082"/>
      <c r="AU153" s="1082"/>
      <c r="AV153" s="1082"/>
      <c r="AW153" s="1082"/>
      <c r="AX153" s="1082"/>
      <c r="AY153" s="1082"/>
      <c r="AZ153" s="1082"/>
      <c r="BA153" s="1082"/>
      <c r="BB153" s="1082"/>
      <c r="BC153" s="1082"/>
      <c r="BD153" s="1082"/>
      <c r="BE153" s="1082"/>
      <c r="BF153" s="1082"/>
      <c r="BG153" s="1082"/>
      <c r="BH153" s="1082"/>
      <c r="BI153" s="1082"/>
      <c r="BJ153" s="1082"/>
      <c r="BK153" s="1082"/>
      <c r="BL153" s="1082"/>
      <c r="BM153" s="1082"/>
      <c r="BN153" s="1082"/>
      <c r="BO153" s="1082"/>
      <c r="BP153" s="1082"/>
      <c r="BQ153" s="1082"/>
      <c r="BR153" s="1082"/>
      <c r="BS153" s="1082"/>
      <c r="BT153" s="1082"/>
      <c r="BU153" s="1082"/>
      <c r="BV153" s="1082"/>
      <c r="BW153" s="1082"/>
      <c r="BX153" s="1082"/>
      <c r="BY153" s="1082"/>
      <c r="BZ153" s="1082"/>
      <c r="CA153" s="1082"/>
      <c r="CB153" s="1082"/>
      <c r="CC153" s="1082"/>
      <c r="CD153" s="1082"/>
      <c r="CE153" s="1082"/>
      <c r="CF153" s="1082"/>
      <c r="CG153" s="1082"/>
      <c r="CH153" s="1082"/>
      <c r="CI153" s="1082"/>
      <c r="CJ153" s="1082"/>
      <c r="CK153" s="1082"/>
      <c r="CL153" s="1082"/>
      <c r="CM153" s="1082"/>
      <c r="CN153" s="1082"/>
      <c r="CO153" s="1082"/>
      <c r="CP153" s="1082"/>
      <c r="CQ153" s="1082"/>
      <c r="CR153" s="1082"/>
      <c r="CS153" s="1082"/>
      <c r="CT153" s="1082"/>
      <c r="CU153" s="1082"/>
      <c r="CV153" s="1082"/>
      <c r="CW153" s="1082"/>
      <c r="CX153" s="1082"/>
      <c r="CY153" s="1082"/>
      <c r="CZ153" s="1082"/>
      <c r="DA153" s="1082"/>
      <c r="DB153" s="1082"/>
      <c r="DC153" s="1082"/>
      <c r="DD153" s="1082"/>
      <c r="DE153" s="1082"/>
      <c r="DF153" s="1082"/>
      <c r="DG153" s="1082"/>
      <c r="DH153" s="1082"/>
      <c r="DI153" s="1082"/>
      <c r="DJ153" s="1082"/>
      <c r="DK153" s="1082"/>
      <c r="DL153" s="1082"/>
      <c r="DM153" s="1082"/>
      <c r="DN153" s="1082"/>
      <c r="DO153" s="1082"/>
      <c r="DP153" s="1082"/>
      <c r="DQ153" s="1082"/>
      <c r="DR153" s="1082"/>
      <c r="DS153" s="1082"/>
      <c r="DT153" s="1082"/>
      <c r="DU153" s="1082"/>
      <c r="DV153" s="1082"/>
      <c r="DW153" s="1082"/>
      <c r="DX153" s="1082"/>
      <c r="DY153" s="1082"/>
      <c r="DZ153" s="1082"/>
      <c r="EA153" s="1082"/>
      <c r="EB153" s="1082"/>
      <c r="EC153" s="1082"/>
      <c r="ED153" s="1082"/>
      <c r="EE153" s="1082"/>
      <c r="EF153" s="1082"/>
      <c r="EG153" s="1082"/>
      <c r="EH153" s="1082"/>
      <c r="EI153" s="1082"/>
      <c r="EJ153" s="1082"/>
      <c r="EK153" s="1082"/>
      <c r="EL153" s="1082"/>
      <c r="EM153" s="1082"/>
      <c r="EN153" s="1082"/>
      <c r="EO153" s="1082"/>
      <c r="EP153" s="1082"/>
      <c r="EQ153" s="1082"/>
      <c r="ER153" s="1082"/>
      <c r="ES153" s="1082"/>
      <c r="ET153" s="1082"/>
      <c r="EU153" s="1082"/>
      <c r="EV153" s="1082"/>
      <c r="EW153" s="1082"/>
      <c r="EX153" s="1082"/>
      <c r="EY153" s="1082"/>
      <c r="EZ153" s="1082"/>
      <c r="FA153" s="1082"/>
      <c r="FB153" s="1082"/>
    </row>
    <row r="154" spans="1:158" s="1099" customFormat="1" ht="32.1" customHeight="1">
      <c r="A154" s="1173"/>
      <c r="B154" s="1174" t="s">
        <v>193</v>
      </c>
      <c r="C154" s="1493">
        <f>IF(J154&gt;$P154,1,IF(J154&lt;$Q154,0,(J154-$Q154)/($P154-$Q154)))</f>
        <v>0.30216850337717743</v>
      </c>
      <c r="D154" s="1493">
        <f t="shared" si="37"/>
        <v>0.95982936366868132</v>
      </c>
      <c r="E154" s="1493">
        <f t="shared" si="37"/>
        <v>0.96338428723782432</v>
      </c>
      <c r="F154" s="1493">
        <f t="shared" si="37"/>
        <v>0.21329541414859585</v>
      </c>
      <c r="G154" s="1493">
        <f t="shared" si="37"/>
        <v>0.58300746533949521</v>
      </c>
      <c r="H154" s="1493">
        <f t="shared" si="37"/>
        <v>1</v>
      </c>
      <c r="I154" s="1195" t="s">
        <v>6731</v>
      </c>
      <c r="J154" s="1405">
        <v>52.5</v>
      </c>
      <c r="K154" s="1405">
        <v>71</v>
      </c>
      <c r="L154" s="1405">
        <v>71.099999999999994</v>
      </c>
      <c r="M154" s="1405">
        <v>50</v>
      </c>
      <c r="N154" s="1406">
        <v>60.4</v>
      </c>
      <c r="O154" s="1406">
        <v>78.2</v>
      </c>
      <c r="P154" s="1175">
        <v>72.13</v>
      </c>
      <c r="Q154" s="1175">
        <v>44</v>
      </c>
      <c r="R154" s="1081"/>
      <c r="S154" s="1082"/>
      <c r="T154" s="1082"/>
      <c r="U154" s="1082"/>
      <c r="V154" s="1082"/>
      <c r="W154" s="1082"/>
      <c r="X154" s="1082"/>
      <c r="Y154" s="1082"/>
      <c r="Z154" s="1082"/>
      <c r="AA154" s="1082"/>
      <c r="AB154" s="1082"/>
      <c r="AC154" s="1082"/>
      <c r="AD154" s="1082"/>
      <c r="AE154" s="1082"/>
      <c r="AF154" s="1082"/>
      <c r="AG154" s="1082"/>
      <c r="AH154" s="1082"/>
      <c r="AI154" s="1082"/>
      <c r="AJ154" s="1082"/>
      <c r="AK154" s="1082"/>
      <c r="AL154" s="1082"/>
      <c r="AM154" s="1082"/>
      <c r="AN154" s="1082"/>
      <c r="AO154" s="1082"/>
      <c r="AP154" s="1082"/>
      <c r="AQ154" s="1082"/>
      <c r="AR154" s="1082"/>
      <c r="AS154" s="1082"/>
      <c r="AT154" s="1082"/>
      <c r="AU154" s="1082"/>
      <c r="AV154" s="1082"/>
      <c r="AW154" s="1082"/>
      <c r="AX154" s="1082"/>
      <c r="AY154" s="1082"/>
      <c r="AZ154" s="1082"/>
      <c r="BA154" s="1082"/>
      <c r="BB154" s="1082"/>
      <c r="BC154" s="1082"/>
      <c r="BD154" s="1082"/>
      <c r="BE154" s="1082"/>
      <c r="BF154" s="1082"/>
      <c r="BG154" s="1082"/>
      <c r="BH154" s="1082"/>
      <c r="BI154" s="1082"/>
      <c r="BJ154" s="1082"/>
      <c r="BK154" s="1082"/>
      <c r="BL154" s="1082"/>
      <c r="BM154" s="1082"/>
      <c r="BN154" s="1082"/>
      <c r="BO154" s="1082"/>
      <c r="BP154" s="1082"/>
      <c r="BQ154" s="1082"/>
      <c r="BR154" s="1082"/>
      <c r="BS154" s="1082"/>
      <c r="BT154" s="1082"/>
      <c r="BU154" s="1082"/>
      <c r="BV154" s="1082"/>
      <c r="BW154" s="1082"/>
      <c r="BX154" s="1082"/>
      <c r="BY154" s="1082"/>
      <c r="BZ154" s="1082"/>
      <c r="CA154" s="1082"/>
      <c r="CB154" s="1082"/>
      <c r="CC154" s="1082"/>
      <c r="CD154" s="1082"/>
      <c r="CE154" s="1082"/>
      <c r="CF154" s="1082"/>
      <c r="CG154" s="1082"/>
      <c r="CH154" s="1082"/>
      <c r="CI154" s="1082"/>
      <c r="CJ154" s="1082"/>
      <c r="CK154" s="1082"/>
      <c r="CL154" s="1082"/>
      <c r="CM154" s="1082"/>
      <c r="CN154" s="1082"/>
      <c r="CO154" s="1082"/>
      <c r="CP154" s="1082"/>
      <c r="CQ154" s="1082"/>
      <c r="CR154" s="1082"/>
      <c r="CS154" s="1082"/>
      <c r="CT154" s="1082"/>
      <c r="CU154" s="1082"/>
      <c r="CV154" s="1082"/>
      <c r="CW154" s="1082"/>
      <c r="CX154" s="1082"/>
      <c r="CY154" s="1082"/>
      <c r="CZ154" s="1082"/>
      <c r="DA154" s="1082"/>
      <c r="DB154" s="1082"/>
      <c r="DC154" s="1082"/>
      <c r="DD154" s="1082"/>
      <c r="DE154" s="1082"/>
      <c r="DF154" s="1082"/>
      <c r="DG154" s="1082"/>
      <c r="DH154" s="1082"/>
      <c r="DI154" s="1082"/>
      <c r="DJ154" s="1082"/>
      <c r="DK154" s="1082"/>
      <c r="DL154" s="1082"/>
      <c r="DM154" s="1082"/>
      <c r="DN154" s="1082"/>
      <c r="DO154" s="1082"/>
      <c r="DP154" s="1082"/>
      <c r="DQ154" s="1082"/>
      <c r="DR154" s="1082"/>
      <c r="DS154" s="1082"/>
      <c r="DT154" s="1082"/>
      <c r="DU154" s="1082"/>
      <c r="DV154" s="1082"/>
      <c r="DW154" s="1082"/>
      <c r="DX154" s="1082"/>
      <c r="DY154" s="1082"/>
      <c r="DZ154" s="1082"/>
      <c r="EA154" s="1082"/>
      <c r="EB154" s="1082"/>
      <c r="EC154" s="1082"/>
      <c r="ED154" s="1082"/>
      <c r="EE154" s="1082"/>
      <c r="EF154" s="1082"/>
      <c r="EG154" s="1082"/>
      <c r="EH154" s="1082"/>
      <c r="EI154" s="1082"/>
      <c r="EJ154" s="1082"/>
      <c r="EK154" s="1082"/>
      <c r="EL154" s="1082"/>
      <c r="EM154" s="1082"/>
      <c r="EN154" s="1082"/>
      <c r="EO154" s="1082"/>
      <c r="EP154" s="1082"/>
      <c r="EQ154" s="1082"/>
      <c r="ER154" s="1082"/>
      <c r="ES154" s="1082"/>
      <c r="ET154" s="1082"/>
      <c r="EU154" s="1082"/>
      <c r="EV154" s="1082"/>
      <c r="EW154" s="1082"/>
      <c r="EX154" s="1082"/>
      <c r="EY154" s="1082"/>
      <c r="EZ154" s="1082"/>
      <c r="FA154" s="1082"/>
      <c r="FB154" s="1082"/>
    </row>
    <row r="155" spans="1:158" s="1088" customFormat="1" ht="32.1" customHeight="1">
      <c r="A155" s="1177"/>
      <c r="B155" s="1178" t="s">
        <v>194</v>
      </c>
      <c r="C155" s="1440">
        <v>1</v>
      </c>
      <c r="D155" s="1440">
        <v>1</v>
      </c>
      <c r="E155" s="1440">
        <v>0</v>
      </c>
      <c r="F155" s="1440">
        <v>1</v>
      </c>
      <c r="G155" s="1440">
        <v>1</v>
      </c>
      <c r="H155" s="1440">
        <v>0</v>
      </c>
      <c r="I155" s="1195" t="s">
        <v>195</v>
      </c>
      <c r="J155" s="1179" t="s">
        <v>6601</v>
      </c>
      <c r="K155" s="1179" t="s">
        <v>6313</v>
      </c>
      <c r="L155" s="1071" t="s">
        <v>5892</v>
      </c>
      <c r="M155" s="1179" t="s">
        <v>763</v>
      </c>
      <c r="N155" s="1075" t="s">
        <v>5434</v>
      </c>
      <c r="O155" s="1179" t="s">
        <v>5661</v>
      </c>
      <c r="P155" s="1179"/>
      <c r="Q155" s="1179"/>
      <c r="R155" s="1081"/>
      <c r="S155" s="1082"/>
      <c r="T155" s="1082"/>
      <c r="U155" s="1082"/>
      <c r="V155" s="1082"/>
      <c r="W155" s="1082"/>
      <c r="X155" s="1082"/>
      <c r="Y155" s="1082"/>
      <c r="Z155" s="1082"/>
      <c r="AA155" s="1082"/>
      <c r="AB155" s="1082"/>
      <c r="AC155" s="1082"/>
      <c r="AD155" s="1082"/>
      <c r="AE155" s="1082"/>
      <c r="AF155" s="1082"/>
      <c r="AG155" s="1082"/>
      <c r="AH155" s="1082"/>
      <c r="AI155" s="1082"/>
      <c r="AJ155" s="1082"/>
      <c r="AK155" s="1082"/>
      <c r="AL155" s="1082"/>
      <c r="AM155" s="1082"/>
      <c r="AN155" s="1082"/>
      <c r="AO155" s="1082"/>
      <c r="AP155" s="1082"/>
      <c r="AQ155" s="1082"/>
      <c r="AR155" s="1082"/>
      <c r="AS155" s="1082"/>
      <c r="AT155" s="1082"/>
      <c r="AU155" s="1082"/>
      <c r="AV155" s="1082"/>
      <c r="AW155" s="1082"/>
      <c r="AX155" s="1082"/>
      <c r="AY155" s="1082"/>
      <c r="AZ155" s="1082"/>
      <c r="BA155" s="1082"/>
      <c r="BB155" s="1082"/>
      <c r="BC155" s="1082"/>
      <c r="BD155" s="1082"/>
      <c r="BE155" s="1082"/>
      <c r="BF155" s="1082"/>
      <c r="BG155" s="1082"/>
      <c r="BH155" s="1082"/>
      <c r="BI155" s="1082"/>
      <c r="BJ155" s="1082"/>
      <c r="BK155" s="1082"/>
      <c r="BL155" s="1082"/>
      <c r="BM155" s="1082"/>
      <c r="BN155" s="1082"/>
      <c r="BO155" s="1082"/>
      <c r="BP155" s="1082"/>
      <c r="BQ155" s="1082"/>
      <c r="BR155" s="1082"/>
      <c r="BS155" s="1082"/>
      <c r="BT155" s="1082"/>
      <c r="BU155" s="1082"/>
      <c r="BV155" s="1082"/>
      <c r="BW155" s="1082"/>
      <c r="BX155" s="1082"/>
      <c r="BY155" s="1082"/>
      <c r="BZ155" s="1082"/>
      <c r="CA155" s="1082"/>
      <c r="CB155" s="1082"/>
      <c r="CC155" s="1082"/>
      <c r="CD155" s="1082"/>
      <c r="CE155" s="1082"/>
      <c r="CF155" s="1082"/>
      <c r="CG155" s="1082"/>
      <c r="CH155" s="1082"/>
      <c r="CI155" s="1082"/>
      <c r="CJ155" s="1082"/>
      <c r="CK155" s="1082"/>
      <c r="CL155" s="1082"/>
      <c r="CM155" s="1082"/>
      <c r="CN155" s="1082"/>
      <c r="CO155" s="1082"/>
      <c r="CP155" s="1082"/>
      <c r="CQ155" s="1082"/>
      <c r="CR155" s="1082"/>
      <c r="CS155" s="1082"/>
      <c r="CT155" s="1082"/>
      <c r="CU155" s="1082"/>
      <c r="CV155" s="1082"/>
      <c r="CW155" s="1082"/>
      <c r="CX155" s="1082"/>
      <c r="CY155" s="1082"/>
      <c r="CZ155" s="1082"/>
      <c r="DA155" s="1082"/>
      <c r="DB155" s="1082"/>
      <c r="DC155" s="1082"/>
      <c r="DD155" s="1082"/>
      <c r="DE155" s="1082"/>
      <c r="DF155" s="1082"/>
      <c r="DG155" s="1082"/>
      <c r="DH155" s="1082"/>
      <c r="DI155" s="1082"/>
      <c r="DJ155" s="1082"/>
      <c r="DK155" s="1082"/>
      <c r="DL155" s="1082"/>
      <c r="DM155" s="1082"/>
      <c r="DN155" s="1082"/>
      <c r="DO155" s="1082"/>
      <c r="DP155" s="1082"/>
      <c r="DQ155" s="1082"/>
      <c r="DR155" s="1082"/>
      <c r="DS155" s="1082"/>
      <c r="DT155" s="1082"/>
      <c r="DU155" s="1082"/>
      <c r="DV155" s="1082"/>
      <c r="DW155" s="1082"/>
      <c r="DX155" s="1082"/>
      <c r="DY155" s="1082"/>
      <c r="DZ155" s="1082"/>
      <c r="EA155" s="1082"/>
      <c r="EB155" s="1082"/>
      <c r="EC155" s="1082"/>
      <c r="ED155" s="1082"/>
      <c r="EE155" s="1082"/>
      <c r="EF155" s="1082"/>
      <c r="EG155" s="1082"/>
      <c r="EH155" s="1082"/>
      <c r="EI155" s="1082"/>
      <c r="EJ155" s="1082"/>
      <c r="EK155" s="1082"/>
      <c r="EL155" s="1082"/>
      <c r="EM155" s="1082"/>
      <c r="EN155" s="1082"/>
      <c r="EO155" s="1082"/>
      <c r="EP155" s="1082"/>
      <c r="EQ155" s="1082"/>
      <c r="ER155" s="1082"/>
      <c r="ES155" s="1082"/>
      <c r="ET155" s="1082"/>
      <c r="EU155" s="1082"/>
      <c r="EV155" s="1082"/>
      <c r="EW155" s="1082"/>
      <c r="EX155" s="1082"/>
      <c r="EY155" s="1082"/>
      <c r="EZ155" s="1082"/>
      <c r="FA155" s="1082"/>
      <c r="FB155" s="1082"/>
    </row>
    <row r="156" spans="1:158" s="1088" customFormat="1" ht="32.1" customHeight="1">
      <c r="A156" s="1177"/>
      <c r="B156" s="1178" t="s">
        <v>196</v>
      </c>
      <c r="C156" s="1440">
        <v>1</v>
      </c>
      <c r="D156" s="1440">
        <v>1</v>
      </c>
      <c r="E156" s="1440">
        <v>0</v>
      </c>
      <c r="F156" s="1440">
        <v>1</v>
      </c>
      <c r="G156" s="1440">
        <v>0</v>
      </c>
      <c r="H156" s="1440">
        <v>0</v>
      </c>
      <c r="I156" s="1195" t="s">
        <v>195</v>
      </c>
      <c r="J156" s="1179" t="s">
        <v>6602</v>
      </c>
      <c r="K156" s="1179" t="s">
        <v>6314</v>
      </c>
      <c r="L156" s="1071" t="s">
        <v>5893</v>
      </c>
      <c r="M156" s="1179" t="s">
        <v>6108</v>
      </c>
      <c r="N156" s="1075" t="s">
        <v>5435</v>
      </c>
      <c r="O156" s="1396" t="s">
        <v>5657</v>
      </c>
      <c r="P156" s="1179"/>
      <c r="Q156" s="1179"/>
      <c r="R156" s="1081"/>
      <c r="S156" s="1082"/>
      <c r="T156" s="1082"/>
      <c r="U156" s="1082"/>
      <c r="V156" s="1082"/>
      <c r="W156" s="1082"/>
      <c r="X156" s="1082"/>
      <c r="Y156" s="1082"/>
      <c r="Z156" s="1082"/>
      <c r="AA156" s="1082"/>
      <c r="AB156" s="1082"/>
      <c r="AC156" s="1082"/>
      <c r="AD156" s="1082"/>
      <c r="AE156" s="1082"/>
      <c r="AF156" s="1082"/>
      <c r="AG156" s="1082"/>
      <c r="AH156" s="1082"/>
      <c r="AI156" s="1082"/>
      <c r="AJ156" s="1082"/>
      <c r="AK156" s="1082"/>
      <c r="AL156" s="1082"/>
      <c r="AM156" s="1082"/>
      <c r="AN156" s="1082"/>
      <c r="AO156" s="1082"/>
      <c r="AP156" s="1082"/>
      <c r="AQ156" s="1082"/>
      <c r="AR156" s="1082"/>
      <c r="AS156" s="1082"/>
      <c r="AT156" s="1082"/>
      <c r="AU156" s="1082"/>
      <c r="AV156" s="1082"/>
      <c r="AW156" s="1082"/>
      <c r="AX156" s="1082"/>
      <c r="AY156" s="1082"/>
      <c r="AZ156" s="1082"/>
      <c r="BA156" s="1082"/>
      <c r="BB156" s="1082"/>
      <c r="BC156" s="1082"/>
      <c r="BD156" s="1082"/>
      <c r="BE156" s="1082"/>
      <c r="BF156" s="1082"/>
      <c r="BG156" s="1082"/>
      <c r="BH156" s="1082"/>
      <c r="BI156" s="1082"/>
      <c r="BJ156" s="1082"/>
      <c r="BK156" s="1082"/>
      <c r="BL156" s="1082"/>
      <c r="BM156" s="1082"/>
      <c r="BN156" s="1082"/>
      <c r="BO156" s="1082"/>
      <c r="BP156" s="1082"/>
      <c r="BQ156" s="1082"/>
      <c r="BR156" s="1082"/>
      <c r="BS156" s="1082"/>
      <c r="BT156" s="1082"/>
      <c r="BU156" s="1082"/>
      <c r="BV156" s="1082"/>
      <c r="BW156" s="1082"/>
      <c r="BX156" s="1082"/>
      <c r="BY156" s="1082"/>
      <c r="BZ156" s="1082"/>
      <c r="CA156" s="1082"/>
      <c r="CB156" s="1082"/>
      <c r="CC156" s="1082"/>
      <c r="CD156" s="1082"/>
      <c r="CE156" s="1082"/>
      <c r="CF156" s="1082"/>
      <c r="CG156" s="1082"/>
      <c r="CH156" s="1082"/>
      <c r="CI156" s="1082"/>
      <c r="CJ156" s="1082"/>
      <c r="CK156" s="1082"/>
      <c r="CL156" s="1082"/>
      <c r="CM156" s="1082"/>
      <c r="CN156" s="1082"/>
      <c r="CO156" s="1082"/>
      <c r="CP156" s="1082"/>
      <c r="CQ156" s="1082"/>
      <c r="CR156" s="1082"/>
      <c r="CS156" s="1082"/>
      <c r="CT156" s="1082"/>
      <c r="CU156" s="1082"/>
      <c r="CV156" s="1082"/>
      <c r="CW156" s="1082"/>
      <c r="CX156" s="1082"/>
      <c r="CY156" s="1082"/>
      <c r="CZ156" s="1082"/>
      <c r="DA156" s="1082"/>
      <c r="DB156" s="1082"/>
      <c r="DC156" s="1082"/>
      <c r="DD156" s="1082"/>
      <c r="DE156" s="1082"/>
      <c r="DF156" s="1082"/>
      <c r="DG156" s="1082"/>
      <c r="DH156" s="1082"/>
      <c r="DI156" s="1082"/>
      <c r="DJ156" s="1082"/>
      <c r="DK156" s="1082"/>
      <c r="DL156" s="1082"/>
      <c r="DM156" s="1082"/>
      <c r="DN156" s="1082"/>
      <c r="DO156" s="1082"/>
      <c r="DP156" s="1082"/>
      <c r="DQ156" s="1082"/>
      <c r="DR156" s="1082"/>
      <c r="DS156" s="1082"/>
      <c r="DT156" s="1082"/>
      <c r="DU156" s="1082"/>
      <c r="DV156" s="1082"/>
      <c r="DW156" s="1082"/>
      <c r="DX156" s="1082"/>
      <c r="DY156" s="1082"/>
      <c r="DZ156" s="1082"/>
      <c r="EA156" s="1082"/>
      <c r="EB156" s="1082"/>
      <c r="EC156" s="1082"/>
      <c r="ED156" s="1082"/>
      <c r="EE156" s="1082"/>
      <c r="EF156" s="1082"/>
      <c r="EG156" s="1082"/>
      <c r="EH156" s="1082"/>
      <c r="EI156" s="1082"/>
      <c r="EJ156" s="1082"/>
      <c r="EK156" s="1082"/>
      <c r="EL156" s="1082"/>
      <c r="EM156" s="1082"/>
      <c r="EN156" s="1082"/>
      <c r="EO156" s="1082"/>
      <c r="EP156" s="1082"/>
      <c r="EQ156" s="1082"/>
      <c r="ER156" s="1082"/>
      <c r="ES156" s="1082"/>
      <c r="ET156" s="1082"/>
      <c r="EU156" s="1082"/>
      <c r="EV156" s="1082"/>
      <c r="EW156" s="1082"/>
      <c r="EX156" s="1082"/>
      <c r="EY156" s="1082"/>
      <c r="EZ156" s="1082"/>
      <c r="FA156" s="1082"/>
      <c r="FB156" s="1082"/>
    </row>
    <row r="157" spans="1:158" s="1088" customFormat="1" ht="32.1" customHeight="1">
      <c r="A157" s="1177"/>
      <c r="B157" s="1178" t="s">
        <v>197</v>
      </c>
      <c r="C157" s="1440">
        <v>0.5</v>
      </c>
      <c r="D157" s="1440">
        <v>1</v>
      </c>
      <c r="E157" s="1440">
        <v>0</v>
      </c>
      <c r="F157" s="1440">
        <v>1</v>
      </c>
      <c r="G157" s="1440">
        <v>0</v>
      </c>
      <c r="H157" s="1440">
        <v>0</v>
      </c>
      <c r="I157" s="1195"/>
      <c r="J157" s="1179" t="s">
        <v>6603</v>
      </c>
      <c r="K157" s="1179" t="s">
        <v>6315</v>
      </c>
      <c r="L157" s="1071" t="s">
        <v>5894</v>
      </c>
      <c r="M157" s="1179" t="s">
        <v>6109</v>
      </c>
      <c r="N157" s="1075" t="s">
        <v>5436</v>
      </c>
      <c r="O157" s="1075" t="s">
        <v>5658</v>
      </c>
      <c r="P157" s="1179"/>
      <c r="Q157" s="1179"/>
      <c r="R157" s="1081"/>
      <c r="S157" s="1082"/>
      <c r="T157" s="1082"/>
      <c r="U157" s="1082"/>
      <c r="V157" s="1082"/>
      <c r="W157" s="1082"/>
      <c r="X157" s="1082"/>
      <c r="Y157" s="1082"/>
      <c r="Z157" s="1082"/>
      <c r="AA157" s="1082"/>
      <c r="AB157" s="1082"/>
      <c r="AC157" s="1082"/>
      <c r="AD157" s="1082"/>
      <c r="AE157" s="1082"/>
      <c r="AF157" s="1082"/>
      <c r="AG157" s="1082"/>
      <c r="AH157" s="1082"/>
      <c r="AI157" s="1082"/>
      <c r="AJ157" s="1082"/>
      <c r="AK157" s="1082"/>
      <c r="AL157" s="1082"/>
      <c r="AM157" s="1082"/>
      <c r="AN157" s="1082"/>
      <c r="AO157" s="1082"/>
      <c r="AP157" s="1082"/>
      <c r="AQ157" s="1082"/>
      <c r="AR157" s="1082"/>
      <c r="AS157" s="1082"/>
      <c r="AT157" s="1082"/>
      <c r="AU157" s="1082"/>
      <c r="AV157" s="1082"/>
      <c r="AW157" s="1082"/>
      <c r="AX157" s="1082"/>
      <c r="AY157" s="1082"/>
      <c r="AZ157" s="1082"/>
      <c r="BA157" s="1082"/>
      <c r="BB157" s="1082"/>
      <c r="BC157" s="1082"/>
      <c r="BD157" s="1082"/>
      <c r="BE157" s="1082"/>
      <c r="BF157" s="1082"/>
      <c r="BG157" s="1082"/>
      <c r="BH157" s="1082"/>
      <c r="BI157" s="1082"/>
      <c r="BJ157" s="1082"/>
      <c r="BK157" s="1082"/>
      <c r="BL157" s="1082"/>
      <c r="BM157" s="1082"/>
      <c r="BN157" s="1082"/>
      <c r="BO157" s="1082"/>
      <c r="BP157" s="1082"/>
      <c r="BQ157" s="1082"/>
      <c r="BR157" s="1082"/>
      <c r="BS157" s="1082"/>
      <c r="BT157" s="1082"/>
      <c r="BU157" s="1082"/>
      <c r="BV157" s="1082"/>
      <c r="BW157" s="1082"/>
      <c r="BX157" s="1082"/>
      <c r="BY157" s="1082"/>
      <c r="BZ157" s="1082"/>
      <c r="CA157" s="1082"/>
      <c r="CB157" s="1082"/>
      <c r="CC157" s="1082"/>
      <c r="CD157" s="1082"/>
      <c r="CE157" s="1082"/>
      <c r="CF157" s="1082"/>
      <c r="CG157" s="1082"/>
      <c r="CH157" s="1082"/>
      <c r="CI157" s="1082"/>
      <c r="CJ157" s="1082"/>
      <c r="CK157" s="1082"/>
      <c r="CL157" s="1082"/>
      <c r="CM157" s="1082"/>
      <c r="CN157" s="1082"/>
      <c r="CO157" s="1082"/>
      <c r="CP157" s="1082"/>
      <c r="CQ157" s="1082"/>
      <c r="CR157" s="1082"/>
      <c r="CS157" s="1082"/>
      <c r="CT157" s="1082"/>
      <c r="CU157" s="1082"/>
      <c r="CV157" s="1082"/>
      <c r="CW157" s="1082"/>
      <c r="CX157" s="1082"/>
      <c r="CY157" s="1082"/>
      <c r="CZ157" s="1082"/>
      <c r="DA157" s="1082"/>
      <c r="DB157" s="1082"/>
      <c r="DC157" s="1082"/>
      <c r="DD157" s="1082"/>
      <c r="DE157" s="1082"/>
      <c r="DF157" s="1082"/>
      <c r="DG157" s="1082"/>
      <c r="DH157" s="1082"/>
      <c r="DI157" s="1082"/>
      <c r="DJ157" s="1082"/>
      <c r="DK157" s="1082"/>
      <c r="DL157" s="1082"/>
      <c r="DM157" s="1082"/>
      <c r="DN157" s="1082"/>
      <c r="DO157" s="1082"/>
      <c r="DP157" s="1082"/>
      <c r="DQ157" s="1082"/>
      <c r="DR157" s="1082"/>
      <c r="DS157" s="1082"/>
      <c r="DT157" s="1082"/>
      <c r="DU157" s="1082"/>
      <c r="DV157" s="1082"/>
      <c r="DW157" s="1082"/>
      <c r="DX157" s="1082"/>
      <c r="DY157" s="1082"/>
      <c r="DZ157" s="1082"/>
      <c r="EA157" s="1082"/>
      <c r="EB157" s="1082"/>
      <c r="EC157" s="1082"/>
      <c r="ED157" s="1082"/>
      <c r="EE157" s="1082"/>
      <c r="EF157" s="1082"/>
      <c r="EG157" s="1082"/>
      <c r="EH157" s="1082"/>
      <c r="EI157" s="1082"/>
      <c r="EJ157" s="1082"/>
      <c r="EK157" s="1082"/>
      <c r="EL157" s="1082"/>
      <c r="EM157" s="1082"/>
      <c r="EN157" s="1082"/>
      <c r="EO157" s="1082"/>
      <c r="EP157" s="1082"/>
      <c r="EQ157" s="1082"/>
      <c r="ER157" s="1082"/>
      <c r="ES157" s="1082"/>
      <c r="ET157" s="1082"/>
      <c r="EU157" s="1082"/>
      <c r="EV157" s="1082"/>
      <c r="EW157" s="1082"/>
      <c r="EX157" s="1082"/>
      <c r="EY157" s="1082"/>
      <c r="EZ157" s="1082"/>
      <c r="FA157" s="1082"/>
      <c r="FB157" s="1082"/>
    </row>
    <row r="158" spans="1:158" s="1088" customFormat="1" ht="32.1" customHeight="1">
      <c r="A158" s="1177"/>
      <c r="B158" s="1178" t="s">
        <v>198</v>
      </c>
      <c r="C158" s="1440">
        <v>1</v>
      </c>
      <c r="D158" s="1440">
        <v>0.5</v>
      </c>
      <c r="E158" s="1440">
        <v>0.5</v>
      </c>
      <c r="F158" s="1440">
        <v>1</v>
      </c>
      <c r="G158" s="1440">
        <v>1</v>
      </c>
      <c r="H158" s="1440">
        <v>0.5</v>
      </c>
      <c r="I158" s="1195" t="s">
        <v>195</v>
      </c>
      <c r="J158" s="1179" t="s">
        <v>6604</v>
      </c>
      <c r="K158" s="1179" t="s">
        <v>6316</v>
      </c>
      <c r="L158" s="1071" t="s">
        <v>5895</v>
      </c>
      <c r="M158" s="1075" t="s">
        <v>6110</v>
      </c>
      <c r="N158" s="1179" t="s">
        <v>5437</v>
      </c>
      <c r="O158" s="1179" t="s">
        <v>5659</v>
      </c>
      <c r="P158" s="1179"/>
      <c r="Q158" s="1179"/>
      <c r="R158" s="1081"/>
      <c r="S158" s="1082"/>
      <c r="T158" s="1082"/>
      <c r="U158" s="1082"/>
      <c r="V158" s="1082"/>
      <c r="W158" s="1082"/>
      <c r="X158" s="1082"/>
      <c r="Y158" s="1082"/>
      <c r="Z158" s="1082"/>
      <c r="AA158" s="1082"/>
      <c r="AB158" s="1082"/>
      <c r="AC158" s="1082"/>
      <c r="AD158" s="1082"/>
      <c r="AE158" s="1082"/>
      <c r="AF158" s="1082"/>
      <c r="AG158" s="1082"/>
      <c r="AH158" s="1082"/>
      <c r="AI158" s="1082"/>
      <c r="AJ158" s="1082"/>
      <c r="AK158" s="1082"/>
      <c r="AL158" s="1082"/>
      <c r="AM158" s="1082"/>
      <c r="AN158" s="1082"/>
      <c r="AO158" s="1082"/>
      <c r="AP158" s="1082"/>
      <c r="AQ158" s="1082"/>
      <c r="AR158" s="1082"/>
      <c r="AS158" s="1082"/>
      <c r="AT158" s="1082"/>
      <c r="AU158" s="1082"/>
      <c r="AV158" s="1082"/>
      <c r="AW158" s="1082"/>
      <c r="AX158" s="1082"/>
      <c r="AY158" s="1082"/>
      <c r="AZ158" s="1082"/>
      <c r="BA158" s="1082"/>
      <c r="BB158" s="1082"/>
      <c r="BC158" s="1082"/>
      <c r="BD158" s="1082"/>
      <c r="BE158" s="1082"/>
      <c r="BF158" s="1082"/>
      <c r="BG158" s="1082"/>
      <c r="BH158" s="1082"/>
      <c r="BI158" s="1082"/>
      <c r="BJ158" s="1082"/>
      <c r="BK158" s="1082"/>
      <c r="BL158" s="1082"/>
      <c r="BM158" s="1082"/>
      <c r="BN158" s="1082"/>
      <c r="BO158" s="1082"/>
      <c r="BP158" s="1082"/>
      <c r="BQ158" s="1082"/>
      <c r="BR158" s="1082"/>
      <c r="BS158" s="1082"/>
      <c r="BT158" s="1082"/>
      <c r="BU158" s="1082"/>
      <c r="BV158" s="1082"/>
      <c r="BW158" s="1082"/>
      <c r="BX158" s="1082"/>
      <c r="BY158" s="1082"/>
      <c r="BZ158" s="1082"/>
      <c r="CA158" s="1082"/>
      <c r="CB158" s="1082"/>
      <c r="CC158" s="1082"/>
      <c r="CD158" s="1082"/>
      <c r="CE158" s="1082"/>
      <c r="CF158" s="1082"/>
      <c r="CG158" s="1082"/>
      <c r="CH158" s="1082"/>
      <c r="CI158" s="1082"/>
      <c r="CJ158" s="1082"/>
      <c r="CK158" s="1082"/>
      <c r="CL158" s="1082"/>
      <c r="CM158" s="1082"/>
      <c r="CN158" s="1082"/>
      <c r="CO158" s="1082"/>
      <c r="CP158" s="1082"/>
      <c r="CQ158" s="1082"/>
      <c r="CR158" s="1082"/>
      <c r="CS158" s="1082"/>
      <c r="CT158" s="1082"/>
      <c r="CU158" s="1082"/>
      <c r="CV158" s="1082"/>
      <c r="CW158" s="1082"/>
      <c r="CX158" s="1082"/>
      <c r="CY158" s="1082"/>
      <c r="CZ158" s="1082"/>
      <c r="DA158" s="1082"/>
      <c r="DB158" s="1082"/>
      <c r="DC158" s="1082"/>
      <c r="DD158" s="1082"/>
      <c r="DE158" s="1082"/>
      <c r="DF158" s="1082"/>
      <c r="DG158" s="1082"/>
      <c r="DH158" s="1082"/>
      <c r="DI158" s="1082"/>
      <c r="DJ158" s="1082"/>
      <c r="DK158" s="1082"/>
      <c r="DL158" s="1082"/>
      <c r="DM158" s="1082"/>
      <c r="DN158" s="1082"/>
      <c r="DO158" s="1082"/>
      <c r="DP158" s="1082"/>
      <c r="DQ158" s="1082"/>
      <c r="DR158" s="1082"/>
      <c r="DS158" s="1082"/>
      <c r="DT158" s="1082"/>
      <c r="DU158" s="1082"/>
      <c r="DV158" s="1082"/>
      <c r="DW158" s="1082"/>
      <c r="DX158" s="1082"/>
      <c r="DY158" s="1082"/>
      <c r="DZ158" s="1082"/>
      <c r="EA158" s="1082"/>
      <c r="EB158" s="1082"/>
      <c r="EC158" s="1082"/>
      <c r="ED158" s="1082"/>
      <c r="EE158" s="1082"/>
      <c r="EF158" s="1082"/>
      <c r="EG158" s="1082"/>
      <c r="EH158" s="1082"/>
      <c r="EI158" s="1082"/>
      <c r="EJ158" s="1082"/>
      <c r="EK158" s="1082"/>
      <c r="EL158" s="1082"/>
      <c r="EM158" s="1082"/>
      <c r="EN158" s="1082"/>
      <c r="EO158" s="1082"/>
      <c r="EP158" s="1082"/>
      <c r="EQ158" s="1082"/>
      <c r="ER158" s="1082"/>
      <c r="ES158" s="1082"/>
      <c r="ET158" s="1082"/>
      <c r="EU158" s="1082"/>
      <c r="EV158" s="1082"/>
      <c r="EW158" s="1082"/>
      <c r="EX158" s="1082"/>
      <c r="EY158" s="1082"/>
      <c r="EZ158" s="1082"/>
      <c r="FA158" s="1082"/>
      <c r="FB158" s="1082"/>
    </row>
    <row r="159" spans="1:158" s="1088" customFormat="1" ht="32.1" customHeight="1">
      <c r="A159" s="1086"/>
      <c r="B159" s="1101" t="s">
        <v>199</v>
      </c>
      <c r="C159" s="1459">
        <v>1</v>
      </c>
      <c r="D159" s="1459">
        <v>0</v>
      </c>
      <c r="E159" s="1459">
        <v>0</v>
      </c>
      <c r="F159" s="1459">
        <v>0.5</v>
      </c>
      <c r="G159" s="1459">
        <v>1</v>
      </c>
      <c r="H159" s="1459">
        <v>1</v>
      </c>
      <c r="I159" s="1195" t="s">
        <v>195</v>
      </c>
      <c r="J159" s="1072" t="s">
        <v>6605</v>
      </c>
      <c r="K159" s="1072" t="s">
        <v>6317</v>
      </c>
      <c r="L159" s="1079" t="s">
        <v>763</v>
      </c>
      <c r="M159" s="1075" t="s">
        <v>6111</v>
      </c>
      <c r="N159" s="1072" t="s">
        <v>5438</v>
      </c>
      <c r="O159" s="1396" t="s">
        <v>5660</v>
      </c>
      <c r="P159" s="1072"/>
      <c r="Q159" s="1072"/>
      <c r="R159" s="1081"/>
      <c r="S159" s="1082"/>
      <c r="T159" s="1082"/>
      <c r="U159" s="1082"/>
      <c r="V159" s="1082"/>
      <c r="W159" s="1082"/>
      <c r="X159" s="1082"/>
      <c r="Y159" s="1082"/>
      <c r="Z159" s="1082"/>
      <c r="AA159" s="1082"/>
      <c r="AB159" s="1082"/>
      <c r="AC159" s="1082"/>
      <c r="AD159" s="1082"/>
      <c r="AE159" s="1082"/>
      <c r="AF159" s="1082"/>
      <c r="AG159" s="1082"/>
      <c r="AH159" s="1082"/>
      <c r="AI159" s="1082"/>
      <c r="AJ159" s="1082"/>
      <c r="AK159" s="1082"/>
      <c r="AL159" s="1082"/>
      <c r="AM159" s="1082"/>
      <c r="AN159" s="1082"/>
      <c r="AO159" s="1082"/>
      <c r="AP159" s="1082"/>
      <c r="AQ159" s="1082"/>
      <c r="AR159" s="1082"/>
      <c r="AS159" s="1082"/>
      <c r="AT159" s="1082"/>
      <c r="AU159" s="1082"/>
      <c r="AV159" s="1082"/>
      <c r="AW159" s="1082"/>
      <c r="AX159" s="1082"/>
      <c r="AY159" s="1082"/>
      <c r="AZ159" s="1082"/>
      <c r="BA159" s="1082"/>
      <c r="BB159" s="1082"/>
      <c r="BC159" s="1082"/>
      <c r="BD159" s="1082"/>
      <c r="BE159" s="1082"/>
      <c r="BF159" s="1082"/>
      <c r="BG159" s="1082"/>
      <c r="BH159" s="1082"/>
      <c r="BI159" s="1082"/>
      <c r="BJ159" s="1082"/>
      <c r="BK159" s="1082"/>
      <c r="BL159" s="1082"/>
      <c r="BM159" s="1082"/>
      <c r="BN159" s="1082"/>
      <c r="BO159" s="1082"/>
      <c r="BP159" s="1082"/>
      <c r="BQ159" s="1082"/>
      <c r="BR159" s="1082"/>
      <c r="BS159" s="1082"/>
      <c r="BT159" s="1082"/>
      <c r="BU159" s="1082"/>
      <c r="BV159" s="1082"/>
      <c r="BW159" s="1082"/>
      <c r="BX159" s="1082"/>
      <c r="BY159" s="1082"/>
      <c r="BZ159" s="1082"/>
      <c r="CA159" s="1082"/>
      <c r="CB159" s="1082"/>
      <c r="CC159" s="1082"/>
      <c r="CD159" s="1082"/>
      <c r="CE159" s="1082"/>
      <c r="CF159" s="1082"/>
      <c r="CG159" s="1082"/>
      <c r="CH159" s="1082"/>
      <c r="CI159" s="1082"/>
      <c r="CJ159" s="1082"/>
      <c r="CK159" s="1082"/>
      <c r="CL159" s="1082"/>
      <c r="CM159" s="1082"/>
      <c r="CN159" s="1082"/>
      <c r="CO159" s="1082"/>
      <c r="CP159" s="1082"/>
      <c r="CQ159" s="1082"/>
      <c r="CR159" s="1082"/>
      <c r="CS159" s="1082"/>
      <c r="CT159" s="1082"/>
      <c r="CU159" s="1082"/>
      <c r="CV159" s="1082"/>
      <c r="CW159" s="1082"/>
      <c r="CX159" s="1082"/>
      <c r="CY159" s="1082"/>
      <c r="CZ159" s="1082"/>
      <c r="DA159" s="1082"/>
      <c r="DB159" s="1082"/>
      <c r="DC159" s="1082"/>
      <c r="DD159" s="1082"/>
      <c r="DE159" s="1082"/>
      <c r="DF159" s="1082"/>
      <c r="DG159" s="1082"/>
      <c r="DH159" s="1082"/>
      <c r="DI159" s="1082"/>
      <c r="DJ159" s="1082"/>
      <c r="DK159" s="1082"/>
      <c r="DL159" s="1082"/>
      <c r="DM159" s="1082"/>
      <c r="DN159" s="1082"/>
      <c r="DO159" s="1082"/>
      <c r="DP159" s="1082"/>
      <c r="DQ159" s="1082"/>
      <c r="DR159" s="1082"/>
      <c r="DS159" s="1082"/>
      <c r="DT159" s="1082"/>
      <c r="DU159" s="1082"/>
      <c r="DV159" s="1082"/>
      <c r="DW159" s="1082"/>
      <c r="DX159" s="1082"/>
      <c r="DY159" s="1082"/>
      <c r="DZ159" s="1082"/>
      <c r="EA159" s="1082"/>
      <c r="EB159" s="1082"/>
      <c r="EC159" s="1082"/>
      <c r="ED159" s="1082"/>
      <c r="EE159" s="1082"/>
      <c r="EF159" s="1082"/>
      <c r="EG159" s="1082"/>
      <c r="EH159" s="1082"/>
      <c r="EI159" s="1082"/>
      <c r="EJ159" s="1082"/>
      <c r="EK159" s="1082"/>
      <c r="EL159" s="1082"/>
      <c r="EM159" s="1082"/>
      <c r="EN159" s="1082"/>
      <c r="EO159" s="1082"/>
      <c r="EP159" s="1082"/>
      <c r="EQ159" s="1082"/>
      <c r="ER159" s="1082"/>
      <c r="ES159" s="1082"/>
      <c r="ET159" s="1082"/>
      <c r="EU159" s="1082"/>
      <c r="EV159" s="1082"/>
      <c r="EW159" s="1082"/>
      <c r="EX159" s="1082"/>
      <c r="EY159" s="1082"/>
      <c r="EZ159" s="1082"/>
      <c r="FA159" s="1082"/>
      <c r="FB159" s="1082"/>
    </row>
    <row r="160" spans="1:158" ht="32.1" customHeight="1">
      <c r="A160" s="1089" t="s">
        <v>5288</v>
      </c>
      <c r="B160" s="1168" t="s">
        <v>200</v>
      </c>
      <c r="C160" s="1492">
        <f t="shared" ref="C160:H160" si="38">AVERAGE(C161,C162,C163)</f>
        <v>0.85238095238095235</v>
      </c>
      <c r="D160" s="1492">
        <f t="shared" si="38"/>
        <v>0.70476190476190459</v>
      </c>
      <c r="E160" s="1492">
        <f t="shared" si="38"/>
        <v>0</v>
      </c>
      <c r="F160" s="1492">
        <f t="shared" si="38"/>
        <v>0.71904761904761905</v>
      </c>
      <c r="G160" s="1492">
        <f t="shared" si="38"/>
        <v>0.46190476190476187</v>
      </c>
      <c r="H160" s="1492">
        <f t="shared" si="38"/>
        <v>0</v>
      </c>
      <c r="I160" s="1755"/>
      <c r="J160" s="1064"/>
      <c r="K160" s="1064"/>
      <c r="L160" s="1064"/>
      <c r="M160" s="1064"/>
      <c r="N160" s="1064"/>
      <c r="O160" s="1064"/>
      <c r="P160" s="1064"/>
      <c r="Q160" s="1064"/>
    </row>
    <row r="161" spans="1:158" s="1099" customFormat="1" ht="32.1" customHeight="1">
      <c r="A161" s="1169"/>
      <c r="B161" s="1097" t="s">
        <v>201</v>
      </c>
      <c r="C161" s="1493">
        <f t="shared" ref="C161:H161" si="39">IF(J161&gt;$P161,1,IF(J161&lt;$Q161,0,(J161-$Q161)/($P161-$Q161)))</f>
        <v>0.8571428571428571</v>
      </c>
      <c r="D161" s="1493">
        <f t="shared" si="39"/>
        <v>0.7142857142857143</v>
      </c>
      <c r="E161" s="1493">
        <f t="shared" si="39"/>
        <v>0</v>
      </c>
      <c r="F161" s="1493">
        <f t="shared" si="39"/>
        <v>0.8571428571428571</v>
      </c>
      <c r="G161" s="1493">
        <f t="shared" si="39"/>
        <v>0.2857142857142857</v>
      </c>
      <c r="H161" s="1493">
        <f t="shared" si="39"/>
        <v>0</v>
      </c>
      <c r="I161" s="1195" t="s">
        <v>202</v>
      </c>
      <c r="J161" s="1098">
        <v>9</v>
      </c>
      <c r="K161" s="1098">
        <v>8</v>
      </c>
      <c r="L161" s="1098">
        <v>3</v>
      </c>
      <c r="M161" s="1098">
        <v>9</v>
      </c>
      <c r="N161" s="1098">
        <v>5</v>
      </c>
      <c r="O161" s="1098">
        <v>3</v>
      </c>
      <c r="P161" s="1098">
        <v>10</v>
      </c>
      <c r="Q161" s="1098">
        <v>3</v>
      </c>
      <c r="R161" s="1081"/>
      <c r="S161" s="1082"/>
      <c r="T161" s="1082"/>
      <c r="U161" s="1082"/>
      <c r="V161" s="1082"/>
      <c r="W161" s="1082"/>
      <c r="X161" s="1082"/>
      <c r="Y161" s="1082"/>
      <c r="Z161" s="1082"/>
      <c r="AA161" s="1082"/>
      <c r="AB161" s="1082"/>
      <c r="AC161" s="1082"/>
      <c r="AD161" s="1082"/>
      <c r="AE161" s="1082"/>
      <c r="AF161" s="1082"/>
      <c r="AG161" s="1082"/>
      <c r="AH161" s="1082"/>
      <c r="AI161" s="1082"/>
      <c r="AJ161" s="1082"/>
      <c r="AK161" s="1082"/>
      <c r="AL161" s="1082"/>
      <c r="AM161" s="1082"/>
      <c r="AN161" s="1082"/>
      <c r="AO161" s="1082"/>
      <c r="AP161" s="1082"/>
      <c r="AQ161" s="1082"/>
      <c r="AR161" s="1082"/>
      <c r="AS161" s="1082"/>
      <c r="AT161" s="1082"/>
      <c r="AU161" s="1082"/>
      <c r="AV161" s="1082"/>
      <c r="AW161" s="1082"/>
      <c r="AX161" s="1082"/>
      <c r="AY161" s="1082"/>
      <c r="AZ161" s="1082"/>
      <c r="BA161" s="1082"/>
      <c r="BB161" s="1082"/>
      <c r="BC161" s="1082"/>
      <c r="BD161" s="1082"/>
      <c r="BE161" s="1082"/>
      <c r="BF161" s="1082"/>
      <c r="BG161" s="1082"/>
      <c r="BH161" s="1082"/>
      <c r="BI161" s="1082"/>
      <c r="BJ161" s="1082"/>
      <c r="BK161" s="1082"/>
      <c r="BL161" s="1082"/>
      <c r="BM161" s="1082"/>
      <c r="BN161" s="1082"/>
      <c r="BO161" s="1082"/>
      <c r="BP161" s="1082"/>
      <c r="BQ161" s="1082"/>
      <c r="BR161" s="1082"/>
      <c r="BS161" s="1082"/>
      <c r="BT161" s="1082"/>
      <c r="BU161" s="1082"/>
      <c r="BV161" s="1082"/>
      <c r="BW161" s="1082"/>
      <c r="BX161" s="1082"/>
      <c r="BY161" s="1082"/>
      <c r="BZ161" s="1082"/>
      <c r="CA161" s="1082"/>
      <c r="CB161" s="1082"/>
      <c r="CC161" s="1082"/>
      <c r="CD161" s="1082"/>
      <c r="CE161" s="1082"/>
      <c r="CF161" s="1082"/>
      <c r="CG161" s="1082"/>
      <c r="CH161" s="1082"/>
      <c r="CI161" s="1082"/>
      <c r="CJ161" s="1082"/>
      <c r="CK161" s="1082"/>
      <c r="CL161" s="1082"/>
      <c r="CM161" s="1082"/>
      <c r="CN161" s="1082"/>
      <c r="CO161" s="1082"/>
      <c r="CP161" s="1082"/>
      <c r="CQ161" s="1082"/>
      <c r="CR161" s="1082"/>
      <c r="CS161" s="1082"/>
      <c r="CT161" s="1082"/>
      <c r="CU161" s="1082"/>
      <c r="CV161" s="1082"/>
      <c r="CW161" s="1082"/>
      <c r="CX161" s="1082"/>
      <c r="CY161" s="1082"/>
      <c r="CZ161" s="1082"/>
      <c r="DA161" s="1082"/>
      <c r="DB161" s="1082"/>
      <c r="DC161" s="1082"/>
      <c r="DD161" s="1082"/>
      <c r="DE161" s="1082"/>
      <c r="DF161" s="1082"/>
      <c r="DG161" s="1082"/>
      <c r="DH161" s="1082"/>
      <c r="DI161" s="1082"/>
      <c r="DJ161" s="1082"/>
      <c r="DK161" s="1082"/>
      <c r="DL161" s="1082"/>
      <c r="DM161" s="1082"/>
      <c r="DN161" s="1082"/>
      <c r="DO161" s="1082"/>
      <c r="DP161" s="1082"/>
      <c r="DQ161" s="1082"/>
      <c r="DR161" s="1082"/>
      <c r="DS161" s="1082"/>
      <c r="DT161" s="1082"/>
      <c r="DU161" s="1082"/>
      <c r="DV161" s="1082"/>
      <c r="DW161" s="1082"/>
      <c r="DX161" s="1082"/>
      <c r="DY161" s="1082"/>
      <c r="DZ161" s="1082"/>
      <c r="EA161" s="1082"/>
      <c r="EB161" s="1082"/>
      <c r="EC161" s="1082"/>
      <c r="ED161" s="1082"/>
      <c r="EE161" s="1082"/>
      <c r="EF161" s="1082"/>
      <c r="EG161" s="1082"/>
      <c r="EH161" s="1082"/>
      <c r="EI161" s="1082"/>
      <c r="EJ161" s="1082"/>
      <c r="EK161" s="1082"/>
      <c r="EL161" s="1082"/>
      <c r="EM161" s="1082"/>
      <c r="EN161" s="1082"/>
      <c r="EO161" s="1082"/>
      <c r="EP161" s="1082"/>
      <c r="EQ161" s="1082"/>
      <c r="ER161" s="1082"/>
      <c r="ES161" s="1082"/>
      <c r="ET161" s="1082"/>
      <c r="EU161" s="1082"/>
      <c r="EV161" s="1082"/>
      <c r="EW161" s="1082"/>
      <c r="EX161" s="1082"/>
      <c r="EY161" s="1082"/>
      <c r="EZ161" s="1082"/>
      <c r="FA161" s="1082"/>
      <c r="FB161" s="1082"/>
    </row>
    <row r="162" spans="1:158" s="1099" customFormat="1" ht="32.1" customHeight="1">
      <c r="A162" s="1096"/>
      <c r="B162" s="1597" t="s">
        <v>203</v>
      </c>
      <c r="C162" s="1493">
        <f t="shared" ref="C162:H162" si="40">IF(J162&lt;$P162,1,IF(J162&gt;$Q162,0,(J162-$Q162)/($P162-$Q162)))</f>
        <v>0.9</v>
      </c>
      <c r="D162" s="1493">
        <f t="shared" si="40"/>
        <v>0.7</v>
      </c>
      <c r="E162" s="1493">
        <f t="shared" si="40"/>
        <v>0</v>
      </c>
      <c r="F162" s="1493">
        <f t="shared" si="40"/>
        <v>0.6</v>
      </c>
      <c r="G162" s="1493">
        <f t="shared" si="40"/>
        <v>0.6</v>
      </c>
      <c r="H162" s="1493">
        <f t="shared" si="40"/>
        <v>0</v>
      </c>
      <c r="I162" s="1195" t="s">
        <v>204</v>
      </c>
      <c r="J162" s="1098">
        <v>2.25</v>
      </c>
      <c r="K162" s="1098">
        <v>3.25</v>
      </c>
      <c r="L162" s="1098">
        <v>6.75</v>
      </c>
      <c r="M162" s="1098">
        <v>3.75</v>
      </c>
      <c r="N162" s="1098">
        <v>3.75</v>
      </c>
      <c r="O162" s="1098">
        <v>7</v>
      </c>
      <c r="P162" s="1098">
        <v>1.75</v>
      </c>
      <c r="Q162" s="1098">
        <v>6.75</v>
      </c>
      <c r="R162" s="1081"/>
      <c r="S162" s="1082"/>
      <c r="T162" s="1082"/>
      <c r="U162" s="1082"/>
      <c r="V162" s="1082"/>
      <c r="W162" s="1082"/>
      <c r="X162" s="1082"/>
      <c r="Y162" s="1082"/>
      <c r="Z162" s="1082"/>
      <c r="AA162" s="1082"/>
      <c r="AB162" s="1082"/>
      <c r="AC162" s="1082"/>
      <c r="AD162" s="1082"/>
      <c r="AE162" s="1082"/>
      <c r="AF162" s="1082"/>
      <c r="AG162" s="1082"/>
      <c r="AH162" s="1082"/>
      <c r="AI162" s="1082"/>
      <c r="AJ162" s="1082"/>
      <c r="AK162" s="1082"/>
      <c r="AL162" s="1082"/>
      <c r="AM162" s="1082"/>
      <c r="AN162" s="1082"/>
      <c r="AO162" s="1082"/>
      <c r="AP162" s="1082"/>
      <c r="AQ162" s="1082"/>
      <c r="AR162" s="1082"/>
      <c r="AS162" s="1082"/>
      <c r="AT162" s="1082"/>
      <c r="AU162" s="1082"/>
      <c r="AV162" s="1082"/>
      <c r="AW162" s="1082"/>
      <c r="AX162" s="1082"/>
      <c r="AY162" s="1082"/>
      <c r="AZ162" s="1082"/>
      <c r="BA162" s="1082"/>
      <c r="BB162" s="1082"/>
      <c r="BC162" s="1082"/>
      <c r="BD162" s="1082"/>
      <c r="BE162" s="1082"/>
      <c r="BF162" s="1082"/>
      <c r="BG162" s="1082"/>
      <c r="BH162" s="1082"/>
      <c r="BI162" s="1082"/>
      <c r="BJ162" s="1082"/>
      <c r="BK162" s="1082"/>
      <c r="BL162" s="1082"/>
      <c r="BM162" s="1082"/>
      <c r="BN162" s="1082"/>
      <c r="BO162" s="1082"/>
      <c r="BP162" s="1082"/>
      <c r="BQ162" s="1082"/>
      <c r="BR162" s="1082"/>
      <c r="BS162" s="1082"/>
      <c r="BT162" s="1082"/>
      <c r="BU162" s="1082"/>
      <c r="BV162" s="1082"/>
      <c r="BW162" s="1082"/>
      <c r="BX162" s="1082"/>
      <c r="BY162" s="1082"/>
      <c r="BZ162" s="1082"/>
      <c r="CA162" s="1082"/>
      <c r="CB162" s="1082"/>
      <c r="CC162" s="1082"/>
      <c r="CD162" s="1082"/>
      <c r="CE162" s="1082"/>
      <c r="CF162" s="1082"/>
      <c r="CG162" s="1082"/>
      <c r="CH162" s="1082"/>
      <c r="CI162" s="1082"/>
      <c r="CJ162" s="1082"/>
      <c r="CK162" s="1082"/>
      <c r="CL162" s="1082"/>
      <c r="CM162" s="1082"/>
      <c r="CN162" s="1082"/>
      <c r="CO162" s="1082"/>
      <c r="CP162" s="1082"/>
      <c r="CQ162" s="1082"/>
      <c r="CR162" s="1082"/>
      <c r="CS162" s="1082"/>
      <c r="CT162" s="1082"/>
      <c r="CU162" s="1082"/>
      <c r="CV162" s="1082"/>
      <c r="CW162" s="1082"/>
      <c r="CX162" s="1082"/>
      <c r="CY162" s="1082"/>
      <c r="CZ162" s="1082"/>
      <c r="DA162" s="1082"/>
      <c r="DB162" s="1082"/>
      <c r="DC162" s="1082"/>
      <c r="DD162" s="1082"/>
      <c r="DE162" s="1082"/>
      <c r="DF162" s="1082"/>
      <c r="DG162" s="1082"/>
      <c r="DH162" s="1082"/>
      <c r="DI162" s="1082"/>
      <c r="DJ162" s="1082"/>
      <c r="DK162" s="1082"/>
      <c r="DL162" s="1082"/>
      <c r="DM162" s="1082"/>
      <c r="DN162" s="1082"/>
      <c r="DO162" s="1082"/>
      <c r="DP162" s="1082"/>
      <c r="DQ162" s="1082"/>
      <c r="DR162" s="1082"/>
      <c r="DS162" s="1082"/>
      <c r="DT162" s="1082"/>
      <c r="DU162" s="1082"/>
      <c r="DV162" s="1082"/>
      <c r="DW162" s="1082"/>
      <c r="DX162" s="1082"/>
      <c r="DY162" s="1082"/>
      <c r="DZ162" s="1082"/>
      <c r="EA162" s="1082"/>
      <c r="EB162" s="1082"/>
      <c r="EC162" s="1082"/>
      <c r="ED162" s="1082"/>
      <c r="EE162" s="1082"/>
      <c r="EF162" s="1082"/>
      <c r="EG162" s="1082"/>
      <c r="EH162" s="1082"/>
      <c r="EI162" s="1082"/>
      <c r="EJ162" s="1082"/>
      <c r="EK162" s="1082"/>
      <c r="EL162" s="1082"/>
      <c r="EM162" s="1082"/>
      <c r="EN162" s="1082"/>
      <c r="EO162" s="1082"/>
      <c r="EP162" s="1082"/>
      <c r="EQ162" s="1082"/>
      <c r="ER162" s="1082"/>
      <c r="ES162" s="1082"/>
      <c r="ET162" s="1082"/>
      <c r="EU162" s="1082"/>
      <c r="EV162" s="1082"/>
      <c r="EW162" s="1082"/>
      <c r="EX162" s="1082"/>
      <c r="EY162" s="1082"/>
      <c r="EZ162" s="1082"/>
      <c r="FA162" s="1082"/>
      <c r="FB162" s="1082"/>
    </row>
    <row r="163" spans="1:158" s="1099" customFormat="1" ht="32.1" customHeight="1">
      <c r="A163" s="1096"/>
      <c r="B163" s="1097" t="s">
        <v>205</v>
      </c>
      <c r="C163" s="1493">
        <f t="shared" ref="C163:H163" si="41">IF(J163&gt;$P163,1,IF(J163&lt;$Q163,0,(J163-$Q163)/($P163-$Q163)))</f>
        <v>0.8</v>
      </c>
      <c r="D163" s="1493">
        <f t="shared" si="41"/>
        <v>0.7</v>
      </c>
      <c r="E163" s="1493">
        <f t="shared" si="41"/>
        <v>0</v>
      </c>
      <c r="F163" s="1493">
        <f t="shared" si="41"/>
        <v>0.7</v>
      </c>
      <c r="G163" s="1493">
        <f t="shared" si="41"/>
        <v>0.5</v>
      </c>
      <c r="H163" s="1493">
        <f t="shared" si="41"/>
        <v>0</v>
      </c>
      <c r="I163" s="1195" t="s">
        <v>206</v>
      </c>
      <c r="J163" s="1098">
        <v>9</v>
      </c>
      <c r="K163" s="1180">
        <v>8</v>
      </c>
      <c r="L163" s="1180">
        <v>1</v>
      </c>
      <c r="M163" s="1098">
        <v>8</v>
      </c>
      <c r="N163" s="1180">
        <v>6</v>
      </c>
      <c r="O163" s="1180">
        <v>1</v>
      </c>
      <c r="P163" s="1180">
        <v>11</v>
      </c>
      <c r="Q163" s="1180">
        <v>1</v>
      </c>
      <c r="R163" s="1081"/>
      <c r="S163" s="1082"/>
      <c r="T163" s="1082"/>
      <c r="U163" s="1082"/>
      <c r="V163" s="1082"/>
      <c r="W163" s="1082"/>
      <c r="X163" s="1082"/>
      <c r="Y163" s="1082"/>
      <c r="Z163" s="1082"/>
      <c r="AA163" s="1082"/>
      <c r="AB163" s="1082"/>
      <c r="AC163" s="1082"/>
      <c r="AD163" s="1082"/>
      <c r="AE163" s="1082"/>
      <c r="AF163" s="1082"/>
      <c r="AG163" s="1082"/>
      <c r="AH163" s="1082"/>
      <c r="AI163" s="1082"/>
      <c r="AJ163" s="1082"/>
      <c r="AK163" s="1082"/>
      <c r="AL163" s="1082"/>
      <c r="AM163" s="1082"/>
      <c r="AN163" s="1082"/>
      <c r="AO163" s="1082"/>
      <c r="AP163" s="1082"/>
      <c r="AQ163" s="1082"/>
      <c r="AR163" s="1082"/>
      <c r="AS163" s="1082"/>
      <c r="AT163" s="1082"/>
      <c r="AU163" s="1082"/>
      <c r="AV163" s="1082"/>
      <c r="AW163" s="1082"/>
      <c r="AX163" s="1082"/>
      <c r="AY163" s="1082"/>
      <c r="AZ163" s="1082"/>
      <c r="BA163" s="1082"/>
      <c r="BB163" s="1082"/>
      <c r="BC163" s="1082"/>
      <c r="BD163" s="1082"/>
      <c r="BE163" s="1082"/>
      <c r="BF163" s="1082"/>
      <c r="BG163" s="1082"/>
      <c r="BH163" s="1082"/>
      <c r="BI163" s="1082"/>
      <c r="BJ163" s="1082"/>
      <c r="BK163" s="1082"/>
      <c r="BL163" s="1082"/>
      <c r="BM163" s="1082"/>
      <c r="BN163" s="1082"/>
      <c r="BO163" s="1082"/>
      <c r="BP163" s="1082"/>
      <c r="BQ163" s="1082"/>
      <c r="BR163" s="1082"/>
      <c r="BS163" s="1082"/>
      <c r="BT163" s="1082"/>
      <c r="BU163" s="1082"/>
      <c r="BV163" s="1082"/>
      <c r="BW163" s="1082"/>
      <c r="BX163" s="1082"/>
      <c r="BY163" s="1082"/>
      <c r="BZ163" s="1082"/>
      <c r="CA163" s="1082"/>
      <c r="CB163" s="1082"/>
      <c r="CC163" s="1082"/>
      <c r="CD163" s="1082"/>
      <c r="CE163" s="1082"/>
      <c r="CF163" s="1082"/>
      <c r="CG163" s="1082"/>
      <c r="CH163" s="1082"/>
      <c r="CI163" s="1082"/>
      <c r="CJ163" s="1082"/>
      <c r="CK163" s="1082"/>
      <c r="CL163" s="1082"/>
      <c r="CM163" s="1082"/>
      <c r="CN163" s="1082"/>
      <c r="CO163" s="1082"/>
      <c r="CP163" s="1082"/>
      <c r="CQ163" s="1082"/>
      <c r="CR163" s="1082"/>
      <c r="CS163" s="1082"/>
      <c r="CT163" s="1082"/>
      <c r="CU163" s="1082"/>
      <c r="CV163" s="1082"/>
      <c r="CW163" s="1082"/>
      <c r="CX163" s="1082"/>
      <c r="CY163" s="1082"/>
      <c r="CZ163" s="1082"/>
      <c r="DA163" s="1082"/>
      <c r="DB163" s="1082"/>
      <c r="DC163" s="1082"/>
      <c r="DD163" s="1082"/>
      <c r="DE163" s="1082"/>
      <c r="DF163" s="1082"/>
      <c r="DG163" s="1082"/>
      <c r="DH163" s="1082"/>
      <c r="DI163" s="1082"/>
      <c r="DJ163" s="1082"/>
      <c r="DK163" s="1082"/>
      <c r="DL163" s="1082"/>
      <c r="DM163" s="1082"/>
      <c r="DN163" s="1082"/>
      <c r="DO163" s="1082"/>
      <c r="DP163" s="1082"/>
      <c r="DQ163" s="1082"/>
      <c r="DR163" s="1082"/>
      <c r="DS163" s="1082"/>
      <c r="DT163" s="1082"/>
      <c r="DU163" s="1082"/>
      <c r="DV163" s="1082"/>
      <c r="DW163" s="1082"/>
      <c r="DX163" s="1082"/>
      <c r="DY163" s="1082"/>
      <c r="DZ163" s="1082"/>
      <c r="EA163" s="1082"/>
      <c r="EB163" s="1082"/>
      <c r="EC163" s="1082"/>
      <c r="ED163" s="1082"/>
      <c r="EE163" s="1082"/>
      <c r="EF163" s="1082"/>
      <c r="EG163" s="1082"/>
      <c r="EH163" s="1082"/>
      <c r="EI163" s="1082"/>
      <c r="EJ163" s="1082"/>
      <c r="EK163" s="1082"/>
      <c r="EL163" s="1082"/>
      <c r="EM163" s="1082"/>
      <c r="EN163" s="1082"/>
      <c r="EO163" s="1082"/>
      <c r="EP163" s="1082"/>
      <c r="EQ163" s="1082"/>
      <c r="ER163" s="1082"/>
      <c r="ES163" s="1082"/>
      <c r="ET163" s="1082"/>
      <c r="EU163" s="1082"/>
      <c r="EV163" s="1082"/>
      <c r="EW163" s="1082"/>
      <c r="EX163" s="1082"/>
      <c r="EY163" s="1082"/>
      <c r="EZ163" s="1082"/>
      <c r="FA163" s="1082"/>
      <c r="FB163" s="1082"/>
    </row>
    <row r="164" spans="1:158" ht="32.1" customHeight="1">
      <c r="A164" s="1089" t="s">
        <v>5289</v>
      </c>
      <c r="B164" s="1168" t="s">
        <v>207</v>
      </c>
      <c r="C164" s="1492">
        <f t="shared" ref="C164:H164" si="42">AVERAGE(C165,C169,C176,C182)</f>
        <v>0.79821428571428565</v>
      </c>
      <c r="D164" s="1492">
        <f t="shared" si="42"/>
        <v>0.71488095238095239</v>
      </c>
      <c r="E164" s="1492">
        <f t="shared" si="42"/>
        <v>0.33988095238095239</v>
      </c>
      <c r="F164" s="1492">
        <f t="shared" si="42"/>
        <v>0.63273809523809521</v>
      </c>
      <c r="G164" s="1721">
        <f t="shared" si="42"/>
        <v>0.74464285714285716</v>
      </c>
      <c r="H164" s="1492">
        <f t="shared" si="42"/>
        <v>0.40595238095238095</v>
      </c>
      <c r="I164" s="1755"/>
      <c r="J164" s="1064"/>
      <c r="K164" s="1064"/>
      <c r="L164" s="1064"/>
      <c r="M164" s="1064"/>
      <c r="N164" s="1064"/>
      <c r="O164" s="1064"/>
      <c r="P164" s="1064"/>
      <c r="Q164" s="1064"/>
    </row>
    <row r="165" spans="1:158" s="1088" customFormat="1" ht="32.1" customHeight="1">
      <c r="A165" s="1066" t="s">
        <v>208</v>
      </c>
      <c r="B165" s="1067" t="s">
        <v>209</v>
      </c>
      <c r="C165" s="1492">
        <f t="shared" ref="C165:H165" si="43">AVERAGE(C166,C167,C168)</f>
        <v>1</v>
      </c>
      <c r="D165" s="1492">
        <f t="shared" si="43"/>
        <v>0.5</v>
      </c>
      <c r="E165" s="1492">
        <f t="shared" si="43"/>
        <v>0</v>
      </c>
      <c r="F165" s="1492">
        <f t="shared" si="43"/>
        <v>0.16666666666666666</v>
      </c>
      <c r="G165" s="1492">
        <f t="shared" si="43"/>
        <v>0.66666666666666663</v>
      </c>
      <c r="H165" s="1492">
        <f t="shared" si="43"/>
        <v>0.16666666666666666</v>
      </c>
      <c r="I165" s="1464"/>
      <c r="J165" s="1181"/>
      <c r="K165" s="1181"/>
      <c r="L165" s="1181"/>
      <c r="M165" s="1181"/>
      <c r="N165" s="1181"/>
      <c r="O165" s="1181"/>
      <c r="P165" s="1181"/>
      <c r="Q165" s="1181"/>
      <c r="R165" s="1081"/>
      <c r="S165" s="1082"/>
      <c r="T165" s="1082"/>
      <c r="U165" s="1082"/>
      <c r="V165" s="1082"/>
      <c r="W165" s="1082"/>
      <c r="X165" s="1082"/>
      <c r="Y165" s="1082"/>
      <c r="Z165" s="1082"/>
      <c r="AA165" s="1082"/>
      <c r="AB165" s="1082"/>
      <c r="AC165" s="1082"/>
      <c r="AD165" s="1082"/>
      <c r="AE165" s="1082"/>
      <c r="AF165" s="1082"/>
      <c r="AG165" s="1082"/>
      <c r="AH165" s="1082"/>
      <c r="AI165" s="1082"/>
      <c r="AJ165" s="1082"/>
      <c r="AK165" s="1082"/>
      <c r="AL165" s="1082"/>
      <c r="AM165" s="1082"/>
      <c r="AN165" s="1082"/>
      <c r="AO165" s="1082"/>
      <c r="AP165" s="1082"/>
      <c r="AQ165" s="1082"/>
      <c r="AR165" s="1082"/>
      <c r="AS165" s="1082"/>
      <c r="AT165" s="1082"/>
      <c r="AU165" s="1082"/>
      <c r="AV165" s="1082"/>
      <c r="AW165" s="1082"/>
      <c r="AX165" s="1082"/>
      <c r="AY165" s="1082"/>
      <c r="AZ165" s="1082"/>
      <c r="BA165" s="1082"/>
      <c r="BB165" s="1082"/>
      <c r="BC165" s="1082"/>
      <c r="BD165" s="1082"/>
      <c r="BE165" s="1082"/>
      <c r="BF165" s="1082"/>
      <c r="BG165" s="1082"/>
      <c r="BH165" s="1082"/>
      <c r="BI165" s="1082"/>
      <c r="BJ165" s="1082"/>
      <c r="BK165" s="1082"/>
      <c r="BL165" s="1082"/>
      <c r="BM165" s="1082"/>
      <c r="BN165" s="1082"/>
      <c r="BO165" s="1082"/>
      <c r="BP165" s="1082"/>
      <c r="BQ165" s="1082"/>
      <c r="BR165" s="1082"/>
      <c r="BS165" s="1082"/>
      <c r="BT165" s="1082"/>
      <c r="BU165" s="1082"/>
      <c r="BV165" s="1082"/>
      <c r="BW165" s="1082"/>
      <c r="BX165" s="1082"/>
      <c r="BY165" s="1082"/>
      <c r="BZ165" s="1082"/>
      <c r="CA165" s="1082"/>
      <c r="CB165" s="1082"/>
      <c r="CC165" s="1082"/>
      <c r="CD165" s="1082"/>
      <c r="CE165" s="1082"/>
      <c r="CF165" s="1082"/>
      <c r="CG165" s="1082"/>
      <c r="CH165" s="1082"/>
      <c r="CI165" s="1082"/>
      <c r="CJ165" s="1082"/>
      <c r="CK165" s="1082"/>
      <c r="CL165" s="1082"/>
      <c r="CM165" s="1082"/>
      <c r="CN165" s="1082"/>
      <c r="CO165" s="1082"/>
      <c r="CP165" s="1082"/>
      <c r="CQ165" s="1082"/>
      <c r="CR165" s="1082"/>
      <c r="CS165" s="1082"/>
      <c r="CT165" s="1082"/>
      <c r="CU165" s="1082"/>
      <c r="CV165" s="1082"/>
      <c r="CW165" s="1082"/>
      <c r="CX165" s="1082"/>
      <c r="CY165" s="1082"/>
      <c r="CZ165" s="1082"/>
      <c r="DA165" s="1082"/>
      <c r="DB165" s="1082"/>
      <c r="DC165" s="1082"/>
      <c r="DD165" s="1082"/>
      <c r="DE165" s="1082"/>
      <c r="DF165" s="1082"/>
      <c r="DG165" s="1082"/>
      <c r="DH165" s="1082"/>
      <c r="DI165" s="1082"/>
      <c r="DJ165" s="1082"/>
      <c r="DK165" s="1082"/>
      <c r="DL165" s="1082"/>
      <c r="DM165" s="1082"/>
      <c r="DN165" s="1082"/>
      <c r="DO165" s="1082"/>
      <c r="DP165" s="1082"/>
      <c r="DQ165" s="1082"/>
      <c r="DR165" s="1082"/>
      <c r="DS165" s="1082"/>
      <c r="DT165" s="1082"/>
      <c r="DU165" s="1082"/>
      <c r="DV165" s="1082"/>
      <c r="DW165" s="1082"/>
      <c r="DX165" s="1082"/>
      <c r="DY165" s="1082"/>
      <c r="DZ165" s="1082"/>
      <c r="EA165" s="1082"/>
      <c r="EB165" s="1082"/>
      <c r="EC165" s="1082"/>
      <c r="ED165" s="1082"/>
      <c r="EE165" s="1082"/>
      <c r="EF165" s="1082"/>
      <c r="EG165" s="1082"/>
      <c r="EH165" s="1082"/>
      <c r="EI165" s="1082"/>
      <c r="EJ165" s="1082"/>
      <c r="EK165" s="1082"/>
      <c r="EL165" s="1082"/>
      <c r="EM165" s="1082"/>
      <c r="EN165" s="1082"/>
      <c r="EO165" s="1082"/>
      <c r="EP165" s="1082"/>
      <c r="EQ165" s="1082"/>
      <c r="ER165" s="1082"/>
      <c r="ES165" s="1082"/>
      <c r="ET165" s="1082"/>
      <c r="EU165" s="1082"/>
      <c r="EV165" s="1082"/>
      <c r="EW165" s="1082"/>
      <c r="EX165" s="1082"/>
      <c r="EY165" s="1082"/>
      <c r="EZ165" s="1082"/>
      <c r="FA165" s="1082"/>
      <c r="FB165" s="1082"/>
    </row>
    <row r="166" spans="1:158" ht="32.1" customHeight="1">
      <c r="A166" s="1052"/>
      <c r="B166" s="1053" t="s">
        <v>210</v>
      </c>
      <c r="C166" s="1447">
        <v>1</v>
      </c>
      <c r="D166" s="1447">
        <v>0.5</v>
      </c>
      <c r="E166" s="1442">
        <v>0</v>
      </c>
      <c r="F166" s="1442">
        <v>0</v>
      </c>
      <c r="G166" s="1496">
        <v>0.5</v>
      </c>
      <c r="H166" s="1496">
        <v>0</v>
      </c>
      <c r="I166" s="1464" t="s">
        <v>211</v>
      </c>
      <c r="J166" s="1070" t="s">
        <v>6606</v>
      </c>
      <c r="K166" s="1072" t="s">
        <v>6318</v>
      </c>
      <c r="L166" s="1071" t="s">
        <v>5896</v>
      </c>
      <c r="M166" s="1396" t="s">
        <v>6112</v>
      </c>
      <c r="N166" s="1393" t="s">
        <v>5439</v>
      </c>
      <c r="O166" s="1070" t="s">
        <v>5662</v>
      </c>
      <c r="P166" s="1070">
        <v>1</v>
      </c>
      <c r="Q166" s="1070">
        <v>0</v>
      </c>
    </row>
    <row r="167" spans="1:158" ht="32.1" customHeight="1">
      <c r="A167" s="1052"/>
      <c r="B167" s="1053" t="s">
        <v>212</v>
      </c>
      <c r="C167" s="1450">
        <v>1</v>
      </c>
      <c r="D167" s="1450">
        <v>0.5</v>
      </c>
      <c r="E167" s="1456">
        <v>0</v>
      </c>
      <c r="F167" s="1456">
        <v>0</v>
      </c>
      <c r="G167" s="1456">
        <v>0.5</v>
      </c>
      <c r="H167" s="1456">
        <v>0.5</v>
      </c>
      <c r="I167" s="1464" t="s">
        <v>213</v>
      </c>
      <c r="J167" s="1393" t="s">
        <v>6607</v>
      </c>
      <c r="K167" s="1401" t="s">
        <v>6319</v>
      </c>
      <c r="L167" s="1071" t="s">
        <v>5897</v>
      </c>
      <c r="M167" s="1075" t="s">
        <v>6113</v>
      </c>
      <c r="N167" s="1393" t="s">
        <v>5440</v>
      </c>
      <c r="O167" s="1395" t="s">
        <v>5663</v>
      </c>
      <c r="P167" s="1070">
        <v>1</v>
      </c>
      <c r="Q167" s="1070">
        <v>0</v>
      </c>
    </row>
    <row r="168" spans="1:158" ht="32.1" customHeight="1">
      <c r="A168" s="1052"/>
      <c r="B168" s="1053" t="s">
        <v>214</v>
      </c>
      <c r="C168" s="1447">
        <v>1</v>
      </c>
      <c r="D168" s="1489">
        <v>0.5</v>
      </c>
      <c r="E168" s="1497">
        <v>0</v>
      </c>
      <c r="F168" s="1497">
        <v>0.5</v>
      </c>
      <c r="G168" s="1497">
        <v>1</v>
      </c>
      <c r="H168" s="1497">
        <v>0</v>
      </c>
      <c r="I168" s="1464" t="s">
        <v>215</v>
      </c>
      <c r="J168" s="1393" t="s">
        <v>6608</v>
      </c>
      <c r="K168" s="1072" t="s">
        <v>6320</v>
      </c>
      <c r="L168" s="1071" t="s">
        <v>5898</v>
      </c>
      <c r="M168" s="1075" t="s">
        <v>6790</v>
      </c>
      <c r="N168" s="1070" t="s">
        <v>5441</v>
      </c>
      <c r="O168" s="1070" t="s">
        <v>5664</v>
      </c>
      <c r="P168" s="1070">
        <v>1</v>
      </c>
      <c r="Q168" s="1070">
        <v>0</v>
      </c>
    </row>
    <row r="169" spans="1:158" ht="32.1" customHeight="1">
      <c r="A169" s="1066" t="s">
        <v>216</v>
      </c>
      <c r="B169" s="1067" t="s">
        <v>217</v>
      </c>
      <c r="C169" s="1495">
        <f t="shared" ref="C169:H169" si="44">AVERAGE(C170,C171,C172,C173,C174,C175)</f>
        <v>0.75</v>
      </c>
      <c r="D169" s="1495">
        <f t="shared" si="44"/>
        <v>0.91666666666666663</v>
      </c>
      <c r="E169" s="1495">
        <f t="shared" si="44"/>
        <v>0.41666666666666669</v>
      </c>
      <c r="F169" s="1495">
        <f t="shared" si="44"/>
        <v>0.75</v>
      </c>
      <c r="G169" s="1495">
        <f t="shared" si="44"/>
        <v>0.58333333333333337</v>
      </c>
      <c r="H169" s="1495">
        <f t="shared" si="44"/>
        <v>0.5</v>
      </c>
      <c r="I169" s="1464"/>
      <c r="J169" s="1068"/>
      <c r="K169" s="1076"/>
      <c r="L169" s="1076"/>
      <c r="M169" s="1076"/>
      <c r="N169" s="1076"/>
      <c r="O169" s="1076"/>
      <c r="P169" s="1068"/>
      <c r="Q169" s="1068"/>
    </row>
    <row r="170" spans="1:158" ht="32.1" customHeight="1">
      <c r="A170" s="1086"/>
      <c r="B170" s="1101" t="s">
        <v>218</v>
      </c>
      <c r="C170" s="1442">
        <v>0.5</v>
      </c>
      <c r="D170" s="1442">
        <v>0.5</v>
      </c>
      <c r="E170" s="1496">
        <v>0</v>
      </c>
      <c r="F170" s="1497">
        <v>0.5</v>
      </c>
      <c r="G170" s="1442">
        <v>0</v>
      </c>
      <c r="H170" s="1442">
        <v>0</v>
      </c>
      <c r="I170" s="1464" t="s">
        <v>219</v>
      </c>
      <c r="J170" s="1070" t="s">
        <v>6609</v>
      </c>
      <c r="K170" s="1401" t="s">
        <v>6321</v>
      </c>
      <c r="L170" s="1071" t="s">
        <v>5899</v>
      </c>
      <c r="M170" s="1075" t="s">
        <v>6114</v>
      </c>
      <c r="N170" s="1070" t="s">
        <v>5442</v>
      </c>
      <c r="O170" s="1070" t="s">
        <v>5665</v>
      </c>
      <c r="P170" s="1070">
        <v>1</v>
      </c>
      <c r="Q170" s="1070">
        <v>0</v>
      </c>
    </row>
    <row r="171" spans="1:158" ht="32.1" customHeight="1">
      <c r="A171" s="1086"/>
      <c r="B171" s="1101" t="s">
        <v>220</v>
      </c>
      <c r="C171" s="1442">
        <v>0.5</v>
      </c>
      <c r="D171" s="1442">
        <v>1</v>
      </c>
      <c r="E171" s="1442">
        <v>0.5</v>
      </c>
      <c r="F171" s="1442">
        <v>0.5</v>
      </c>
      <c r="G171" s="1497">
        <v>0</v>
      </c>
      <c r="H171" s="1497">
        <v>0</v>
      </c>
      <c r="I171" s="1464" t="s">
        <v>221</v>
      </c>
      <c r="J171" s="1070" t="s">
        <v>6610</v>
      </c>
      <c r="K171" s="1401" t="s">
        <v>6322</v>
      </c>
      <c r="L171" s="1071" t="s">
        <v>5900</v>
      </c>
      <c r="M171" s="1075" t="s">
        <v>6115</v>
      </c>
      <c r="N171" s="1070" t="s">
        <v>1119</v>
      </c>
      <c r="O171" s="1074" t="s">
        <v>5666</v>
      </c>
      <c r="P171" s="1070">
        <v>1</v>
      </c>
      <c r="Q171" s="1070">
        <v>0</v>
      </c>
    </row>
    <row r="172" spans="1:158" ht="32.1" customHeight="1">
      <c r="A172" s="1086"/>
      <c r="B172" s="1101" t="s">
        <v>222</v>
      </c>
      <c r="C172" s="1442">
        <v>0.5</v>
      </c>
      <c r="D172" s="1497">
        <v>1</v>
      </c>
      <c r="E172" s="1442">
        <v>1</v>
      </c>
      <c r="F172" s="1442">
        <v>1</v>
      </c>
      <c r="G172" s="1442">
        <v>1</v>
      </c>
      <c r="H172" s="1442">
        <v>1</v>
      </c>
      <c r="I172" s="1464" t="s">
        <v>38</v>
      </c>
      <c r="J172" s="1393" t="s">
        <v>6611</v>
      </c>
      <c r="K172" s="1401" t="s">
        <v>6323</v>
      </c>
      <c r="L172" s="1392" t="s">
        <v>5901</v>
      </c>
      <c r="M172" s="1395" t="s">
        <v>1123</v>
      </c>
      <c r="N172" s="1393" t="s">
        <v>5443</v>
      </c>
      <c r="O172" s="1577" t="s">
        <v>1125</v>
      </c>
      <c r="P172" s="1070">
        <v>1</v>
      </c>
      <c r="Q172" s="1070">
        <v>0</v>
      </c>
    </row>
    <row r="173" spans="1:158" ht="32.1" customHeight="1">
      <c r="A173" s="1086"/>
      <c r="B173" s="1101" t="s">
        <v>223</v>
      </c>
      <c r="C173" s="1442">
        <v>1</v>
      </c>
      <c r="D173" s="1497">
        <v>1</v>
      </c>
      <c r="E173" s="1496">
        <v>0</v>
      </c>
      <c r="F173" s="1497">
        <v>1</v>
      </c>
      <c r="G173" s="1497">
        <v>1</v>
      </c>
      <c r="H173" s="1497">
        <v>1</v>
      </c>
      <c r="I173" s="1464" t="s">
        <v>147</v>
      </c>
      <c r="J173" s="1070" t="s">
        <v>6612</v>
      </c>
      <c r="K173" s="1072">
        <v>1</v>
      </c>
      <c r="L173" s="1071" t="s">
        <v>5902</v>
      </c>
      <c r="M173" s="1070" t="s">
        <v>6116</v>
      </c>
      <c r="N173" s="1070" t="s">
        <v>1130</v>
      </c>
      <c r="O173" s="1069" t="s">
        <v>1131</v>
      </c>
      <c r="P173" s="1070">
        <v>1</v>
      </c>
      <c r="Q173" s="1070">
        <v>0</v>
      </c>
    </row>
    <row r="174" spans="1:158" ht="32.1" customHeight="1">
      <c r="A174" s="1086"/>
      <c r="B174" s="1101" t="s">
        <v>224</v>
      </c>
      <c r="C174" s="1442">
        <v>1</v>
      </c>
      <c r="D174" s="1442">
        <v>1</v>
      </c>
      <c r="E174" s="1442">
        <v>1</v>
      </c>
      <c r="F174" s="1442">
        <v>1</v>
      </c>
      <c r="G174" s="1442">
        <v>1</v>
      </c>
      <c r="H174" s="1442">
        <v>1</v>
      </c>
      <c r="I174" s="1464" t="s">
        <v>38</v>
      </c>
      <c r="J174" s="1070" t="s">
        <v>6613</v>
      </c>
      <c r="K174" s="1401" t="s">
        <v>6324</v>
      </c>
      <c r="L174" s="1071" t="s">
        <v>5903</v>
      </c>
      <c r="M174" s="1070" t="s">
        <v>6117</v>
      </c>
      <c r="N174" s="1070" t="s">
        <v>5444</v>
      </c>
      <c r="O174" s="1069" t="s">
        <v>5667</v>
      </c>
      <c r="P174" s="1070">
        <v>1</v>
      </c>
      <c r="Q174" s="1070">
        <v>0</v>
      </c>
    </row>
    <row r="175" spans="1:158" ht="32.1" customHeight="1">
      <c r="A175" s="1086"/>
      <c r="B175" s="1101" t="s">
        <v>225</v>
      </c>
      <c r="C175" s="1497">
        <v>1</v>
      </c>
      <c r="D175" s="1442">
        <v>1</v>
      </c>
      <c r="E175" s="1442">
        <v>0</v>
      </c>
      <c r="F175" s="1442">
        <v>0.5</v>
      </c>
      <c r="G175" s="1497">
        <v>0.5</v>
      </c>
      <c r="H175" s="1497">
        <v>0</v>
      </c>
      <c r="I175" s="1464" t="s">
        <v>147</v>
      </c>
      <c r="J175" s="1393" t="s">
        <v>6614</v>
      </c>
      <c r="K175" s="1401" t="s">
        <v>6325</v>
      </c>
      <c r="L175" s="1071" t="s">
        <v>5904</v>
      </c>
      <c r="M175" s="1075" t="s">
        <v>6118</v>
      </c>
      <c r="N175" s="1070" t="s">
        <v>5445</v>
      </c>
      <c r="O175" s="1069" t="s">
        <v>5668</v>
      </c>
      <c r="P175" s="1070">
        <v>1</v>
      </c>
      <c r="Q175" s="1070">
        <v>0</v>
      </c>
    </row>
    <row r="176" spans="1:158" ht="32.1" customHeight="1">
      <c r="A176" s="1066" t="s">
        <v>226</v>
      </c>
      <c r="B176" s="1067" t="s">
        <v>227</v>
      </c>
      <c r="C176" s="1495">
        <f t="shared" ref="C176:H176" si="45">AVERAGE(C177,C178,C179,C180,C181)</f>
        <v>0.8</v>
      </c>
      <c r="D176" s="1495">
        <f t="shared" si="45"/>
        <v>0.8</v>
      </c>
      <c r="E176" s="1495">
        <f t="shared" si="45"/>
        <v>0.3</v>
      </c>
      <c r="F176" s="1495">
        <f t="shared" si="45"/>
        <v>0.9</v>
      </c>
      <c r="G176" s="1495">
        <f t="shared" si="45"/>
        <v>0.8</v>
      </c>
      <c r="H176" s="1495">
        <f t="shared" si="45"/>
        <v>0.6</v>
      </c>
      <c r="I176" s="1464"/>
      <c r="J176" s="1068"/>
      <c r="K176" s="1076"/>
      <c r="L176" s="1076"/>
      <c r="M176" s="1076"/>
      <c r="N176" s="1076"/>
      <c r="O176" s="1076"/>
      <c r="P176" s="1068"/>
      <c r="Q176" s="1068"/>
    </row>
    <row r="177" spans="1:158" ht="32.1" customHeight="1">
      <c r="A177" s="1052"/>
      <c r="B177" s="1053" t="s">
        <v>228</v>
      </c>
      <c r="C177" s="1447">
        <v>0.5</v>
      </c>
      <c r="D177" s="1447">
        <v>0.5</v>
      </c>
      <c r="E177" s="1489">
        <v>0.5</v>
      </c>
      <c r="F177" s="1447">
        <v>0.5</v>
      </c>
      <c r="G177" s="1489">
        <v>0.5</v>
      </c>
      <c r="H177" s="1489">
        <v>1</v>
      </c>
      <c r="I177" s="1464" t="s">
        <v>147</v>
      </c>
      <c r="J177" s="1070" t="s">
        <v>6615</v>
      </c>
      <c r="K177" s="1401" t="s">
        <v>6326</v>
      </c>
      <c r="L177" s="1071" t="s">
        <v>5905</v>
      </c>
      <c r="M177" s="1069" t="s">
        <v>6119</v>
      </c>
      <c r="N177" s="1393" t="s">
        <v>5446</v>
      </c>
      <c r="O177" s="1069" t="s">
        <v>5669</v>
      </c>
      <c r="P177" s="1070">
        <v>1</v>
      </c>
      <c r="Q177" s="1070">
        <v>0</v>
      </c>
    </row>
    <row r="178" spans="1:158" ht="32.1" customHeight="1">
      <c r="A178" s="1052"/>
      <c r="B178" s="1053" t="s">
        <v>229</v>
      </c>
      <c r="C178" s="1447">
        <v>1</v>
      </c>
      <c r="D178" s="1447">
        <v>1</v>
      </c>
      <c r="E178" s="1447">
        <v>0</v>
      </c>
      <c r="F178" s="1447">
        <v>1</v>
      </c>
      <c r="G178" s="1447">
        <v>1</v>
      </c>
      <c r="H178" s="1447">
        <v>1</v>
      </c>
      <c r="I178" s="1464" t="s">
        <v>38</v>
      </c>
      <c r="J178" s="1070" t="s">
        <v>6616</v>
      </c>
      <c r="K178" s="1072" t="s">
        <v>6327</v>
      </c>
      <c r="L178" s="1071" t="s">
        <v>5906</v>
      </c>
      <c r="M178" s="1075" t="s">
        <v>6120</v>
      </c>
      <c r="N178" s="1070" t="s">
        <v>5447</v>
      </c>
      <c r="O178" s="1069" t="s">
        <v>1154</v>
      </c>
      <c r="P178" s="1070">
        <v>1</v>
      </c>
      <c r="Q178" s="1070">
        <v>0</v>
      </c>
    </row>
    <row r="179" spans="1:158" ht="32.1" customHeight="1">
      <c r="A179" s="1052"/>
      <c r="B179" s="1053" t="s">
        <v>230</v>
      </c>
      <c r="C179" s="1496">
        <v>0.5</v>
      </c>
      <c r="D179" s="1496">
        <v>1</v>
      </c>
      <c r="E179" s="1496">
        <v>0</v>
      </c>
      <c r="F179" s="1442">
        <v>1</v>
      </c>
      <c r="G179" s="1447">
        <v>1</v>
      </c>
      <c r="H179" s="1447">
        <v>0</v>
      </c>
      <c r="I179" s="1464" t="s">
        <v>38</v>
      </c>
      <c r="J179" s="1070" t="s">
        <v>6617</v>
      </c>
      <c r="K179" s="1072" t="s">
        <v>6327</v>
      </c>
      <c r="L179" s="1071" t="s">
        <v>5907</v>
      </c>
      <c r="M179" s="1069" t="s">
        <v>6121</v>
      </c>
      <c r="N179" s="1070" t="s">
        <v>5448</v>
      </c>
      <c r="O179" s="1162" t="s">
        <v>1159</v>
      </c>
      <c r="P179" s="1070">
        <v>1</v>
      </c>
      <c r="Q179" s="1070">
        <v>0</v>
      </c>
    </row>
    <row r="180" spans="1:158" ht="32.1" customHeight="1">
      <c r="A180" s="1052"/>
      <c r="B180" s="1404" t="s">
        <v>231</v>
      </c>
      <c r="C180" s="1497">
        <v>1</v>
      </c>
      <c r="D180" s="1442">
        <v>0.5</v>
      </c>
      <c r="E180" s="1442">
        <v>0</v>
      </c>
      <c r="F180" s="1497">
        <v>1</v>
      </c>
      <c r="G180" s="1489">
        <v>0.5</v>
      </c>
      <c r="H180" s="1489">
        <v>1</v>
      </c>
      <c r="I180" s="1464" t="s">
        <v>123</v>
      </c>
      <c r="J180" s="1070" t="s">
        <v>1160</v>
      </c>
      <c r="K180" s="1401" t="s">
        <v>6328</v>
      </c>
      <c r="L180" s="1392" t="s">
        <v>6911</v>
      </c>
      <c r="M180" s="1075" t="s">
        <v>6122</v>
      </c>
      <c r="N180" s="1070" t="s">
        <v>5449</v>
      </c>
      <c r="O180" s="1069" t="s">
        <v>1164</v>
      </c>
      <c r="P180" s="1070">
        <v>1</v>
      </c>
      <c r="Q180" s="1070">
        <v>0</v>
      </c>
    </row>
    <row r="181" spans="1:158" ht="32.1" customHeight="1">
      <c r="A181" s="1052"/>
      <c r="B181" s="1053" t="s">
        <v>232</v>
      </c>
      <c r="C181" s="1442">
        <v>1</v>
      </c>
      <c r="D181" s="1442">
        <v>1</v>
      </c>
      <c r="E181" s="1496">
        <v>1</v>
      </c>
      <c r="F181" s="1442">
        <v>1</v>
      </c>
      <c r="G181" s="1447">
        <v>1</v>
      </c>
      <c r="H181" s="1447">
        <v>0</v>
      </c>
      <c r="I181" s="1464" t="s">
        <v>38</v>
      </c>
      <c r="J181" s="1070" t="s">
        <v>6618</v>
      </c>
      <c r="K181" s="1072" t="s">
        <v>6329</v>
      </c>
      <c r="L181" s="1071" t="s">
        <v>5908</v>
      </c>
      <c r="M181" s="1069" t="s">
        <v>6123</v>
      </c>
      <c r="N181" s="1070" t="s">
        <v>5450</v>
      </c>
      <c r="O181" s="1069" t="s">
        <v>1170</v>
      </c>
      <c r="P181" s="1070">
        <v>1</v>
      </c>
      <c r="Q181" s="1070">
        <v>0</v>
      </c>
    </row>
    <row r="182" spans="1:158" ht="32.1" customHeight="1">
      <c r="A182" s="1066" t="s">
        <v>233</v>
      </c>
      <c r="B182" s="1067" t="s">
        <v>234</v>
      </c>
      <c r="C182" s="1495">
        <f t="shared" ref="C182:H182" si="46">AVERAGE(C183,C184,C185,C186,C187,C188,C189)</f>
        <v>0.6428571428571429</v>
      </c>
      <c r="D182" s="1495">
        <f t="shared" si="46"/>
        <v>0.6428571428571429</v>
      </c>
      <c r="E182" s="1495">
        <f t="shared" si="46"/>
        <v>0.6428571428571429</v>
      </c>
      <c r="F182" s="1495">
        <f t="shared" si="46"/>
        <v>0.7142857142857143</v>
      </c>
      <c r="G182" s="1495">
        <f t="shared" si="46"/>
        <v>0.9285714285714286</v>
      </c>
      <c r="H182" s="1495">
        <f t="shared" si="46"/>
        <v>0.35714285714285715</v>
      </c>
      <c r="I182" s="1464"/>
      <c r="J182" s="1068"/>
      <c r="K182" s="1076"/>
      <c r="L182" s="1182"/>
      <c r="M182" s="1182"/>
      <c r="N182" s="1076"/>
      <c r="O182" s="1076"/>
      <c r="P182" s="1068"/>
      <c r="Q182" s="1068"/>
    </row>
    <row r="183" spans="1:158" s="1184" customFormat="1" ht="32.1" customHeight="1">
      <c r="A183" s="1086"/>
      <c r="B183" s="1183" t="s">
        <v>235</v>
      </c>
      <c r="C183" s="1442">
        <v>0.5</v>
      </c>
      <c r="D183" s="1442">
        <v>0.5</v>
      </c>
      <c r="E183" s="1496">
        <v>0</v>
      </c>
      <c r="F183" s="1497">
        <v>0.5</v>
      </c>
      <c r="G183" s="1497">
        <v>0.5</v>
      </c>
      <c r="H183" s="1497">
        <v>0</v>
      </c>
      <c r="I183" s="1464" t="s">
        <v>147</v>
      </c>
      <c r="J183" s="1072" t="s">
        <v>6619</v>
      </c>
      <c r="K183" s="1401" t="s">
        <v>6884</v>
      </c>
      <c r="L183" s="1071" t="s">
        <v>5909</v>
      </c>
      <c r="M183" s="1396" t="s">
        <v>6791</v>
      </c>
      <c r="N183" s="1072" t="s">
        <v>5451</v>
      </c>
      <c r="O183" s="1395" t="s">
        <v>1178</v>
      </c>
      <c r="P183" s="1072"/>
      <c r="Q183" s="1072"/>
      <c r="R183" s="1081"/>
      <c r="S183" s="1082"/>
      <c r="T183" s="1082"/>
      <c r="U183" s="1082"/>
      <c r="V183" s="1082"/>
      <c r="W183" s="1082"/>
      <c r="X183" s="1082"/>
      <c r="Y183" s="1082"/>
      <c r="Z183" s="1082"/>
      <c r="AA183" s="1082"/>
      <c r="AB183" s="1082"/>
      <c r="AC183" s="1082"/>
      <c r="AD183" s="1082"/>
      <c r="AE183" s="1082"/>
      <c r="AF183" s="1082"/>
      <c r="AG183" s="1082"/>
      <c r="AH183" s="1082"/>
      <c r="AI183" s="1082"/>
      <c r="AJ183" s="1082"/>
      <c r="AK183" s="1082"/>
      <c r="AL183" s="1082"/>
      <c r="AM183" s="1082"/>
      <c r="AN183" s="1082"/>
      <c r="AO183" s="1082"/>
      <c r="AP183" s="1082"/>
      <c r="AQ183" s="1082"/>
      <c r="AR183" s="1082"/>
      <c r="AS183" s="1082"/>
      <c r="AT183" s="1082"/>
      <c r="AU183" s="1082"/>
      <c r="AV183" s="1082"/>
      <c r="AW183" s="1082"/>
      <c r="AX183" s="1082"/>
      <c r="AY183" s="1082"/>
      <c r="AZ183" s="1082"/>
      <c r="BA183" s="1082"/>
      <c r="BB183" s="1082"/>
      <c r="BC183" s="1082"/>
      <c r="BD183" s="1082"/>
      <c r="BE183" s="1082"/>
      <c r="BF183" s="1082"/>
      <c r="BG183" s="1082"/>
      <c r="BH183" s="1082"/>
      <c r="BI183" s="1082"/>
      <c r="BJ183" s="1082"/>
      <c r="BK183" s="1082"/>
      <c r="BL183" s="1082"/>
      <c r="BM183" s="1082"/>
      <c r="BN183" s="1082"/>
      <c r="BO183" s="1082"/>
      <c r="BP183" s="1082"/>
      <c r="BQ183" s="1082"/>
      <c r="BR183" s="1082"/>
      <c r="BS183" s="1082"/>
      <c r="BT183" s="1082"/>
      <c r="BU183" s="1082"/>
      <c r="BV183" s="1082"/>
      <c r="BW183" s="1082"/>
      <c r="BX183" s="1082"/>
      <c r="BY183" s="1082"/>
      <c r="BZ183" s="1082"/>
      <c r="CA183" s="1082"/>
      <c r="CB183" s="1082"/>
      <c r="CC183" s="1082"/>
      <c r="CD183" s="1082"/>
      <c r="CE183" s="1082"/>
      <c r="CF183" s="1082"/>
      <c r="CG183" s="1082"/>
      <c r="CH183" s="1082"/>
      <c r="CI183" s="1082"/>
      <c r="CJ183" s="1082"/>
      <c r="CK183" s="1082"/>
      <c r="CL183" s="1082"/>
      <c r="CM183" s="1082"/>
      <c r="CN183" s="1082"/>
      <c r="CO183" s="1082"/>
      <c r="CP183" s="1082"/>
      <c r="CQ183" s="1082"/>
      <c r="CR183" s="1082"/>
      <c r="CS183" s="1082"/>
      <c r="CT183" s="1082"/>
      <c r="CU183" s="1082"/>
      <c r="CV183" s="1082"/>
      <c r="CW183" s="1082"/>
      <c r="CX183" s="1082"/>
      <c r="CY183" s="1082"/>
      <c r="CZ183" s="1082"/>
      <c r="DA183" s="1082"/>
      <c r="DB183" s="1082"/>
      <c r="DC183" s="1082"/>
      <c r="DD183" s="1082"/>
      <c r="DE183" s="1082"/>
      <c r="DF183" s="1082"/>
      <c r="DG183" s="1082"/>
      <c r="DH183" s="1082"/>
      <c r="DI183" s="1082"/>
      <c r="DJ183" s="1082"/>
      <c r="DK183" s="1082"/>
      <c r="DL183" s="1082"/>
      <c r="DM183" s="1082"/>
      <c r="DN183" s="1082"/>
      <c r="DO183" s="1082"/>
      <c r="DP183" s="1082"/>
      <c r="DQ183" s="1082"/>
      <c r="DR183" s="1082"/>
      <c r="DS183" s="1082"/>
      <c r="DT183" s="1082"/>
      <c r="DU183" s="1082"/>
      <c r="DV183" s="1082"/>
      <c r="DW183" s="1082"/>
      <c r="DX183" s="1082"/>
      <c r="DY183" s="1082"/>
      <c r="DZ183" s="1082"/>
      <c r="EA183" s="1082"/>
      <c r="EB183" s="1082"/>
      <c r="EC183" s="1082"/>
      <c r="ED183" s="1082"/>
      <c r="EE183" s="1082"/>
      <c r="EF183" s="1082"/>
      <c r="EG183" s="1082"/>
      <c r="EH183" s="1082"/>
      <c r="EI183" s="1082"/>
      <c r="EJ183" s="1082"/>
      <c r="EK183" s="1082"/>
      <c r="EL183" s="1082"/>
      <c r="EM183" s="1082"/>
      <c r="EN183" s="1082"/>
      <c r="EO183" s="1082"/>
      <c r="EP183" s="1082"/>
      <c r="EQ183" s="1082"/>
      <c r="ER183" s="1082"/>
      <c r="ES183" s="1082"/>
      <c r="ET183" s="1082"/>
      <c r="EU183" s="1082"/>
      <c r="EV183" s="1082"/>
      <c r="EW183" s="1082"/>
      <c r="EX183" s="1082"/>
      <c r="EY183" s="1082"/>
      <c r="EZ183" s="1082"/>
      <c r="FA183" s="1082"/>
      <c r="FB183" s="1082"/>
    </row>
    <row r="184" spans="1:158" s="1088" customFormat="1" ht="32.1" customHeight="1">
      <c r="A184" s="1086"/>
      <c r="B184" s="1183" t="s">
        <v>236</v>
      </c>
      <c r="C184" s="1442">
        <v>1</v>
      </c>
      <c r="D184" s="1442">
        <v>1</v>
      </c>
      <c r="E184" s="1496">
        <v>1</v>
      </c>
      <c r="F184" s="1497">
        <v>0.5</v>
      </c>
      <c r="G184" s="1497">
        <v>1</v>
      </c>
      <c r="H184" s="1497">
        <v>0.5</v>
      </c>
      <c r="I184" s="1464" t="s">
        <v>147</v>
      </c>
      <c r="J184" s="1072" t="s">
        <v>6620</v>
      </c>
      <c r="K184" s="1401" t="s">
        <v>6330</v>
      </c>
      <c r="L184" s="1071" t="s">
        <v>5910</v>
      </c>
      <c r="M184" s="1401" t="s">
        <v>6792</v>
      </c>
      <c r="N184" s="1072" t="s">
        <v>5452</v>
      </c>
      <c r="O184" s="1069" t="s">
        <v>5670</v>
      </c>
      <c r="P184" s="1072"/>
      <c r="Q184" s="1072"/>
      <c r="R184" s="1081"/>
      <c r="S184" s="1082"/>
      <c r="T184" s="1082"/>
      <c r="U184" s="1082"/>
      <c r="V184" s="1082"/>
      <c r="W184" s="1082"/>
      <c r="X184" s="1082"/>
      <c r="Y184" s="1082"/>
      <c r="Z184" s="1082"/>
      <c r="AA184" s="1082"/>
      <c r="AB184" s="1082"/>
      <c r="AC184" s="1082"/>
      <c r="AD184" s="1082"/>
      <c r="AE184" s="1082"/>
      <c r="AF184" s="1082"/>
      <c r="AG184" s="1082"/>
      <c r="AH184" s="1082"/>
      <c r="AI184" s="1082"/>
      <c r="AJ184" s="1082"/>
      <c r="AK184" s="1082"/>
      <c r="AL184" s="1082"/>
      <c r="AM184" s="1082"/>
      <c r="AN184" s="1082"/>
      <c r="AO184" s="1082"/>
      <c r="AP184" s="1082"/>
      <c r="AQ184" s="1082"/>
      <c r="AR184" s="1082"/>
      <c r="AS184" s="1082"/>
      <c r="AT184" s="1082"/>
      <c r="AU184" s="1082"/>
      <c r="AV184" s="1082"/>
      <c r="AW184" s="1082"/>
      <c r="AX184" s="1082"/>
      <c r="AY184" s="1082"/>
      <c r="AZ184" s="1082"/>
      <c r="BA184" s="1082"/>
      <c r="BB184" s="1082"/>
      <c r="BC184" s="1082"/>
      <c r="BD184" s="1082"/>
      <c r="BE184" s="1082"/>
      <c r="BF184" s="1082"/>
      <c r="BG184" s="1082"/>
      <c r="BH184" s="1082"/>
      <c r="BI184" s="1082"/>
      <c r="BJ184" s="1082"/>
      <c r="BK184" s="1082"/>
      <c r="BL184" s="1082"/>
      <c r="BM184" s="1082"/>
      <c r="BN184" s="1082"/>
      <c r="BO184" s="1082"/>
      <c r="BP184" s="1082"/>
      <c r="BQ184" s="1082"/>
      <c r="BR184" s="1082"/>
      <c r="BS184" s="1082"/>
      <c r="BT184" s="1082"/>
      <c r="BU184" s="1082"/>
      <c r="BV184" s="1082"/>
      <c r="BW184" s="1082"/>
      <c r="BX184" s="1082"/>
      <c r="BY184" s="1082"/>
      <c r="BZ184" s="1082"/>
      <c r="CA184" s="1082"/>
      <c r="CB184" s="1082"/>
      <c r="CC184" s="1082"/>
      <c r="CD184" s="1082"/>
      <c r="CE184" s="1082"/>
      <c r="CF184" s="1082"/>
      <c r="CG184" s="1082"/>
      <c r="CH184" s="1082"/>
      <c r="CI184" s="1082"/>
      <c r="CJ184" s="1082"/>
      <c r="CK184" s="1082"/>
      <c r="CL184" s="1082"/>
      <c r="CM184" s="1082"/>
      <c r="CN184" s="1082"/>
      <c r="CO184" s="1082"/>
      <c r="CP184" s="1082"/>
      <c r="CQ184" s="1082"/>
      <c r="CR184" s="1082"/>
      <c r="CS184" s="1082"/>
      <c r="CT184" s="1082"/>
      <c r="CU184" s="1082"/>
      <c r="CV184" s="1082"/>
      <c r="CW184" s="1082"/>
      <c r="CX184" s="1082"/>
      <c r="CY184" s="1082"/>
      <c r="CZ184" s="1082"/>
      <c r="DA184" s="1082"/>
      <c r="DB184" s="1082"/>
      <c r="DC184" s="1082"/>
      <c r="DD184" s="1082"/>
      <c r="DE184" s="1082"/>
      <c r="DF184" s="1082"/>
      <c r="DG184" s="1082"/>
      <c r="DH184" s="1082"/>
      <c r="DI184" s="1082"/>
      <c r="DJ184" s="1082"/>
      <c r="DK184" s="1082"/>
      <c r="DL184" s="1082"/>
      <c r="DM184" s="1082"/>
      <c r="DN184" s="1082"/>
      <c r="DO184" s="1082"/>
      <c r="DP184" s="1082"/>
      <c r="DQ184" s="1082"/>
      <c r="DR184" s="1082"/>
      <c r="DS184" s="1082"/>
      <c r="DT184" s="1082"/>
      <c r="DU184" s="1082"/>
      <c r="DV184" s="1082"/>
      <c r="DW184" s="1082"/>
      <c r="DX184" s="1082"/>
      <c r="DY184" s="1082"/>
      <c r="DZ184" s="1082"/>
      <c r="EA184" s="1082"/>
      <c r="EB184" s="1082"/>
      <c r="EC184" s="1082"/>
      <c r="ED184" s="1082"/>
      <c r="EE184" s="1082"/>
      <c r="EF184" s="1082"/>
      <c r="EG184" s="1082"/>
      <c r="EH184" s="1082"/>
      <c r="EI184" s="1082"/>
      <c r="EJ184" s="1082"/>
      <c r="EK184" s="1082"/>
      <c r="EL184" s="1082"/>
      <c r="EM184" s="1082"/>
      <c r="EN184" s="1082"/>
      <c r="EO184" s="1082"/>
      <c r="EP184" s="1082"/>
      <c r="EQ184" s="1082"/>
      <c r="ER184" s="1082"/>
      <c r="ES184" s="1082"/>
      <c r="ET184" s="1082"/>
      <c r="EU184" s="1082"/>
      <c r="EV184" s="1082"/>
      <c r="EW184" s="1082"/>
      <c r="EX184" s="1082"/>
      <c r="EY184" s="1082"/>
      <c r="EZ184" s="1082"/>
      <c r="FA184" s="1082"/>
      <c r="FB184" s="1082"/>
    </row>
    <row r="185" spans="1:158" ht="32.1" customHeight="1">
      <c r="A185" s="1086"/>
      <c r="B185" s="1101" t="s">
        <v>237</v>
      </c>
      <c r="C185" s="1442">
        <v>0.5</v>
      </c>
      <c r="D185" s="1442">
        <v>0</v>
      </c>
      <c r="E185" s="1442">
        <v>1</v>
      </c>
      <c r="F185" s="1442">
        <v>1</v>
      </c>
      <c r="G185" s="1497">
        <v>1</v>
      </c>
      <c r="H185" s="1497">
        <v>1</v>
      </c>
      <c r="I185" s="1464" t="s">
        <v>147</v>
      </c>
      <c r="J185" s="1070" t="s">
        <v>6621</v>
      </c>
      <c r="K185" s="1401" t="s">
        <v>6331</v>
      </c>
      <c r="L185" s="1071" t="s">
        <v>5911</v>
      </c>
      <c r="M185" s="1075" t="s">
        <v>6124</v>
      </c>
      <c r="N185" s="1070" t="s">
        <v>5453</v>
      </c>
      <c r="O185" s="1069" t="s">
        <v>1184</v>
      </c>
      <c r="P185" s="1070">
        <v>1</v>
      </c>
      <c r="Q185" s="1070">
        <v>0</v>
      </c>
    </row>
    <row r="186" spans="1:158" ht="32.1" customHeight="1">
      <c r="A186" s="1086"/>
      <c r="B186" s="1101" t="s">
        <v>238</v>
      </c>
      <c r="C186" s="1442">
        <v>1</v>
      </c>
      <c r="D186" s="1442">
        <v>1</v>
      </c>
      <c r="E186" s="1442">
        <v>1</v>
      </c>
      <c r="F186" s="1442">
        <v>0.5</v>
      </c>
      <c r="G186" s="1497">
        <v>1</v>
      </c>
      <c r="H186" s="1497">
        <v>0.5</v>
      </c>
      <c r="I186" s="1464" t="s">
        <v>38</v>
      </c>
      <c r="J186" s="1070" t="s">
        <v>6622</v>
      </c>
      <c r="K186" s="1401" t="s">
        <v>6332</v>
      </c>
      <c r="L186" s="1071" t="s">
        <v>5912</v>
      </c>
      <c r="M186" s="1069" t="s">
        <v>6125</v>
      </c>
      <c r="N186" s="1070" t="s">
        <v>5454</v>
      </c>
      <c r="O186" s="1070" t="s">
        <v>1184</v>
      </c>
      <c r="P186" s="1070">
        <v>1</v>
      </c>
      <c r="Q186" s="1070">
        <v>0</v>
      </c>
    </row>
    <row r="187" spans="1:158" ht="32.1" customHeight="1">
      <c r="A187" s="1086"/>
      <c r="B187" s="1101" t="s">
        <v>239</v>
      </c>
      <c r="C187" s="1442">
        <v>0.5</v>
      </c>
      <c r="D187" s="1442">
        <v>0.5</v>
      </c>
      <c r="E187" s="1442">
        <v>0.5</v>
      </c>
      <c r="F187" s="1497">
        <v>0.5</v>
      </c>
      <c r="G187" s="1497">
        <v>1</v>
      </c>
      <c r="H187" s="1497">
        <v>0.5</v>
      </c>
      <c r="I187" s="1464" t="s">
        <v>240</v>
      </c>
      <c r="J187" s="1070" t="s">
        <v>6623</v>
      </c>
      <c r="K187" s="1401" t="s">
        <v>6333</v>
      </c>
      <c r="L187" s="1071" t="s">
        <v>5913</v>
      </c>
      <c r="M187" s="1075" t="s">
        <v>6793</v>
      </c>
      <c r="N187" s="1070" t="s">
        <v>5455</v>
      </c>
      <c r="O187" s="1149" t="s">
        <v>5671</v>
      </c>
      <c r="P187" s="1070">
        <v>1</v>
      </c>
      <c r="Q187" s="1070">
        <v>0</v>
      </c>
    </row>
    <row r="188" spans="1:158" ht="32.1" customHeight="1">
      <c r="A188" s="1086"/>
      <c r="B188" s="1101" t="s">
        <v>241</v>
      </c>
      <c r="C188" s="1442">
        <v>1</v>
      </c>
      <c r="D188" s="1497">
        <v>0.5</v>
      </c>
      <c r="E188" s="1442">
        <v>0.5</v>
      </c>
      <c r="F188" s="1496">
        <v>1</v>
      </c>
      <c r="G188" s="1442">
        <v>1</v>
      </c>
      <c r="H188" s="1442">
        <v>0</v>
      </c>
      <c r="I188" s="1464" t="s">
        <v>240</v>
      </c>
      <c r="J188" s="1070" t="s">
        <v>6624</v>
      </c>
      <c r="K188" s="1401" t="s">
        <v>6334</v>
      </c>
      <c r="L188" s="1071" t="s">
        <v>5914</v>
      </c>
      <c r="M188" s="1075" t="s">
        <v>6126</v>
      </c>
      <c r="N188" s="1070" t="s">
        <v>5456</v>
      </c>
      <c r="O188" s="1149" t="s">
        <v>1202</v>
      </c>
      <c r="P188" s="1070">
        <v>1</v>
      </c>
      <c r="Q188" s="1070">
        <v>0</v>
      </c>
    </row>
    <row r="189" spans="1:158" ht="32.1" customHeight="1">
      <c r="A189" s="1086"/>
      <c r="B189" s="1701" t="s">
        <v>242</v>
      </c>
      <c r="C189" s="1442">
        <v>0</v>
      </c>
      <c r="D189" s="1497">
        <v>1</v>
      </c>
      <c r="E189" s="1496">
        <v>0.5</v>
      </c>
      <c r="F189" s="1442">
        <v>1</v>
      </c>
      <c r="G189" s="1497">
        <v>1</v>
      </c>
      <c r="H189" s="1497">
        <v>0</v>
      </c>
      <c r="I189" s="1464" t="s">
        <v>38</v>
      </c>
      <c r="J189" s="1790" t="s">
        <v>6625</v>
      </c>
      <c r="K189" s="1401" t="s">
        <v>6335</v>
      </c>
      <c r="L189" s="1392" t="s">
        <v>5915</v>
      </c>
      <c r="M189" s="1075" t="s">
        <v>6127</v>
      </c>
      <c r="N189" s="1790" t="s">
        <v>5457</v>
      </c>
      <c r="O189" s="1789" t="s">
        <v>5672</v>
      </c>
      <c r="P189" s="1070">
        <v>1</v>
      </c>
      <c r="Q189" s="1070">
        <v>0</v>
      </c>
    </row>
    <row r="190" spans="1:158" ht="32.1" customHeight="1">
      <c r="A190" s="1089" t="s">
        <v>5321</v>
      </c>
      <c r="B190" s="1587" t="s">
        <v>243</v>
      </c>
      <c r="C190" s="1492">
        <f t="shared" ref="C190:H190" si="47">AVERAGE(C191,C199,C251)</f>
        <v>0.74723709339093947</v>
      </c>
      <c r="D190" s="1492">
        <f t="shared" si="47"/>
        <v>0.78814979493441017</v>
      </c>
      <c r="E190" s="1492">
        <f t="shared" si="47"/>
        <v>0.30616084656084658</v>
      </c>
      <c r="F190" s="1492">
        <f t="shared" si="47"/>
        <v>0.68205441282364354</v>
      </c>
      <c r="G190" s="1492">
        <f t="shared" si="47"/>
        <v>0.46614210575749038</v>
      </c>
      <c r="H190" s="1492">
        <f t="shared" si="47"/>
        <v>0.4100951754797908</v>
      </c>
      <c r="I190" s="1755"/>
      <c r="J190" s="1064"/>
      <c r="K190" s="1064"/>
      <c r="L190" s="1185"/>
      <c r="M190" s="1185"/>
      <c r="N190" s="1064"/>
      <c r="O190" s="1064"/>
      <c r="P190" s="1064"/>
      <c r="Q190" s="1064"/>
    </row>
    <row r="191" spans="1:158" ht="32.1" customHeight="1">
      <c r="A191" s="1066" t="s">
        <v>244</v>
      </c>
      <c r="B191" s="1067" t="s">
        <v>245</v>
      </c>
      <c r="C191" s="1478">
        <f t="shared" ref="C191:H191" si="48">AVERAGE(C192:C198)</f>
        <v>0.8571428571428571</v>
      </c>
      <c r="D191" s="1478">
        <f t="shared" si="48"/>
        <v>0.5714285714285714</v>
      </c>
      <c r="E191" s="1478">
        <f t="shared" si="48"/>
        <v>0.14285714285714285</v>
      </c>
      <c r="F191" s="1478">
        <f t="shared" si="48"/>
        <v>0.42857142857142855</v>
      </c>
      <c r="G191" s="1478">
        <f t="shared" si="48"/>
        <v>0.5714285714285714</v>
      </c>
      <c r="H191" s="1478">
        <f t="shared" si="48"/>
        <v>0.42857142857142855</v>
      </c>
      <c r="I191" s="1195"/>
      <c r="J191" s="1068"/>
      <c r="K191" s="1068"/>
      <c r="L191" s="1185"/>
      <c r="M191" s="1068"/>
      <c r="N191" s="1068"/>
      <c r="O191" s="1068"/>
      <c r="P191" s="1068"/>
      <c r="Q191" s="1068"/>
    </row>
    <row r="192" spans="1:158" ht="32.1" customHeight="1">
      <c r="A192" s="1052"/>
      <c r="B192" s="1151" t="s">
        <v>246</v>
      </c>
      <c r="C192" s="1449">
        <v>1</v>
      </c>
      <c r="D192" s="1449">
        <v>0</v>
      </c>
      <c r="E192" s="1449">
        <v>0</v>
      </c>
      <c r="F192" s="1449">
        <v>1</v>
      </c>
      <c r="G192" s="1449">
        <v>1</v>
      </c>
      <c r="H192" s="1449">
        <v>0</v>
      </c>
      <c r="I192" s="1195"/>
      <c r="J192" s="1073" t="s">
        <v>960</v>
      </c>
      <c r="K192" s="1120" t="s">
        <v>6336</v>
      </c>
      <c r="L192" s="1079" t="s">
        <v>748</v>
      </c>
      <c r="M192" s="1078" t="s">
        <v>957</v>
      </c>
      <c r="N192" s="1073" t="s">
        <v>811</v>
      </c>
      <c r="O192" s="1073" t="s">
        <v>958</v>
      </c>
      <c r="P192" s="1073">
        <v>1</v>
      </c>
      <c r="Q192" s="1073">
        <v>0</v>
      </c>
    </row>
    <row r="193" spans="1:17" ht="32.1" customHeight="1">
      <c r="A193" s="1052"/>
      <c r="B193" s="1383" t="s">
        <v>247</v>
      </c>
      <c r="C193" s="1449">
        <v>1</v>
      </c>
      <c r="D193" s="1449">
        <v>1</v>
      </c>
      <c r="E193" s="1449">
        <v>1</v>
      </c>
      <c r="F193" s="1449">
        <v>1</v>
      </c>
      <c r="G193" s="1449">
        <v>1</v>
      </c>
      <c r="H193" s="1449">
        <v>1</v>
      </c>
      <c r="I193" s="1195" t="s">
        <v>38</v>
      </c>
      <c r="J193" s="1073" t="s">
        <v>960</v>
      </c>
      <c r="K193" s="1073" t="s">
        <v>6337</v>
      </c>
      <c r="L193" s="1407" t="s">
        <v>6838</v>
      </c>
      <c r="M193" s="1073" t="s">
        <v>6128</v>
      </c>
      <c r="N193" s="1120" t="s">
        <v>811</v>
      </c>
      <c r="O193" s="1120" t="s">
        <v>811</v>
      </c>
      <c r="P193" s="1073">
        <v>1</v>
      </c>
      <c r="Q193" s="1073">
        <v>0</v>
      </c>
    </row>
    <row r="194" spans="1:17" ht="32.1" customHeight="1">
      <c r="A194" s="1052"/>
      <c r="B194" s="1151" t="s">
        <v>248</v>
      </c>
      <c r="C194" s="1449">
        <v>0</v>
      </c>
      <c r="D194" s="1449">
        <v>0</v>
      </c>
      <c r="E194" s="1449">
        <v>0</v>
      </c>
      <c r="F194" s="1449">
        <v>0</v>
      </c>
      <c r="G194" s="1449">
        <v>0</v>
      </c>
      <c r="H194" s="1449">
        <v>1</v>
      </c>
      <c r="I194" s="1195" t="s">
        <v>38</v>
      </c>
      <c r="J194" s="1122" t="s">
        <v>1060</v>
      </c>
      <c r="K194" s="1073" t="s">
        <v>6338</v>
      </c>
      <c r="L194" s="1079" t="s">
        <v>748</v>
      </c>
      <c r="M194" s="1073" t="s">
        <v>763</v>
      </c>
      <c r="N194" s="1073" t="s">
        <v>748</v>
      </c>
      <c r="O194" s="1073" t="s">
        <v>811</v>
      </c>
      <c r="P194" s="1073">
        <v>1</v>
      </c>
      <c r="Q194" s="1073">
        <v>0</v>
      </c>
    </row>
    <row r="195" spans="1:17" ht="32.1" customHeight="1">
      <c r="A195" s="1052"/>
      <c r="B195" s="1151" t="s">
        <v>249</v>
      </c>
      <c r="C195" s="1449">
        <v>1</v>
      </c>
      <c r="D195" s="1498">
        <v>0</v>
      </c>
      <c r="E195" s="1449">
        <v>0</v>
      </c>
      <c r="F195" s="1449">
        <v>0</v>
      </c>
      <c r="G195" s="1449">
        <v>1</v>
      </c>
      <c r="H195" s="1449">
        <v>0</v>
      </c>
      <c r="I195" s="1195" t="s">
        <v>38</v>
      </c>
      <c r="J195" s="1073" t="s">
        <v>960</v>
      </c>
      <c r="K195" s="1120" t="s">
        <v>6339</v>
      </c>
      <c r="L195" s="1079" t="s">
        <v>748</v>
      </c>
      <c r="M195" s="1073" t="s">
        <v>763</v>
      </c>
      <c r="N195" s="1120" t="s">
        <v>811</v>
      </c>
      <c r="O195" s="1120" t="s">
        <v>964</v>
      </c>
      <c r="P195" s="1073">
        <v>1</v>
      </c>
      <c r="Q195" s="1073">
        <v>0</v>
      </c>
    </row>
    <row r="196" spans="1:17" ht="32.1" customHeight="1">
      <c r="A196" s="1052"/>
      <c r="B196" s="1151" t="s">
        <v>250</v>
      </c>
      <c r="C196" s="1449">
        <v>1</v>
      </c>
      <c r="D196" s="1449">
        <v>1</v>
      </c>
      <c r="E196" s="1449">
        <v>0</v>
      </c>
      <c r="F196" s="1449">
        <v>1</v>
      </c>
      <c r="G196" s="1449">
        <v>1</v>
      </c>
      <c r="H196" s="1449">
        <v>1</v>
      </c>
      <c r="I196" s="1195" t="s">
        <v>38</v>
      </c>
      <c r="J196" s="1073" t="s">
        <v>960</v>
      </c>
      <c r="K196" s="1120" t="s">
        <v>6340</v>
      </c>
      <c r="L196" s="1079" t="s">
        <v>968</v>
      </c>
      <c r="M196" s="1073" t="s">
        <v>6129</v>
      </c>
      <c r="N196" s="1120" t="s">
        <v>811</v>
      </c>
      <c r="O196" s="1120" t="s">
        <v>811</v>
      </c>
      <c r="P196" s="1073">
        <v>1</v>
      </c>
      <c r="Q196" s="1073">
        <v>0</v>
      </c>
    </row>
    <row r="197" spans="1:17" ht="32.1" customHeight="1">
      <c r="A197" s="1052"/>
      <c r="B197" s="1151" t="s">
        <v>251</v>
      </c>
      <c r="C197" s="1449">
        <v>1</v>
      </c>
      <c r="D197" s="1449">
        <v>1</v>
      </c>
      <c r="E197" s="1449">
        <v>0</v>
      </c>
      <c r="F197" s="1449">
        <v>0</v>
      </c>
      <c r="G197" s="1449">
        <v>0</v>
      </c>
      <c r="H197" s="1449">
        <v>0</v>
      </c>
      <c r="I197" s="1195" t="s">
        <v>38</v>
      </c>
      <c r="J197" s="1073" t="s">
        <v>960</v>
      </c>
      <c r="K197" s="1120" t="s">
        <v>6341</v>
      </c>
      <c r="L197" s="1079" t="s">
        <v>748</v>
      </c>
      <c r="M197" s="1073" t="s">
        <v>763</v>
      </c>
      <c r="N197" s="1117" t="s">
        <v>748</v>
      </c>
      <c r="O197" s="1120" t="s">
        <v>5673</v>
      </c>
      <c r="P197" s="1073">
        <v>1</v>
      </c>
      <c r="Q197" s="1073">
        <v>0</v>
      </c>
    </row>
    <row r="198" spans="1:17" ht="32.1" customHeight="1">
      <c r="A198" s="1052"/>
      <c r="B198" s="1151" t="s">
        <v>252</v>
      </c>
      <c r="C198" s="1449">
        <v>1</v>
      </c>
      <c r="D198" s="1449">
        <v>1</v>
      </c>
      <c r="E198" s="1449">
        <v>0</v>
      </c>
      <c r="F198" s="1449">
        <v>0</v>
      </c>
      <c r="G198" s="1449">
        <v>0</v>
      </c>
      <c r="H198" s="1449">
        <v>0</v>
      </c>
      <c r="I198" s="1195" t="s">
        <v>38</v>
      </c>
      <c r="J198" s="1073" t="s">
        <v>960</v>
      </c>
      <c r="K198" s="1120" t="s">
        <v>6342</v>
      </c>
      <c r="L198" s="1079" t="s">
        <v>748</v>
      </c>
      <c r="M198" s="1073" t="s">
        <v>763</v>
      </c>
      <c r="N198" s="1117" t="s">
        <v>748</v>
      </c>
      <c r="O198" s="1120" t="s">
        <v>5674</v>
      </c>
      <c r="P198" s="1073">
        <v>1</v>
      </c>
      <c r="Q198" s="1073">
        <v>0</v>
      </c>
    </row>
    <row r="199" spans="1:17" ht="32.1" customHeight="1">
      <c r="A199" s="1066" t="s">
        <v>253</v>
      </c>
      <c r="B199" s="1067" t="s">
        <v>254</v>
      </c>
      <c r="C199" s="1478">
        <f t="shared" ref="C199:H199" si="49">AVERAGE(C200,C201,C209,C210,C229,C230,C237,C241,C244,C250)</f>
        <v>0.83134920634920628</v>
      </c>
      <c r="D199" s="1478">
        <f t="shared" si="49"/>
        <v>0.93888888888888888</v>
      </c>
      <c r="E199" s="1478">
        <f t="shared" si="49"/>
        <v>0.39468253968253969</v>
      </c>
      <c r="F199" s="1478">
        <f t="shared" si="49"/>
        <v>0.93682539682539689</v>
      </c>
      <c r="G199" s="1478">
        <f t="shared" si="49"/>
        <v>0.62976190476190474</v>
      </c>
      <c r="H199" s="1478">
        <f t="shared" si="49"/>
        <v>0.52420634920634923</v>
      </c>
      <c r="I199" s="1195"/>
      <c r="J199" s="1186"/>
      <c r="K199" s="1186"/>
      <c r="L199" s="1126"/>
      <c r="M199" s="1126"/>
      <c r="N199" s="1126"/>
      <c r="O199" s="1126"/>
      <c r="P199" s="1186"/>
      <c r="Q199" s="1186"/>
    </row>
    <row r="200" spans="1:17" ht="32.1" customHeight="1">
      <c r="A200" s="1052"/>
      <c r="B200" s="1053" t="s">
        <v>255</v>
      </c>
      <c r="C200" s="1722">
        <v>1</v>
      </c>
      <c r="D200" s="1722">
        <v>1</v>
      </c>
      <c r="E200" s="1722">
        <v>0</v>
      </c>
      <c r="F200" s="1722">
        <v>1</v>
      </c>
      <c r="G200" s="1722">
        <v>0</v>
      </c>
      <c r="H200" s="1722">
        <v>0</v>
      </c>
      <c r="I200" s="1195" t="s">
        <v>38</v>
      </c>
      <c r="J200" s="1073" t="s">
        <v>6626</v>
      </c>
      <c r="K200" s="1073" t="s">
        <v>6343</v>
      </c>
      <c r="L200" s="1071" t="s">
        <v>5916</v>
      </c>
      <c r="M200" s="1073" t="s">
        <v>6130</v>
      </c>
      <c r="N200" s="1073" t="s">
        <v>748</v>
      </c>
      <c r="O200" s="1073" t="s">
        <v>5675</v>
      </c>
      <c r="P200" s="1122">
        <v>1</v>
      </c>
      <c r="Q200" s="1122">
        <v>0</v>
      </c>
    </row>
    <row r="201" spans="1:17" ht="32.1" customHeight="1">
      <c r="A201" s="1052"/>
      <c r="B201" s="1404" t="s">
        <v>256</v>
      </c>
      <c r="C201" s="1459">
        <f t="shared" ref="C201:H201" si="50">AVERAGE(C202:C208)</f>
        <v>0.7857142857142857</v>
      </c>
      <c r="D201" s="1459">
        <f t="shared" si="50"/>
        <v>1</v>
      </c>
      <c r="E201" s="1459">
        <f t="shared" si="50"/>
        <v>0.7857142857142857</v>
      </c>
      <c r="F201" s="1459">
        <f t="shared" si="50"/>
        <v>0.8571428571428571</v>
      </c>
      <c r="G201" s="1459">
        <f t="shared" si="50"/>
        <v>0.7142857142857143</v>
      </c>
      <c r="H201" s="1459">
        <f t="shared" si="50"/>
        <v>0.7142857142857143</v>
      </c>
      <c r="I201" s="1195"/>
      <c r="J201" s="1073"/>
      <c r="K201" s="1073"/>
      <c r="L201" s="1079"/>
      <c r="M201" s="1073"/>
      <c r="N201" s="1073"/>
      <c r="O201" s="1073"/>
      <c r="P201" s="1122"/>
      <c r="Q201" s="1122"/>
    </row>
    <row r="202" spans="1:17" ht="32.1" customHeight="1">
      <c r="A202" s="1052"/>
      <c r="B202" s="1155" t="s">
        <v>257</v>
      </c>
      <c r="C202" s="1459">
        <v>1</v>
      </c>
      <c r="D202" s="1459">
        <v>1</v>
      </c>
      <c r="E202" s="1459">
        <v>1</v>
      </c>
      <c r="F202" s="1480">
        <v>1</v>
      </c>
      <c r="G202" s="1459">
        <v>1</v>
      </c>
      <c r="H202" s="1459">
        <v>1</v>
      </c>
      <c r="I202" s="1195" t="s">
        <v>258</v>
      </c>
      <c r="J202" s="1073" t="s">
        <v>976</v>
      </c>
      <c r="K202" s="1073" t="s">
        <v>6344</v>
      </c>
      <c r="L202" s="1071" t="s">
        <v>5917</v>
      </c>
      <c r="M202" s="1078" t="s">
        <v>977</v>
      </c>
      <c r="N202" s="1073" t="s">
        <v>811</v>
      </c>
      <c r="O202" s="1073" t="s">
        <v>811</v>
      </c>
      <c r="P202" s="1122">
        <v>1</v>
      </c>
      <c r="Q202" s="1122">
        <v>0</v>
      </c>
    </row>
    <row r="203" spans="1:17" ht="32.1" customHeight="1">
      <c r="A203" s="1052"/>
      <c r="B203" s="1155" t="s">
        <v>259</v>
      </c>
      <c r="C203" s="1459">
        <v>1</v>
      </c>
      <c r="D203" s="1459">
        <v>1</v>
      </c>
      <c r="E203" s="1459">
        <v>1</v>
      </c>
      <c r="F203" s="1459">
        <v>1</v>
      </c>
      <c r="G203" s="1459">
        <v>1</v>
      </c>
      <c r="H203" s="1459">
        <v>1</v>
      </c>
      <c r="I203" s="1195" t="s">
        <v>123</v>
      </c>
      <c r="J203" s="1073" t="s">
        <v>6627</v>
      </c>
      <c r="K203" s="1394" t="s">
        <v>6345</v>
      </c>
      <c r="L203" s="1071" t="s">
        <v>5918</v>
      </c>
      <c r="M203" s="1078" t="s">
        <v>980</v>
      </c>
      <c r="N203" s="1073" t="s">
        <v>811</v>
      </c>
      <c r="O203" s="1073" t="s">
        <v>981</v>
      </c>
      <c r="P203" s="1122">
        <v>1</v>
      </c>
      <c r="Q203" s="1122">
        <v>0</v>
      </c>
    </row>
    <row r="204" spans="1:17" ht="32.1" customHeight="1">
      <c r="A204" s="1086"/>
      <c r="B204" s="1155" t="s">
        <v>260</v>
      </c>
      <c r="C204" s="1459">
        <v>0.5</v>
      </c>
      <c r="D204" s="1459">
        <v>1</v>
      </c>
      <c r="E204" s="1459">
        <v>0.5</v>
      </c>
      <c r="F204" s="1480">
        <v>0.5</v>
      </c>
      <c r="G204" s="1459">
        <v>0</v>
      </c>
      <c r="H204" s="1459">
        <v>0</v>
      </c>
      <c r="I204" s="1195" t="s">
        <v>123</v>
      </c>
      <c r="J204" s="1073" t="s">
        <v>982</v>
      </c>
      <c r="K204" s="1394" t="s">
        <v>6346</v>
      </c>
      <c r="L204" s="1392" t="s">
        <v>5919</v>
      </c>
      <c r="M204" s="1578" t="s">
        <v>6131</v>
      </c>
      <c r="N204" s="1120" t="s">
        <v>748</v>
      </c>
      <c r="O204" s="1120" t="s">
        <v>5676</v>
      </c>
      <c r="P204" s="1122">
        <v>1</v>
      </c>
      <c r="Q204" s="1122">
        <v>0</v>
      </c>
    </row>
    <row r="205" spans="1:17" ht="32.1" customHeight="1">
      <c r="A205" s="1052"/>
      <c r="B205" s="1155" t="s">
        <v>261</v>
      </c>
      <c r="C205" s="1459">
        <v>0</v>
      </c>
      <c r="D205" s="1459">
        <v>1</v>
      </c>
      <c r="E205" s="1459">
        <v>1</v>
      </c>
      <c r="F205" s="1480">
        <v>1</v>
      </c>
      <c r="G205" s="1459">
        <v>0</v>
      </c>
      <c r="H205" s="1459">
        <v>0</v>
      </c>
      <c r="I205" s="1195" t="s">
        <v>262</v>
      </c>
      <c r="J205" s="1073" t="s">
        <v>748</v>
      </c>
      <c r="K205" s="1073" t="s">
        <v>6347</v>
      </c>
      <c r="L205" s="1392" t="s">
        <v>5920</v>
      </c>
      <c r="M205" s="1078" t="s">
        <v>6132</v>
      </c>
      <c r="N205" s="1120" t="s">
        <v>5458</v>
      </c>
      <c r="O205" s="1120" t="s">
        <v>748</v>
      </c>
      <c r="P205" s="1122">
        <v>1</v>
      </c>
      <c r="Q205" s="1122">
        <v>0</v>
      </c>
    </row>
    <row r="206" spans="1:17" ht="32.1" customHeight="1">
      <c r="A206" s="1052"/>
      <c r="B206" s="1155" t="s">
        <v>263</v>
      </c>
      <c r="C206" s="1459">
        <v>1</v>
      </c>
      <c r="D206" s="1459">
        <v>1</v>
      </c>
      <c r="E206" s="1459">
        <v>1</v>
      </c>
      <c r="F206" s="1459">
        <v>1</v>
      </c>
      <c r="G206" s="1459">
        <v>1</v>
      </c>
      <c r="H206" s="1459">
        <v>1</v>
      </c>
      <c r="I206" s="1195" t="s">
        <v>123</v>
      </c>
      <c r="J206" s="1073" t="s">
        <v>6628</v>
      </c>
      <c r="K206" s="1073" t="s">
        <v>6348</v>
      </c>
      <c r="L206" s="1071" t="s">
        <v>5921</v>
      </c>
      <c r="M206" s="1078" t="s">
        <v>6133</v>
      </c>
      <c r="N206" s="1117" t="s">
        <v>811</v>
      </c>
      <c r="O206" s="1117" t="s">
        <v>811</v>
      </c>
      <c r="P206" s="1122">
        <v>1</v>
      </c>
      <c r="Q206" s="1122">
        <v>0</v>
      </c>
    </row>
    <row r="207" spans="1:17" ht="32.1" customHeight="1">
      <c r="A207" s="1052"/>
      <c r="B207" s="1155" t="s">
        <v>264</v>
      </c>
      <c r="C207" s="1459">
        <v>1</v>
      </c>
      <c r="D207" s="1459">
        <v>1</v>
      </c>
      <c r="E207" s="1459">
        <v>1</v>
      </c>
      <c r="F207" s="1459">
        <v>0.5</v>
      </c>
      <c r="G207" s="1480">
        <v>1</v>
      </c>
      <c r="H207" s="1480">
        <v>1</v>
      </c>
      <c r="I207" s="1195" t="s">
        <v>123</v>
      </c>
      <c r="J207" s="1073" t="s">
        <v>6629</v>
      </c>
      <c r="K207" s="1073" t="s">
        <v>6349</v>
      </c>
      <c r="L207" s="1071" t="s">
        <v>5922</v>
      </c>
      <c r="M207" s="1078" t="s">
        <v>6134</v>
      </c>
      <c r="N207" s="1073" t="s">
        <v>811</v>
      </c>
      <c r="O207" s="1073" t="s">
        <v>811</v>
      </c>
      <c r="P207" s="1122">
        <v>1</v>
      </c>
      <c r="Q207" s="1122">
        <v>0</v>
      </c>
    </row>
    <row r="208" spans="1:17" ht="32.1" customHeight="1">
      <c r="A208" s="1052"/>
      <c r="B208" s="1155" t="s">
        <v>265</v>
      </c>
      <c r="C208" s="1459">
        <v>1</v>
      </c>
      <c r="D208" s="1459">
        <v>1</v>
      </c>
      <c r="E208" s="1459">
        <v>0</v>
      </c>
      <c r="F208" s="1459">
        <v>1</v>
      </c>
      <c r="G208" s="1459">
        <v>1</v>
      </c>
      <c r="H208" s="1459">
        <v>1</v>
      </c>
      <c r="I208" s="1195" t="s">
        <v>123</v>
      </c>
      <c r="J208" s="1073" t="s">
        <v>6630</v>
      </c>
      <c r="K208" s="1073" t="s">
        <v>6350</v>
      </c>
      <c r="L208" s="1071" t="s">
        <v>5923</v>
      </c>
      <c r="M208" s="1078" t="s">
        <v>6135</v>
      </c>
      <c r="N208" s="1117" t="s">
        <v>811</v>
      </c>
      <c r="O208" s="1117" t="s">
        <v>811</v>
      </c>
      <c r="P208" s="1122">
        <v>1</v>
      </c>
      <c r="Q208" s="1122">
        <v>0</v>
      </c>
    </row>
    <row r="209" spans="1:17" ht="32.1" customHeight="1">
      <c r="A209" s="1052"/>
      <c r="B209" s="1053" t="s">
        <v>266</v>
      </c>
      <c r="C209" s="1459">
        <v>0.5</v>
      </c>
      <c r="D209" s="1459">
        <v>0.5</v>
      </c>
      <c r="E209" s="1459">
        <v>0.5</v>
      </c>
      <c r="F209" s="1459">
        <v>1</v>
      </c>
      <c r="G209" s="1459">
        <v>1</v>
      </c>
      <c r="H209" s="1459">
        <v>0.5</v>
      </c>
      <c r="I209" s="1195" t="s">
        <v>267</v>
      </c>
      <c r="J209" s="1673" t="s">
        <v>6914</v>
      </c>
      <c r="K209" s="1394" t="s">
        <v>6351</v>
      </c>
      <c r="L209" s="1071" t="s">
        <v>5924</v>
      </c>
      <c r="M209" s="1078" t="s">
        <v>6136</v>
      </c>
      <c r="N209" s="1120" t="s">
        <v>5459</v>
      </c>
      <c r="O209" s="1120" t="s">
        <v>1002</v>
      </c>
      <c r="P209" s="1073">
        <v>1</v>
      </c>
      <c r="Q209" s="1073">
        <v>0</v>
      </c>
    </row>
    <row r="210" spans="1:17" ht="32.1" customHeight="1">
      <c r="A210" s="1052"/>
      <c r="B210" s="1053" t="s">
        <v>268</v>
      </c>
      <c r="C210" s="1459">
        <f t="shared" ref="C210:H210" si="51">AVERAGE(C211:C228)</f>
        <v>0.77777777777777779</v>
      </c>
      <c r="D210" s="1459">
        <f t="shared" si="51"/>
        <v>0.88888888888888884</v>
      </c>
      <c r="E210" s="1459">
        <f t="shared" si="51"/>
        <v>0.61111111111111116</v>
      </c>
      <c r="F210" s="1459">
        <f t="shared" si="51"/>
        <v>0.94444444444444442</v>
      </c>
      <c r="G210" s="1459">
        <f t="shared" si="51"/>
        <v>0.83333333333333337</v>
      </c>
      <c r="H210" s="1459">
        <f t="shared" si="51"/>
        <v>0.61111111111111116</v>
      </c>
      <c r="I210" s="1195"/>
      <c r="J210" s="1073"/>
      <c r="K210" s="1073"/>
      <c r="L210" s="1071" t="s">
        <v>5925</v>
      </c>
      <c r="M210" s="1073"/>
      <c r="N210" s="1187"/>
      <c r="O210" s="1187"/>
      <c r="P210" s="1122"/>
      <c r="Q210" s="1122"/>
    </row>
    <row r="211" spans="1:17" ht="32.1" customHeight="1">
      <c r="A211" s="1052"/>
      <c r="B211" s="1155" t="s">
        <v>269</v>
      </c>
      <c r="C211" s="1459">
        <v>1</v>
      </c>
      <c r="D211" s="1459">
        <v>1</v>
      </c>
      <c r="E211" s="1459">
        <v>1</v>
      </c>
      <c r="F211" s="1459">
        <v>1</v>
      </c>
      <c r="G211" s="1459">
        <v>1</v>
      </c>
      <c r="H211" s="1459">
        <v>1</v>
      </c>
      <c r="I211" s="1195" t="s">
        <v>123</v>
      </c>
      <c r="J211" s="1122" t="s">
        <v>960</v>
      </c>
      <c r="K211" s="1073" t="s">
        <v>6352</v>
      </c>
      <c r="L211" s="1071" t="s">
        <v>811</v>
      </c>
      <c r="M211" s="1073" t="s">
        <v>1003</v>
      </c>
      <c r="N211" s="1117" t="s">
        <v>811</v>
      </c>
      <c r="O211" s="1117" t="s">
        <v>811</v>
      </c>
      <c r="P211" s="1122">
        <v>1</v>
      </c>
      <c r="Q211" s="1122">
        <v>0</v>
      </c>
    </row>
    <row r="212" spans="1:17" ht="32.1" customHeight="1">
      <c r="A212" s="1052"/>
      <c r="B212" s="1385" t="s">
        <v>270</v>
      </c>
      <c r="C212" s="1459">
        <v>1</v>
      </c>
      <c r="D212" s="1459">
        <v>1</v>
      </c>
      <c r="E212" s="1459">
        <v>1</v>
      </c>
      <c r="F212" s="1459">
        <v>1</v>
      </c>
      <c r="G212" s="1459">
        <v>1</v>
      </c>
      <c r="H212" s="1459">
        <v>1</v>
      </c>
      <c r="I212" s="1195" t="s">
        <v>123</v>
      </c>
      <c r="J212" s="1122" t="s">
        <v>960</v>
      </c>
      <c r="K212" s="1073" t="s">
        <v>6353</v>
      </c>
      <c r="L212" s="1071" t="s">
        <v>811</v>
      </c>
      <c r="M212" s="1073" t="s">
        <v>1003</v>
      </c>
      <c r="N212" s="1117" t="s">
        <v>811</v>
      </c>
      <c r="O212" s="1117" t="s">
        <v>811</v>
      </c>
      <c r="P212" s="1122">
        <v>1</v>
      </c>
      <c r="Q212" s="1122">
        <v>0</v>
      </c>
    </row>
    <row r="213" spans="1:17" ht="32.1" customHeight="1">
      <c r="A213" s="1052"/>
      <c r="B213" s="1155" t="s">
        <v>271</v>
      </c>
      <c r="C213" s="1480">
        <v>1</v>
      </c>
      <c r="D213" s="1459">
        <v>1</v>
      </c>
      <c r="E213" s="1459">
        <v>0</v>
      </c>
      <c r="F213" s="1459">
        <v>1</v>
      </c>
      <c r="G213" s="1459">
        <v>1</v>
      </c>
      <c r="H213" s="1459">
        <v>1</v>
      </c>
      <c r="I213" s="1195" t="s">
        <v>123</v>
      </c>
      <c r="J213" s="1073" t="s">
        <v>960</v>
      </c>
      <c r="K213" s="1073" t="s">
        <v>6354</v>
      </c>
      <c r="L213" s="1071" t="s">
        <v>748</v>
      </c>
      <c r="M213" s="1073" t="s">
        <v>6137</v>
      </c>
      <c r="N213" s="1073" t="s">
        <v>811</v>
      </c>
      <c r="O213" s="1073" t="s">
        <v>811</v>
      </c>
      <c r="P213" s="1122">
        <v>1</v>
      </c>
      <c r="Q213" s="1122">
        <v>0</v>
      </c>
    </row>
    <row r="214" spans="1:17" ht="32.1" customHeight="1">
      <c r="A214" s="1052"/>
      <c r="B214" s="1155" t="s">
        <v>272</v>
      </c>
      <c r="C214" s="1459">
        <v>1</v>
      </c>
      <c r="D214" s="1459">
        <v>1</v>
      </c>
      <c r="E214" s="1459">
        <v>1</v>
      </c>
      <c r="F214" s="1459">
        <v>1</v>
      </c>
      <c r="G214" s="1459">
        <v>1</v>
      </c>
      <c r="H214" s="1459">
        <v>1</v>
      </c>
      <c r="I214" s="1195" t="s">
        <v>123</v>
      </c>
      <c r="J214" s="1122" t="s">
        <v>960</v>
      </c>
      <c r="K214" s="1073" t="s">
        <v>6355</v>
      </c>
      <c r="L214" s="1071" t="s">
        <v>811</v>
      </c>
      <c r="M214" s="1073" t="s">
        <v>1003</v>
      </c>
      <c r="N214" s="1188" t="s">
        <v>811</v>
      </c>
      <c r="O214" s="1188" t="s">
        <v>811</v>
      </c>
      <c r="P214" s="1122">
        <v>1</v>
      </c>
      <c r="Q214" s="1122">
        <v>0</v>
      </c>
    </row>
    <row r="215" spans="1:17" ht="32.1" customHeight="1">
      <c r="A215" s="1052"/>
      <c r="B215" s="1155" t="s">
        <v>273</v>
      </c>
      <c r="C215" s="1459">
        <v>1</v>
      </c>
      <c r="D215" s="1459">
        <v>1</v>
      </c>
      <c r="E215" s="1459">
        <v>1</v>
      </c>
      <c r="F215" s="1459">
        <v>1</v>
      </c>
      <c r="G215" s="1459">
        <v>1</v>
      </c>
      <c r="H215" s="1459">
        <v>1</v>
      </c>
      <c r="I215" s="1195" t="s">
        <v>123</v>
      </c>
      <c r="J215" s="1122" t="s">
        <v>4392</v>
      </c>
      <c r="K215" s="1073" t="s">
        <v>6356</v>
      </c>
      <c r="L215" s="1071" t="s">
        <v>811</v>
      </c>
      <c r="M215" s="1073" t="s">
        <v>6137</v>
      </c>
      <c r="N215" s="1117" t="s">
        <v>811</v>
      </c>
      <c r="O215" s="1117" t="s">
        <v>811</v>
      </c>
      <c r="P215" s="1122">
        <v>1</v>
      </c>
      <c r="Q215" s="1122">
        <v>0</v>
      </c>
    </row>
    <row r="216" spans="1:17" ht="32.1" customHeight="1">
      <c r="A216" s="1052"/>
      <c r="B216" s="1155" t="s">
        <v>274</v>
      </c>
      <c r="C216" s="1459">
        <v>0.5</v>
      </c>
      <c r="D216" s="1459">
        <v>0.5</v>
      </c>
      <c r="E216" s="1459">
        <v>0</v>
      </c>
      <c r="F216" s="1459">
        <v>1</v>
      </c>
      <c r="G216" s="1459">
        <v>0</v>
      </c>
      <c r="H216" s="1459">
        <v>0</v>
      </c>
      <c r="I216" s="1195" t="s">
        <v>123</v>
      </c>
      <c r="J216" s="1673" t="s">
        <v>6915</v>
      </c>
      <c r="K216" s="1394" t="s">
        <v>6735</v>
      </c>
      <c r="L216" s="1071" t="s">
        <v>748</v>
      </c>
      <c r="M216" s="1073" t="s">
        <v>6137</v>
      </c>
      <c r="N216" s="1117" t="s">
        <v>748</v>
      </c>
      <c r="O216" s="1117" t="s">
        <v>748</v>
      </c>
      <c r="P216" s="1122">
        <v>1</v>
      </c>
      <c r="Q216" s="1122">
        <v>0</v>
      </c>
    </row>
    <row r="217" spans="1:17" ht="32.1" customHeight="1">
      <c r="A217" s="1052"/>
      <c r="B217" s="1155" t="s">
        <v>275</v>
      </c>
      <c r="C217" s="1459">
        <v>0.5</v>
      </c>
      <c r="D217" s="1459">
        <v>0.5</v>
      </c>
      <c r="E217" s="1459">
        <v>0</v>
      </c>
      <c r="F217" s="1459">
        <v>1</v>
      </c>
      <c r="G217" s="1459">
        <v>0</v>
      </c>
      <c r="H217" s="1459">
        <v>0</v>
      </c>
      <c r="I217" s="1195" t="s">
        <v>123</v>
      </c>
      <c r="J217" s="1568" t="s">
        <v>6631</v>
      </c>
      <c r="K217" s="1588" t="s">
        <v>6885</v>
      </c>
      <c r="L217" s="1071" t="s">
        <v>748</v>
      </c>
      <c r="M217" s="1073" t="s">
        <v>6137</v>
      </c>
      <c r="N217" s="1073" t="s">
        <v>748</v>
      </c>
      <c r="O217" s="1073" t="s">
        <v>748</v>
      </c>
      <c r="P217" s="1122">
        <v>1</v>
      </c>
      <c r="Q217" s="1122">
        <v>0</v>
      </c>
    </row>
    <row r="218" spans="1:17" ht="32.1" customHeight="1">
      <c r="A218" s="1052"/>
      <c r="B218" s="1155" t="s">
        <v>276</v>
      </c>
      <c r="C218" s="1459">
        <v>1</v>
      </c>
      <c r="D218" s="1459">
        <v>1</v>
      </c>
      <c r="E218" s="1459">
        <v>1</v>
      </c>
      <c r="F218" s="1459">
        <v>1</v>
      </c>
      <c r="G218" s="1459">
        <v>1</v>
      </c>
      <c r="H218" s="1459">
        <v>1</v>
      </c>
      <c r="I218" s="1195" t="s">
        <v>123</v>
      </c>
      <c r="J218" s="1122" t="s">
        <v>960</v>
      </c>
      <c r="K218" s="1073" t="s">
        <v>6357</v>
      </c>
      <c r="L218" s="1071" t="s">
        <v>811</v>
      </c>
      <c r="M218" s="1073" t="s">
        <v>6137</v>
      </c>
      <c r="N218" s="1117" t="s">
        <v>811</v>
      </c>
      <c r="O218" s="1117" t="s">
        <v>748</v>
      </c>
      <c r="P218" s="1122">
        <v>1</v>
      </c>
      <c r="Q218" s="1122">
        <v>0</v>
      </c>
    </row>
    <row r="219" spans="1:17" ht="32.1" customHeight="1">
      <c r="A219" s="1052"/>
      <c r="B219" s="1155" t="s">
        <v>277</v>
      </c>
      <c r="C219" s="1459">
        <v>1</v>
      </c>
      <c r="D219" s="1459">
        <v>1</v>
      </c>
      <c r="E219" s="1459">
        <v>1</v>
      </c>
      <c r="F219" s="1459">
        <v>1</v>
      </c>
      <c r="G219" s="1459">
        <v>1</v>
      </c>
      <c r="H219" s="1459">
        <v>1</v>
      </c>
      <c r="I219" s="1195" t="s">
        <v>123</v>
      </c>
      <c r="J219" s="1122" t="s">
        <v>960</v>
      </c>
      <c r="K219" s="1073" t="s">
        <v>6358</v>
      </c>
      <c r="L219" s="1071" t="s">
        <v>811</v>
      </c>
      <c r="M219" s="1073" t="s">
        <v>1003</v>
      </c>
      <c r="N219" s="1117" t="s">
        <v>811</v>
      </c>
      <c r="O219" s="1117" t="s">
        <v>811</v>
      </c>
      <c r="P219" s="1122">
        <v>1</v>
      </c>
      <c r="Q219" s="1122">
        <v>0</v>
      </c>
    </row>
    <row r="220" spans="1:17" ht="32.1" customHeight="1">
      <c r="A220" s="1052"/>
      <c r="B220" s="1155" t="s">
        <v>278</v>
      </c>
      <c r="C220" s="1459">
        <v>1</v>
      </c>
      <c r="D220" s="1459">
        <v>1</v>
      </c>
      <c r="E220" s="1459">
        <v>1</v>
      </c>
      <c r="F220" s="1459">
        <v>1</v>
      </c>
      <c r="G220" s="1459">
        <v>1</v>
      </c>
      <c r="H220" s="1459">
        <v>1</v>
      </c>
      <c r="I220" s="1195" t="s">
        <v>123</v>
      </c>
      <c r="J220" s="1122" t="s">
        <v>960</v>
      </c>
      <c r="K220" s="1073" t="s">
        <v>6359</v>
      </c>
      <c r="L220" s="1071" t="s">
        <v>811</v>
      </c>
      <c r="M220" s="1073" t="s">
        <v>1003</v>
      </c>
      <c r="N220" s="1117" t="s">
        <v>811</v>
      </c>
      <c r="O220" s="1117" t="s">
        <v>811</v>
      </c>
      <c r="P220" s="1122">
        <v>1</v>
      </c>
      <c r="Q220" s="1122">
        <v>0</v>
      </c>
    </row>
    <row r="221" spans="1:17" ht="32.1" customHeight="1">
      <c r="A221" s="1052"/>
      <c r="B221" s="1155" t="s">
        <v>279</v>
      </c>
      <c r="C221" s="1459">
        <v>1</v>
      </c>
      <c r="D221" s="1459">
        <v>1</v>
      </c>
      <c r="E221" s="1459">
        <v>1</v>
      </c>
      <c r="F221" s="1459">
        <v>1</v>
      </c>
      <c r="G221" s="1459">
        <v>1</v>
      </c>
      <c r="H221" s="1459">
        <v>1</v>
      </c>
      <c r="I221" s="1195" t="s">
        <v>123</v>
      </c>
      <c r="J221" s="1122" t="s">
        <v>960</v>
      </c>
      <c r="K221" s="1073" t="s">
        <v>6359</v>
      </c>
      <c r="L221" s="1071" t="s">
        <v>811</v>
      </c>
      <c r="M221" s="1073" t="s">
        <v>1003</v>
      </c>
      <c r="N221" s="1117" t="s">
        <v>811</v>
      </c>
      <c r="O221" s="1117" t="s">
        <v>811</v>
      </c>
      <c r="P221" s="1122">
        <v>1</v>
      </c>
      <c r="Q221" s="1122">
        <v>0</v>
      </c>
    </row>
    <row r="222" spans="1:17" ht="32.1" customHeight="1">
      <c r="A222" s="1052"/>
      <c r="B222" s="1155" t="s">
        <v>280</v>
      </c>
      <c r="C222" s="1459">
        <v>1</v>
      </c>
      <c r="D222" s="1459">
        <v>1</v>
      </c>
      <c r="E222" s="1459">
        <v>1</v>
      </c>
      <c r="F222" s="1459">
        <v>1</v>
      </c>
      <c r="G222" s="1459">
        <v>1</v>
      </c>
      <c r="H222" s="1459">
        <v>1</v>
      </c>
      <c r="I222" s="1195" t="s">
        <v>123</v>
      </c>
      <c r="J222" s="1122" t="s">
        <v>960</v>
      </c>
      <c r="K222" s="1073" t="s">
        <v>6359</v>
      </c>
      <c r="L222" s="1071" t="s">
        <v>811</v>
      </c>
      <c r="M222" s="1073" t="s">
        <v>1003</v>
      </c>
      <c r="N222" s="1117" t="s">
        <v>811</v>
      </c>
      <c r="O222" s="1117" t="s">
        <v>811</v>
      </c>
      <c r="P222" s="1122">
        <v>1</v>
      </c>
      <c r="Q222" s="1122">
        <v>0</v>
      </c>
    </row>
    <row r="223" spans="1:17" ht="32.1" customHeight="1">
      <c r="A223" s="1052"/>
      <c r="B223" s="1155" t="s">
        <v>281</v>
      </c>
      <c r="C223" s="1459">
        <v>1</v>
      </c>
      <c r="D223" s="1459">
        <v>1</v>
      </c>
      <c r="E223" s="1459">
        <v>0</v>
      </c>
      <c r="F223" s="1459">
        <v>1</v>
      </c>
      <c r="G223" s="1459">
        <v>1</v>
      </c>
      <c r="H223" s="1459">
        <v>0</v>
      </c>
      <c r="I223" s="1195" t="s">
        <v>123</v>
      </c>
      <c r="J223" s="1122" t="s">
        <v>960</v>
      </c>
      <c r="K223" s="1394" t="s">
        <v>6359</v>
      </c>
      <c r="L223" s="1071" t="s">
        <v>748</v>
      </c>
      <c r="M223" s="1073" t="s">
        <v>6137</v>
      </c>
      <c r="N223" s="1073" t="s">
        <v>811</v>
      </c>
      <c r="O223" s="1073" t="s">
        <v>748</v>
      </c>
      <c r="P223" s="1122">
        <v>1</v>
      </c>
      <c r="Q223" s="1122">
        <v>0</v>
      </c>
    </row>
    <row r="224" spans="1:17" ht="32.1" customHeight="1">
      <c r="A224" s="1052"/>
      <c r="B224" s="1155" t="s">
        <v>282</v>
      </c>
      <c r="C224" s="1459">
        <v>1</v>
      </c>
      <c r="D224" s="1459">
        <v>1</v>
      </c>
      <c r="E224" s="1459">
        <v>1</v>
      </c>
      <c r="F224" s="1459">
        <v>1</v>
      </c>
      <c r="G224" s="1459">
        <v>1</v>
      </c>
      <c r="H224" s="1459">
        <v>0</v>
      </c>
      <c r="I224" s="1195" t="s">
        <v>123</v>
      </c>
      <c r="J224" s="1122" t="s">
        <v>960</v>
      </c>
      <c r="K224" s="1073" t="s">
        <v>6359</v>
      </c>
      <c r="L224" s="1071" t="s">
        <v>811</v>
      </c>
      <c r="M224" s="1073" t="s">
        <v>1003</v>
      </c>
      <c r="N224" s="1117" t="s">
        <v>811</v>
      </c>
      <c r="O224" s="1117" t="s">
        <v>748</v>
      </c>
      <c r="P224" s="1122">
        <v>1</v>
      </c>
      <c r="Q224" s="1122">
        <v>0</v>
      </c>
    </row>
    <row r="225" spans="1:17" ht="32.1" customHeight="1">
      <c r="A225" s="1052"/>
      <c r="B225" s="1155" t="s">
        <v>283</v>
      </c>
      <c r="C225" s="1459">
        <v>0</v>
      </c>
      <c r="D225" s="1459">
        <v>1</v>
      </c>
      <c r="E225" s="1459">
        <v>0</v>
      </c>
      <c r="F225" s="1459">
        <v>1</v>
      </c>
      <c r="G225" s="1459">
        <v>1</v>
      </c>
      <c r="H225" s="1459">
        <v>0</v>
      </c>
      <c r="I225" s="1195" t="s">
        <v>123</v>
      </c>
      <c r="J225" s="1122" t="s">
        <v>1060</v>
      </c>
      <c r="K225" s="1394" t="s">
        <v>6359</v>
      </c>
      <c r="L225" s="1071" t="s">
        <v>748</v>
      </c>
      <c r="M225" s="1073" t="s">
        <v>6137</v>
      </c>
      <c r="N225" s="1117" t="s">
        <v>811</v>
      </c>
      <c r="O225" s="1117" t="s">
        <v>748</v>
      </c>
      <c r="P225" s="1122">
        <v>1</v>
      </c>
      <c r="Q225" s="1122">
        <v>0</v>
      </c>
    </row>
    <row r="226" spans="1:17" ht="32.1" customHeight="1">
      <c r="A226" s="1052"/>
      <c r="B226" s="1155" t="s">
        <v>284</v>
      </c>
      <c r="C226" s="1459">
        <v>1</v>
      </c>
      <c r="D226" s="1459">
        <v>1</v>
      </c>
      <c r="E226" s="1459">
        <v>1</v>
      </c>
      <c r="F226" s="1459">
        <v>1</v>
      </c>
      <c r="G226" s="1459">
        <v>1</v>
      </c>
      <c r="H226" s="1459">
        <v>1</v>
      </c>
      <c r="I226" s="1195" t="s">
        <v>123</v>
      </c>
      <c r="J226" s="1073" t="s">
        <v>6632</v>
      </c>
      <c r="K226" s="1073" t="s">
        <v>6360</v>
      </c>
      <c r="L226" s="1071" t="s">
        <v>811</v>
      </c>
      <c r="M226" s="1073" t="s">
        <v>6138</v>
      </c>
      <c r="N226" s="1073" t="s">
        <v>811</v>
      </c>
      <c r="O226" s="1073" t="s">
        <v>811</v>
      </c>
      <c r="P226" s="1122">
        <v>1</v>
      </c>
      <c r="Q226" s="1122">
        <v>0</v>
      </c>
    </row>
    <row r="227" spans="1:17" ht="32.1" customHeight="1">
      <c r="A227" s="1052"/>
      <c r="B227" s="1155" t="s">
        <v>285</v>
      </c>
      <c r="C227" s="1459">
        <v>0</v>
      </c>
      <c r="D227" s="1459">
        <v>0</v>
      </c>
      <c r="E227" s="1459">
        <v>0</v>
      </c>
      <c r="F227" s="1459">
        <v>0</v>
      </c>
      <c r="G227" s="1459">
        <v>0</v>
      </c>
      <c r="H227" s="1459">
        <v>0</v>
      </c>
      <c r="I227" s="1195" t="s">
        <v>123</v>
      </c>
      <c r="J227" s="1122" t="s">
        <v>1060</v>
      </c>
      <c r="K227" s="1073" t="s">
        <v>6361</v>
      </c>
      <c r="L227" s="1071" t="s">
        <v>748</v>
      </c>
      <c r="M227" s="1073" t="s">
        <v>748</v>
      </c>
      <c r="N227" s="1117" t="s">
        <v>748</v>
      </c>
      <c r="O227" s="1117" t="s">
        <v>748</v>
      </c>
      <c r="P227" s="1122">
        <v>1</v>
      </c>
      <c r="Q227" s="1122">
        <v>0</v>
      </c>
    </row>
    <row r="228" spans="1:17" ht="32.1" customHeight="1">
      <c r="A228" s="1052"/>
      <c r="B228" s="1155" t="s">
        <v>286</v>
      </c>
      <c r="C228" s="1459">
        <v>0</v>
      </c>
      <c r="D228" s="1459">
        <v>1</v>
      </c>
      <c r="E228" s="1459">
        <v>0</v>
      </c>
      <c r="F228" s="1459">
        <v>1</v>
      </c>
      <c r="G228" s="1459">
        <v>1</v>
      </c>
      <c r="H228" s="1459">
        <v>0</v>
      </c>
      <c r="I228" s="1195"/>
      <c r="J228" s="1122" t="s">
        <v>1060</v>
      </c>
      <c r="K228" s="1073" t="s">
        <v>6362</v>
      </c>
      <c r="L228" s="1071" t="s">
        <v>748</v>
      </c>
      <c r="M228" s="1073" t="s">
        <v>6137</v>
      </c>
      <c r="N228" s="1120" t="s">
        <v>811</v>
      </c>
      <c r="O228" s="1120" t="s">
        <v>748</v>
      </c>
      <c r="P228" s="1122">
        <v>1</v>
      </c>
      <c r="Q228" s="1122">
        <v>0</v>
      </c>
    </row>
    <row r="229" spans="1:17" ht="32.1" customHeight="1">
      <c r="A229" s="1052"/>
      <c r="B229" s="1053" t="s">
        <v>287</v>
      </c>
      <c r="C229" s="1459">
        <v>1</v>
      </c>
      <c r="D229" s="1459">
        <v>1</v>
      </c>
      <c r="E229" s="1459">
        <v>0</v>
      </c>
      <c r="F229" s="1480">
        <v>1</v>
      </c>
      <c r="G229" s="1459">
        <v>0</v>
      </c>
      <c r="H229" s="1459">
        <v>0</v>
      </c>
      <c r="I229" s="1763" t="s">
        <v>288</v>
      </c>
      <c r="J229" s="1189" t="s">
        <v>960</v>
      </c>
      <c r="K229" s="1073" t="s">
        <v>6363</v>
      </c>
      <c r="L229" s="1071" t="s">
        <v>5926</v>
      </c>
      <c r="M229" s="1078" t="s">
        <v>1014</v>
      </c>
      <c r="N229" s="1117" t="s">
        <v>748</v>
      </c>
      <c r="O229" s="1120" t="s">
        <v>1060</v>
      </c>
      <c r="P229" s="1122">
        <v>1</v>
      </c>
      <c r="Q229" s="1122">
        <v>0</v>
      </c>
    </row>
    <row r="230" spans="1:17" ht="32.1" customHeight="1">
      <c r="A230" s="1052"/>
      <c r="B230" s="1053" t="s">
        <v>289</v>
      </c>
      <c r="C230" s="1459">
        <f t="shared" ref="C230:H230" si="52">AVERAGE(C231:C236)</f>
        <v>0.91666666666666663</v>
      </c>
      <c r="D230" s="1459">
        <f t="shared" si="52"/>
        <v>1</v>
      </c>
      <c r="E230" s="1459">
        <f t="shared" si="52"/>
        <v>0.25</v>
      </c>
      <c r="F230" s="1459">
        <f t="shared" si="52"/>
        <v>0.66666666666666663</v>
      </c>
      <c r="G230" s="1459">
        <f t="shared" si="52"/>
        <v>0.75</v>
      </c>
      <c r="H230" s="1459">
        <f t="shared" si="52"/>
        <v>0.41666666666666669</v>
      </c>
      <c r="I230" s="1195"/>
      <c r="J230" s="1073"/>
      <c r="L230" s="1071"/>
      <c r="M230" s="1120"/>
      <c r="N230" s="1073"/>
      <c r="O230" s="1073"/>
      <c r="P230" s="1122"/>
      <c r="Q230" s="1122"/>
    </row>
    <row r="231" spans="1:17" ht="32.1" customHeight="1">
      <c r="A231" s="1052"/>
      <c r="B231" s="1155" t="s">
        <v>290</v>
      </c>
      <c r="C231" s="1459">
        <v>1</v>
      </c>
      <c r="D231" s="1480">
        <v>1</v>
      </c>
      <c r="E231" s="1480">
        <v>0.5</v>
      </c>
      <c r="F231" s="1480">
        <v>1</v>
      </c>
      <c r="G231" s="1480">
        <v>1</v>
      </c>
      <c r="H231" s="1480">
        <v>0.5</v>
      </c>
      <c r="I231" s="1763" t="s">
        <v>291</v>
      </c>
      <c r="J231" s="1120" t="s">
        <v>960</v>
      </c>
      <c r="K231" s="1073" t="s">
        <v>6364</v>
      </c>
      <c r="L231" s="1071" t="s">
        <v>5927</v>
      </c>
      <c r="M231" s="1120" t="s">
        <v>6139</v>
      </c>
      <c r="N231" s="1120" t="s">
        <v>811</v>
      </c>
      <c r="O231" s="1120" t="s">
        <v>5677</v>
      </c>
      <c r="P231" s="1122">
        <v>1</v>
      </c>
      <c r="Q231" s="1122">
        <v>0</v>
      </c>
    </row>
    <row r="232" spans="1:17" ht="32.1" customHeight="1">
      <c r="A232" s="1052"/>
      <c r="B232" s="1155" t="s">
        <v>292</v>
      </c>
      <c r="C232" s="1459">
        <v>1</v>
      </c>
      <c r="D232" s="1459">
        <v>1</v>
      </c>
      <c r="E232" s="1459">
        <v>1</v>
      </c>
      <c r="F232" s="1459">
        <v>1</v>
      </c>
      <c r="G232" s="1459">
        <v>1</v>
      </c>
      <c r="H232" s="1459">
        <v>0.5</v>
      </c>
      <c r="I232" s="1763" t="s">
        <v>293</v>
      </c>
      <c r="J232" s="1120" t="s">
        <v>960</v>
      </c>
      <c r="K232" s="1073" t="s">
        <v>6365</v>
      </c>
      <c r="L232" s="1071" t="s">
        <v>748</v>
      </c>
      <c r="M232" s="1120" t="s">
        <v>6140</v>
      </c>
      <c r="N232" s="1120" t="s">
        <v>811</v>
      </c>
      <c r="O232" s="1120" t="s">
        <v>5677</v>
      </c>
      <c r="P232" s="1122">
        <v>1</v>
      </c>
      <c r="Q232" s="1122">
        <v>0</v>
      </c>
    </row>
    <row r="233" spans="1:17" ht="32.1" customHeight="1">
      <c r="A233" s="1052"/>
      <c r="B233" s="1155" t="s">
        <v>294</v>
      </c>
      <c r="C233" s="1459">
        <v>1</v>
      </c>
      <c r="D233" s="1459">
        <v>1</v>
      </c>
      <c r="E233" s="1459">
        <v>0</v>
      </c>
      <c r="F233" s="1459">
        <v>0</v>
      </c>
      <c r="G233" s="1480">
        <v>0.5</v>
      </c>
      <c r="H233" s="1480">
        <v>0.5</v>
      </c>
      <c r="I233" s="1195" t="s">
        <v>211</v>
      </c>
      <c r="J233" s="1120" t="s">
        <v>960</v>
      </c>
      <c r="K233" s="1073" t="s">
        <v>6366</v>
      </c>
      <c r="L233" s="1071" t="s">
        <v>748</v>
      </c>
      <c r="M233" s="1120" t="s">
        <v>6141</v>
      </c>
      <c r="N233" s="1117" t="s">
        <v>1024</v>
      </c>
      <c r="O233" s="1117" t="s">
        <v>5677</v>
      </c>
      <c r="P233" s="1122">
        <v>1</v>
      </c>
      <c r="Q233" s="1122">
        <v>0</v>
      </c>
    </row>
    <row r="234" spans="1:17" ht="32.1" customHeight="1">
      <c r="A234" s="1052"/>
      <c r="B234" s="1155" t="s">
        <v>295</v>
      </c>
      <c r="C234" s="1459">
        <v>1</v>
      </c>
      <c r="D234" s="1459">
        <v>1</v>
      </c>
      <c r="E234" s="1459">
        <v>0</v>
      </c>
      <c r="F234" s="1459">
        <v>1</v>
      </c>
      <c r="G234" s="1459">
        <v>0</v>
      </c>
      <c r="H234" s="1459">
        <v>0</v>
      </c>
      <c r="I234" s="1195" t="s">
        <v>123</v>
      </c>
      <c r="J234" s="1073" t="s">
        <v>960</v>
      </c>
      <c r="K234" s="1073" t="s">
        <v>6367</v>
      </c>
      <c r="L234" s="1071" t="s">
        <v>748</v>
      </c>
      <c r="M234" s="1120" t="s">
        <v>6142</v>
      </c>
      <c r="N234" s="1117" t="s">
        <v>748</v>
      </c>
      <c r="O234" s="1117" t="s">
        <v>748</v>
      </c>
      <c r="P234" s="1122">
        <v>1</v>
      </c>
      <c r="Q234" s="1122">
        <v>0</v>
      </c>
    </row>
    <row r="235" spans="1:17" ht="32.1" customHeight="1">
      <c r="A235" s="1052"/>
      <c r="B235" s="1155" t="s">
        <v>296</v>
      </c>
      <c r="C235" s="1459">
        <v>1</v>
      </c>
      <c r="D235" s="1459">
        <v>1</v>
      </c>
      <c r="E235" s="1459">
        <v>0</v>
      </c>
      <c r="F235" s="1459">
        <v>1</v>
      </c>
      <c r="G235" s="1459">
        <v>1</v>
      </c>
      <c r="H235" s="1459">
        <v>1</v>
      </c>
      <c r="I235" s="1195" t="s">
        <v>211</v>
      </c>
      <c r="J235" s="1073" t="s">
        <v>960</v>
      </c>
      <c r="K235" s="1073" t="s">
        <v>6368</v>
      </c>
      <c r="L235" s="1071" t="s">
        <v>748</v>
      </c>
      <c r="M235" s="1120" t="s">
        <v>6143</v>
      </c>
      <c r="N235" s="1117" t="s">
        <v>811</v>
      </c>
      <c r="O235" s="1117" t="s">
        <v>5677</v>
      </c>
      <c r="P235" s="1122">
        <v>1</v>
      </c>
      <c r="Q235" s="1122">
        <v>0</v>
      </c>
    </row>
    <row r="236" spans="1:17" ht="32.1" customHeight="1">
      <c r="A236" s="1052"/>
      <c r="B236" s="1155" t="s">
        <v>297</v>
      </c>
      <c r="C236" s="1459">
        <v>0.5</v>
      </c>
      <c r="D236" s="1459">
        <v>1</v>
      </c>
      <c r="E236" s="1459">
        <v>0</v>
      </c>
      <c r="F236" s="1459">
        <v>0</v>
      </c>
      <c r="G236" s="1459">
        <v>1</v>
      </c>
      <c r="H236" s="1459">
        <v>0</v>
      </c>
      <c r="I236" s="1195" t="s">
        <v>123</v>
      </c>
      <c r="J236" s="1588" t="s">
        <v>6633</v>
      </c>
      <c r="K236" s="1394" t="s">
        <v>6369</v>
      </c>
      <c r="L236" s="1071" t="s">
        <v>748</v>
      </c>
      <c r="M236" s="1191" t="s">
        <v>763</v>
      </c>
      <c r="N236" s="1117" t="s">
        <v>811</v>
      </c>
      <c r="O236" s="1117" t="s">
        <v>748</v>
      </c>
      <c r="P236" s="1122">
        <v>1</v>
      </c>
      <c r="Q236" s="1122">
        <v>0</v>
      </c>
    </row>
    <row r="237" spans="1:17" ht="32.1" customHeight="1">
      <c r="A237" s="1052"/>
      <c r="B237" s="1053" t="s">
        <v>298</v>
      </c>
      <c r="C237" s="1459">
        <f t="shared" ref="C237:H237" si="53">AVERAGE(C238:C240)</f>
        <v>0.33333333333333331</v>
      </c>
      <c r="D237" s="1459">
        <f t="shared" si="53"/>
        <v>1</v>
      </c>
      <c r="E237" s="1459">
        <f t="shared" si="53"/>
        <v>0</v>
      </c>
      <c r="F237" s="1459">
        <f t="shared" si="53"/>
        <v>1</v>
      </c>
      <c r="G237" s="1459">
        <f t="shared" si="53"/>
        <v>0</v>
      </c>
      <c r="H237" s="1459">
        <f t="shared" si="53"/>
        <v>0</v>
      </c>
      <c r="I237" s="1195"/>
      <c r="J237" s="1073"/>
      <c r="L237" s="1079"/>
      <c r="M237" s="1073"/>
      <c r="N237" s="1073"/>
      <c r="O237" s="1073"/>
      <c r="P237" s="1122"/>
      <c r="Q237" s="1122"/>
    </row>
    <row r="238" spans="1:17" ht="32.1" customHeight="1">
      <c r="A238" s="1052"/>
      <c r="B238" s="1155" t="s">
        <v>299</v>
      </c>
      <c r="C238" s="1459">
        <v>1</v>
      </c>
      <c r="D238" s="1459">
        <v>1</v>
      </c>
      <c r="E238" s="1459">
        <v>0</v>
      </c>
      <c r="F238" s="1480">
        <v>1</v>
      </c>
      <c r="G238" s="1459">
        <v>0</v>
      </c>
      <c r="H238" s="1459">
        <v>0</v>
      </c>
      <c r="I238" s="1763" t="s">
        <v>293</v>
      </c>
      <c r="J238" s="1073" t="s">
        <v>960</v>
      </c>
      <c r="K238" s="1073" t="s">
        <v>6370</v>
      </c>
      <c r="L238" s="1079" t="s">
        <v>748</v>
      </c>
      <c r="M238" s="1134" t="s">
        <v>6144</v>
      </c>
      <c r="N238" s="1117" t="s">
        <v>748</v>
      </c>
      <c r="O238" s="1117" t="s">
        <v>748</v>
      </c>
      <c r="P238" s="1122">
        <v>1</v>
      </c>
      <c r="Q238" s="1122">
        <v>0</v>
      </c>
    </row>
    <row r="239" spans="1:17" ht="32.1" customHeight="1">
      <c r="A239" s="1052"/>
      <c r="B239" s="1155" t="s">
        <v>300</v>
      </c>
      <c r="C239" s="1459">
        <v>0</v>
      </c>
      <c r="D239" s="1459">
        <v>1</v>
      </c>
      <c r="E239" s="1459">
        <v>0</v>
      </c>
      <c r="F239" s="1459">
        <v>1</v>
      </c>
      <c r="G239" s="1459">
        <v>0</v>
      </c>
      <c r="H239" s="1459">
        <v>0</v>
      </c>
      <c r="I239" s="1195" t="s">
        <v>123</v>
      </c>
      <c r="J239" s="1122" t="s">
        <v>1060</v>
      </c>
      <c r="K239" s="1073" t="s">
        <v>6370</v>
      </c>
      <c r="L239" s="1079" t="s">
        <v>748</v>
      </c>
      <c r="M239" s="1134" t="s">
        <v>6144</v>
      </c>
      <c r="N239" s="1117" t="s">
        <v>748</v>
      </c>
      <c r="O239" s="1117" t="s">
        <v>748</v>
      </c>
      <c r="P239" s="1122">
        <v>1</v>
      </c>
      <c r="Q239" s="1122">
        <v>0</v>
      </c>
    </row>
    <row r="240" spans="1:17" ht="32.1" customHeight="1">
      <c r="A240" s="1052"/>
      <c r="B240" s="1155" t="s">
        <v>301</v>
      </c>
      <c r="C240" s="1459">
        <v>0</v>
      </c>
      <c r="D240" s="1459">
        <v>1</v>
      </c>
      <c r="E240" s="1459">
        <v>0</v>
      </c>
      <c r="F240" s="1459">
        <v>1</v>
      </c>
      <c r="G240" s="1459">
        <v>0</v>
      </c>
      <c r="H240" s="1459">
        <v>0</v>
      </c>
      <c r="I240" s="1195" t="s">
        <v>123</v>
      </c>
      <c r="J240" s="1073" t="s">
        <v>1060</v>
      </c>
      <c r="K240" s="1073" t="s">
        <v>6370</v>
      </c>
      <c r="L240" s="1071" t="s">
        <v>5928</v>
      </c>
      <c r="M240" s="1073" t="s">
        <v>1068</v>
      </c>
      <c r="N240" s="1117" t="s">
        <v>748</v>
      </c>
      <c r="O240" s="1117" t="s">
        <v>748</v>
      </c>
      <c r="P240" s="1122">
        <v>1</v>
      </c>
      <c r="Q240" s="1122">
        <v>0</v>
      </c>
    </row>
    <row r="241" spans="1:17" ht="32.1" customHeight="1">
      <c r="A241" s="1052"/>
      <c r="B241" s="1151" t="s">
        <v>302</v>
      </c>
      <c r="C241" s="1459">
        <f t="shared" ref="C241:H241" si="54">AVERAGE(C242:C243)</f>
        <v>1</v>
      </c>
      <c r="D241" s="1459">
        <f t="shared" si="54"/>
        <v>1</v>
      </c>
      <c r="E241" s="1459">
        <f t="shared" si="54"/>
        <v>1</v>
      </c>
      <c r="F241" s="1459">
        <f t="shared" si="54"/>
        <v>1</v>
      </c>
      <c r="G241" s="1459">
        <f t="shared" si="54"/>
        <v>1</v>
      </c>
      <c r="H241" s="1459">
        <f t="shared" si="54"/>
        <v>1</v>
      </c>
      <c r="I241" s="1195"/>
      <c r="J241" s="1073"/>
      <c r="K241" s="1073"/>
      <c r="L241" s="1071"/>
      <c r="M241" s="1117"/>
      <c r="N241" s="1073"/>
      <c r="O241" s="1073"/>
      <c r="P241" s="1122"/>
      <c r="Q241" s="1122"/>
    </row>
    <row r="242" spans="1:17" ht="32.1" customHeight="1">
      <c r="A242" s="1052"/>
      <c r="B242" s="1155" t="s">
        <v>303</v>
      </c>
      <c r="C242" s="1459">
        <v>1</v>
      </c>
      <c r="D242" s="1459">
        <v>1</v>
      </c>
      <c r="E242" s="1459">
        <v>1</v>
      </c>
      <c r="F242" s="1459">
        <v>1</v>
      </c>
      <c r="G242" s="1459">
        <v>1</v>
      </c>
      <c r="H242" s="1459">
        <v>1</v>
      </c>
      <c r="I242" s="1195" t="s">
        <v>123</v>
      </c>
      <c r="J242" s="1122" t="s">
        <v>960</v>
      </c>
      <c r="K242" s="1073" t="s">
        <v>6371</v>
      </c>
      <c r="L242" s="1071" t="s">
        <v>811</v>
      </c>
      <c r="M242" s="1078" t="s">
        <v>1035</v>
      </c>
      <c r="N242" s="1117" t="s">
        <v>811</v>
      </c>
      <c r="O242" s="1117" t="s">
        <v>811</v>
      </c>
      <c r="P242" s="1122">
        <v>1</v>
      </c>
      <c r="Q242" s="1122">
        <v>0</v>
      </c>
    </row>
    <row r="243" spans="1:17" ht="32.1" customHeight="1">
      <c r="A243" s="1052"/>
      <c r="B243" s="1155" t="s">
        <v>304</v>
      </c>
      <c r="C243" s="1459">
        <v>1</v>
      </c>
      <c r="D243" s="1459">
        <v>1</v>
      </c>
      <c r="E243" s="1459">
        <v>1</v>
      </c>
      <c r="F243" s="1459">
        <v>1</v>
      </c>
      <c r="G243" s="1459">
        <v>1</v>
      </c>
      <c r="H243" s="1459">
        <v>1</v>
      </c>
      <c r="I243" s="1195" t="s">
        <v>123</v>
      </c>
      <c r="J243" s="1122" t="s">
        <v>960</v>
      </c>
      <c r="K243" s="1073" t="s">
        <v>6371</v>
      </c>
      <c r="L243" s="1071" t="s">
        <v>811</v>
      </c>
      <c r="M243" s="1078" t="s">
        <v>1035</v>
      </c>
      <c r="N243" s="1117" t="s">
        <v>811</v>
      </c>
      <c r="O243" s="1117" t="s">
        <v>811</v>
      </c>
      <c r="P243" s="1122">
        <v>1</v>
      </c>
      <c r="Q243" s="1122">
        <v>0</v>
      </c>
    </row>
    <row r="244" spans="1:17" ht="32.1" customHeight="1">
      <c r="A244" s="1052"/>
      <c r="B244" s="1151" t="s">
        <v>305</v>
      </c>
      <c r="C244" s="1459">
        <f t="shared" ref="C244:H244" si="55">AVERAGE(C245:C249)</f>
        <v>1</v>
      </c>
      <c r="D244" s="1459">
        <f t="shared" si="55"/>
        <v>1</v>
      </c>
      <c r="E244" s="1459">
        <f t="shared" si="55"/>
        <v>0.8</v>
      </c>
      <c r="F244" s="1459">
        <f t="shared" si="55"/>
        <v>0.9</v>
      </c>
      <c r="G244" s="1459">
        <f t="shared" si="55"/>
        <v>1</v>
      </c>
      <c r="H244" s="1459">
        <f t="shared" si="55"/>
        <v>1</v>
      </c>
      <c r="I244" s="1195"/>
      <c r="J244" s="1073"/>
      <c r="K244" s="1073"/>
      <c r="L244" s="1071" t="s">
        <v>5929</v>
      </c>
      <c r="M244" s="1073"/>
      <c r="N244" s="1073"/>
      <c r="O244" s="1073"/>
      <c r="P244" s="1122"/>
      <c r="Q244" s="1122"/>
    </row>
    <row r="245" spans="1:17" ht="32.1" customHeight="1">
      <c r="A245" s="1052"/>
      <c r="B245" s="1155" t="s">
        <v>306</v>
      </c>
      <c r="C245" s="1459">
        <v>1</v>
      </c>
      <c r="D245" s="1459">
        <v>1</v>
      </c>
      <c r="E245" s="1459">
        <v>1</v>
      </c>
      <c r="F245" s="1480">
        <v>1</v>
      </c>
      <c r="G245" s="1459">
        <v>1</v>
      </c>
      <c r="H245" s="1459">
        <v>1</v>
      </c>
      <c r="I245" s="1195" t="s">
        <v>123</v>
      </c>
      <c r="J245" s="1122" t="s">
        <v>960</v>
      </c>
      <c r="K245" s="1073" t="s">
        <v>6372</v>
      </c>
      <c r="L245" s="1071" t="s">
        <v>5930</v>
      </c>
      <c r="M245" s="1078" t="s">
        <v>1037</v>
      </c>
      <c r="N245" s="1117" t="s">
        <v>811</v>
      </c>
      <c r="O245" s="1117" t="s">
        <v>811</v>
      </c>
      <c r="P245" s="1122">
        <v>1</v>
      </c>
      <c r="Q245" s="1122">
        <v>0</v>
      </c>
    </row>
    <row r="246" spans="1:17" ht="32.1" customHeight="1">
      <c r="A246" s="1052"/>
      <c r="B246" s="1155" t="s">
        <v>307</v>
      </c>
      <c r="C246" s="1459">
        <v>1</v>
      </c>
      <c r="D246" s="1459">
        <v>1</v>
      </c>
      <c r="E246" s="1459">
        <v>1</v>
      </c>
      <c r="F246" s="1459">
        <v>1</v>
      </c>
      <c r="G246" s="1459">
        <v>1</v>
      </c>
      <c r="H246" s="1459">
        <v>1</v>
      </c>
      <c r="I246" s="1195" t="s">
        <v>123</v>
      </c>
      <c r="J246" s="1122" t="s">
        <v>960</v>
      </c>
      <c r="K246" s="1073" t="s">
        <v>6373</v>
      </c>
      <c r="L246" s="1071" t="s">
        <v>5931</v>
      </c>
      <c r="M246" s="1078" t="s">
        <v>1039</v>
      </c>
      <c r="N246" s="1117" t="s">
        <v>811</v>
      </c>
      <c r="O246" s="1117" t="s">
        <v>811</v>
      </c>
      <c r="P246" s="1122">
        <v>1</v>
      </c>
      <c r="Q246" s="1122">
        <v>0</v>
      </c>
    </row>
    <row r="247" spans="1:17" ht="32.1" customHeight="1">
      <c r="A247" s="1052"/>
      <c r="B247" s="1155" t="s">
        <v>308</v>
      </c>
      <c r="C247" s="1459">
        <v>1</v>
      </c>
      <c r="D247" s="1459">
        <v>1</v>
      </c>
      <c r="E247" s="1459">
        <v>1</v>
      </c>
      <c r="F247" s="1459">
        <v>0.5</v>
      </c>
      <c r="G247" s="1459">
        <v>1</v>
      </c>
      <c r="H247" s="1459">
        <v>1</v>
      </c>
      <c r="I247" s="1195" t="s">
        <v>123</v>
      </c>
      <c r="J247" s="1122" t="s">
        <v>960</v>
      </c>
      <c r="K247" s="1073" t="s">
        <v>6359</v>
      </c>
      <c r="L247" s="1071" t="s">
        <v>811</v>
      </c>
      <c r="M247" s="1078" t="s">
        <v>6145</v>
      </c>
      <c r="N247" s="1117" t="s">
        <v>811</v>
      </c>
      <c r="O247" s="1117" t="s">
        <v>811</v>
      </c>
      <c r="P247" s="1122">
        <v>1</v>
      </c>
      <c r="Q247" s="1122">
        <v>0</v>
      </c>
    </row>
    <row r="248" spans="1:17" ht="32.1" customHeight="1">
      <c r="A248" s="1052"/>
      <c r="B248" s="1155" t="s">
        <v>309</v>
      </c>
      <c r="C248" s="1459">
        <v>1</v>
      </c>
      <c r="D248" s="1459">
        <v>1</v>
      </c>
      <c r="E248" s="1459">
        <v>0</v>
      </c>
      <c r="F248" s="1459">
        <v>1</v>
      </c>
      <c r="G248" s="1459">
        <v>1</v>
      </c>
      <c r="H248" s="1459">
        <v>1</v>
      </c>
      <c r="I248" s="1195" t="s">
        <v>310</v>
      </c>
      <c r="J248" s="1122" t="s">
        <v>960</v>
      </c>
      <c r="K248" s="1073" t="s">
        <v>6374</v>
      </c>
      <c r="L248" s="1071" t="s">
        <v>748</v>
      </c>
      <c r="M248" s="1078" t="s">
        <v>6146</v>
      </c>
      <c r="N248" s="1117" t="s">
        <v>811</v>
      </c>
      <c r="O248" s="1117" t="s">
        <v>811</v>
      </c>
      <c r="P248" s="1122">
        <v>1</v>
      </c>
      <c r="Q248" s="1122">
        <v>0</v>
      </c>
    </row>
    <row r="249" spans="1:17" ht="32.1" customHeight="1">
      <c r="A249" s="1052"/>
      <c r="B249" s="1155" t="s">
        <v>311</v>
      </c>
      <c r="C249" s="1459">
        <v>1</v>
      </c>
      <c r="D249" s="1459">
        <v>1</v>
      </c>
      <c r="E249" s="1459">
        <v>1</v>
      </c>
      <c r="F249" s="1459">
        <v>1</v>
      </c>
      <c r="G249" s="1459">
        <v>1</v>
      </c>
      <c r="H249" s="1459">
        <v>1</v>
      </c>
      <c r="I249" s="1763" t="s">
        <v>123</v>
      </c>
      <c r="J249" s="1122" t="s">
        <v>960</v>
      </c>
      <c r="K249" s="1073" t="s">
        <v>6359</v>
      </c>
      <c r="L249" s="1071" t="s">
        <v>5932</v>
      </c>
      <c r="M249" s="1192" t="s">
        <v>1042</v>
      </c>
      <c r="N249" s="1120" t="s">
        <v>811</v>
      </c>
      <c r="O249" s="1120" t="s">
        <v>811</v>
      </c>
      <c r="P249" s="1122">
        <v>1</v>
      </c>
      <c r="Q249" s="1122">
        <v>0</v>
      </c>
    </row>
    <row r="250" spans="1:17" ht="32.1" customHeight="1">
      <c r="A250" s="1150"/>
      <c r="B250" s="1151" t="s">
        <v>312</v>
      </c>
      <c r="C250" s="1459">
        <v>1</v>
      </c>
      <c r="D250" s="1459">
        <v>1</v>
      </c>
      <c r="E250" s="1459">
        <v>0</v>
      </c>
      <c r="F250" s="1459">
        <v>1</v>
      </c>
      <c r="G250" s="1480">
        <v>1</v>
      </c>
      <c r="H250" s="1480">
        <v>1</v>
      </c>
      <c r="I250" s="1195" t="s">
        <v>123</v>
      </c>
      <c r="J250" s="1073" t="s">
        <v>1044</v>
      </c>
      <c r="K250" s="1073" t="s">
        <v>6375</v>
      </c>
      <c r="L250" s="1071" t="s">
        <v>748</v>
      </c>
      <c r="M250" s="1078" t="s">
        <v>1046</v>
      </c>
      <c r="N250" s="1073" t="s">
        <v>5460</v>
      </c>
      <c r="O250" s="1073" t="s">
        <v>6804</v>
      </c>
      <c r="P250" s="1122">
        <v>1</v>
      </c>
      <c r="Q250" s="1122">
        <v>0</v>
      </c>
    </row>
    <row r="251" spans="1:17" ht="32.1" customHeight="1">
      <c r="A251" s="1066" t="s">
        <v>313</v>
      </c>
      <c r="B251" s="1067" t="s">
        <v>314</v>
      </c>
      <c r="C251" s="1481">
        <f t="shared" ref="C251:H251" si="56">AVERAGE(C252,C253,C257,C266,C267,C270,C271)</f>
        <v>0.55321921668075513</v>
      </c>
      <c r="D251" s="1481">
        <f t="shared" si="56"/>
        <v>0.85413192448577058</v>
      </c>
      <c r="E251" s="1481">
        <f t="shared" si="56"/>
        <v>0.38094285714285714</v>
      </c>
      <c r="F251" s="1481">
        <f t="shared" si="56"/>
        <v>0.68076641307410524</v>
      </c>
      <c r="G251" s="1481">
        <f t="shared" si="56"/>
        <v>0.19723584108199493</v>
      </c>
      <c r="H251" s="1481">
        <f t="shared" si="56"/>
        <v>0.27750774866159478</v>
      </c>
      <c r="I251" s="1195"/>
      <c r="J251" s="1117"/>
      <c r="K251" s="1117"/>
      <c r="L251" s="1071"/>
      <c r="M251" s="1073"/>
      <c r="N251" s="1073"/>
      <c r="O251" s="1073"/>
      <c r="P251" s="1122"/>
      <c r="Q251" s="1122"/>
    </row>
    <row r="252" spans="1:17" ht="32.1" customHeight="1">
      <c r="A252" s="1150"/>
      <c r="B252" s="1053" t="s">
        <v>315</v>
      </c>
      <c r="C252" s="1498">
        <v>0.5</v>
      </c>
      <c r="D252" s="1498">
        <v>1</v>
      </c>
      <c r="E252" s="1498">
        <v>0.5</v>
      </c>
      <c r="F252" s="1498">
        <v>1</v>
      </c>
      <c r="G252" s="1498">
        <v>1</v>
      </c>
      <c r="H252" s="1498">
        <v>0</v>
      </c>
      <c r="I252" s="1763" t="s">
        <v>316</v>
      </c>
      <c r="J252" s="1073" t="s">
        <v>6634</v>
      </c>
      <c r="K252" s="1073" t="s">
        <v>6376</v>
      </c>
      <c r="L252" s="1071" t="s">
        <v>5933</v>
      </c>
      <c r="M252" s="1078" t="s">
        <v>6147</v>
      </c>
      <c r="N252" s="1073" t="s">
        <v>5461</v>
      </c>
      <c r="O252" s="1073" t="s">
        <v>748</v>
      </c>
      <c r="P252" s="1073">
        <v>1</v>
      </c>
      <c r="Q252" s="1073">
        <v>0</v>
      </c>
    </row>
    <row r="253" spans="1:17" ht="32.1" customHeight="1">
      <c r="A253" s="1150"/>
      <c r="B253" s="1151" t="s">
        <v>317</v>
      </c>
      <c r="C253" s="1449">
        <f t="shared" ref="C253:H253" si="57">AVERAGE(C254:C256)</f>
        <v>0.33333333333333331</v>
      </c>
      <c r="D253" s="1449">
        <f t="shared" si="57"/>
        <v>0.66666666666666663</v>
      </c>
      <c r="E253" s="1449">
        <f t="shared" si="57"/>
        <v>0</v>
      </c>
      <c r="F253" s="1449">
        <f t="shared" si="57"/>
        <v>0.66666666666666663</v>
      </c>
      <c r="G253" s="1449">
        <f t="shared" si="57"/>
        <v>0</v>
      </c>
      <c r="H253" s="1449">
        <f t="shared" si="57"/>
        <v>0.66666666666666663</v>
      </c>
      <c r="I253" s="1195"/>
      <c r="J253" s="1073"/>
      <c r="K253" s="1073"/>
      <c r="L253" s="1079"/>
      <c r="M253" s="1073"/>
      <c r="N253" s="1073"/>
      <c r="O253" s="1073"/>
      <c r="P253" s="1117"/>
      <c r="Q253" s="1117"/>
    </row>
    <row r="254" spans="1:17" ht="32.1" customHeight="1">
      <c r="A254" s="1052"/>
      <c r="B254" s="1155" t="s">
        <v>318</v>
      </c>
      <c r="C254" s="1449">
        <v>0</v>
      </c>
      <c r="D254" s="1498">
        <v>1</v>
      </c>
      <c r="E254" s="1449">
        <v>0</v>
      </c>
      <c r="F254" s="1449">
        <v>0</v>
      </c>
      <c r="G254" s="1449">
        <v>0</v>
      </c>
      <c r="H254" s="1449">
        <v>0</v>
      </c>
      <c r="I254" s="1195" t="s">
        <v>38</v>
      </c>
      <c r="J254" s="1122" t="s">
        <v>1060</v>
      </c>
      <c r="K254" s="1073" t="s">
        <v>6377</v>
      </c>
      <c r="L254" s="1071" t="s">
        <v>5934</v>
      </c>
      <c r="M254" s="1122" t="s">
        <v>748</v>
      </c>
      <c r="N254" s="1117" t="s">
        <v>748</v>
      </c>
      <c r="O254" s="1117" t="s">
        <v>748</v>
      </c>
      <c r="P254" s="1122">
        <v>1</v>
      </c>
      <c r="Q254" s="1122">
        <v>0</v>
      </c>
    </row>
    <row r="255" spans="1:17" ht="32.1" customHeight="1">
      <c r="A255" s="1052"/>
      <c r="B255" s="1385" t="s">
        <v>6934</v>
      </c>
      <c r="C255" s="1449">
        <v>1</v>
      </c>
      <c r="D255" s="1449">
        <v>1</v>
      </c>
      <c r="E255" s="1449">
        <v>0</v>
      </c>
      <c r="F255" s="1449">
        <v>1</v>
      </c>
      <c r="G255" s="1449">
        <v>0</v>
      </c>
      <c r="H255" s="1449">
        <v>1</v>
      </c>
      <c r="I255" s="1195" t="s">
        <v>38</v>
      </c>
      <c r="J255" s="1122" t="s">
        <v>960</v>
      </c>
      <c r="K255" s="1073" t="s">
        <v>6379</v>
      </c>
      <c r="L255" s="1079" t="s">
        <v>763</v>
      </c>
      <c r="M255" s="1078" t="s">
        <v>6148</v>
      </c>
      <c r="N255" s="1117" t="s">
        <v>748</v>
      </c>
      <c r="O255" s="1117" t="s">
        <v>811</v>
      </c>
      <c r="P255" s="1122">
        <v>1</v>
      </c>
      <c r="Q255" s="1122">
        <v>0</v>
      </c>
    </row>
    <row r="256" spans="1:17" ht="32.1" customHeight="1">
      <c r="A256" s="1052"/>
      <c r="B256" s="1385" t="s">
        <v>6935</v>
      </c>
      <c r="C256" s="1449">
        <v>0</v>
      </c>
      <c r="D256" s="1449">
        <v>0</v>
      </c>
      <c r="E256" s="1449">
        <v>0</v>
      </c>
      <c r="F256" s="1449">
        <v>1</v>
      </c>
      <c r="G256" s="1449">
        <v>0</v>
      </c>
      <c r="H256" s="1449">
        <v>1</v>
      </c>
      <c r="I256" s="1195" t="s">
        <v>38</v>
      </c>
      <c r="J256" s="1122" t="s">
        <v>1060</v>
      </c>
      <c r="K256" s="1073" t="s">
        <v>6378</v>
      </c>
      <c r="L256" s="1079" t="s">
        <v>763</v>
      </c>
      <c r="M256" s="1394" t="s">
        <v>6149</v>
      </c>
      <c r="N256" s="1117" t="s">
        <v>748</v>
      </c>
      <c r="O256" s="1117" t="s">
        <v>811</v>
      </c>
      <c r="P256" s="1122">
        <v>1</v>
      </c>
      <c r="Q256" s="1122">
        <v>0</v>
      </c>
    </row>
    <row r="257" spans="1:158" ht="32.1" customHeight="1">
      <c r="A257" s="1150"/>
      <c r="B257" s="1151" t="s">
        <v>322</v>
      </c>
      <c r="C257" s="1449">
        <f t="shared" ref="C257:H257" si="58">AVERAGE(C258:C265)</f>
        <v>0.625</v>
      </c>
      <c r="D257" s="1449">
        <f t="shared" si="58"/>
        <v>0.875</v>
      </c>
      <c r="E257" s="1449">
        <f t="shared" si="58"/>
        <v>0</v>
      </c>
      <c r="F257" s="1449">
        <f t="shared" si="58"/>
        <v>0.5</v>
      </c>
      <c r="G257" s="1449">
        <f t="shared" si="58"/>
        <v>0</v>
      </c>
      <c r="H257" s="1449">
        <f t="shared" si="58"/>
        <v>0.875</v>
      </c>
      <c r="I257" s="1761" t="s">
        <v>323</v>
      </c>
      <c r="J257" s="1073"/>
      <c r="K257" s="1073"/>
      <c r="L257" s="1079"/>
      <c r="M257" s="1073"/>
      <c r="N257" s="1073" t="s">
        <v>5462</v>
      </c>
      <c r="O257" s="1073"/>
      <c r="P257" s="1122"/>
      <c r="Q257" s="1122"/>
    </row>
    <row r="258" spans="1:158" ht="32.1" customHeight="1">
      <c r="A258" s="1052"/>
      <c r="B258" s="1155" t="s">
        <v>324</v>
      </c>
      <c r="C258" s="1498">
        <v>0</v>
      </c>
      <c r="D258" s="1449">
        <v>1</v>
      </c>
      <c r="E258" s="1449">
        <v>0</v>
      </c>
      <c r="F258" s="1449">
        <v>0</v>
      </c>
      <c r="G258" s="1449">
        <v>0</v>
      </c>
      <c r="H258" s="1449">
        <v>0</v>
      </c>
      <c r="I258" s="1195"/>
      <c r="J258" s="1073" t="s">
        <v>1060</v>
      </c>
      <c r="K258" s="1073" t="s">
        <v>6380</v>
      </c>
      <c r="L258" s="1079" t="s">
        <v>748</v>
      </c>
      <c r="M258" s="1073" t="s">
        <v>748</v>
      </c>
      <c r="N258" s="1073" t="s">
        <v>877</v>
      </c>
      <c r="O258" s="1073" t="s">
        <v>748</v>
      </c>
      <c r="P258" s="1122">
        <v>1</v>
      </c>
      <c r="Q258" s="1122">
        <v>0</v>
      </c>
    </row>
    <row r="259" spans="1:158" ht="32.1" customHeight="1">
      <c r="A259" s="1052"/>
      <c r="B259" s="1155" t="s">
        <v>325</v>
      </c>
      <c r="C259" s="1449">
        <v>1</v>
      </c>
      <c r="D259" s="1449">
        <v>1</v>
      </c>
      <c r="E259" s="1449">
        <v>0</v>
      </c>
      <c r="F259" s="1449">
        <v>1</v>
      </c>
      <c r="G259" s="1449">
        <v>0</v>
      </c>
      <c r="H259" s="1449">
        <v>1</v>
      </c>
      <c r="I259" s="1195"/>
      <c r="J259" s="1073" t="s">
        <v>960</v>
      </c>
      <c r="K259" s="1073" t="s">
        <v>6381</v>
      </c>
      <c r="L259" s="1079" t="s">
        <v>748</v>
      </c>
      <c r="M259" s="1073" t="s">
        <v>811</v>
      </c>
      <c r="N259" s="1073" t="s">
        <v>877</v>
      </c>
      <c r="O259" s="1073" t="s">
        <v>811</v>
      </c>
      <c r="P259" s="1122">
        <v>1</v>
      </c>
      <c r="Q259" s="1122">
        <v>0</v>
      </c>
    </row>
    <row r="260" spans="1:158" ht="32.1" customHeight="1">
      <c r="A260" s="1052"/>
      <c r="B260" s="1155" t="s">
        <v>326</v>
      </c>
      <c r="C260" s="1498">
        <v>1</v>
      </c>
      <c r="D260" s="1498">
        <v>1</v>
      </c>
      <c r="E260" s="1449">
        <v>0</v>
      </c>
      <c r="F260" s="1449">
        <v>0</v>
      </c>
      <c r="G260" s="1449">
        <v>0</v>
      </c>
      <c r="H260" s="1449">
        <v>1</v>
      </c>
      <c r="I260" s="1195"/>
      <c r="J260" s="1073" t="s">
        <v>1061</v>
      </c>
      <c r="K260" s="1073" t="s">
        <v>6382</v>
      </c>
      <c r="L260" s="1079" t="s">
        <v>748</v>
      </c>
      <c r="M260" s="1073" t="s">
        <v>748</v>
      </c>
      <c r="N260" s="1073" t="s">
        <v>877</v>
      </c>
      <c r="O260" s="1073" t="s">
        <v>811</v>
      </c>
      <c r="P260" s="1122">
        <v>1</v>
      </c>
      <c r="Q260" s="1122">
        <v>0</v>
      </c>
    </row>
    <row r="261" spans="1:158" ht="32.1" customHeight="1">
      <c r="A261" s="1052"/>
      <c r="B261" s="1155" t="s">
        <v>327</v>
      </c>
      <c r="C261" s="1459">
        <v>0</v>
      </c>
      <c r="D261" s="1459">
        <v>1</v>
      </c>
      <c r="E261" s="1459">
        <v>0</v>
      </c>
      <c r="F261" s="1480">
        <v>1</v>
      </c>
      <c r="G261" s="1459">
        <v>0</v>
      </c>
      <c r="H261" s="1459">
        <v>1</v>
      </c>
      <c r="I261" s="1195"/>
      <c r="J261" s="1122" t="s">
        <v>1060</v>
      </c>
      <c r="K261" s="1073" t="s">
        <v>6383</v>
      </c>
      <c r="L261" s="1079" t="s">
        <v>748</v>
      </c>
      <c r="M261" s="1073" t="s">
        <v>811</v>
      </c>
      <c r="N261" s="1073" t="s">
        <v>877</v>
      </c>
      <c r="O261" s="1073" t="s">
        <v>811</v>
      </c>
      <c r="P261" s="1122">
        <v>1</v>
      </c>
      <c r="Q261" s="1122">
        <v>0</v>
      </c>
    </row>
    <row r="262" spans="1:158" ht="32.1" customHeight="1">
      <c r="A262" s="1052"/>
      <c r="B262" s="1155" t="s">
        <v>328</v>
      </c>
      <c r="C262" s="1449">
        <v>1</v>
      </c>
      <c r="D262" s="1449">
        <v>0</v>
      </c>
      <c r="E262" s="1449">
        <v>0</v>
      </c>
      <c r="F262" s="1449">
        <v>1</v>
      </c>
      <c r="G262" s="1449">
        <v>0</v>
      </c>
      <c r="H262" s="1449">
        <v>1</v>
      </c>
      <c r="I262" s="1195"/>
      <c r="J262" s="1073" t="s">
        <v>960</v>
      </c>
      <c r="K262" s="1073" t="s">
        <v>6384</v>
      </c>
      <c r="L262" s="1079" t="s">
        <v>748</v>
      </c>
      <c r="M262" s="1073" t="s">
        <v>811</v>
      </c>
      <c r="N262" s="1073" t="s">
        <v>877</v>
      </c>
      <c r="O262" s="1073" t="s">
        <v>811</v>
      </c>
      <c r="P262" s="1122">
        <v>1</v>
      </c>
      <c r="Q262" s="1122">
        <v>0</v>
      </c>
    </row>
    <row r="263" spans="1:158" ht="32.1" customHeight="1">
      <c r="A263" s="1052"/>
      <c r="B263" s="1155" t="s">
        <v>329</v>
      </c>
      <c r="C263" s="1449">
        <v>1</v>
      </c>
      <c r="D263" s="1449">
        <v>1</v>
      </c>
      <c r="E263" s="1449">
        <v>0</v>
      </c>
      <c r="F263" s="1449">
        <v>0</v>
      </c>
      <c r="G263" s="1449">
        <v>0</v>
      </c>
      <c r="H263" s="1449">
        <v>1</v>
      </c>
      <c r="I263" s="1195"/>
      <c r="J263" s="1073" t="s">
        <v>960</v>
      </c>
      <c r="K263" s="1073" t="s">
        <v>6385</v>
      </c>
      <c r="L263" s="1079" t="s">
        <v>748</v>
      </c>
      <c r="M263" s="1073" t="s">
        <v>748</v>
      </c>
      <c r="N263" s="1073" t="s">
        <v>877</v>
      </c>
      <c r="O263" s="1193" t="s">
        <v>5678</v>
      </c>
      <c r="P263" s="1122">
        <v>1</v>
      </c>
      <c r="Q263" s="1122">
        <v>0</v>
      </c>
    </row>
    <row r="264" spans="1:158" ht="32.1" customHeight="1">
      <c r="A264" s="1052"/>
      <c r="B264" s="1155" t="s">
        <v>330</v>
      </c>
      <c r="C264" s="1449">
        <v>1</v>
      </c>
      <c r="D264" s="1449">
        <v>1</v>
      </c>
      <c r="E264" s="1449">
        <v>0</v>
      </c>
      <c r="F264" s="1449">
        <v>1</v>
      </c>
      <c r="G264" s="1449">
        <v>0</v>
      </c>
      <c r="H264" s="1449">
        <v>1</v>
      </c>
      <c r="I264" s="1195"/>
      <c r="J264" s="1073" t="s">
        <v>960</v>
      </c>
      <c r="K264" s="1073" t="s">
        <v>6385</v>
      </c>
      <c r="L264" s="1079" t="s">
        <v>748</v>
      </c>
      <c r="M264" s="1073" t="s">
        <v>811</v>
      </c>
      <c r="N264" s="1073" t="s">
        <v>877</v>
      </c>
      <c r="O264" s="1073" t="s">
        <v>811</v>
      </c>
      <c r="P264" s="1122">
        <v>1</v>
      </c>
      <c r="Q264" s="1122">
        <v>0</v>
      </c>
    </row>
    <row r="265" spans="1:158" ht="32.1" customHeight="1">
      <c r="A265" s="1052"/>
      <c r="B265" s="1155" t="s">
        <v>331</v>
      </c>
      <c r="C265" s="1449">
        <v>0</v>
      </c>
      <c r="D265" s="1449">
        <v>1</v>
      </c>
      <c r="E265" s="1449">
        <v>0</v>
      </c>
      <c r="F265" s="1498">
        <v>0</v>
      </c>
      <c r="G265" s="1449">
        <v>0</v>
      </c>
      <c r="H265" s="1449">
        <v>1</v>
      </c>
      <c r="I265" s="1195"/>
      <c r="J265" s="1073" t="s">
        <v>1060</v>
      </c>
      <c r="K265" s="1073" t="s">
        <v>6386</v>
      </c>
      <c r="L265" s="1079" t="s">
        <v>748</v>
      </c>
      <c r="M265" s="1073" t="s">
        <v>6150</v>
      </c>
      <c r="N265" s="1073" t="s">
        <v>877</v>
      </c>
      <c r="O265" s="1073" t="s">
        <v>811</v>
      </c>
      <c r="P265" s="1122">
        <v>1</v>
      </c>
      <c r="Q265" s="1122">
        <v>0</v>
      </c>
    </row>
    <row r="266" spans="1:158" ht="32.1" customHeight="1">
      <c r="A266" s="1150"/>
      <c r="B266" s="1053" t="s">
        <v>332</v>
      </c>
      <c r="C266" s="1449">
        <v>1</v>
      </c>
      <c r="D266" s="1449">
        <v>1</v>
      </c>
      <c r="E266" s="1449">
        <v>1</v>
      </c>
      <c r="F266" s="1449">
        <v>1</v>
      </c>
      <c r="G266" s="1449">
        <v>0</v>
      </c>
      <c r="H266" s="1449">
        <v>0</v>
      </c>
      <c r="I266" s="1195" t="s">
        <v>38</v>
      </c>
      <c r="J266" s="1073" t="s">
        <v>6635</v>
      </c>
      <c r="K266" s="1073" t="s">
        <v>6387</v>
      </c>
      <c r="L266" s="1071" t="s">
        <v>5935</v>
      </c>
      <c r="M266" s="1120" t="s">
        <v>811</v>
      </c>
      <c r="N266" s="1120" t="s">
        <v>748</v>
      </c>
      <c r="O266" s="1120" t="s">
        <v>748</v>
      </c>
      <c r="P266" s="1194">
        <v>1</v>
      </c>
      <c r="Q266" s="1194">
        <v>0</v>
      </c>
    </row>
    <row r="267" spans="1:158" ht="32.1" customHeight="1">
      <c r="A267" s="1150"/>
      <c r="B267" s="1151" t="s">
        <v>333</v>
      </c>
      <c r="C267" s="1449">
        <f t="shared" ref="C267:H267" si="59">AVERAGE(C268:C269)</f>
        <v>1</v>
      </c>
      <c r="D267" s="1449">
        <f t="shared" si="59"/>
        <v>1</v>
      </c>
      <c r="E267" s="1449">
        <f t="shared" si="59"/>
        <v>0</v>
      </c>
      <c r="F267" s="1449">
        <f t="shared" si="59"/>
        <v>1</v>
      </c>
      <c r="G267" s="1449">
        <f t="shared" si="59"/>
        <v>0</v>
      </c>
      <c r="H267" s="1449">
        <f t="shared" si="59"/>
        <v>0</v>
      </c>
      <c r="I267" s="1763" t="s">
        <v>334</v>
      </c>
      <c r="J267" s="1073"/>
      <c r="K267" s="1073"/>
      <c r="L267" s="1071"/>
      <c r="M267" s="1073"/>
      <c r="N267" s="1073"/>
      <c r="O267" s="1073"/>
      <c r="P267" s="1122"/>
      <c r="Q267" s="1122"/>
    </row>
    <row r="268" spans="1:158" ht="32.1" customHeight="1">
      <c r="A268" s="1052"/>
      <c r="B268" s="1155" t="s">
        <v>335</v>
      </c>
      <c r="C268" s="1449">
        <v>1</v>
      </c>
      <c r="D268" s="1449">
        <v>1</v>
      </c>
      <c r="E268" s="1449">
        <v>0</v>
      </c>
      <c r="F268" s="1498">
        <v>1</v>
      </c>
      <c r="G268" s="1449">
        <v>0</v>
      </c>
      <c r="H268" s="1449">
        <v>0</v>
      </c>
      <c r="I268" s="1195"/>
      <c r="J268" s="1073" t="s">
        <v>960</v>
      </c>
      <c r="K268" s="1073" t="s">
        <v>6388</v>
      </c>
      <c r="L268" s="1071" t="s">
        <v>748</v>
      </c>
      <c r="M268" s="1078" t="s">
        <v>6151</v>
      </c>
      <c r="N268" s="1073" t="s">
        <v>877</v>
      </c>
      <c r="O268" s="1073" t="s">
        <v>748</v>
      </c>
      <c r="P268" s="1122">
        <v>1</v>
      </c>
      <c r="Q268" s="1122">
        <v>0</v>
      </c>
    </row>
    <row r="269" spans="1:158" ht="32.1" customHeight="1">
      <c r="A269" s="1052"/>
      <c r="B269" s="1155" t="s">
        <v>336</v>
      </c>
      <c r="C269" s="1459">
        <v>1</v>
      </c>
      <c r="D269" s="1449">
        <v>1</v>
      </c>
      <c r="E269" s="1449">
        <v>0</v>
      </c>
      <c r="F269" s="1449">
        <v>1</v>
      </c>
      <c r="G269" s="1449">
        <v>0</v>
      </c>
      <c r="H269" s="1449">
        <v>0</v>
      </c>
      <c r="I269" s="1195"/>
      <c r="J269" s="1073" t="s">
        <v>960</v>
      </c>
      <c r="K269" s="1073" t="s">
        <v>6389</v>
      </c>
      <c r="L269" s="1071" t="s">
        <v>748</v>
      </c>
      <c r="M269" s="1078" t="s">
        <v>6152</v>
      </c>
      <c r="N269" s="1120" t="s">
        <v>877</v>
      </c>
      <c r="O269" s="1120" t="s">
        <v>748</v>
      </c>
      <c r="P269" s="1122">
        <v>1</v>
      </c>
      <c r="Q269" s="1122">
        <v>0</v>
      </c>
    </row>
    <row r="270" spans="1:158" s="1099" customFormat="1" ht="32.1" customHeight="1">
      <c r="A270" s="1169"/>
      <c r="B270" s="1097" t="s">
        <v>337</v>
      </c>
      <c r="C270" s="1723">
        <f>IF(12.1&gt;$P270,1,(12.1-$Q270)/($P270-$Q270))</f>
        <v>0.16420118343195261</v>
      </c>
      <c r="D270" s="1723">
        <f>IF(21.8&gt;$P270,1,(21.8-$Q270)/($P270-$Q270))</f>
        <v>0.88165680473372798</v>
      </c>
      <c r="E270" s="1723">
        <f>IF(27.3&gt;$P270,1,(27.3-$Q270)/($P270-$Q270))</f>
        <v>1</v>
      </c>
      <c r="F270" s="1723">
        <f>IF(15&gt;$P270,1,(15-$Q270)/($P270-$Q270))</f>
        <v>0.378698224852071</v>
      </c>
      <c r="G270" s="1723">
        <f>IF(10.7&gt;$P270,1,(10.7-$Q270)/($P270-$Q270))</f>
        <v>6.0650887573964397E-2</v>
      </c>
      <c r="H270" s="1723">
        <f>IF(15.3&gt;$P270,1,(15.3-$Q270)/($P270-$Q270))</f>
        <v>0.40088757396449709</v>
      </c>
      <c r="I270" s="1195" t="s">
        <v>338</v>
      </c>
      <c r="J270" s="1196" t="s">
        <v>6749</v>
      </c>
      <c r="K270" s="1196" t="s">
        <v>6751</v>
      </c>
      <c r="L270" s="1196" t="s">
        <v>6750</v>
      </c>
      <c r="M270" s="1098" t="s">
        <v>6748</v>
      </c>
      <c r="N270" s="1196" t="s">
        <v>6752</v>
      </c>
      <c r="O270" s="1098" t="s">
        <v>5679</v>
      </c>
      <c r="P270" s="1403">
        <v>23.4</v>
      </c>
      <c r="Q270" s="1403">
        <v>9.8800000000000008</v>
      </c>
      <c r="R270" s="1081"/>
      <c r="S270" s="1082"/>
      <c r="T270" s="1082"/>
      <c r="U270" s="1082"/>
      <c r="V270" s="1082"/>
      <c r="W270" s="1082"/>
      <c r="X270" s="1082"/>
      <c r="Y270" s="1082"/>
      <c r="Z270" s="1082"/>
      <c r="AA270" s="1082"/>
      <c r="AB270" s="1082"/>
      <c r="AC270" s="1082"/>
      <c r="AD270" s="1082"/>
      <c r="AE270" s="1082"/>
      <c r="AF270" s="1082"/>
      <c r="AG270" s="1082"/>
      <c r="AH270" s="1082"/>
      <c r="AI270" s="1082"/>
      <c r="AJ270" s="1082"/>
      <c r="AK270" s="1082"/>
      <c r="AL270" s="1082"/>
      <c r="AM270" s="1082"/>
      <c r="AN270" s="1082"/>
      <c r="AO270" s="1082"/>
      <c r="AP270" s="1082"/>
      <c r="AQ270" s="1082"/>
      <c r="AR270" s="1082"/>
      <c r="AS270" s="1082"/>
      <c r="AT270" s="1082"/>
      <c r="AU270" s="1082"/>
      <c r="AV270" s="1082"/>
      <c r="AW270" s="1082"/>
      <c r="AX270" s="1082"/>
      <c r="AY270" s="1082"/>
      <c r="AZ270" s="1082"/>
      <c r="BA270" s="1082"/>
      <c r="BB270" s="1082"/>
      <c r="BC270" s="1082"/>
      <c r="BD270" s="1082"/>
      <c r="BE270" s="1082"/>
      <c r="BF270" s="1082"/>
      <c r="BG270" s="1082"/>
      <c r="BH270" s="1082"/>
      <c r="BI270" s="1082"/>
      <c r="BJ270" s="1082"/>
      <c r="BK270" s="1082"/>
      <c r="BL270" s="1082"/>
      <c r="BM270" s="1082"/>
      <c r="BN270" s="1082"/>
      <c r="BO270" s="1082"/>
      <c r="BP270" s="1082"/>
      <c r="BQ270" s="1082"/>
      <c r="BR270" s="1082"/>
      <c r="BS270" s="1082"/>
      <c r="BT270" s="1082"/>
      <c r="BU270" s="1082"/>
      <c r="BV270" s="1082"/>
      <c r="BW270" s="1082"/>
      <c r="BX270" s="1082"/>
      <c r="BY270" s="1082"/>
      <c r="BZ270" s="1082"/>
      <c r="CA270" s="1082"/>
      <c r="CB270" s="1082"/>
      <c r="CC270" s="1082"/>
      <c r="CD270" s="1082"/>
      <c r="CE270" s="1082"/>
      <c r="CF270" s="1082"/>
      <c r="CG270" s="1082"/>
      <c r="CH270" s="1082"/>
      <c r="CI270" s="1082"/>
      <c r="CJ270" s="1082"/>
      <c r="CK270" s="1082"/>
      <c r="CL270" s="1082"/>
      <c r="CM270" s="1082"/>
      <c r="CN270" s="1082"/>
      <c r="CO270" s="1082"/>
      <c r="CP270" s="1082"/>
      <c r="CQ270" s="1082"/>
      <c r="CR270" s="1082"/>
      <c r="CS270" s="1082"/>
      <c r="CT270" s="1082"/>
      <c r="CU270" s="1082"/>
      <c r="CV270" s="1082"/>
      <c r="CW270" s="1082"/>
      <c r="CX270" s="1082"/>
      <c r="CY270" s="1082"/>
      <c r="CZ270" s="1082"/>
      <c r="DA270" s="1082"/>
      <c r="DB270" s="1082"/>
      <c r="DC270" s="1082"/>
      <c r="DD270" s="1082"/>
      <c r="DE270" s="1082"/>
      <c r="DF270" s="1082"/>
      <c r="DG270" s="1082"/>
      <c r="DH270" s="1082"/>
      <c r="DI270" s="1082"/>
      <c r="DJ270" s="1082"/>
      <c r="DK270" s="1082"/>
      <c r="DL270" s="1082"/>
      <c r="DM270" s="1082"/>
      <c r="DN270" s="1082"/>
      <c r="DO270" s="1082"/>
      <c r="DP270" s="1082"/>
      <c r="DQ270" s="1082"/>
      <c r="DR270" s="1082"/>
      <c r="DS270" s="1082"/>
      <c r="DT270" s="1082"/>
      <c r="DU270" s="1082"/>
      <c r="DV270" s="1082"/>
      <c r="DW270" s="1082"/>
      <c r="DX270" s="1082"/>
      <c r="DY270" s="1082"/>
      <c r="DZ270" s="1082"/>
      <c r="EA270" s="1082"/>
      <c r="EB270" s="1082"/>
      <c r="EC270" s="1082"/>
      <c r="ED270" s="1082"/>
      <c r="EE270" s="1082"/>
      <c r="EF270" s="1082"/>
      <c r="EG270" s="1082"/>
      <c r="EH270" s="1082"/>
      <c r="EI270" s="1082"/>
      <c r="EJ270" s="1082"/>
      <c r="EK270" s="1082"/>
      <c r="EL270" s="1082"/>
      <c r="EM270" s="1082"/>
      <c r="EN270" s="1082"/>
      <c r="EO270" s="1082"/>
      <c r="EP270" s="1082"/>
      <c r="EQ270" s="1082"/>
      <c r="ER270" s="1082"/>
      <c r="ES270" s="1082"/>
      <c r="ET270" s="1082"/>
      <c r="EU270" s="1082"/>
      <c r="EV270" s="1082"/>
      <c r="EW270" s="1082"/>
      <c r="EX270" s="1082"/>
      <c r="EY270" s="1082"/>
      <c r="EZ270" s="1082"/>
      <c r="FA270" s="1082"/>
      <c r="FB270" s="1082"/>
    </row>
    <row r="271" spans="1:158" s="1088" customFormat="1" ht="32.1" customHeight="1">
      <c r="A271" s="1140"/>
      <c r="B271" s="1141" t="s">
        <v>339</v>
      </c>
      <c r="C271" s="1439">
        <f>IF(12.5&gt;$P271,1,(12.5-$Q271)/($P271-$Q271))</f>
        <v>0.25</v>
      </c>
      <c r="D271" s="1439">
        <f>IF(27.78&gt;$P271,1,(27.78-$Q271)/($P271-$Q271))</f>
        <v>0.55559999999999998</v>
      </c>
      <c r="E271" s="1439">
        <f>IF(8.33&gt;$P271,1,(8.33-$Q271)/($P271-$Q271))</f>
        <v>0.1666</v>
      </c>
      <c r="F271" s="1439">
        <f>IF(11&gt;$P271,1,(11-$Q271)/($P271-$Q271))</f>
        <v>0.22</v>
      </c>
      <c r="G271" s="1439">
        <f>IF(16&gt;$P271,1,(16-$Q271)/($P271-$Q271))</f>
        <v>0.32</v>
      </c>
      <c r="H271" s="1439">
        <f>IF(0&gt;$P271,1,(0-$Q271)/($P271-$Q271))</f>
        <v>0</v>
      </c>
      <c r="I271" s="1195" t="s">
        <v>5350</v>
      </c>
      <c r="J271" s="1142" t="s">
        <v>6636</v>
      </c>
      <c r="K271" s="1142" t="s">
        <v>6390</v>
      </c>
      <c r="L271" s="1071" t="s">
        <v>5936</v>
      </c>
      <c r="M271" s="1142" t="s">
        <v>6153</v>
      </c>
      <c r="N271" s="1142" t="s">
        <v>5463</v>
      </c>
      <c r="O271" s="1142" t="s">
        <v>5680</v>
      </c>
      <c r="P271" s="1142">
        <v>50</v>
      </c>
      <c r="Q271" s="1142">
        <v>0</v>
      </c>
      <c r="R271" s="1081"/>
      <c r="S271" s="1082"/>
      <c r="T271" s="1082"/>
      <c r="U271" s="1082"/>
      <c r="V271" s="1082"/>
      <c r="W271" s="1082"/>
      <c r="X271" s="1082"/>
      <c r="Y271" s="1082"/>
      <c r="Z271" s="1082"/>
      <c r="AA271" s="1082"/>
      <c r="AB271" s="1082"/>
      <c r="AC271" s="1082"/>
      <c r="AD271" s="1082"/>
      <c r="AE271" s="1082"/>
      <c r="AF271" s="1082"/>
      <c r="AG271" s="1082"/>
      <c r="AH271" s="1082"/>
      <c r="AI271" s="1082"/>
      <c r="AJ271" s="1082"/>
      <c r="AK271" s="1082"/>
      <c r="AL271" s="1082"/>
      <c r="AM271" s="1082"/>
      <c r="AN271" s="1082"/>
      <c r="AO271" s="1082"/>
      <c r="AP271" s="1082"/>
      <c r="AQ271" s="1082"/>
      <c r="AR271" s="1082"/>
      <c r="AS271" s="1082"/>
      <c r="AT271" s="1082"/>
      <c r="AU271" s="1082"/>
      <c r="AV271" s="1082"/>
      <c r="AW271" s="1082"/>
      <c r="AX271" s="1082"/>
      <c r="AY271" s="1082"/>
      <c r="AZ271" s="1082"/>
      <c r="BA271" s="1082"/>
      <c r="BB271" s="1082"/>
      <c r="BC271" s="1082"/>
      <c r="BD271" s="1082"/>
      <c r="BE271" s="1082"/>
      <c r="BF271" s="1082"/>
      <c r="BG271" s="1082"/>
      <c r="BH271" s="1082"/>
      <c r="BI271" s="1082"/>
      <c r="BJ271" s="1082"/>
      <c r="BK271" s="1082"/>
      <c r="BL271" s="1082"/>
      <c r="BM271" s="1082"/>
      <c r="BN271" s="1082"/>
      <c r="BO271" s="1082"/>
      <c r="BP271" s="1082"/>
      <c r="BQ271" s="1082"/>
      <c r="BR271" s="1082"/>
      <c r="BS271" s="1082"/>
      <c r="BT271" s="1082"/>
      <c r="BU271" s="1082"/>
      <c r="BV271" s="1082"/>
      <c r="BW271" s="1082"/>
      <c r="BX271" s="1082"/>
      <c r="BY271" s="1082"/>
      <c r="BZ271" s="1082"/>
      <c r="CA271" s="1082"/>
      <c r="CB271" s="1082"/>
      <c r="CC271" s="1082"/>
      <c r="CD271" s="1082"/>
      <c r="CE271" s="1082"/>
      <c r="CF271" s="1082"/>
      <c r="CG271" s="1082"/>
      <c r="CH271" s="1082"/>
      <c r="CI271" s="1082"/>
      <c r="CJ271" s="1082"/>
      <c r="CK271" s="1082"/>
      <c r="CL271" s="1082"/>
      <c r="CM271" s="1082"/>
      <c r="CN271" s="1082"/>
      <c r="CO271" s="1082"/>
      <c r="CP271" s="1082"/>
      <c r="CQ271" s="1082"/>
      <c r="CR271" s="1082"/>
      <c r="CS271" s="1082"/>
      <c r="CT271" s="1082"/>
      <c r="CU271" s="1082"/>
      <c r="CV271" s="1082"/>
      <c r="CW271" s="1082"/>
      <c r="CX271" s="1082"/>
      <c r="CY271" s="1082"/>
      <c r="CZ271" s="1082"/>
      <c r="DA271" s="1082"/>
      <c r="DB271" s="1082"/>
      <c r="DC271" s="1082"/>
      <c r="DD271" s="1082"/>
      <c r="DE271" s="1082"/>
      <c r="DF271" s="1082"/>
      <c r="DG271" s="1082"/>
      <c r="DH271" s="1082"/>
      <c r="DI271" s="1082"/>
      <c r="DJ271" s="1082"/>
      <c r="DK271" s="1082"/>
      <c r="DL271" s="1082"/>
      <c r="DM271" s="1082"/>
      <c r="DN271" s="1082"/>
      <c r="DO271" s="1082"/>
      <c r="DP271" s="1082"/>
      <c r="DQ271" s="1082"/>
      <c r="DR271" s="1082"/>
      <c r="DS271" s="1082"/>
      <c r="DT271" s="1082"/>
      <c r="DU271" s="1082"/>
      <c r="DV271" s="1082"/>
      <c r="DW271" s="1082"/>
      <c r="DX271" s="1082"/>
      <c r="DY271" s="1082"/>
      <c r="DZ271" s="1082"/>
      <c r="EA271" s="1082"/>
      <c r="EB271" s="1082"/>
      <c r="EC271" s="1082"/>
      <c r="ED271" s="1082"/>
      <c r="EE271" s="1082"/>
      <c r="EF271" s="1082"/>
      <c r="EG271" s="1082"/>
      <c r="EH271" s="1082"/>
      <c r="EI271" s="1082"/>
      <c r="EJ271" s="1082"/>
      <c r="EK271" s="1082"/>
      <c r="EL271" s="1082"/>
      <c r="EM271" s="1082"/>
      <c r="EN271" s="1082"/>
      <c r="EO271" s="1082"/>
      <c r="EP271" s="1082"/>
      <c r="EQ271" s="1082"/>
      <c r="ER271" s="1082"/>
      <c r="ES271" s="1082"/>
      <c r="ET271" s="1082"/>
      <c r="EU271" s="1082"/>
      <c r="EV271" s="1082"/>
      <c r="EW271" s="1082"/>
      <c r="EX271" s="1082"/>
      <c r="EY271" s="1082"/>
      <c r="EZ271" s="1082"/>
      <c r="FA271" s="1082"/>
      <c r="FB271" s="1082"/>
    </row>
    <row r="272" spans="1:158" ht="32.1" customHeight="1">
      <c r="A272" s="1129" t="s">
        <v>5328</v>
      </c>
      <c r="B272" s="1063" t="s">
        <v>340</v>
      </c>
      <c r="C272" s="1479">
        <f t="shared" ref="C272:H272" si="60">AVERAGE(C273,C276,C291)</f>
        <v>0.59312181720718316</v>
      </c>
      <c r="D272" s="1479">
        <f t="shared" si="60"/>
        <v>0.69638948449924065</v>
      </c>
      <c r="E272" s="1479">
        <f t="shared" si="60"/>
        <v>0.63435294380416329</v>
      </c>
      <c r="F272" s="1479">
        <f t="shared" si="60"/>
        <v>0.92292429792429787</v>
      </c>
      <c r="G272" s="1479">
        <f t="shared" si="60"/>
        <v>0.66769967837041</v>
      </c>
      <c r="H272" s="1479">
        <f t="shared" si="60"/>
        <v>0.49197601179308492</v>
      </c>
      <c r="I272" s="1755"/>
      <c r="J272" s="1064"/>
      <c r="K272" s="1064"/>
      <c r="L272" s="1061"/>
      <c r="M272" s="1064"/>
      <c r="N272" s="1064"/>
      <c r="O272" s="1064"/>
      <c r="P272" s="1064"/>
      <c r="Q272" s="1064"/>
    </row>
    <row r="273" spans="1:158" ht="32.1" customHeight="1">
      <c r="A273" s="1129" t="s">
        <v>341</v>
      </c>
      <c r="B273" s="1067" t="s">
        <v>342</v>
      </c>
      <c r="C273" s="1461">
        <f t="shared" ref="C273:H273" si="61">AVERAGE(C274,C275)</f>
        <v>6.50797373358349E-2</v>
      </c>
      <c r="D273" s="1461">
        <f t="shared" si="61"/>
        <v>0.12488273921200749</v>
      </c>
      <c r="E273" s="1461">
        <f t="shared" si="61"/>
        <v>0.51020168855534709</v>
      </c>
      <c r="F273" s="1461">
        <f t="shared" si="61"/>
        <v>0.97115384615384615</v>
      </c>
      <c r="G273" s="1461">
        <f t="shared" si="61"/>
        <v>0.28881332082551592</v>
      </c>
      <c r="H273" s="1461">
        <f t="shared" si="61"/>
        <v>0.11878517823639773</v>
      </c>
      <c r="I273" s="1195"/>
      <c r="J273" s="1068"/>
      <c r="K273" s="1068"/>
      <c r="L273" s="1197"/>
      <c r="M273" s="1068"/>
      <c r="N273" s="1068"/>
      <c r="O273" s="1068"/>
      <c r="P273" s="1068"/>
      <c r="Q273" s="1068"/>
    </row>
    <row r="274" spans="1:158" s="1099" customFormat="1" ht="32.1" customHeight="1">
      <c r="A274" s="1169"/>
      <c r="B274" s="1097" t="s">
        <v>343</v>
      </c>
      <c r="C274" s="1457">
        <f t="shared" ref="C274:H274" si="62">IF(J274&gt;$P274,1,IF(J274&lt;$Q274,0,(J274-$Q274)/($P274-$Q274)))</f>
        <v>2.4390243902439043E-2</v>
      </c>
      <c r="D274" s="1457">
        <f t="shared" si="62"/>
        <v>6.7073170731707307E-2</v>
      </c>
      <c r="E274" s="1457">
        <f t="shared" si="62"/>
        <v>0.41463414634146334</v>
      </c>
      <c r="F274" s="1457">
        <f t="shared" si="62"/>
        <v>1</v>
      </c>
      <c r="G274" s="1457">
        <f t="shared" si="62"/>
        <v>0.29878048780487804</v>
      </c>
      <c r="H274" s="1457">
        <f t="shared" si="62"/>
        <v>5.4878048780487784E-2</v>
      </c>
      <c r="I274" s="1195" t="s">
        <v>338</v>
      </c>
      <c r="J274" s="1098">
        <v>-0.98</v>
      </c>
      <c r="K274" s="1098">
        <v>-0.91</v>
      </c>
      <c r="L274" s="1098">
        <v>-0.34</v>
      </c>
      <c r="M274" s="1098">
        <v>0.68</v>
      </c>
      <c r="N274" s="1180">
        <v>-0.53</v>
      </c>
      <c r="O274" s="1180">
        <v>-0.93</v>
      </c>
      <c r="P274" s="1098">
        <v>0.62</v>
      </c>
      <c r="Q274" s="1098">
        <v>-1.02</v>
      </c>
      <c r="R274" s="1081"/>
      <c r="S274" s="1082"/>
      <c r="T274" s="1082"/>
      <c r="U274" s="1082"/>
      <c r="V274" s="1082"/>
      <c r="W274" s="1082"/>
      <c r="X274" s="1082"/>
      <c r="Y274" s="1082"/>
      <c r="Z274" s="1082"/>
      <c r="AA274" s="1082"/>
      <c r="AB274" s="1082"/>
      <c r="AC274" s="1082"/>
      <c r="AD274" s="1082"/>
      <c r="AE274" s="1082"/>
      <c r="AF274" s="1082"/>
      <c r="AG274" s="1082"/>
      <c r="AH274" s="1082"/>
      <c r="AI274" s="1082"/>
      <c r="AJ274" s="1082"/>
      <c r="AK274" s="1082"/>
      <c r="AL274" s="1082"/>
      <c r="AM274" s="1082"/>
      <c r="AN274" s="1082"/>
      <c r="AO274" s="1082"/>
      <c r="AP274" s="1082"/>
      <c r="AQ274" s="1082"/>
      <c r="AR274" s="1082"/>
      <c r="AS274" s="1082"/>
      <c r="AT274" s="1082"/>
      <c r="AU274" s="1082"/>
      <c r="AV274" s="1082"/>
      <c r="AW274" s="1082"/>
      <c r="AX274" s="1082"/>
      <c r="AY274" s="1082"/>
      <c r="AZ274" s="1082"/>
      <c r="BA274" s="1082"/>
      <c r="BB274" s="1082"/>
      <c r="BC274" s="1082"/>
      <c r="BD274" s="1082"/>
      <c r="BE274" s="1082"/>
      <c r="BF274" s="1082"/>
      <c r="BG274" s="1082"/>
      <c r="BH274" s="1082"/>
      <c r="BI274" s="1082"/>
      <c r="BJ274" s="1082"/>
      <c r="BK274" s="1082"/>
      <c r="BL274" s="1082"/>
      <c r="BM274" s="1082"/>
      <c r="BN274" s="1082"/>
      <c r="BO274" s="1082"/>
      <c r="BP274" s="1082"/>
      <c r="BQ274" s="1082"/>
      <c r="BR274" s="1082"/>
      <c r="BS274" s="1082"/>
      <c r="BT274" s="1082"/>
      <c r="BU274" s="1082"/>
      <c r="BV274" s="1082"/>
      <c r="BW274" s="1082"/>
      <c r="BX274" s="1082"/>
      <c r="BY274" s="1082"/>
      <c r="BZ274" s="1082"/>
      <c r="CA274" s="1082"/>
      <c r="CB274" s="1082"/>
      <c r="CC274" s="1082"/>
      <c r="CD274" s="1082"/>
      <c r="CE274" s="1082"/>
      <c r="CF274" s="1082"/>
      <c r="CG274" s="1082"/>
      <c r="CH274" s="1082"/>
      <c r="CI274" s="1082"/>
      <c r="CJ274" s="1082"/>
      <c r="CK274" s="1082"/>
      <c r="CL274" s="1082"/>
      <c r="CM274" s="1082"/>
      <c r="CN274" s="1082"/>
      <c r="CO274" s="1082"/>
      <c r="CP274" s="1082"/>
      <c r="CQ274" s="1082"/>
      <c r="CR274" s="1082"/>
      <c r="CS274" s="1082"/>
      <c r="CT274" s="1082"/>
      <c r="CU274" s="1082"/>
      <c r="CV274" s="1082"/>
      <c r="CW274" s="1082"/>
      <c r="CX274" s="1082"/>
      <c r="CY274" s="1082"/>
      <c r="CZ274" s="1082"/>
      <c r="DA274" s="1082"/>
      <c r="DB274" s="1082"/>
      <c r="DC274" s="1082"/>
      <c r="DD274" s="1082"/>
      <c r="DE274" s="1082"/>
      <c r="DF274" s="1082"/>
      <c r="DG274" s="1082"/>
      <c r="DH274" s="1082"/>
      <c r="DI274" s="1082"/>
      <c r="DJ274" s="1082"/>
      <c r="DK274" s="1082"/>
      <c r="DL274" s="1082"/>
      <c r="DM274" s="1082"/>
      <c r="DN274" s="1082"/>
      <c r="DO274" s="1082"/>
      <c r="DP274" s="1082"/>
      <c r="DQ274" s="1082"/>
      <c r="DR274" s="1082"/>
      <c r="DS274" s="1082"/>
      <c r="DT274" s="1082"/>
      <c r="DU274" s="1082"/>
      <c r="DV274" s="1082"/>
      <c r="DW274" s="1082"/>
      <c r="DX274" s="1082"/>
      <c r="DY274" s="1082"/>
      <c r="DZ274" s="1082"/>
      <c r="EA274" s="1082"/>
      <c r="EB274" s="1082"/>
      <c r="EC274" s="1082"/>
      <c r="ED274" s="1082"/>
      <c r="EE274" s="1082"/>
      <c r="EF274" s="1082"/>
      <c r="EG274" s="1082"/>
      <c r="EH274" s="1082"/>
      <c r="EI274" s="1082"/>
      <c r="EJ274" s="1082"/>
      <c r="EK274" s="1082"/>
      <c r="EL274" s="1082"/>
      <c r="EM274" s="1082"/>
      <c r="EN274" s="1082"/>
      <c r="EO274" s="1082"/>
      <c r="EP274" s="1082"/>
      <c r="EQ274" s="1082"/>
      <c r="ER274" s="1082"/>
      <c r="ES274" s="1082"/>
      <c r="ET274" s="1082"/>
      <c r="EU274" s="1082"/>
      <c r="EV274" s="1082"/>
      <c r="EW274" s="1082"/>
      <c r="EX274" s="1082"/>
      <c r="EY274" s="1082"/>
      <c r="EZ274" s="1082"/>
      <c r="FA274" s="1082"/>
      <c r="FB274" s="1082"/>
    </row>
    <row r="275" spans="1:158" s="1099" customFormat="1" ht="32.1" customHeight="1">
      <c r="A275" s="1169" t="s">
        <v>5346</v>
      </c>
      <c r="B275" s="1097" t="s">
        <v>344</v>
      </c>
      <c r="C275" s="1457">
        <f t="shared" ref="C275:H275" si="63">IF(J275&lt;$P275,1,IF(J275&gt;$Q275,0,(J275-$Q275)/($P275-$Q275)))</f>
        <v>0.10576923076923077</v>
      </c>
      <c r="D275" s="1457">
        <f t="shared" si="63"/>
        <v>0.18269230769230768</v>
      </c>
      <c r="E275" s="1457">
        <f t="shared" si="63"/>
        <v>0.60576923076923073</v>
      </c>
      <c r="F275" s="1457">
        <f t="shared" si="63"/>
        <v>0.94230769230769229</v>
      </c>
      <c r="G275" s="1457">
        <f t="shared" si="63"/>
        <v>0.27884615384615385</v>
      </c>
      <c r="H275" s="1457">
        <f t="shared" si="63"/>
        <v>0.18269230769230768</v>
      </c>
      <c r="I275" s="1195" t="s">
        <v>338</v>
      </c>
      <c r="J275" s="1402">
        <v>131</v>
      </c>
      <c r="K275" s="1402">
        <v>123</v>
      </c>
      <c r="L275" s="1402">
        <v>79</v>
      </c>
      <c r="M275" s="1402">
        <v>44</v>
      </c>
      <c r="N275" s="1402">
        <v>113</v>
      </c>
      <c r="O275" s="1402">
        <v>123</v>
      </c>
      <c r="P275" s="1402">
        <v>38</v>
      </c>
      <c r="Q275" s="1402">
        <v>142</v>
      </c>
      <c r="R275" s="1081"/>
      <c r="S275" s="1082"/>
      <c r="T275" s="1082"/>
      <c r="U275" s="1082"/>
      <c r="V275" s="1082"/>
      <c r="W275" s="1082"/>
      <c r="X275" s="1082"/>
      <c r="Y275" s="1082"/>
      <c r="Z275" s="1082"/>
      <c r="AA275" s="1082"/>
      <c r="AB275" s="1082"/>
      <c r="AC275" s="1082"/>
      <c r="AD275" s="1082"/>
      <c r="AE275" s="1082"/>
      <c r="AF275" s="1082"/>
      <c r="AG275" s="1082"/>
      <c r="AH275" s="1082"/>
      <c r="AI275" s="1082"/>
      <c r="AJ275" s="1082"/>
      <c r="AK275" s="1082"/>
      <c r="AL275" s="1082"/>
      <c r="AM275" s="1082"/>
      <c r="AN275" s="1082"/>
      <c r="AO275" s="1082"/>
      <c r="AP275" s="1082"/>
      <c r="AQ275" s="1082"/>
      <c r="AR275" s="1082"/>
      <c r="AS275" s="1082"/>
      <c r="AT275" s="1082"/>
      <c r="AU275" s="1082"/>
      <c r="AV275" s="1082"/>
      <c r="AW275" s="1082"/>
      <c r="AX275" s="1082"/>
      <c r="AY275" s="1082"/>
      <c r="AZ275" s="1082"/>
      <c r="BA275" s="1082"/>
      <c r="BB275" s="1082"/>
      <c r="BC275" s="1082"/>
      <c r="BD275" s="1082"/>
      <c r="BE275" s="1082"/>
      <c r="BF275" s="1082"/>
      <c r="BG275" s="1082"/>
      <c r="BH275" s="1082"/>
      <c r="BI275" s="1082"/>
      <c r="BJ275" s="1082"/>
      <c r="BK275" s="1082"/>
      <c r="BL275" s="1082"/>
      <c r="BM275" s="1082"/>
      <c r="BN275" s="1082"/>
      <c r="BO275" s="1082"/>
      <c r="BP275" s="1082"/>
      <c r="BQ275" s="1082"/>
      <c r="BR275" s="1082"/>
      <c r="BS275" s="1082"/>
      <c r="BT275" s="1082"/>
      <c r="BU275" s="1082"/>
      <c r="BV275" s="1082"/>
      <c r="BW275" s="1082"/>
      <c r="BX275" s="1082"/>
      <c r="BY275" s="1082"/>
      <c r="BZ275" s="1082"/>
      <c r="CA275" s="1082"/>
      <c r="CB275" s="1082"/>
      <c r="CC275" s="1082"/>
      <c r="CD275" s="1082"/>
      <c r="CE275" s="1082"/>
      <c r="CF275" s="1082"/>
      <c r="CG275" s="1082"/>
      <c r="CH275" s="1082"/>
      <c r="CI275" s="1082"/>
      <c r="CJ275" s="1082"/>
      <c r="CK275" s="1082"/>
      <c r="CL275" s="1082"/>
      <c r="CM275" s="1082"/>
      <c r="CN275" s="1082"/>
      <c r="CO275" s="1082"/>
      <c r="CP275" s="1082"/>
      <c r="CQ275" s="1082"/>
      <c r="CR275" s="1082"/>
      <c r="CS275" s="1082"/>
      <c r="CT275" s="1082"/>
      <c r="CU275" s="1082"/>
      <c r="CV275" s="1082"/>
      <c r="CW275" s="1082"/>
      <c r="CX275" s="1082"/>
      <c r="CY275" s="1082"/>
      <c r="CZ275" s="1082"/>
      <c r="DA275" s="1082"/>
      <c r="DB275" s="1082"/>
      <c r="DC275" s="1082"/>
      <c r="DD275" s="1082"/>
      <c r="DE275" s="1082"/>
      <c r="DF275" s="1082"/>
      <c r="DG275" s="1082"/>
      <c r="DH275" s="1082"/>
      <c r="DI275" s="1082"/>
      <c r="DJ275" s="1082"/>
      <c r="DK275" s="1082"/>
      <c r="DL275" s="1082"/>
      <c r="DM275" s="1082"/>
      <c r="DN275" s="1082"/>
      <c r="DO275" s="1082"/>
      <c r="DP275" s="1082"/>
      <c r="DQ275" s="1082"/>
      <c r="DR275" s="1082"/>
      <c r="DS275" s="1082"/>
      <c r="DT275" s="1082"/>
      <c r="DU275" s="1082"/>
      <c r="DV275" s="1082"/>
      <c r="DW275" s="1082"/>
      <c r="DX275" s="1082"/>
      <c r="DY275" s="1082"/>
      <c r="DZ275" s="1082"/>
      <c r="EA275" s="1082"/>
      <c r="EB275" s="1082"/>
      <c r="EC275" s="1082"/>
      <c r="ED275" s="1082"/>
      <c r="EE275" s="1082"/>
      <c r="EF275" s="1082"/>
      <c r="EG275" s="1082"/>
      <c r="EH275" s="1082"/>
      <c r="EI275" s="1082"/>
      <c r="EJ275" s="1082"/>
      <c r="EK275" s="1082"/>
      <c r="EL275" s="1082"/>
      <c r="EM275" s="1082"/>
      <c r="EN275" s="1082"/>
      <c r="EO275" s="1082"/>
      <c r="EP275" s="1082"/>
      <c r="EQ275" s="1082"/>
      <c r="ER275" s="1082"/>
      <c r="ES275" s="1082"/>
      <c r="ET275" s="1082"/>
      <c r="EU275" s="1082"/>
      <c r="EV275" s="1082"/>
      <c r="EW275" s="1082"/>
      <c r="EX275" s="1082"/>
      <c r="EY275" s="1082"/>
      <c r="EZ275" s="1082"/>
      <c r="FA275" s="1082"/>
      <c r="FB275" s="1082"/>
    </row>
    <row r="276" spans="1:158" ht="32.1" customHeight="1">
      <c r="A276" s="1066" t="s">
        <v>345</v>
      </c>
      <c r="B276" s="1067" t="s">
        <v>346</v>
      </c>
      <c r="C276" s="1461">
        <f t="shared" ref="C276:H276" si="64">AVERAGE(C277:C290)</f>
        <v>0.7142857142857143</v>
      </c>
      <c r="D276" s="1461">
        <f t="shared" si="64"/>
        <v>0.9642857142857143</v>
      </c>
      <c r="E276" s="1461">
        <f t="shared" si="64"/>
        <v>0.39285714285714285</v>
      </c>
      <c r="F276" s="1461">
        <f t="shared" si="64"/>
        <v>0.9642857142857143</v>
      </c>
      <c r="G276" s="1461">
        <f t="shared" si="64"/>
        <v>0.9642857142857143</v>
      </c>
      <c r="H276" s="1461">
        <f t="shared" si="64"/>
        <v>0.8571428571428571</v>
      </c>
      <c r="I276" s="1195"/>
      <c r="J276" s="1068"/>
      <c r="K276" s="1068"/>
      <c r="L276" s="1068"/>
      <c r="M276" s="1068"/>
      <c r="N276" s="1068"/>
      <c r="O276" s="1068"/>
      <c r="P276" s="1068"/>
      <c r="Q276" s="1068"/>
    </row>
    <row r="277" spans="1:158" ht="32.1" customHeight="1">
      <c r="A277" s="1052"/>
      <c r="B277" s="1053" t="s">
        <v>347</v>
      </c>
      <c r="C277" s="1456">
        <v>1</v>
      </c>
      <c r="D277" s="1456">
        <v>1</v>
      </c>
      <c r="E277" s="1456">
        <v>1</v>
      </c>
      <c r="F277" s="1456">
        <v>1</v>
      </c>
      <c r="G277" s="1456">
        <v>1</v>
      </c>
      <c r="H277" s="1456">
        <v>1</v>
      </c>
      <c r="I277" s="1195" t="s">
        <v>38</v>
      </c>
      <c r="J277" s="1070">
        <v>1</v>
      </c>
      <c r="K277" s="1142" t="s">
        <v>6391</v>
      </c>
      <c r="L277" s="1071" t="s">
        <v>5937</v>
      </c>
      <c r="M277" s="1198" t="s">
        <v>1468</v>
      </c>
      <c r="N277" s="1073" t="s">
        <v>1469</v>
      </c>
      <c r="O277" s="1073" t="s">
        <v>5681</v>
      </c>
      <c r="P277" s="1070">
        <v>1</v>
      </c>
      <c r="Q277" s="1070">
        <v>0</v>
      </c>
    </row>
    <row r="278" spans="1:158" ht="32.1" customHeight="1">
      <c r="A278" s="1052"/>
      <c r="B278" s="1053" t="s">
        <v>348</v>
      </c>
      <c r="C278" s="1456">
        <v>1</v>
      </c>
      <c r="D278" s="1456">
        <v>1</v>
      </c>
      <c r="E278" s="1456">
        <v>0</v>
      </c>
      <c r="F278" s="1456">
        <v>1</v>
      </c>
      <c r="G278" s="1483">
        <v>1</v>
      </c>
      <c r="H278" s="1483">
        <v>1</v>
      </c>
      <c r="I278" s="1195" t="s">
        <v>38</v>
      </c>
      <c r="J278" s="1070">
        <v>1</v>
      </c>
      <c r="K278" s="1142" t="s">
        <v>6329</v>
      </c>
      <c r="L278" s="1392" t="s">
        <v>6736</v>
      </c>
      <c r="M278" s="1198" t="s">
        <v>1474</v>
      </c>
      <c r="N278" s="1124" t="s">
        <v>5464</v>
      </c>
      <c r="O278" s="1408" t="s">
        <v>5682</v>
      </c>
      <c r="P278" s="1070">
        <v>1</v>
      </c>
      <c r="Q278" s="1070">
        <v>0</v>
      </c>
    </row>
    <row r="279" spans="1:158" ht="32.1" customHeight="1">
      <c r="A279" s="1052"/>
      <c r="B279" s="1053" t="s">
        <v>349</v>
      </c>
      <c r="C279" s="1456">
        <v>1</v>
      </c>
      <c r="D279" s="1456">
        <v>1</v>
      </c>
      <c r="E279" s="1456">
        <v>0</v>
      </c>
      <c r="F279" s="1456">
        <v>1</v>
      </c>
      <c r="G279" s="1456">
        <v>1</v>
      </c>
      <c r="H279" s="1456">
        <v>1</v>
      </c>
      <c r="I279" s="1195" t="s">
        <v>91</v>
      </c>
      <c r="J279" s="1070">
        <v>1</v>
      </c>
      <c r="K279" s="1142" t="s">
        <v>6329</v>
      </c>
      <c r="L279" s="1071" t="s">
        <v>5938</v>
      </c>
      <c r="M279" s="1102" t="s">
        <v>6154</v>
      </c>
      <c r="N279" s="1124" t="s">
        <v>5465</v>
      </c>
      <c r="O279" s="1124" t="s">
        <v>5683</v>
      </c>
      <c r="P279" s="1070">
        <v>1</v>
      </c>
      <c r="Q279" s="1070">
        <v>0</v>
      </c>
    </row>
    <row r="280" spans="1:158" ht="32.1" customHeight="1">
      <c r="A280" s="1052"/>
      <c r="B280" s="1053" t="s">
        <v>350</v>
      </c>
      <c r="C280" s="1456">
        <v>0</v>
      </c>
      <c r="D280" s="1456">
        <v>1</v>
      </c>
      <c r="E280" s="1456">
        <v>0</v>
      </c>
      <c r="F280" s="1456">
        <v>1</v>
      </c>
      <c r="G280" s="1483">
        <v>1</v>
      </c>
      <c r="H280" s="1483">
        <v>1</v>
      </c>
      <c r="I280" s="1195" t="s">
        <v>38</v>
      </c>
      <c r="J280" s="1070">
        <v>0</v>
      </c>
      <c r="K280" s="1142" t="s">
        <v>6329</v>
      </c>
      <c r="L280" s="1071" t="s">
        <v>5939</v>
      </c>
      <c r="M280" s="1199" t="s">
        <v>1485</v>
      </c>
      <c r="N280" s="1073" t="s">
        <v>5466</v>
      </c>
      <c r="O280" s="1073" t="s">
        <v>5684</v>
      </c>
      <c r="P280" s="1070">
        <v>1</v>
      </c>
      <c r="Q280" s="1070">
        <v>0</v>
      </c>
    </row>
    <row r="281" spans="1:158" ht="32.1" customHeight="1">
      <c r="A281" s="1052"/>
      <c r="B281" s="1053" t="s">
        <v>351</v>
      </c>
      <c r="C281" s="1456">
        <v>1</v>
      </c>
      <c r="D281" s="1456">
        <v>1</v>
      </c>
      <c r="E281" s="1456">
        <v>1</v>
      </c>
      <c r="F281" s="1456">
        <v>1</v>
      </c>
      <c r="G281" s="1456">
        <v>1</v>
      </c>
      <c r="H281" s="1456">
        <v>1</v>
      </c>
      <c r="I281" s="1195" t="s">
        <v>123</v>
      </c>
      <c r="J281" s="1070">
        <v>1</v>
      </c>
      <c r="K281" s="1142" t="s">
        <v>6329</v>
      </c>
      <c r="L281" s="1071" t="s">
        <v>5940</v>
      </c>
      <c r="M281" s="1199" t="s">
        <v>1491</v>
      </c>
      <c r="N281" s="1124" t="s">
        <v>1492</v>
      </c>
      <c r="O281" s="1124" t="s">
        <v>5685</v>
      </c>
      <c r="P281" s="1070">
        <v>1</v>
      </c>
      <c r="Q281" s="1070">
        <v>0</v>
      </c>
    </row>
    <row r="282" spans="1:158" ht="32.1" customHeight="1">
      <c r="A282" s="1052"/>
      <c r="B282" s="1053" t="s">
        <v>352</v>
      </c>
      <c r="C282" s="1456">
        <v>0</v>
      </c>
      <c r="D282" s="1456">
        <v>1</v>
      </c>
      <c r="E282" s="1456">
        <v>1</v>
      </c>
      <c r="F282" s="1456">
        <v>1</v>
      </c>
      <c r="G282" s="1456">
        <v>1</v>
      </c>
      <c r="H282" s="1456">
        <v>1</v>
      </c>
      <c r="I282" s="1195" t="s">
        <v>123</v>
      </c>
      <c r="J282" s="1070">
        <v>0</v>
      </c>
      <c r="K282" s="1142" t="s">
        <v>6392</v>
      </c>
      <c r="L282" s="1071" t="s">
        <v>5941</v>
      </c>
      <c r="M282" s="1199" t="s">
        <v>1497</v>
      </c>
      <c r="N282" s="1073" t="s">
        <v>5467</v>
      </c>
      <c r="O282" s="1073" t="s">
        <v>5686</v>
      </c>
      <c r="P282" s="1070">
        <v>1</v>
      </c>
      <c r="Q282" s="1070">
        <v>0</v>
      </c>
    </row>
    <row r="283" spans="1:158" ht="32.1" customHeight="1">
      <c r="A283" s="1052"/>
      <c r="B283" s="1053" t="s">
        <v>353</v>
      </c>
      <c r="C283" s="1456">
        <v>0.5</v>
      </c>
      <c r="D283" s="1456">
        <v>1</v>
      </c>
      <c r="E283" s="1483">
        <v>0.5</v>
      </c>
      <c r="F283" s="1483">
        <v>1</v>
      </c>
      <c r="G283" s="1483">
        <v>1</v>
      </c>
      <c r="H283" s="1483">
        <v>0.5</v>
      </c>
      <c r="I283" s="1195" t="s">
        <v>123</v>
      </c>
      <c r="J283" s="1070" t="s">
        <v>6225</v>
      </c>
      <c r="K283" s="1142" t="s">
        <v>6393</v>
      </c>
      <c r="L283" s="1071" t="s">
        <v>5942</v>
      </c>
      <c r="M283" s="1199" t="s">
        <v>6155</v>
      </c>
      <c r="N283" s="1073" t="s">
        <v>5468</v>
      </c>
      <c r="O283" s="1073" t="s">
        <v>5687</v>
      </c>
      <c r="P283" s="1070">
        <v>1</v>
      </c>
      <c r="Q283" s="1070">
        <v>0</v>
      </c>
    </row>
    <row r="284" spans="1:158" ht="32.1" customHeight="1">
      <c r="A284" s="1052"/>
      <c r="B284" s="1053" t="s">
        <v>354</v>
      </c>
      <c r="C284" s="1456">
        <v>0.5</v>
      </c>
      <c r="D284" s="1456">
        <v>1</v>
      </c>
      <c r="E284" s="1483">
        <v>0</v>
      </c>
      <c r="F284" s="1485">
        <v>1</v>
      </c>
      <c r="G284" s="1483">
        <v>0.5</v>
      </c>
      <c r="H284" s="1483">
        <v>1</v>
      </c>
      <c r="I284" s="1195" t="s">
        <v>91</v>
      </c>
      <c r="J284" s="1070" t="s">
        <v>6225</v>
      </c>
      <c r="K284" s="1142" t="s">
        <v>6394</v>
      </c>
      <c r="L284" s="1071" t="s">
        <v>5943</v>
      </c>
      <c r="M284" s="1199" t="s">
        <v>6156</v>
      </c>
      <c r="N284" s="1073" t="s">
        <v>5469</v>
      </c>
      <c r="O284" s="1073" t="s">
        <v>5688</v>
      </c>
      <c r="P284" s="1070">
        <v>1</v>
      </c>
      <c r="Q284" s="1070">
        <v>0</v>
      </c>
    </row>
    <row r="285" spans="1:158" ht="32.1" customHeight="1">
      <c r="A285" s="1052"/>
      <c r="B285" s="1053" t="s">
        <v>355</v>
      </c>
      <c r="C285" s="1456">
        <v>0.5</v>
      </c>
      <c r="D285" s="1456">
        <v>0.5</v>
      </c>
      <c r="E285" s="1483">
        <v>1</v>
      </c>
      <c r="F285" s="1483">
        <v>0.5</v>
      </c>
      <c r="G285" s="1483">
        <v>1</v>
      </c>
      <c r="H285" s="1483">
        <v>0.5</v>
      </c>
      <c r="I285" s="1195" t="s">
        <v>91</v>
      </c>
      <c r="J285" s="1070" t="s">
        <v>6225</v>
      </c>
      <c r="K285" s="1142" t="s">
        <v>6395</v>
      </c>
      <c r="L285" s="1071" t="s">
        <v>5944</v>
      </c>
      <c r="M285" s="1199" t="s">
        <v>6794</v>
      </c>
      <c r="N285" s="1073" t="s">
        <v>5470</v>
      </c>
      <c r="O285" s="1073" t="s">
        <v>5689</v>
      </c>
      <c r="P285" s="1070">
        <v>1</v>
      </c>
      <c r="Q285" s="1070">
        <v>0</v>
      </c>
    </row>
    <row r="286" spans="1:158" ht="32.1" customHeight="1">
      <c r="A286" s="1052"/>
      <c r="B286" s="1053" t="s">
        <v>356</v>
      </c>
      <c r="C286" s="1456">
        <v>1</v>
      </c>
      <c r="D286" s="1456">
        <v>1</v>
      </c>
      <c r="E286" s="1456">
        <v>0</v>
      </c>
      <c r="F286" s="1456">
        <v>1</v>
      </c>
      <c r="G286" s="1456">
        <v>1</v>
      </c>
      <c r="H286" s="1456">
        <v>0</v>
      </c>
      <c r="I286" s="1195" t="s">
        <v>38</v>
      </c>
      <c r="J286" s="1070">
        <v>1</v>
      </c>
      <c r="K286" s="1142" t="s">
        <v>6396</v>
      </c>
      <c r="L286" s="1071" t="s">
        <v>5945</v>
      </c>
      <c r="M286" s="1102" t="s">
        <v>6157</v>
      </c>
      <c r="N286" s="1073" t="s">
        <v>5471</v>
      </c>
      <c r="O286" s="1200" t="s">
        <v>5690</v>
      </c>
      <c r="P286" s="1070">
        <v>1</v>
      </c>
      <c r="Q286" s="1070">
        <v>0</v>
      </c>
    </row>
    <row r="287" spans="1:158" ht="32.1" customHeight="1">
      <c r="A287" s="1052"/>
      <c r="B287" s="1053" t="s">
        <v>357</v>
      </c>
      <c r="C287" s="1456">
        <v>1</v>
      </c>
      <c r="D287" s="1456">
        <v>1</v>
      </c>
      <c r="E287" s="1456">
        <v>0</v>
      </c>
      <c r="F287" s="1483">
        <v>1</v>
      </c>
      <c r="G287" s="1456">
        <v>1</v>
      </c>
      <c r="H287" s="1456">
        <v>1</v>
      </c>
      <c r="I287" s="1195" t="s">
        <v>91</v>
      </c>
      <c r="J287" s="1070">
        <v>1</v>
      </c>
      <c r="K287" s="1142" t="s">
        <v>6329</v>
      </c>
      <c r="L287" s="1071" t="s">
        <v>748</v>
      </c>
      <c r="M287" s="1102" t="s">
        <v>6158</v>
      </c>
      <c r="N287" s="1073" t="s">
        <v>5472</v>
      </c>
      <c r="O287" s="1073" t="s">
        <v>5691</v>
      </c>
      <c r="P287" s="1070">
        <v>1</v>
      </c>
      <c r="Q287" s="1070">
        <v>0</v>
      </c>
    </row>
    <row r="288" spans="1:158" ht="32.1" customHeight="1">
      <c r="A288" s="1052"/>
      <c r="B288" s="1053" t="s">
        <v>358</v>
      </c>
      <c r="C288" s="1719">
        <v>1</v>
      </c>
      <c r="D288" s="1719">
        <v>1</v>
      </c>
      <c r="E288" s="1719">
        <v>1</v>
      </c>
      <c r="F288" s="1719">
        <v>1</v>
      </c>
      <c r="G288" s="1497">
        <v>1</v>
      </c>
      <c r="H288" s="1497">
        <v>1</v>
      </c>
      <c r="I288" s="1195" t="s">
        <v>91</v>
      </c>
      <c r="J288" s="1070">
        <v>1</v>
      </c>
      <c r="K288" s="1142" t="s">
        <v>6329</v>
      </c>
      <c r="L288" s="1071" t="s">
        <v>5946</v>
      </c>
      <c r="M288" s="1102" t="s">
        <v>6159</v>
      </c>
      <c r="N288" s="1124" t="s">
        <v>1531</v>
      </c>
      <c r="O288" s="1124" t="s">
        <v>5692</v>
      </c>
      <c r="P288" s="1070">
        <v>1</v>
      </c>
      <c r="Q288" s="1070">
        <v>0</v>
      </c>
    </row>
    <row r="289" spans="1:17" ht="32.1" customHeight="1">
      <c r="A289" s="1052"/>
      <c r="B289" s="1053" t="s">
        <v>359</v>
      </c>
      <c r="C289" s="1456">
        <v>0.5</v>
      </c>
      <c r="D289" s="1483">
        <v>1</v>
      </c>
      <c r="E289" s="1456">
        <v>0</v>
      </c>
      <c r="F289" s="1483">
        <v>1</v>
      </c>
      <c r="G289" s="1483">
        <v>1</v>
      </c>
      <c r="H289" s="1483">
        <v>1</v>
      </c>
      <c r="I289" s="1195" t="s">
        <v>91</v>
      </c>
      <c r="J289" s="1070" t="s">
        <v>6225</v>
      </c>
      <c r="K289" s="1142" t="s">
        <v>6329</v>
      </c>
      <c r="L289" s="1079" t="s">
        <v>748</v>
      </c>
      <c r="M289" s="1102" t="s">
        <v>1535</v>
      </c>
      <c r="N289" s="1073" t="s">
        <v>5473</v>
      </c>
      <c r="O289" s="1073" t="s">
        <v>5693</v>
      </c>
      <c r="P289" s="1070">
        <v>1</v>
      </c>
      <c r="Q289" s="1070">
        <v>0</v>
      </c>
    </row>
    <row r="290" spans="1:17" ht="32.1" customHeight="1">
      <c r="A290" s="1052"/>
      <c r="B290" s="1053" t="s">
        <v>360</v>
      </c>
      <c r="C290" s="1456">
        <v>1</v>
      </c>
      <c r="D290" s="1456">
        <v>1</v>
      </c>
      <c r="E290" s="1456">
        <v>0</v>
      </c>
      <c r="F290" s="1456">
        <v>1</v>
      </c>
      <c r="G290" s="1456">
        <v>1</v>
      </c>
      <c r="H290" s="1456">
        <v>1</v>
      </c>
      <c r="I290" s="1195" t="s">
        <v>38</v>
      </c>
      <c r="J290" s="1070">
        <v>1</v>
      </c>
      <c r="K290" s="1142" t="s">
        <v>6329</v>
      </c>
      <c r="L290" s="1079" t="s">
        <v>748</v>
      </c>
      <c r="M290" s="1134" t="s">
        <v>6160</v>
      </c>
      <c r="N290" s="1073" t="s">
        <v>1541</v>
      </c>
      <c r="O290" s="1073" t="s">
        <v>5694</v>
      </c>
      <c r="P290" s="1070">
        <v>1</v>
      </c>
      <c r="Q290" s="1070">
        <v>0</v>
      </c>
    </row>
    <row r="291" spans="1:17" ht="32.1" customHeight="1">
      <c r="A291" s="1066" t="s">
        <v>361</v>
      </c>
      <c r="B291" s="1067" t="s">
        <v>362</v>
      </c>
      <c r="C291" s="1461">
        <f t="shared" ref="C291:H291" si="65">AVERAGE(C292:C297)</f>
        <v>1</v>
      </c>
      <c r="D291" s="1461">
        <f t="shared" si="65"/>
        <v>1</v>
      </c>
      <c r="E291" s="1461">
        <f t="shared" si="65"/>
        <v>1</v>
      </c>
      <c r="F291" s="1461">
        <f t="shared" si="65"/>
        <v>0.83333333333333337</v>
      </c>
      <c r="G291" s="1461">
        <f t="shared" si="65"/>
        <v>0.75</v>
      </c>
      <c r="H291" s="1461">
        <f t="shared" si="65"/>
        <v>0.5</v>
      </c>
      <c r="I291" s="1195"/>
      <c r="J291" s="1130"/>
      <c r="K291" s="1130"/>
      <c r="L291" s="1130"/>
      <c r="M291" s="1130"/>
      <c r="N291" s="1130"/>
      <c r="O291" s="1130"/>
      <c r="P291" s="1130"/>
      <c r="Q291" s="1130"/>
    </row>
    <row r="292" spans="1:17" ht="32.1" customHeight="1">
      <c r="A292" s="1052"/>
      <c r="B292" s="1053" t="s">
        <v>363</v>
      </c>
      <c r="C292" s="1459">
        <v>1</v>
      </c>
      <c r="D292" s="1480">
        <v>1</v>
      </c>
      <c r="E292" s="1459">
        <v>1</v>
      </c>
      <c r="F292" s="1459">
        <v>1</v>
      </c>
      <c r="G292" s="1459">
        <v>0</v>
      </c>
      <c r="H292" s="1459">
        <v>1</v>
      </c>
      <c r="I292" s="1195" t="s">
        <v>38</v>
      </c>
      <c r="J292" s="1589" t="s">
        <v>6681</v>
      </c>
      <c r="K292" s="1142" t="s">
        <v>6329</v>
      </c>
      <c r="L292" s="1071" t="s">
        <v>5947</v>
      </c>
      <c r="M292" s="1134" t="s">
        <v>1547</v>
      </c>
      <c r="N292" s="1408" t="s">
        <v>5474</v>
      </c>
      <c r="O292" s="1124" t="s">
        <v>5695</v>
      </c>
      <c r="P292" s="1070">
        <v>1</v>
      </c>
      <c r="Q292" s="1070">
        <v>0</v>
      </c>
    </row>
    <row r="293" spans="1:17" ht="32.1" customHeight="1">
      <c r="A293" s="1052"/>
      <c r="B293" s="1053" t="s">
        <v>364</v>
      </c>
      <c r="C293" s="1720">
        <v>1</v>
      </c>
      <c r="D293" s="1719">
        <v>1</v>
      </c>
      <c r="E293" s="1720">
        <v>1</v>
      </c>
      <c r="F293" s="1442">
        <v>1</v>
      </c>
      <c r="G293" s="1719">
        <v>0.5</v>
      </c>
      <c r="H293" s="1719">
        <v>1</v>
      </c>
      <c r="I293" s="1195" t="s">
        <v>38</v>
      </c>
      <c r="J293" s="1070" t="s">
        <v>6677</v>
      </c>
      <c r="K293" s="1142" t="s">
        <v>6329</v>
      </c>
      <c r="L293" s="1071" t="s">
        <v>5948</v>
      </c>
      <c r="M293" s="1134" t="s">
        <v>6161</v>
      </c>
      <c r="N293" s="1124" t="s">
        <v>1553</v>
      </c>
      <c r="O293" s="1124" t="s">
        <v>5696</v>
      </c>
      <c r="P293" s="1070">
        <v>1</v>
      </c>
      <c r="Q293" s="1070">
        <v>0</v>
      </c>
    </row>
    <row r="294" spans="1:17" ht="32.1" customHeight="1">
      <c r="A294" s="1052"/>
      <c r="B294" s="1053" t="s">
        <v>365</v>
      </c>
      <c r="C294" s="1724">
        <v>1</v>
      </c>
      <c r="D294" s="1719">
        <v>1</v>
      </c>
      <c r="E294" s="1719">
        <v>1</v>
      </c>
      <c r="F294" s="1719">
        <v>1</v>
      </c>
      <c r="G294" s="1719">
        <v>1</v>
      </c>
      <c r="H294" s="1719">
        <v>1</v>
      </c>
      <c r="I294" s="1195" t="s">
        <v>38</v>
      </c>
      <c r="J294" s="1070" t="s">
        <v>6678</v>
      </c>
      <c r="K294" s="1142" t="s">
        <v>6329</v>
      </c>
      <c r="L294" s="1071" t="s">
        <v>5949</v>
      </c>
      <c r="M294" s="1134" t="s">
        <v>6162</v>
      </c>
      <c r="N294" s="1193" t="s">
        <v>1559</v>
      </c>
      <c r="O294" s="1073" t="s">
        <v>5697</v>
      </c>
      <c r="P294" s="1070">
        <v>1</v>
      </c>
      <c r="Q294" s="1070">
        <v>0</v>
      </c>
    </row>
    <row r="295" spans="1:17" ht="32.1" customHeight="1">
      <c r="A295" s="1052"/>
      <c r="B295" s="1053" t="s">
        <v>366</v>
      </c>
      <c r="C295" s="1719">
        <v>1</v>
      </c>
      <c r="D295" s="1719">
        <v>1</v>
      </c>
      <c r="E295" s="1719">
        <v>1</v>
      </c>
      <c r="F295" s="1719">
        <v>0</v>
      </c>
      <c r="G295" s="1719">
        <v>1</v>
      </c>
      <c r="H295" s="1719">
        <v>0</v>
      </c>
      <c r="I295" s="1195" t="s">
        <v>38</v>
      </c>
      <c r="J295" s="1070" t="s">
        <v>6679</v>
      </c>
      <c r="K295" s="1142" t="s">
        <v>6329</v>
      </c>
      <c r="L295" s="1071" t="s">
        <v>5950</v>
      </c>
      <c r="M295" s="1102" t="s">
        <v>6163</v>
      </c>
      <c r="N295" s="1124" t="s">
        <v>5475</v>
      </c>
      <c r="O295" s="1124" t="s">
        <v>5698</v>
      </c>
      <c r="P295" s="1070">
        <v>1</v>
      </c>
      <c r="Q295" s="1070">
        <v>0</v>
      </c>
    </row>
    <row r="296" spans="1:17" ht="32.1" customHeight="1">
      <c r="A296" s="1052"/>
      <c r="B296" s="1053" t="s">
        <v>367</v>
      </c>
      <c r="C296" s="1719">
        <v>1</v>
      </c>
      <c r="D296" s="1719">
        <v>1</v>
      </c>
      <c r="E296" s="1719">
        <v>1</v>
      </c>
      <c r="F296" s="1719">
        <v>1</v>
      </c>
      <c r="G296" s="1719">
        <v>1</v>
      </c>
      <c r="H296" s="1719">
        <v>0</v>
      </c>
      <c r="I296" s="1195" t="s">
        <v>38</v>
      </c>
      <c r="J296" s="1070" t="s">
        <v>6680</v>
      </c>
      <c r="K296" s="1142" t="s">
        <v>6329</v>
      </c>
      <c r="L296" s="1071" t="s">
        <v>5951</v>
      </c>
      <c r="M296" s="1134" t="s">
        <v>6164</v>
      </c>
      <c r="N296" s="1124" t="s">
        <v>5476</v>
      </c>
      <c r="O296" s="1124" t="s">
        <v>748</v>
      </c>
      <c r="P296" s="1070">
        <v>1</v>
      </c>
      <c r="Q296" s="1070">
        <v>0</v>
      </c>
    </row>
    <row r="297" spans="1:17" ht="32.1" customHeight="1">
      <c r="A297" s="1052"/>
      <c r="B297" s="1053" t="s">
        <v>368</v>
      </c>
      <c r="C297" s="1725">
        <v>1</v>
      </c>
      <c r="D297" s="1725">
        <v>1</v>
      </c>
      <c r="E297" s="1724">
        <v>1</v>
      </c>
      <c r="F297" s="1724">
        <v>1</v>
      </c>
      <c r="G297" s="1724">
        <v>1</v>
      </c>
      <c r="H297" s="1724">
        <v>0</v>
      </c>
      <c r="I297" s="1195" t="s">
        <v>38</v>
      </c>
      <c r="J297" s="1070" t="s">
        <v>6680</v>
      </c>
      <c r="K297" s="1142" t="s">
        <v>6397</v>
      </c>
      <c r="L297" s="1071" t="s">
        <v>5952</v>
      </c>
      <c r="M297" s="1102" t="s">
        <v>6165</v>
      </c>
      <c r="N297" s="1124" t="s">
        <v>5477</v>
      </c>
      <c r="O297" s="1124" t="s">
        <v>748</v>
      </c>
      <c r="P297" s="1070">
        <v>1</v>
      </c>
      <c r="Q297" s="1070">
        <v>0</v>
      </c>
    </row>
    <row r="298" spans="1:17" ht="32.1" customHeight="1">
      <c r="A298" s="1066" t="s">
        <v>5269</v>
      </c>
      <c r="B298" s="1067" t="s">
        <v>369</v>
      </c>
      <c r="C298" s="1461">
        <f t="shared" ref="C298:H298" si="66">AVERAGE(C299,C312)</f>
        <v>0.58277183600713012</v>
      </c>
      <c r="D298" s="1461">
        <f t="shared" si="66"/>
        <v>0.60715909090909093</v>
      </c>
      <c r="E298" s="1461">
        <f t="shared" si="66"/>
        <v>0.43181372549019603</v>
      </c>
      <c r="F298" s="1461">
        <f t="shared" si="66"/>
        <v>0.58503119429590011</v>
      </c>
      <c r="G298" s="1461">
        <f t="shared" si="66"/>
        <v>0.62768716577540107</v>
      </c>
      <c r="H298" s="1461">
        <f t="shared" si="66"/>
        <v>0.48856060606060603</v>
      </c>
      <c r="I298" s="1195"/>
      <c r="J298" s="1130"/>
      <c r="K298" s="1130"/>
      <c r="L298" s="1130"/>
      <c r="M298" s="1130"/>
      <c r="N298" s="1130"/>
      <c r="O298" s="1130"/>
      <c r="P298" s="1130"/>
      <c r="Q298" s="1130"/>
    </row>
    <row r="299" spans="1:17" ht="32.1" customHeight="1">
      <c r="A299" s="1066" t="s">
        <v>370</v>
      </c>
      <c r="B299" s="1067" t="s">
        <v>371</v>
      </c>
      <c r="C299" s="1461">
        <f t="shared" ref="C299:H299" si="67">AVERAGE(C300:C311)</f>
        <v>0.41666666666666669</v>
      </c>
      <c r="D299" s="1461">
        <f t="shared" si="67"/>
        <v>0.66666666666666663</v>
      </c>
      <c r="E299" s="1461">
        <f t="shared" si="67"/>
        <v>0.54166666666666663</v>
      </c>
      <c r="F299" s="1461">
        <f t="shared" si="67"/>
        <v>0.79166666666666663</v>
      </c>
      <c r="G299" s="1461">
        <f t="shared" si="67"/>
        <v>0.79166666666666663</v>
      </c>
      <c r="H299" s="1461">
        <f t="shared" si="67"/>
        <v>0.625</v>
      </c>
      <c r="I299" s="1195"/>
      <c r="J299" s="1130"/>
      <c r="K299" s="1130"/>
      <c r="L299" s="1130"/>
      <c r="M299" s="1130"/>
      <c r="N299" s="1130"/>
      <c r="O299" s="1130"/>
      <c r="P299" s="1130"/>
      <c r="Q299" s="1130"/>
    </row>
    <row r="300" spans="1:17" ht="117" customHeight="1">
      <c r="A300" s="1201"/>
      <c r="B300" s="1053" t="s">
        <v>372</v>
      </c>
      <c r="C300" s="1438">
        <v>0.5</v>
      </c>
      <c r="D300" s="1438">
        <v>1</v>
      </c>
      <c r="E300" s="1450">
        <v>0</v>
      </c>
      <c r="F300" s="1450">
        <v>0</v>
      </c>
      <c r="G300" s="1488">
        <v>1</v>
      </c>
      <c r="H300" s="1488">
        <v>0</v>
      </c>
      <c r="I300" s="1195" t="s">
        <v>240</v>
      </c>
      <c r="J300" s="1688" t="s">
        <v>6795</v>
      </c>
      <c r="K300" s="1590" t="s">
        <v>6398</v>
      </c>
      <c r="L300" s="1071" t="s">
        <v>5953</v>
      </c>
      <c r="M300" s="1102" t="s">
        <v>1215</v>
      </c>
      <c r="N300" s="1394" t="s">
        <v>5478</v>
      </c>
      <c r="O300" s="1073" t="s">
        <v>5699</v>
      </c>
      <c r="P300" s="1073">
        <v>1</v>
      </c>
      <c r="Q300" s="1073">
        <v>0</v>
      </c>
    </row>
    <row r="301" spans="1:17" ht="51.95" customHeight="1">
      <c r="A301" s="1201"/>
      <c r="B301" s="1053" t="s">
        <v>373</v>
      </c>
      <c r="C301" s="1450">
        <v>0.5</v>
      </c>
      <c r="D301" s="1450">
        <v>0.5</v>
      </c>
      <c r="E301" s="1488">
        <v>0.5</v>
      </c>
      <c r="F301" s="1450">
        <v>1</v>
      </c>
      <c r="G301" s="1450">
        <v>0.5</v>
      </c>
      <c r="H301" s="1450">
        <v>0</v>
      </c>
      <c r="I301" s="1195" t="s">
        <v>240</v>
      </c>
      <c r="J301" s="1075" t="s">
        <v>6637</v>
      </c>
      <c r="K301" s="1179" t="s">
        <v>6399</v>
      </c>
      <c r="L301" s="1071" t="s">
        <v>1220</v>
      </c>
      <c r="M301" s="1102" t="s">
        <v>1221</v>
      </c>
      <c r="N301" s="1073" t="s">
        <v>5479</v>
      </c>
      <c r="O301" s="1073" t="s">
        <v>5700</v>
      </c>
      <c r="P301" s="1073">
        <v>1</v>
      </c>
      <c r="Q301" s="1073">
        <v>0</v>
      </c>
    </row>
    <row r="302" spans="1:17" ht="32.1" customHeight="1">
      <c r="A302" s="1201"/>
      <c r="B302" s="1127" t="s">
        <v>374</v>
      </c>
      <c r="C302" s="1450">
        <v>0</v>
      </c>
      <c r="D302" s="1450">
        <v>0.5</v>
      </c>
      <c r="E302" s="1450">
        <v>0.5</v>
      </c>
      <c r="F302" s="1488">
        <v>1</v>
      </c>
      <c r="G302" s="1450">
        <v>0</v>
      </c>
      <c r="H302" s="1450">
        <v>0.5</v>
      </c>
      <c r="I302" s="1195" t="s">
        <v>240</v>
      </c>
      <c r="J302" s="1471" t="s">
        <v>6796</v>
      </c>
      <c r="K302" s="1179" t="s">
        <v>6400</v>
      </c>
      <c r="L302" s="1071" t="s">
        <v>6805</v>
      </c>
      <c r="M302" s="1102" t="s">
        <v>6166</v>
      </c>
      <c r="N302" s="1073" t="s">
        <v>5480</v>
      </c>
      <c r="O302" s="1073" t="s">
        <v>5701</v>
      </c>
      <c r="P302" s="1073">
        <v>1</v>
      </c>
      <c r="Q302" s="1073">
        <v>0</v>
      </c>
    </row>
    <row r="303" spans="1:17" ht="32.1" customHeight="1">
      <c r="A303" s="1201"/>
      <c r="B303" s="1053" t="s">
        <v>375</v>
      </c>
      <c r="C303" s="1450">
        <v>1</v>
      </c>
      <c r="D303" s="1450">
        <v>1</v>
      </c>
      <c r="E303" s="1450">
        <v>1</v>
      </c>
      <c r="F303" s="1450">
        <v>1</v>
      </c>
      <c r="G303" s="1450">
        <v>1</v>
      </c>
      <c r="H303" s="1450">
        <v>1</v>
      </c>
      <c r="I303" s="1195" t="s">
        <v>38</v>
      </c>
      <c r="J303" s="1471" t="s">
        <v>6638</v>
      </c>
      <c r="K303" s="1179" t="s">
        <v>6401</v>
      </c>
      <c r="L303" s="1071" t="s">
        <v>1231</v>
      </c>
      <c r="M303" s="1102" t="s">
        <v>6167</v>
      </c>
      <c r="N303" s="1073" t="s">
        <v>5481</v>
      </c>
      <c r="O303" s="1073" t="s">
        <v>1234</v>
      </c>
      <c r="P303" s="1073">
        <v>1</v>
      </c>
      <c r="Q303" s="1073">
        <v>0</v>
      </c>
    </row>
    <row r="304" spans="1:17" ht="32.1" customHeight="1">
      <c r="A304" s="1201"/>
      <c r="B304" s="1053" t="s">
        <v>376</v>
      </c>
      <c r="C304" s="1450">
        <v>0.5</v>
      </c>
      <c r="D304" s="1488">
        <v>1</v>
      </c>
      <c r="E304" s="1450">
        <v>0.5</v>
      </c>
      <c r="F304" s="1450">
        <v>1</v>
      </c>
      <c r="G304" s="1450">
        <v>1</v>
      </c>
      <c r="H304" s="1450">
        <v>1</v>
      </c>
      <c r="I304" s="1195" t="s">
        <v>38</v>
      </c>
      <c r="J304" s="1075" t="s">
        <v>6797</v>
      </c>
      <c r="K304" s="1179" t="s">
        <v>6402</v>
      </c>
      <c r="L304" s="1071" t="s">
        <v>6805</v>
      </c>
      <c r="M304" s="1102" t="s">
        <v>6168</v>
      </c>
      <c r="N304" s="1073" t="s">
        <v>1237</v>
      </c>
      <c r="O304" s="1073" t="s">
        <v>1238</v>
      </c>
      <c r="P304" s="1073">
        <v>1</v>
      </c>
      <c r="Q304" s="1073">
        <v>0</v>
      </c>
    </row>
    <row r="305" spans="1:17" ht="32.1" customHeight="1">
      <c r="A305" s="1201"/>
      <c r="B305" s="1127" t="s">
        <v>377</v>
      </c>
      <c r="C305" s="1498">
        <v>0.5</v>
      </c>
      <c r="D305" s="1498">
        <v>1</v>
      </c>
      <c r="E305" s="1498">
        <v>1</v>
      </c>
      <c r="F305" s="1498">
        <v>1</v>
      </c>
      <c r="G305" s="1498">
        <v>1</v>
      </c>
      <c r="H305" s="1498">
        <v>1</v>
      </c>
      <c r="I305" s="1195" t="s">
        <v>38</v>
      </c>
      <c r="J305" s="1075" t="s">
        <v>6639</v>
      </c>
      <c r="K305" s="1179" t="s">
        <v>6403</v>
      </c>
      <c r="L305" s="1071" t="s">
        <v>1241</v>
      </c>
      <c r="M305" s="1102" t="s">
        <v>6169</v>
      </c>
      <c r="N305" s="1073" t="s">
        <v>1243</v>
      </c>
      <c r="O305" s="1073" t="s">
        <v>5702</v>
      </c>
      <c r="P305" s="1073">
        <v>1</v>
      </c>
      <c r="Q305" s="1073">
        <v>0</v>
      </c>
    </row>
    <row r="306" spans="1:17" ht="32.1" customHeight="1">
      <c r="A306" s="1201"/>
      <c r="B306" s="1053" t="s">
        <v>378</v>
      </c>
      <c r="C306" s="1450">
        <v>1</v>
      </c>
      <c r="D306" s="1450">
        <v>1</v>
      </c>
      <c r="E306" s="1450">
        <v>1</v>
      </c>
      <c r="F306" s="1450">
        <v>1</v>
      </c>
      <c r="G306" s="1450">
        <v>1</v>
      </c>
      <c r="H306" s="1450">
        <v>1</v>
      </c>
      <c r="I306" s="1464" t="s">
        <v>38</v>
      </c>
      <c r="J306" s="1075" t="s">
        <v>6640</v>
      </c>
      <c r="K306" s="1179" t="s">
        <v>6404</v>
      </c>
      <c r="L306" s="1071" t="s">
        <v>1246</v>
      </c>
      <c r="M306" s="1102" t="s">
        <v>6170</v>
      </c>
      <c r="N306" s="1073" t="s">
        <v>1248</v>
      </c>
      <c r="O306" s="1073" t="s">
        <v>5703</v>
      </c>
      <c r="P306" s="1073">
        <v>1</v>
      </c>
      <c r="Q306" s="1073">
        <v>0</v>
      </c>
    </row>
    <row r="307" spans="1:17" ht="32.1" customHeight="1">
      <c r="A307" s="1201"/>
      <c r="B307" s="1053" t="s">
        <v>379</v>
      </c>
      <c r="C307" s="1450">
        <v>1</v>
      </c>
      <c r="D307" s="1450">
        <v>1</v>
      </c>
      <c r="E307" s="1488">
        <v>0</v>
      </c>
      <c r="F307" s="1450">
        <v>1</v>
      </c>
      <c r="G307" s="1450">
        <v>1</v>
      </c>
      <c r="H307" s="1450">
        <v>1</v>
      </c>
      <c r="I307" s="1464" t="s">
        <v>38</v>
      </c>
      <c r="J307" s="1075" t="s">
        <v>6641</v>
      </c>
      <c r="K307" s="1179" t="s">
        <v>6405</v>
      </c>
      <c r="L307" s="1071" t="s">
        <v>442</v>
      </c>
      <c r="M307" s="1102" t="s">
        <v>1252</v>
      </c>
      <c r="N307" s="1073" t="s">
        <v>1253</v>
      </c>
      <c r="O307" s="1073" t="s">
        <v>5704</v>
      </c>
      <c r="P307" s="1073">
        <v>1</v>
      </c>
      <c r="Q307" s="1073">
        <v>0</v>
      </c>
    </row>
    <row r="308" spans="1:17" ht="32.1" customHeight="1">
      <c r="A308" s="1201"/>
      <c r="B308" s="1127" t="s">
        <v>380</v>
      </c>
      <c r="C308" s="1480">
        <v>0</v>
      </c>
      <c r="D308" s="1480">
        <v>0.5</v>
      </c>
      <c r="E308" s="1480">
        <v>0.5</v>
      </c>
      <c r="F308" s="1480">
        <v>0.5</v>
      </c>
      <c r="G308" s="1480">
        <v>1</v>
      </c>
      <c r="H308" s="1480">
        <v>0.5</v>
      </c>
      <c r="I308" s="1464" t="s">
        <v>240</v>
      </c>
      <c r="J308" s="1396" t="s">
        <v>6916</v>
      </c>
      <c r="K308" s="1590" t="s">
        <v>6889</v>
      </c>
      <c r="L308" s="1071" t="s">
        <v>1256</v>
      </c>
      <c r="M308" s="1411" t="s">
        <v>6171</v>
      </c>
      <c r="N308" s="1073" t="s">
        <v>1258</v>
      </c>
      <c r="O308" s="1073" t="s">
        <v>5705</v>
      </c>
      <c r="P308" s="1073">
        <v>1</v>
      </c>
      <c r="Q308" s="1073">
        <v>0</v>
      </c>
    </row>
    <row r="309" spans="1:17" ht="32.1" customHeight="1">
      <c r="A309" s="1201"/>
      <c r="B309" s="1053" t="s">
        <v>381</v>
      </c>
      <c r="C309" s="1456">
        <v>0</v>
      </c>
      <c r="D309" s="1456">
        <v>0.5</v>
      </c>
      <c r="E309" s="1485">
        <v>0.5</v>
      </c>
      <c r="F309" s="1456">
        <v>1</v>
      </c>
      <c r="G309" s="1456">
        <v>1</v>
      </c>
      <c r="H309" s="1456">
        <v>0.5</v>
      </c>
      <c r="I309" s="1464" t="s">
        <v>240</v>
      </c>
      <c r="J309" s="1075" t="s">
        <v>6642</v>
      </c>
      <c r="K309" s="1590" t="s">
        <v>6890</v>
      </c>
      <c r="L309" s="1071" t="s">
        <v>1261</v>
      </c>
      <c r="M309" s="1102" t="s">
        <v>6172</v>
      </c>
      <c r="N309" s="1073" t="s">
        <v>1269</v>
      </c>
      <c r="O309" s="1073" t="s">
        <v>5706</v>
      </c>
      <c r="P309" s="1073">
        <v>1</v>
      </c>
      <c r="Q309" s="1073">
        <v>0</v>
      </c>
    </row>
    <row r="310" spans="1:17" ht="32.1" customHeight="1">
      <c r="A310" s="1201"/>
      <c r="B310" s="1053" t="s">
        <v>382</v>
      </c>
      <c r="C310" s="1480">
        <v>0</v>
      </c>
      <c r="D310" s="1456">
        <v>0</v>
      </c>
      <c r="E310" s="1483">
        <v>1</v>
      </c>
      <c r="F310" s="1456">
        <v>1</v>
      </c>
      <c r="G310" s="1480">
        <v>1</v>
      </c>
      <c r="H310" s="1480">
        <v>1</v>
      </c>
      <c r="I310" s="1464" t="s">
        <v>38</v>
      </c>
      <c r="J310" s="1396" t="s">
        <v>6643</v>
      </c>
      <c r="K310" s="1590" t="s">
        <v>6891</v>
      </c>
      <c r="L310" s="1071" t="s">
        <v>1267</v>
      </c>
      <c r="M310" s="1411" t="s">
        <v>6173</v>
      </c>
      <c r="N310" s="1073" t="s">
        <v>5482</v>
      </c>
      <c r="O310" s="1073" t="s">
        <v>5707</v>
      </c>
      <c r="P310" s="1073">
        <v>1</v>
      </c>
      <c r="Q310" s="1073">
        <v>0</v>
      </c>
    </row>
    <row r="311" spans="1:17" ht="32.1" customHeight="1">
      <c r="A311" s="1201"/>
      <c r="B311" s="1127" t="s">
        <v>383</v>
      </c>
      <c r="C311" s="1483">
        <v>0</v>
      </c>
      <c r="D311" s="1483">
        <v>0</v>
      </c>
      <c r="E311" s="1483">
        <v>0</v>
      </c>
      <c r="F311" s="1483">
        <v>0</v>
      </c>
      <c r="G311" s="1483">
        <v>0</v>
      </c>
      <c r="H311" s="1483">
        <v>0</v>
      </c>
      <c r="I311" s="1464" t="s">
        <v>240</v>
      </c>
      <c r="J311" s="1075" t="s">
        <v>6644</v>
      </c>
      <c r="K311" s="1179" t="s">
        <v>6406</v>
      </c>
      <c r="L311" s="1071" t="s">
        <v>1273</v>
      </c>
      <c r="M311" s="1102" t="s">
        <v>1274</v>
      </c>
      <c r="N311" s="1073" t="s">
        <v>5483</v>
      </c>
      <c r="O311" s="1073" t="s">
        <v>5708</v>
      </c>
      <c r="P311" s="1073">
        <v>1</v>
      </c>
      <c r="Q311" s="1073">
        <v>0</v>
      </c>
    </row>
    <row r="312" spans="1:17" ht="32.1" customHeight="1">
      <c r="A312" s="1066" t="s">
        <v>384</v>
      </c>
      <c r="B312" s="1067" t="s">
        <v>385</v>
      </c>
      <c r="C312" s="1495">
        <f t="shared" ref="C312:H312" si="68">AVERAGE(C313,C325,C329,C331,C349)</f>
        <v>0.74887700534759361</v>
      </c>
      <c r="D312" s="1495">
        <f t="shared" si="68"/>
        <v>0.54765151515151511</v>
      </c>
      <c r="E312" s="1495">
        <f t="shared" si="68"/>
        <v>0.32196078431372549</v>
      </c>
      <c r="F312" s="1495">
        <f t="shared" si="68"/>
        <v>0.37839572192513371</v>
      </c>
      <c r="G312" s="1495">
        <f t="shared" si="68"/>
        <v>0.46370766488413551</v>
      </c>
      <c r="H312" s="1495">
        <f t="shared" si="68"/>
        <v>0.35212121212121211</v>
      </c>
      <c r="I312" s="1464"/>
      <c r="J312" s="1076"/>
      <c r="K312" s="1076"/>
      <c r="L312" s="1076"/>
      <c r="M312" s="1076"/>
      <c r="N312" s="1076"/>
      <c r="O312" s="1076"/>
      <c r="P312" s="1076"/>
      <c r="Q312" s="1076"/>
    </row>
    <row r="313" spans="1:17" ht="32.1" customHeight="1">
      <c r="A313" s="1066" t="s">
        <v>386</v>
      </c>
      <c r="B313" s="1067" t="s">
        <v>387</v>
      </c>
      <c r="C313" s="1499">
        <f t="shared" ref="C313:H313" si="69">AVERAGE(C314:C324)</f>
        <v>0.90909090909090906</v>
      </c>
      <c r="D313" s="1499">
        <f t="shared" si="69"/>
        <v>0.90909090909090906</v>
      </c>
      <c r="E313" s="1499">
        <f t="shared" si="69"/>
        <v>0.5</v>
      </c>
      <c r="F313" s="1499">
        <f t="shared" si="69"/>
        <v>0.72727272727272729</v>
      </c>
      <c r="G313" s="1499">
        <f t="shared" si="69"/>
        <v>0.86363636363636365</v>
      </c>
      <c r="H313" s="1499">
        <f t="shared" si="69"/>
        <v>0.72727272727272729</v>
      </c>
      <c r="I313" s="1464"/>
      <c r="J313" s="1076"/>
      <c r="K313" s="1076"/>
      <c r="L313" s="1076"/>
      <c r="M313" s="1076"/>
      <c r="N313" s="1076"/>
      <c r="O313" s="1076"/>
      <c r="P313" s="1076"/>
      <c r="Q313" s="1076"/>
    </row>
    <row r="314" spans="1:17" ht="32.1" customHeight="1">
      <c r="A314" s="1201"/>
      <c r="B314" s="1053" t="s">
        <v>388</v>
      </c>
      <c r="C314" s="1450">
        <v>1</v>
      </c>
      <c r="D314" s="1450">
        <v>1</v>
      </c>
      <c r="E314" s="1450">
        <v>1</v>
      </c>
      <c r="F314" s="1450">
        <v>1</v>
      </c>
      <c r="G314" s="1450">
        <v>1</v>
      </c>
      <c r="H314" s="1450">
        <v>1</v>
      </c>
      <c r="I314" s="1464" t="s">
        <v>38</v>
      </c>
      <c r="J314" s="1075" t="s">
        <v>6645</v>
      </c>
      <c r="K314" s="1179" t="s">
        <v>6407</v>
      </c>
      <c r="L314" s="1071" t="s">
        <v>5954</v>
      </c>
      <c r="M314" s="1102" t="s">
        <v>6174</v>
      </c>
      <c r="N314" s="1073" t="s">
        <v>1282</v>
      </c>
      <c r="O314" s="1073" t="s">
        <v>5709</v>
      </c>
      <c r="P314" s="1073">
        <v>1</v>
      </c>
      <c r="Q314" s="1073">
        <v>0</v>
      </c>
    </row>
    <row r="315" spans="1:17" ht="32.1" customHeight="1">
      <c r="A315" s="1201"/>
      <c r="B315" s="1053" t="s">
        <v>389</v>
      </c>
      <c r="C315" s="1488">
        <v>1</v>
      </c>
      <c r="D315" s="1450">
        <v>0.5</v>
      </c>
      <c r="E315" s="1450">
        <v>0.5</v>
      </c>
      <c r="F315" s="1450">
        <v>1</v>
      </c>
      <c r="G315" s="1450">
        <v>1</v>
      </c>
      <c r="H315" s="1450">
        <v>1</v>
      </c>
      <c r="I315" s="1464" t="s">
        <v>240</v>
      </c>
      <c r="J315" s="1396" t="s">
        <v>6646</v>
      </c>
      <c r="K315" s="1590" t="s">
        <v>6408</v>
      </c>
      <c r="L315" s="1071" t="s">
        <v>6805</v>
      </c>
      <c r="M315" s="1411" t="s">
        <v>6175</v>
      </c>
      <c r="N315" s="1394" t="s">
        <v>1286</v>
      </c>
      <c r="O315" s="1394" t="s">
        <v>5710</v>
      </c>
      <c r="P315" s="1073">
        <v>1</v>
      </c>
      <c r="Q315" s="1073">
        <v>0</v>
      </c>
    </row>
    <row r="316" spans="1:17" ht="32.1" customHeight="1">
      <c r="A316" s="1201"/>
      <c r="B316" s="1053" t="s">
        <v>390</v>
      </c>
      <c r="C316" s="1450">
        <v>1</v>
      </c>
      <c r="D316" s="1450">
        <v>1</v>
      </c>
      <c r="E316" s="1450">
        <v>0</v>
      </c>
      <c r="F316" s="1450">
        <v>1</v>
      </c>
      <c r="G316" s="1450">
        <v>1</v>
      </c>
      <c r="H316" s="1450">
        <v>1</v>
      </c>
      <c r="I316" s="1464" t="s">
        <v>38</v>
      </c>
      <c r="J316" s="1075" t="s">
        <v>6647</v>
      </c>
      <c r="K316" s="1179" t="s">
        <v>6409</v>
      </c>
      <c r="L316" s="1071" t="s">
        <v>5955</v>
      </c>
      <c r="M316" s="1102" t="s">
        <v>6176</v>
      </c>
      <c r="N316" s="1073" t="s">
        <v>1291</v>
      </c>
      <c r="O316" s="1073" t="s">
        <v>1292</v>
      </c>
      <c r="P316" s="1073">
        <v>1</v>
      </c>
      <c r="Q316" s="1073">
        <v>0</v>
      </c>
    </row>
    <row r="317" spans="1:17" ht="32.1" customHeight="1">
      <c r="A317" s="1201"/>
      <c r="B317" s="1127" t="s">
        <v>391</v>
      </c>
      <c r="C317" s="1450">
        <v>1</v>
      </c>
      <c r="D317" s="1450">
        <v>1</v>
      </c>
      <c r="E317" s="1450">
        <v>0</v>
      </c>
      <c r="F317" s="1450">
        <v>1</v>
      </c>
      <c r="G317" s="1450">
        <v>1</v>
      </c>
      <c r="H317" s="1450">
        <v>1</v>
      </c>
      <c r="I317" s="1464" t="s">
        <v>240</v>
      </c>
      <c r="J317" s="1075" t="s">
        <v>6648</v>
      </c>
      <c r="K317" s="1179" t="s">
        <v>6410</v>
      </c>
      <c r="L317" s="1071" t="s">
        <v>1294</v>
      </c>
      <c r="M317" s="1102" t="s">
        <v>6177</v>
      </c>
      <c r="N317" s="1073" t="s">
        <v>5484</v>
      </c>
      <c r="O317" s="1073" t="s">
        <v>5711</v>
      </c>
      <c r="P317" s="1073">
        <v>1</v>
      </c>
      <c r="Q317" s="1073">
        <v>0</v>
      </c>
    </row>
    <row r="318" spans="1:17" ht="32.1" customHeight="1">
      <c r="A318" s="1201"/>
      <c r="B318" s="1053" t="s">
        <v>392</v>
      </c>
      <c r="C318" s="1450">
        <v>1</v>
      </c>
      <c r="D318" s="1450">
        <v>1</v>
      </c>
      <c r="E318" s="1450">
        <v>0</v>
      </c>
      <c r="F318" s="1450">
        <v>1</v>
      </c>
      <c r="G318" s="1487">
        <v>1</v>
      </c>
      <c r="H318" s="1487">
        <v>1</v>
      </c>
      <c r="I318" s="1464" t="s">
        <v>240</v>
      </c>
      <c r="J318" s="1396" t="s">
        <v>6649</v>
      </c>
      <c r="K318" s="1179" t="s">
        <v>6411</v>
      </c>
      <c r="L318" s="1071" t="s">
        <v>1060</v>
      </c>
      <c r="M318" s="1102" t="s">
        <v>6178</v>
      </c>
      <c r="N318" s="1073" t="s">
        <v>1300</v>
      </c>
      <c r="O318" s="1073" t="s">
        <v>5712</v>
      </c>
      <c r="P318" s="1073">
        <v>1</v>
      </c>
      <c r="Q318" s="1073">
        <v>0</v>
      </c>
    </row>
    <row r="319" spans="1:17" ht="32.1" customHeight="1">
      <c r="A319" s="1201"/>
      <c r="B319" s="1053" t="s">
        <v>393</v>
      </c>
      <c r="C319" s="1450">
        <v>1</v>
      </c>
      <c r="D319" s="1450">
        <v>1</v>
      </c>
      <c r="E319" s="1488">
        <v>1</v>
      </c>
      <c r="F319" s="1450">
        <v>1</v>
      </c>
      <c r="G319" s="1450">
        <v>1</v>
      </c>
      <c r="H319" s="1450">
        <v>1</v>
      </c>
      <c r="I319" s="1464" t="s">
        <v>123</v>
      </c>
      <c r="J319" s="1075" t="s">
        <v>6650</v>
      </c>
      <c r="K319" s="1179" t="s">
        <v>6412</v>
      </c>
      <c r="L319" s="1071" t="s">
        <v>5956</v>
      </c>
      <c r="M319" s="1102" t="s">
        <v>6179</v>
      </c>
      <c r="N319" s="1073" t="s">
        <v>5485</v>
      </c>
      <c r="O319" s="1073" t="s">
        <v>5713</v>
      </c>
      <c r="P319" s="1073">
        <v>1</v>
      </c>
      <c r="Q319" s="1073">
        <v>0</v>
      </c>
    </row>
    <row r="320" spans="1:17" ht="32.1" customHeight="1">
      <c r="A320" s="1201"/>
      <c r="B320" s="1053" t="s">
        <v>394</v>
      </c>
      <c r="C320" s="1487">
        <v>0.5</v>
      </c>
      <c r="D320" s="1498">
        <v>1</v>
      </c>
      <c r="E320" s="1498">
        <v>1</v>
      </c>
      <c r="F320" s="1498">
        <v>0</v>
      </c>
      <c r="G320" s="1498">
        <v>0</v>
      </c>
      <c r="H320" s="1498">
        <v>0</v>
      </c>
      <c r="I320" s="1464" t="s">
        <v>240</v>
      </c>
      <c r="J320" s="1075" t="s">
        <v>6651</v>
      </c>
      <c r="K320" s="1179" t="s">
        <v>6413</v>
      </c>
      <c r="L320" s="1071" t="s">
        <v>960</v>
      </c>
      <c r="M320" s="1102" t="s">
        <v>1309</v>
      </c>
      <c r="N320" s="1073" t="s">
        <v>5486</v>
      </c>
      <c r="O320" s="1073" t="s">
        <v>5714</v>
      </c>
      <c r="P320" s="1073">
        <v>1</v>
      </c>
      <c r="Q320" s="1073">
        <v>0</v>
      </c>
    </row>
    <row r="321" spans="1:158" ht="32.1" customHeight="1">
      <c r="A321" s="1201"/>
      <c r="B321" s="1053" t="s">
        <v>395</v>
      </c>
      <c r="C321" s="1450">
        <v>1</v>
      </c>
      <c r="D321" s="1450">
        <v>1</v>
      </c>
      <c r="E321" s="1450">
        <v>0</v>
      </c>
      <c r="F321" s="1450">
        <v>0</v>
      </c>
      <c r="G321" s="1488">
        <v>1</v>
      </c>
      <c r="H321" s="1488">
        <v>1</v>
      </c>
      <c r="I321" s="1464" t="s">
        <v>38</v>
      </c>
      <c r="J321" s="1154" t="s">
        <v>811</v>
      </c>
      <c r="K321" s="1179" t="s">
        <v>6414</v>
      </c>
      <c r="L321" s="1071" t="s">
        <v>1060</v>
      </c>
      <c r="M321" s="1102" t="s">
        <v>6180</v>
      </c>
      <c r="N321" s="1073" t="s">
        <v>5487</v>
      </c>
      <c r="O321" s="1073" t="s">
        <v>5715</v>
      </c>
      <c r="P321" s="1073">
        <v>1</v>
      </c>
      <c r="Q321" s="1073">
        <v>0</v>
      </c>
    </row>
    <row r="322" spans="1:158" ht="32.1" customHeight="1">
      <c r="A322" s="1201"/>
      <c r="B322" s="1053" t="s">
        <v>396</v>
      </c>
      <c r="C322" s="1450">
        <v>1</v>
      </c>
      <c r="D322" s="1450">
        <v>1</v>
      </c>
      <c r="E322" s="1486">
        <v>1</v>
      </c>
      <c r="F322" s="1450">
        <v>1</v>
      </c>
      <c r="G322" s="1450">
        <v>1</v>
      </c>
      <c r="H322" s="1450">
        <v>1</v>
      </c>
      <c r="I322" s="1464" t="s">
        <v>38</v>
      </c>
      <c r="J322" s="1075" t="s">
        <v>6652</v>
      </c>
      <c r="K322" s="1179" t="s">
        <v>6415</v>
      </c>
      <c r="L322" s="1071" t="s">
        <v>1317</v>
      </c>
      <c r="M322" s="1102" t="s">
        <v>1318</v>
      </c>
      <c r="N322" s="1073" t="s">
        <v>1319</v>
      </c>
      <c r="O322" s="1193" t="s">
        <v>5716</v>
      </c>
      <c r="P322" s="1073">
        <v>1</v>
      </c>
      <c r="Q322" s="1073">
        <v>0</v>
      </c>
    </row>
    <row r="323" spans="1:158" ht="32.1" customHeight="1">
      <c r="A323" s="1201"/>
      <c r="B323" s="1053" t="s">
        <v>397</v>
      </c>
      <c r="C323" s="1450">
        <v>1</v>
      </c>
      <c r="D323" s="1450">
        <v>1</v>
      </c>
      <c r="E323" s="1450">
        <v>1</v>
      </c>
      <c r="F323" s="1488">
        <v>1</v>
      </c>
      <c r="G323" s="1450">
        <v>1</v>
      </c>
      <c r="H323" s="1450">
        <v>0</v>
      </c>
      <c r="I323" s="1464" t="s">
        <v>38</v>
      </c>
      <c r="J323" s="1075" t="s">
        <v>6653</v>
      </c>
      <c r="K323" s="1179" t="s">
        <v>6416</v>
      </c>
      <c r="L323" s="1071" t="s">
        <v>1322</v>
      </c>
      <c r="M323" s="1102" t="s">
        <v>6181</v>
      </c>
      <c r="N323" s="1073" t="s">
        <v>1324</v>
      </c>
      <c r="O323" s="1073" t="s">
        <v>5717</v>
      </c>
      <c r="P323" s="1073">
        <v>1</v>
      </c>
      <c r="Q323" s="1073">
        <v>0</v>
      </c>
    </row>
    <row r="324" spans="1:158" ht="32.1" customHeight="1">
      <c r="A324" s="1201"/>
      <c r="B324" s="1127" t="s">
        <v>398</v>
      </c>
      <c r="C324" s="1450">
        <v>0.5</v>
      </c>
      <c r="D324" s="1450">
        <v>0.5</v>
      </c>
      <c r="E324" s="1450">
        <v>0</v>
      </c>
      <c r="F324" s="1488">
        <v>0</v>
      </c>
      <c r="G324" s="1450">
        <v>0.5</v>
      </c>
      <c r="H324" s="1450">
        <v>0</v>
      </c>
      <c r="I324" s="1464" t="s">
        <v>240</v>
      </c>
      <c r="J324" s="1075" t="s">
        <v>6654</v>
      </c>
      <c r="K324" s="1179" t="s">
        <v>6417</v>
      </c>
      <c r="L324" s="1071" t="s">
        <v>5957</v>
      </c>
      <c r="M324" s="1411" t="s">
        <v>6182</v>
      </c>
      <c r="N324" s="1073" t="s">
        <v>5488</v>
      </c>
      <c r="O324" s="1394" t="s">
        <v>5718</v>
      </c>
      <c r="P324" s="1073">
        <v>1</v>
      </c>
      <c r="Q324" s="1073">
        <v>0</v>
      </c>
    </row>
    <row r="325" spans="1:158" s="1203" customFormat="1" ht="32.1" customHeight="1">
      <c r="A325" s="1066" t="s">
        <v>399</v>
      </c>
      <c r="B325" s="1067" t="s">
        <v>400</v>
      </c>
      <c r="C325" s="1495">
        <f t="shared" ref="C325:H325" si="70">AVERAGE(C326,C327,C328)</f>
        <v>1</v>
      </c>
      <c r="D325" s="1495">
        <f t="shared" si="70"/>
        <v>0.66666666666666663</v>
      </c>
      <c r="E325" s="1495">
        <f t="shared" si="70"/>
        <v>0.33333333333333331</v>
      </c>
      <c r="F325" s="1495">
        <f t="shared" si="70"/>
        <v>0.5</v>
      </c>
      <c r="G325" s="1495">
        <f t="shared" si="70"/>
        <v>0.66666666666666663</v>
      </c>
      <c r="H325" s="1495">
        <f t="shared" si="70"/>
        <v>0.33333333333333331</v>
      </c>
      <c r="I325" s="1464"/>
      <c r="J325" s="1076"/>
      <c r="K325" s="1076"/>
      <c r="L325" s="1076"/>
      <c r="M325" s="1076"/>
      <c r="N325" s="1076"/>
      <c r="O325" s="1076"/>
      <c r="P325" s="1076"/>
      <c r="Q325" s="1076"/>
      <c r="R325" s="1081"/>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c r="CB325" s="1202"/>
      <c r="CC325" s="1202"/>
      <c r="CD325" s="1202"/>
      <c r="CE325" s="1202"/>
      <c r="CF325" s="1202"/>
      <c r="CG325" s="1202"/>
      <c r="CH325" s="1202"/>
      <c r="CI325" s="1202"/>
      <c r="CJ325" s="1202"/>
      <c r="CK325" s="1202"/>
      <c r="CL325" s="1202"/>
      <c r="CM325" s="1202"/>
      <c r="CN325" s="1202"/>
      <c r="CO325" s="1202"/>
      <c r="CP325" s="1202"/>
      <c r="CQ325" s="1202"/>
      <c r="CR325" s="1202"/>
      <c r="CS325" s="1202"/>
      <c r="CT325" s="1202"/>
      <c r="CU325" s="1202"/>
      <c r="CV325" s="1202"/>
      <c r="CW325" s="1202"/>
      <c r="CX325" s="1202"/>
      <c r="CY325" s="1202"/>
      <c r="CZ325" s="1202"/>
      <c r="DA325" s="1202"/>
      <c r="DB325" s="1202"/>
      <c r="DC325" s="1202"/>
      <c r="DD325" s="1202"/>
      <c r="DE325" s="1202"/>
      <c r="DF325" s="1202"/>
      <c r="DG325" s="1202"/>
      <c r="DH325" s="1202"/>
      <c r="DI325" s="1202"/>
      <c r="DJ325" s="1202"/>
      <c r="DK325" s="1202"/>
      <c r="DL325" s="1202"/>
      <c r="DM325" s="1202"/>
      <c r="DN325" s="1202"/>
      <c r="DO325" s="1202"/>
      <c r="DP325" s="1202"/>
      <c r="DQ325" s="1202"/>
      <c r="DR325" s="1202"/>
      <c r="DS325" s="1202"/>
      <c r="DT325" s="1202"/>
      <c r="DU325" s="1202"/>
      <c r="DV325" s="1202"/>
      <c r="DW325" s="1202"/>
      <c r="DX325" s="1202"/>
      <c r="DY325" s="1202"/>
      <c r="DZ325" s="1202"/>
      <c r="EA325" s="1202"/>
      <c r="EB325" s="1202"/>
      <c r="EC325" s="1202"/>
      <c r="ED325" s="1202"/>
      <c r="EE325" s="1202"/>
      <c r="EF325" s="1202"/>
      <c r="EG325" s="1202"/>
      <c r="EH325" s="1202"/>
      <c r="EI325" s="1202"/>
      <c r="EJ325" s="1202"/>
      <c r="EK325" s="1202"/>
      <c r="EL325" s="1202"/>
      <c r="EM325" s="1202"/>
      <c r="EN325" s="1202"/>
      <c r="EO325" s="1202"/>
      <c r="EP325" s="1202"/>
      <c r="EQ325" s="1202"/>
      <c r="ER325" s="1202"/>
      <c r="ES325" s="1202"/>
      <c r="ET325" s="1202"/>
      <c r="EU325" s="1202"/>
      <c r="EV325" s="1202"/>
      <c r="EW325" s="1202"/>
      <c r="EX325" s="1202"/>
      <c r="EY325" s="1202"/>
      <c r="EZ325" s="1202"/>
      <c r="FA325" s="1202"/>
      <c r="FB325" s="1202"/>
    </row>
    <row r="326" spans="1:158" ht="32.1" customHeight="1">
      <c r="A326" s="1201"/>
      <c r="B326" s="1053" t="s">
        <v>401</v>
      </c>
      <c r="C326" s="1456">
        <v>1</v>
      </c>
      <c r="D326" s="1456">
        <v>1</v>
      </c>
      <c r="E326" s="1480">
        <v>0</v>
      </c>
      <c r="F326" s="1456">
        <v>1</v>
      </c>
      <c r="G326" s="1456">
        <v>1</v>
      </c>
      <c r="H326" s="1456">
        <v>0</v>
      </c>
      <c r="I326" s="1464" t="s">
        <v>38</v>
      </c>
      <c r="J326" s="1396" t="s">
        <v>6655</v>
      </c>
      <c r="K326" s="1179" t="s">
        <v>6418</v>
      </c>
      <c r="L326" s="1071" t="s">
        <v>1334</v>
      </c>
      <c r="M326" s="1102" t="s">
        <v>6183</v>
      </c>
      <c r="N326" s="1073" t="s">
        <v>1336</v>
      </c>
      <c r="O326" s="1394" t="s">
        <v>5719</v>
      </c>
      <c r="P326" s="1070">
        <v>1</v>
      </c>
      <c r="Q326" s="1070">
        <v>0</v>
      </c>
    </row>
    <row r="327" spans="1:158" ht="32.1" customHeight="1">
      <c r="A327" s="1201"/>
      <c r="B327" s="1053" t="s">
        <v>402</v>
      </c>
      <c r="C327" s="1456">
        <v>1</v>
      </c>
      <c r="D327" s="1456">
        <v>0</v>
      </c>
      <c r="E327" s="1456">
        <v>1</v>
      </c>
      <c r="F327" s="1480">
        <v>0.5</v>
      </c>
      <c r="G327" s="1456">
        <v>1</v>
      </c>
      <c r="H327" s="1456">
        <v>1</v>
      </c>
      <c r="I327" s="1464" t="s">
        <v>38</v>
      </c>
      <c r="J327" s="1075" t="s">
        <v>6656</v>
      </c>
      <c r="K327" s="1179" t="s">
        <v>6419</v>
      </c>
      <c r="L327" s="1071" t="s">
        <v>1339</v>
      </c>
      <c r="M327" s="1411" t="s">
        <v>6184</v>
      </c>
      <c r="N327" s="1073" t="s">
        <v>5489</v>
      </c>
      <c r="O327" s="1073" t="s">
        <v>5720</v>
      </c>
      <c r="P327" s="1070">
        <v>1</v>
      </c>
      <c r="Q327" s="1070">
        <v>0</v>
      </c>
    </row>
    <row r="328" spans="1:158" ht="32.1" customHeight="1">
      <c r="A328" s="1201"/>
      <c r="B328" s="1053" t="s">
        <v>403</v>
      </c>
      <c r="C328" s="1456">
        <v>1</v>
      </c>
      <c r="D328" s="1456">
        <v>1</v>
      </c>
      <c r="E328" s="1483">
        <v>0</v>
      </c>
      <c r="F328" s="1456">
        <v>0</v>
      </c>
      <c r="G328" s="1456">
        <v>0</v>
      </c>
      <c r="H328" s="1456">
        <v>0</v>
      </c>
      <c r="I328" s="1464" t="s">
        <v>38</v>
      </c>
      <c r="J328" s="1075" t="s">
        <v>6657</v>
      </c>
      <c r="K328" s="1179" t="s">
        <v>6420</v>
      </c>
      <c r="L328" s="1071" t="s">
        <v>1060</v>
      </c>
      <c r="M328" s="1102" t="s">
        <v>1344</v>
      </c>
      <c r="N328" s="1073" t="s">
        <v>5490</v>
      </c>
      <c r="O328" s="1073" t="s">
        <v>5721</v>
      </c>
      <c r="P328" s="1070">
        <v>1</v>
      </c>
      <c r="Q328" s="1070">
        <v>0</v>
      </c>
    </row>
    <row r="329" spans="1:158" ht="32.1" customHeight="1">
      <c r="A329" s="1066" t="s">
        <v>404</v>
      </c>
      <c r="B329" s="1067" t="s">
        <v>405</v>
      </c>
      <c r="C329" s="1478">
        <f t="shared" ref="C329:H329" si="71">AVERAGE(C330)</f>
        <v>0.5</v>
      </c>
      <c r="D329" s="1478">
        <f t="shared" si="71"/>
        <v>0</v>
      </c>
      <c r="E329" s="1478">
        <f t="shared" si="71"/>
        <v>0</v>
      </c>
      <c r="F329" s="1478">
        <f t="shared" si="71"/>
        <v>0</v>
      </c>
      <c r="G329" s="1478">
        <f t="shared" si="71"/>
        <v>0</v>
      </c>
      <c r="H329" s="1478">
        <f t="shared" si="71"/>
        <v>0</v>
      </c>
      <c r="I329" s="1464"/>
      <c r="J329" s="1076"/>
      <c r="K329" s="1076"/>
      <c r="L329" s="1076"/>
      <c r="M329" s="1076"/>
      <c r="N329" s="1076"/>
      <c r="O329" s="1076"/>
      <c r="P329" s="1076"/>
      <c r="Q329" s="1076"/>
    </row>
    <row r="330" spans="1:158" ht="32.1" customHeight="1">
      <c r="A330" s="1201"/>
      <c r="B330" s="1053" t="s">
        <v>406</v>
      </c>
      <c r="C330" s="1450">
        <v>0.5</v>
      </c>
      <c r="D330" s="1450">
        <v>0</v>
      </c>
      <c r="E330" s="1450">
        <v>0</v>
      </c>
      <c r="F330" s="1488">
        <v>0</v>
      </c>
      <c r="G330" s="1450">
        <v>0</v>
      </c>
      <c r="H330" s="1450">
        <v>0</v>
      </c>
      <c r="I330" s="1764" t="s">
        <v>123</v>
      </c>
      <c r="J330" s="1396" t="s">
        <v>6658</v>
      </c>
      <c r="K330" s="1179" t="s">
        <v>6421</v>
      </c>
      <c r="L330" s="1071" t="s">
        <v>5958</v>
      </c>
      <c r="M330" s="1102" t="s">
        <v>6185</v>
      </c>
      <c r="N330" s="1073" t="s">
        <v>5491</v>
      </c>
      <c r="O330" s="1073" t="s">
        <v>5722</v>
      </c>
      <c r="P330" s="1070">
        <v>1</v>
      </c>
      <c r="Q330" s="1070">
        <v>0</v>
      </c>
    </row>
    <row r="331" spans="1:158" ht="32.1" customHeight="1">
      <c r="A331" s="1066" t="s">
        <v>407</v>
      </c>
      <c r="B331" s="1602" t="s">
        <v>6849</v>
      </c>
      <c r="C331" s="1495">
        <f t="shared" ref="C331:H331" si="72">AVERAGE(C332:C348)</f>
        <v>0.73529411764705888</v>
      </c>
      <c r="D331" s="1495">
        <f t="shared" si="72"/>
        <v>0.5625</v>
      </c>
      <c r="E331" s="1495">
        <f t="shared" si="72"/>
        <v>0.17647058823529413</v>
      </c>
      <c r="F331" s="1495">
        <f t="shared" si="72"/>
        <v>0.26470588235294118</v>
      </c>
      <c r="G331" s="1495">
        <f t="shared" si="72"/>
        <v>0.58823529411764708</v>
      </c>
      <c r="H331" s="1495">
        <f t="shared" si="72"/>
        <v>0.5</v>
      </c>
      <c r="I331" s="1464"/>
      <c r="J331" s="1076"/>
      <c r="K331" s="1076"/>
      <c r="L331" s="1076"/>
      <c r="M331" s="1076"/>
      <c r="N331" s="1076"/>
      <c r="O331" s="1076"/>
      <c r="P331" s="1076"/>
      <c r="Q331" s="1076"/>
    </row>
    <row r="332" spans="1:158" ht="32.1" customHeight="1">
      <c r="A332" s="1201"/>
      <c r="B332" s="1053" t="s">
        <v>409</v>
      </c>
      <c r="C332" s="1487">
        <v>0</v>
      </c>
      <c r="D332" s="1498">
        <v>0</v>
      </c>
      <c r="E332" s="1498">
        <v>0</v>
      </c>
      <c r="F332" s="1450">
        <v>0</v>
      </c>
      <c r="G332" s="1450">
        <v>0</v>
      </c>
      <c r="H332" s="1450">
        <v>1</v>
      </c>
      <c r="I332" s="1464" t="s">
        <v>38</v>
      </c>
      <c r="J332" s="1075" t="s">
        <v>6659</v>
      </c>
      <c r="K332" s="1179" t="s">
        <v>6422</v>
      </c>
      <c r="L332" s="1071" t="s">
        <v>1060</v>
      </c>
      <c r="M332" s="1102" t="s">
        <v>1355</v>
      </c>
      <c r="N332" s="1073" t="s">
        <v>5492</v>
      </c>
      <c r="O332" s="1073" t="s">
        <v>1357</v>
      </c>
      <c r="P332" s="1070">
        <v>1</v>
      </c>
      <c r="Q332" s="1070">
        <v>0</v>
      </c>
    </row>
    <row r="333" spans="1:158" ht="32.1" customHeight="1">
      <c r="A333" s="1201"/>
      <c r="B333" s="1053" t="s">
        <v>410</v>
      </c>
      <c r="C333" s="1450">
        <v>0</v>
      </c>
      <c r="D333" s="1450">
        <v>1</v>
      </c>
      <c r="E333" s="1450">
        <v>1</v>
      </c>
      <c r="F333" s="1450">
        <v>0</v>
      </c>
      <c r="G333" s="1488">
        <v>1</v>
      </c>
      <c r="H333" s="1488">
        <v>0</v>
      </c>
      <c r="I333" s="1464" t="s">
        <v>38</v>
      </c>
      <c r="J333" s="1075" t="s">
        <v>6660</v>
      </c>
      <c r="K333" s="1179" t="s">
        <v>6423</v>
      </c>
      <c r="L333" s="1071" t="s">
        <v>5959</v>
      </c>
      <c r="M333" s="1102" t="s">
        <v>1359</v>
      </c>
      <c r="N333" s="1073" t="s">
        <v>1360</v>
      </c>
      <c r="O333" s="1073" t="s">
        <v>5723</v>
      </c>
      <c r="P333" s="1070">
        <v>1</v>
      </c>
      <c r="Q333" s="1070">
        <v>0</v>
      </c>
    </row>
    <row r="334" spans="1:158" ht="32.1" customHeight="1">
      <c r="A334" s="1201"/>
      <c r="B334" s="1053" t="s">
        <v>411</v>
      </c>
      <c r="C334" s="1488">
        <v>1</v>
      </c>
      <c r="D334" s="1488">
        <v>1</v>
      </c>
      <c r="E334" s="1450">
        <v>0</v>
      </c>
      <c r="F334" s="1450">
        <v>1</v>
      </c>
      <c r="G334" s="1450">
        <v>1</v>
      </c>
      <c r="H334" s="1450">
        <v>1</v>
      </c>
      <c r="I334" s="1464" t="s">
        <v>123</v>
      </c>
      <c r="J334" s="1075" t="s">
        <v>6661</v>
      </c>
      <c r="K334" s="1179" t="s">
        <v>6424</v>
      </c>
      <c r="L334" s="1071" t="s">
        <v>1364</v>
      </c>
      <c r="M334" s="1102" t="s">
        <v>1365</v>
      </c>
      <c r="N334" s="1073" t="s">
        <v>5493</v>
      </c>
      <c r="O334" s="1073" t="s">
        <v>1367</v>
      </c>
      <c r="P334" s="1070">
        <v>1</v>
      </c>
      <c r="Q334" s="1070">
        <v>0</v>
      </c>
    </row>
    <row r="335" spans="1:158" ht="32.1" customHeight="1">
      <c r="A335" s="1201"/>
      <c r="B335" s="1053" t="s">
        <v>412</v>
      </c>
      <c r="C335" s="1498">
        <v>1</v>
      </c>
      <c r="D335" s="1498">
        <v>0.5</v>
      </c>
      <c r="E335" s="1498">
        <v>0</v>
      </c>
      <c r="F335" s="1498">
        <v>0</v>
      </c>
      <c r="G335" s="1498">
        <v>0</v>
      </c>
      <c r="H335" s="1498">
        <v>0.5</v>
      </c>
      <c r="I335" s="1464" t="s">
        <v>91</v>
      </c>
      <c r="J335" s="1075" t="s">
        <v>6662</v>
      </c>
      <c r="K335" s="1179" t="s">
        <v>6425</v>
      </c>
      <c r="L335" s="1071" t="s">
        <v>5960</v>
      </c>
      <c r="M335" s="1102" t="s">
        <v>6186</v>
      </c>
      <c r="N335" s="1073" t="s">
        <v>5494</v>
      </c>
      <c r="O335" s="1073" t="s">
        <v>5724</v>
      </c>
      <c r="P335" s="1070">
        <v>1</v>
      </c>
      <c r="Q335" s="1070">
        <v>0</v>
      </c>
    </row>
    <row r="336" spans="1:158" ht="32.1" customHeight="1">
      <c r="A336" s="1201"/>
      <c r="B336" s="1053" t="s">
        <v>413</v>
      </c>
      <c r="C336" s="1450">
        <v>0.5</v>
      </c>
      <c r="D336" s="1450">
        <v>1</v>
      </c>
      <c r="E336" s="1450">
        <v>0</v>
      </c>
      <c r="F336" s="1450">
        <v>1</v>
      </c>
      <c r="G336" s="1450">
        <v>1</v>
      </c>
      <c r="H336" s="1450">
        <v>0.5</v>
      </c>
      <c r="I336" s="1464" t="s">
        <v>91</v>
      </c>
      <c r="J336" s="1075" t="s">
        <v>6663</v>
      </c>
      <c r="K336" s="1179" t="s">
        <v>6426</v>
      </c>
      <c r="L336" s="1071" t="s">
        <v>1374</v>
      </c>
      <c r="M336" s="1102" t="s">
        <v>6187</v>
      </c>
      <c r="N336" s="1073" t="s">
        <v>5495</v>
      </c>
      <c r="O336" s="1073" t="s">
        <v>1376</v>
      </c>
      <c r="P336" s="1070">
        <v>1</v>
      </c>
      <c r="Q336" s="1070">
        <v>0</v>
      </c>
    </row>
    <row r="337" spans="1:17" ht="32.1" customHeight="1">
      <c r="A337" s="1201"/>
      <c r="B337" s="1053" t="s">
        <v>414</v>
      </c>
      <c r="C337" s="1450">
        <v>1</v>
      </c>
      <c r="D337" s="1450" t="s">
        <v>6225</v>
      </c>
      <c r="E337" s="1450">
        <v>0</v>
      </c>
      <c r="F337" s="1450">
        <v>0</v>
      </c>
      <c r="G337" s="1450">
        <v>0</v>
      </c>
      <c r="H337" s="1450">
        <v>0</v>
      </c>
      <c r="I337" s="1464" t="s">
        <v>91</v>
      </c>
      <c r="J337" s="1075" t="s">
        <v>6664</v>
      </c>
      <c r="K337" s="1179" t="s">
        <v>6427</v>
      </c>
      <c r="L337" s="1071" t="s">
        <v>748</v>
      </c>
      <c r="M337" s="1411" t="s">
        <v>1378</v>
      </c>
      <c r="N337" s="1073" t="s">
        <v>748</v>
      </c>
      <c r="O337" s="1394" t="s">
        <v>1379</v>
      </c>
      <c r="P337" s="1070">
        <v>1</v>
      </c>
      <c r="Q337" s="1070">
        <v>0</v>
      </c>
    </row>
    <row r="338" spans="1:17" ht="32.1" customHeight="1">
      <c r="A338" s="1201"/>
      <c r="B338" s="1053" t="s">
        <v>415</v>
      </c>
      <c r="C338" s="1450">
        <v>1</v>
      </c>
      <c r="D338" s="1450">
        <v>0.5</v>
      </c>
      <c r="E338" s="1450">
        <v>0.5</v>
      </c>
      <c r="F338" s="1450">
        <v>0</v>
      </c>
      <c r="G338" s="1450">
        <v>1</v>
      </c>
      <c r="H338" s="1450">
        <v>0</v>
      </c>
      <c r="I338" s="1464" t="s">
        <v>91</v>
      </c>
      <c r="J338" s="1075" t="s">
        <v>6665</v>
      </c>
      <c r="K338" s="1179" t="s">
        <v>6428</v>
      </c>
      <c r="L338" s="1071" t="s">
        <v>1382</v>
      </c>
      <c r="M338" s="1102" t="s">
        <v>6188</v>
      </c>
      <c r="N338" s="1073" t="s">
        <v>811</v>
      </c>
      <c r="O338" s="1073" t="s">
        <v>5725</v>
      </c>
      <c r="P338" s="1070">
        <v>1</v>
      </c>
      <c r="Q338" s="1070">
        <v>0</v>
      </c>
    </row>
    <row r="339" spans="1:17" ht="32.1" customHeight="1">
      <c r="A339" s="1201"/>
      <c r="B339" s="1053" t="s">
        <v>416</v>
      </c>
      <c r="C339" s="1450">
        <v>0</v>
      </c>
      <c r="D339" s="1450">
        <v>1</v>
      </c>
      <c r="E339" s="1488">
        <v>1</v>
      </c>
      <c r="F339" s="1450">
        <v>0</v>
      </c>
      <c r="G339" s="1450">
        <v>1</v>
      </c>
      <c r="H339" s="1450">
        <v>1</v>
      </c>
      <c r="I339" s="1464" t="s">
        <v>91</v>
      </c>
      <c r="J339" s="1075" t="s">
        <v>6666</v>
      </c>
      <c r="K339" s="1179" t="s">
        <v>6429</v>
      </c>
      <c r="L339" s="1071" t="s">
        <v>1385</v>
      </c>
      <c r="M339" s="1102" t="s">
        <v>1390</v>
      </c>
      <c r="N339" s="1073" t="s">
        <v>1387</v>
      </c>
      <c r="O339" s="1073" t="s">
        <v>5726</v>
      </c>
      <c r="P339" s="1070">
        <v>1</v>
      </c>
      <c r="Q339" s="1070">
        <v>0</v>
      </c>
    </row>
    <row r="340" spans="1:17" ht="32.1" customHeight="1">
      <c r="A340" s="1201"/>
      <c r="B340" s="1053" t="s">
        <v>417</v>
      </c>
      <c r="C340" s="1450">
        <v>1</v>
      </c>
      <c r="D340" s="1450">
        <v>1</v>
      </c>
      <c r="E340" s="1450">
        <v>0</v>
      </c>
      <c r="F340" s="1488">
        <v>0</v>
      </c>
      <c r="G340" s="1450">
        <v>1</v>
      </c>
      <c r="H340" s="1450">
        <v>1</v>
      </c>
      <c r="I340" s="1464" t="s">
        <v>38</v>
      </c>
      <c r="J340" s="1075" t="s">
        <v>6667</v>
      </c>
      <c r="K340" s="1179" t="s">
        <v>6430</v>
      </c>
      <c r="L340" s="1071" t="s">
        <v>748</v>
      </c>
      <c r="M340" s="1102" t="s">
        <v>1390</v>
      </c>
      <c r="N340" s="1073" t="s">
        <v>1391</v>
      </c>
      <c r="O340" s="1073" t="s">
        <v>5727</v>
      </c>
      <c r="P340" s="1070">
        <v>1</v>
      </c>
      <c r="Q340" s="1070">
        <v>0</v>
      </c>
    </row>
    <row r="341" spans="1:17" ht="32.1" customHeight="1">
      <c r="A341" s="1201"/>
      <c r="B341" s="1053" t="s">
        <v>418</v>
      </c>
      <c r="C341" s="1450">
        <v>1</v>
      </c>
      <c r="D341" s="1450">
        <v>1</v>
      </c>
      <c r="E341" s="1450">
        <v>0</v>
      </c>
      <c r="F341" s="1450">
        <v>1</v>
      </c>
      <c r="G341" s="1498">
        <v>1</v>
      </c>
      <c r="H341" s="1498">
        <v>1</v>
      </c>
      <c r="I341" s="1464" t="s">
        <v>38</v>
      </c>
      <c r="J341" s="1075" t="s">
        <v>6668</v>
      </c>
      <c r="K341" s="1179" t="s">
        <v>6431</v>
      </c>
      <c r="L341" s="1071" t="s">
        <v>5961</v>
      </c>
      <c r="M341" s="1102" t="s">
        <v>6189</v>
      </c>
      <c r="N341" s="1073" t="s">
        <v>1396</v>
      </c>
      <c r="O341" s="1073" t="s">
        <v>5728</v>
      </c>
      <c r="P341" s="1070">
        <v>1</v>
      </c>
      <c r="Q341" s="1070">
        <v>0</v>
      </c>
    </row>
    <row r="342" spans="1:17" ht="32.1" customHeight="1">
      <c r="A342" s="1201"/>
      <c r="B342" s="1053" t="s">
        <v>419</v>
      </c>
      <c r="C342" s="1450">
        <v>1</v>
      </c>
      <c r="D342" s="1450">
        <v>0</v>
      </c>
      <c r="E342" s="1450">
        <v>0</v>
      </c>
      <c r="F342" s="1450">
        <v>0</v>
      </c>
      <c r="G342" s="1450">
        <v>0</v>
      </c>
      <c r="H342" s="1450">
        <v>0</v>
      </c>
      <c r="I342" s="1464" t="s">
        <v>38</v>
      </c>
      <c r="J342" s="1075" t="s">
        <v>6669</v>
      </c>
      <c r="K342" s="1179" t="s">
        <v>6432</v>
      </c>
      <c r="L342" s="1071" t="s">
        <v>5962</v>
      </c>
      <c r="M342" s="1411" t="s">
        <v>1399</v>
      </c>
      <c r="N342" s="1073" t="s">
        <v>1400</v>
      </c>
      <c r="O342" s="1073" t="s">
        <v>5729</v>
      </c>
      <c r="P342" s="1070">
        <v>1</v>
      </c>
      <c r="Q342" s="1070">
        <v>0</v>
      </c>
    </row>
    <row r="343" spans="1:17" ht="32.1" customHeight="1">
      <c r="A343" s="1201"/>
      <c r="B343" s="1053" t="s">
        <v>420</v>
      </c>
      <c r="C343" s="1450">
        <v>1</v>
      </c>
      <c r="D343" s="1450">
        <v>0</v>
      </c>
      <c r="E343" s="1450">
        <v>0</v>
      </c>
      <c r="F343" s="1450">
        <v>0</v>
      </c>
      <c r="G343" s="1498">
        <v>1</v>
      </c>
      <c r="H343" s="1498">
        <v>0</v>
      </c>
      <c r="I343" s="1464" t="s">
        <v>38</v>
      </c>
      <c r="J343" s="1154" t="s">
        <v>811</v>
      </c>
      <c r="K343" s="1179" t="s">
        <v>6433</v>
      </c>
      <c r="L343" s="1071" t="s">
        <v>1060</v>
      </c>
      <c r="M343" s="1102" t="s">
        <v>1403</v>
      </c>
      <c r="N343" s="1073" t="s">
        <v>1404</v>
      </c>
      <c r="O343" s="1073" t="s">
        <v>763</v>
      </c>
      <c r="P343" s="1070">
        <v>1</v>
      </c>
      <c r="Q343" s="1070">
        <v>0</v>
      </c>
    </row>
    <row r="344" spans="1:17" ht="32.1" customHeight="1">
      <c r="A344" s="1201"/>
      <c r="B344" s="1053" t="s">
        <v>421</v>
      </c>
      <c r="C344" s="1450">
        <v>0</v>
      </c>
      <c r="D344" s="1456">
        <v>0</v>
      </c>
      <c r="E344" s="1450">
        <v>0</v>
      </c>
      <c r="F344" s="1450">
        <v>0</v>
      </c>
      <c r="G344" s="1450">
        <v>0</v>
      </c>
      <c r="H344" s="1450">
        <v>0</v>
      </c>
      <c r="I344" s="1464" t="s">
        <v>38</v>
      </c>
      <c r="J344" s="1154" t="s">
        <v>748</v>
      </c>
      <c r="K344" s="1590" t="s">
        <v>6892</v>
      </c>
      <c r="L344" s="1071" t="s">
        <v>1060</v>
      </c>
      <c r="M344" s="1102" t="s">
        <v>1408</v>
      </c>
      <c r="N344" s="1073" t="s">
        <v>748</v>
      </c>
      <c r="O344" s="1073" t="s">
        <v>748</v>
      </c>
      <c r="P344" s="1070">
        <v>1</v>
      </c>
      <c r="Q344" s="1070">
        <v>0</v>
      </c>
    </row>
    <row r="345" spans="1:17" ht="32.1" customHeight="1">
      <c r="A345" s="1201"/>
      <c r="B345" s="1053" t="s">
        <v>422</v>
      </c>
      <c r="C345" s="1488">
        <v>1</v>
      </c>
      <c r="D345" s="1488">
        <v>0</v>
      </c>
      <c r="E345" s="1488">
        <v>0</v>
      </c>
      <c r="F345" s="1488">
        <v>1</v>
      </c>
      <c r="G345" s="1450">
        <v>0</v>
      </c>
      <c r="H345" s="1450">
        <v>0.5</v>
      </c>
      <c r="I345" s="1464" t="s">
        <v>91</v>
      </c>
      <c r="J345" s="1075" t="s">
        <v>6670</v>
      </c>
      <c r="K345" s="1179" t="s">
        <v>6434</v>
      </c>
      <c r="L345" s="1071" t="s">
        <v>5963</v>
      </c>
      <c r="M345" s="1102" t="s">
        <v>1413</v>
      </c>
      <c r="N345" s="1073" t="s">
        <v>748</v>
      </c>
      <c r="O345" s="1073" t="s">
        <v>5730</v>
      </c>
      <c r="P345" s="1070">
        <v>1</v>
      </c>
      <c r="Q345" s="1070">
        <v>0</v>
      </c>
    </row>
    <row r="346" spans="1:17" ht="32.1" customHeight="1">
      <c r="A346" s="1201"/>
      <c r="B346" s="1053" t="s">
        <v>423</v>
      </c>
      <c r="C346" s="1488">
        <v>1</v>
      </c>
      <c r="D346" s="1488">
        <v>1</v>
      </c>
      <c r="E346" s="1488">
        <v>0</v>
      </c>
      <c r="F346" s="1450">
        <v>0.5</v>
      </c>
      <c r="G346" s="1450">
        <v>1</v>
      </c>
      <c r="H346" s="1450">
        <v>1</v>
      </c>
      <c r="I346" s="1464" t="s">
        <v>424</v>
      </c>
      <c r="J346" s="1075" t="s">
        <v>6671</v>
      </c>
      <c r="K346" s="1179" t="s">
        <v>6435</v>
      </c>
      <c r="L346" s="1071" t="s">
        <v>5964</v>
      </c>
      <c r="M346" s="1411" t="s">
        <v>6190</v>
      </c>
      <c r="N346" s="1073" t="s">
        <v>1418</v>
      </c>
      <c r="O346" s="1394" t="s">
        <v>5731</v>
      </c>
      <c r="P346" s="1070">
        <v>1</v>
      </c>
      <c r="Q346" s="1070">
        <v>0</v>
      </c>
    </row>
    <row r="347" spans="1:17" ht="32.1" customHeight="1">
      <c r="A347" s="1201"/>
      <c r="B347" s="1053" t="s">
        <v>425</v>
      </c>
      <c r="C347" s="1450">
        <v>1</v>
      </c>
      <c r="D347" s="1450">
        <v>1</v>
      </c>
      <c r="E347" s="1450">
        <v>0.5</v>
      </c>
      <c r="F347" s="1450">
        <v>0</v>
      </c>
      <c r="G347" s="1450">
        <v>1</v>
      </c>
      <c r="H347" s="1450">
        <v>1</v>
      </c>
      <c r="I347" s="1464" t="s">
        <v>426</v>
      </c>
      <c r="J347" s="1075" t="s">
        <v>6672</v>
      </c>
      <c r="K347" s="1179" t="s">
        <v>6436</v>
      </c>
      <c r="L347" s="1071" t="s">
        <v>1422</v>
      </c>
      <c r="M347" s="1102" t="s">
        <v>6191</v>
      </c>
      <c r="N347" s="1073" t="s">
        <v>1424</v>
      </c>
      <c r="O347" s="1073" t="s">
        <v>5732</v>
      </c>
      <c r="P347" s="1070">
        <v>1</v>
      </c>
      <c r="Q347" s="1070">
        <v>0</v>
      </c>
    </row>
    <row r="348" spans="1:17" ht="32.1" customHeight="1">
      <c r="A348" s="1201"/>
      <c r="B348" s="1053" t="s">
        <v>427</v>
      </c>
      <c r="C348" s="1450">
        <v>1</v>
      </c>
      <c r="D348" s="1450">
        <v>0</v>
      </c>
      <c r="E348" s="1450">
        <v>0</v>
      </c>
      <c r="F348" s="1450">
        <v>0</v>
      </c>
      <c r="G348" s="1450">
        <v>0</v>
      </c>
      <c r="H348" s="1450">
        <v>0</v>
      </c>
      <c r="I348" s="1464" t="s">
        <v>38</v>
      </c>
      <c r="J348" s="1075" t="s">
        <v>6673</v>
      </c>
      <c r="K348" s="1179" t="s">
        <v>6437</v>
      </c>
      <c r="L348" s="1071" t="s">
        <v>748</v>
      </c>
      <c r="M348" s="1102" t="s">
        <v>6192</v>
      </c>
      <c r="N348" s="1073" t="s">
        <v>748</v>
      </c>
      <c r="O348" s="1073" t="s">
        <v>5733</v>
      </c>
      <c r="P348" s="1070">
        <v>1</v>
      </c>
      <c r="Q348" s="1070">
        <v>0</v>
      </c>
    </row>
    <row r="349" spans="1:17" ht="32.1" customHeight="1">
      <c r="A349" s="1066" t="s">
        <v>428</v>
      </c>
      <c r="B349" s="1067" t="s">
        <v>429</v>
      </c>
      <c r="C349" s="1495">
        <f t="shared" ref="C349:H349" si="73">AVERAGE(C350:C354)</f>
        <v>0.6</v>
      </c>
      <c r="D349" s="1495">
        <f t="shared" si="73"/>
        <v>0.6</v>
      </c>
      <c r="E349" s="1495">
        <f t="shared" si="73"/>
        <v>0.6</v>
      </c>
      <c r="F349" s="1495">
        <f t="shared" si="73"/>
        <v>0.4</v>
      </c>
      <c r="G349" s="1495">
        <f t="shared" si="73"/>
        <v>0.2</v>
      </c>
      <c r="H349" s="1495">
        <f t="shared" si="73"/>
        <v>0.2</v>
      </c>
      <c r="I349" s="1464"/>
      <c r="J349" s="1076"/>
      <c r="K349" s="1076"/>
      <c r="L349" s="1076"/>
      <c r="M349" s="1076"/>
      <c r="N349" s="1076"/>
      <c r="O349" s="1076"/>
      <c r="P349" s="1076"/>
      <c r="Q349" s="1076"/>
    </row>
    <row r="350" spans="1:17" ht="32.1" customHeight="1">
      <c r="A350" s="1201"/>
      <c r="B350" s="1053" t="s">
        <v>430</v>
      </c>
      <c r="C350" s="1450">
        <v>1</v>
      </c>
      <c r="D350" s="1450">
        <v>1</v>
      </c>
      <c r="E350" s="1488">
        <v>1</v>
      </c>
      <c r="F350" s="1488">
        <v>1</v>
      </c>
      <c r="G350" s="1450">
        <v>0</v>
      </c>
      <c r="H350" s="1450">
        <v>0</v>
      </c>
      <c r="I350" s="1464" t="s">
        <v>38</v>
      </c>
      <c r="J350" s="1075" t="s">
        <v>6674</v>
      </c>
      <c r="K350" s="1179" t="s">
        <v>6438</v>
      </c>
      <c r="L350" s="1071" t="s">
        <v>5965</v>
      </c>
      <c r="M350" s="1102" t="s">
        <v>1433</v>
      </c>
      <c r="N350" s="1073" t="s">
        <v>5496</v>
      </c>
      <c r="O350" s="1124" t="s">
        <v>5734</v>
      </c>
      <c r="P350" s="1204">
        <v>1</v>
      </c>
      <c r="Q350" s="1204">
        <v>0</v>
      </c>
    </row>
    <row r="351" spans="1:17" ht="32.1" customHeight="1">
      <c r="A351" s="1201"/>
      <c r="B351" s="1053" t="s">
        <v>431</v>
      </c>
      <c r="C351" s="1450">
        <v>0</v>
      </c>
      <c r="D351" s="1450">
        <v>1</v>
      </c>
      <c r="E351" s="1450">
        <v>0</v>
      </c>
      <c r="F351" s="1450">
        <v>0</v>
      </c>
      <c r="G351" s="1488">
        <v>0</v>
      </c>
      <c r="H351" s="1488">
        <v>0</v>
      </c>
      <c r="I351" s="1464" t="s">
        <v>38</v>
      </c>
      <c r="J351" s="1075" t="s">
        <v>6675</v>
      </c>
      <c r="K351" s="1179" t="s">
        <v>6439</v>
      </c>
      <c r="L351" s="1071" t="s">
        <v>5966</v>
      </c>
      <c r="M351" s="1102" t="s">
        <v>968</v>
      </c>
      <c r="N351" s="1073" t="s">
        <v>5497</v>
      </c>
      <c r="O351" s="1124" t="s">
        <v>5735</v>
      </c>
      <c r="P351" s="1204">
        <v>1</v>
      </c>
      <c r="Q351" s="1204">
        <v>0</v>
      </c>
    </row>
    <row r="352" spans="1:17" ht="32.1" customHeight="1">
      <c r="A352" s="1201"/>
      <c r="B352" s="1053" t="s">
        <v>432</v>
      </c>
      <c r="C352" s="1488">
        <v>0</v>
      </c>
      <c r="D352" s="1450">
        <v>0</v>
      </c>
      <c r="E352" s="1450">
        <v>0</v>
      </c>
      <c r="F352" s="1450">
        <v>0</v>
      </c>
      <c r="G352" s="1450">
        <v>0</v>
      </c>
      <c r="H352" s="1450">
        <v>0</v>
      </c>
      <c r="I352" s="1464" t="s">
        <v>38</v>
      </c>
      <c r="J352" s="1075" t="s">
        <v>6676</v>
      </c>
      <c r="K352" s="1179" t="s">
        <v>6440</v>
      </c>
      <c r="L352" s="1071" t="s">
        <v>1060</v>
      </c>
      <c r="M352" s="1102" t="s">
        <v>943</v>
      </c>
      <c r="N352" s="1073" t="s">
        <v>748</v>
      </c>
      <c r="O352" s="1124" t="s">
        <v>5735</v>
      </c>
      <c r="P352" s="1204">
        <v>1</v>
      </c>
      <c r="Q352" s="1204">
        <v>0</v>
      </c>
    </row>
    <row r="353" spans="1:158" ht="32.1" customHeight="1">
      <c r="A353" s="1201"/>
      <c r="B353" s="1053" t="s">
        <v>433</v>
      </c>
      <c r="C353" s="1450">
        <v>1</v>
      </c>
      <c r="D353" s="1450">
        <v>1</v>
      </c>
      <c r="E353" s="1450">
        <v>1</v>
      </c>
      <c r="F353" s="1488">
        <v>1</v>
      </c>
      <c r="G353" s="1450">
        <v>1</v>
      </c>
      <c r="H353" s="1450">
        <v>1</v>
      </c>
      <c r="I353" s="1464" t="s">
        <v>38</v>
      </c>
      <c r="J353" s="1154" t="s">
        <v>811</v>
      </c>
      <c r="K353" s="1179" t="s">
        <v>6441</v>
      </c>
      <c r="L353" s="1071" t="s">
        <v>1442</v>
      </c>
      <c r="M353" s="1134" t="s">
        <v>6193</v>
      </c>
      <c r="N353" s="1073" t="s">
        <v>5498</v>
      </c>
      <c r="O353" s="1070" t="s">
        <v>1444</v>
      </c>
      <c r="P353" s="1204">
        <v>1</v>
      </c>
      <c r="Q353" s="1204">
        <v>0</v>
      </c>
    </row>
    <row r="354" spans="1:158" ht="32.1" customHeight="1">
      <c r="A354" s="1201"/>
      <c r="B354" s="1053" t="s">
        <v>434</v>
      </c>
      <c r="C354" s="1450">
        <v>1</v>
      </c>
      <c r="D354" s="1450">
        <v>0</v>
      </c>
      <c r="E354" s="1450">
        <v>1</v>
      </c>
      <c r="F354" s="1488">
        <v>0</v>
      </c>
      <c r="G354" s="1450">
        <v>0</v>
      </c>
      <c r="H354" s="1450">
        <v>0</v>
      </c>
      <c r="I354" s="1464" t="s">
        <v>38</v>
      </c>
      <c r="J354" s="1154" t="s">
        <v>960</v>
      </c>
      <c r="K354" s="1179" t="s">
        <v>6442</v>
      </c>
      <c r="L354" s="1071" t="s">
        <v>1447</v>
      </c>
      <c r="M354" s="1134" t="s">
        <v>1448</v>
      </c>
      <c r="N354" s="1073" t="s">
        <v>5499</v>
      </c>
      <c r="O354" s="1124" t="s">
        <v>1446</v>
      </c>
      <c r="P354" s="1204">
        <v>1</v>
      </c>
      <c r="Q354" s="1204">
        <v>0</v>
      </c>
    </row>
    <row r="356" spans="1:158" s="1262" customFormat="1" ht="32.1" customHeight="1">
      <c r="A356" s="1259">
        <v>2</v>
      </c>
      <c r="B356" s="1260" t="s">
        <v>527</v>
      </c>
      <c r="C356" s="1425">
        <f t="shared" ref="C356:H356" si="74">AVERAGE(C357,C492,C529,C549,C585)</f>
        <v>0.69926611872139166</v>
      </c>
      <c r="D356" s="1425">
        <f t="shared" si="74"/>
        <v>0.69101407767897349</v>
      </c>
      <c r="E356" s="1425">
        <f t="shared" si="74"/>
        <v>0.41687381227707121</v>
      </c>
      <c r="F356" s="1425">
        <f t="shared" si="74"/>
        <v>0.66329029186953936</v>
      </c>
      <c r="G356" s="1425">
        <f t="shared" si="74"/>
        <v>0.66186669622630012</v>
      </c>
      <c r="H356" s="1425">
        <f t="shared" si="74"/>
        <v>0.56830202631847415</v>
      </c>
      <c r="I356" s="1765"/>
      <c r="J356" s="1261"/>
      <c r="K356" s="1261"/>
      <c r="L356" s="1261"/>
      <c r="M356" s="1261"/>
      <c r="N356" s="1261"/>
      <c r="O356" s="1261"/>
      <c r="P356" s="1261"/>
      <c r="Q356" s="1261"/>
      <c r="R356" s="1081"/>
      <c r="S356" s="1082"/>
      <c r="T356" s="1082"/>
      <c r="U356" s="1082"/>
      <c r="V356" s="1082"/>
      <c r="W356" s="1082"/>
      <c r="X356" s="1082"/>
      <c r="Y356" s="1082"/>
      <c r="Z356" s="1082"/>
      <c r="AA356" s="1082"/>
      <c r="AB356" s="1082"/>
      <c r="AC356" s="1082"/>
      <c r="AD356" s="1082"/>
      <c r="AE356" s="1082"/>
      <c r="AF356" s="1082"/>
      <c r="AG356" s="1082"/>
      <c r="AH356" s="1082"/>
      <c r="AI356" s="1082"/>
      <c r="AJ356" s="1082"/>
      <c r="AK356" s="1082"/>
      <c r="AL356" s="1082"/>
      <c r="AM356" s="1082"/>
      <c r="AN356" s="1082"/>
      <c r="AO356" s="1082"/>
      <c r="AP356" s="1082"/>
      <c r="AQ356" s="1082"/>
      <c r="AR356" s="1082"/>
      <c r="AS356" s="1082"/>
      <c r="AT356" s="1082"/>
      <c r="AU356" s="1082"/>
      <c r="AV356" s="1082"/>
      <c r="AW356" s="1082"/>
      <c r="AX356" s="1082"/>
      <c r="AY356" s="1082"/>
      <c r="AZ356" s="1082"/>
      <c r="BA356" s="1082"/>
      <c r="BB356" s="1082"/>
      <c r="BC356" s="1082"/>
      <c r="BD356" s="1082"/>
      <c r="BE356" s="1082"/>
      <c r="BF356" s="1082"/>
      <c r="BG356" s="1082"/>
      <c r="BH356" s="1082"/>
      <c r="BI356" s="1082"/>
      <c r="BJ356" s="1082"/>
      <c r="BK356" s="1082"/>
      <c r="BL356" s="1082"/>
      <c r="BM356" s="1082"/>
      <c r="BN356" s="1082"/>
      <c r="BO356" s="1082"/>
      <c r="BP356" s="1082"/>
      <c r="BQ356" s="1082"/>
      <c r="BR356" s="1082"/>
      <c r="BS356" s="1082"/>
      <c r="BT356" s="1082"/>
      <c r="BU356" s="1082"/>
      <c r="BV356" s="1082"/>
      <c r="BW356" s="1082"/>
      <c r="BX356" s="1082"/>
      <c r="BY356" s="1082"/>
      <c r="BZ356" s="1082"/>
      <c r="CA356" s="1082"/>
      <c r="CB356" s="1082"/>
      <c r="CC356" s="1082"/>
      <c r="CD356" s="1082"/>
      <c r="CE356" s="1082"/>
      <c r="CF356" s="1082"/>
      <c r="CG356" s="1082"/>
      <c r="CH356" s="1082"/>
      <c r="CI356" s="1082"/>
      <c r="CJ356" s="1082"/>
      <c r="CK356" s="1082"/>
      <c r="CL356" s="1082"/>
      <c r="CM356" s="1082"/>
      <c r="CN356" s="1082"/>
      <c r="CO356" s="1082"/>
      <c r="CP356" s="1082"/>
      <c r="CQ356" s="1082"/>
      <c r="CR356" s="1082"/>
      <c r="CS356" s="1082"/>
      <c r="CT356" s="1082"/>
      <c r="CU356" s="1082"/>
      <c r="CV356" s="1082"/>
      <c r="CW356" s="1082"/>
      <c r="CX356" s="1082"/>
      <c r="CY356" s="1082"/>
      <c r="CZ356" s="1082"/>
      <c r="DA356" s="1082"/>
      <c r="DB356" s="1082"/>
      <c r="DC356" s="1082"/>
      <c r="DD356" s="1082"/>
      <c r="DE356" s="1082"/>
      <c r="DF356" s="1082"/>
      <c r="DG356" s="1082"/>
      <c r="DH356" s="1082"/>
      <c r="DI356" s="1082"/>
      <c r="DJ356" s="1082"/>
      <c r="DK356" s="1082"/>
      <c r="DL356" s="1082"/>
      <c r="DM356" s="1082"/>
      <c r="DN356" s="1082"/>
      <c r="DO356" s="1082"/>
      <c r="DP356" s="1082"/>
      <c r="DQ356" s="1082"/>
      <c r="DR356" s="1082"/>
      <c r="DS356" s="1082"/>
      <c r="DT356" s="1082"/>
      <c r="DU356" s="1082"/>
      <c r="DV356" s="1082"/>
      <c r="DW356" s="1082"/>
      <c r="DX356" s="1082"/>
      <c r="DY356" s="1082"/>
      <c r="DZ356" s="1082"/>
      <c r="EA356" s="1082"/>
      <c r="EB356" s="1082"/>
      <c r="EC356" s="1082"/>
      <c r="ED356" s="1082"/>
      <c r="EE356" s="1082"/>
      <c r="EF356" s="1082"/>
      <c r="EG356" s="1082"/>
      <c r="EH356" s="1082"/>
      <c r="EI356" s="1082"/>
      <c r="EJ356" s="1082"/>
      <c r="EK356" s="1082"/>
      <c r="EL356" s="1082"/>
      <c r="EM356" s="1082"/>
      <c r="EN356" s="1082"/>
      <c r="EO356" s="1082"/>
      <c r="EP356" s="1082"/>
      <c r="EQ356" s="1082"/>
      <c r="ER356" s="1082"/>
      <c r="ES356" s="1082"/>
      <c r="ET356" s="1082"/>
      <c r="EU356" s="1082"/>
      <c r="EV356" s="1082"/>
      <c r="EW356" s="1082"/>
      <c r="EX356" s="1082"/>
      <c r="EY356" s="1082"/>
      <c r="EZ356" s="1082"/>
      <c r="FA356" s="1082"/>
      <c r="FB356" s="1082"/>
    </row>
    <row r="357" spans="1:158" ht="32.1" customHeight="1">
      <c r="A357" s="1066">
        <v>2.1</v>
      </c>
      <c r="B357" s="1608" t="s">
        <v>528</v>
      </c>
      <c r="C357" s="1478">
        <f t="shared" ref="C357:H357" si="75">AVERAGE(C358,C384,C404)</f>
        <v>0.52877088083295998</v>
      </c>
      <c r="D357" s="1478">
        <f t="shared" si="75"/>
        <v>0.53208266092401646</v>
      </c>
      <c r="E357" s="1478">
        <f t="shared" si="75"/>
        <v>0.3602548788448085</v>
      </c>
      <c r="F357" s="1478">
        <f t="shared" si="75"/>
        <v>0.65879002704021972</v>
      </c>
      <c r="G357" s="1478">
        <f t="shared" si="75"/>
        <v>0.59610766512495583</v>
      </c>
      <c r="H357" s="1478">
        <f t="shared" si="75"/>
        <v>0.4344671019167326</v>
      </c>
      <c r="I357" s="1755"/>
      <c r="J357" s="1059"/>
      <c r="K357" s="1059"/>
      <c r="L357" s="1059"/>
      <c r="M357" s="1059"/>
      <c r="N357" s="1059"/>
      <c r="O357" s="1059"/>
      <c r="P357" s="1059"/>
      <c r="Q357" s="1059"/>
    </row>
    <row r="358" spans="1:158" ht="32.1" customHeight="1">
      <c r="A358" s="1606" t="s">
        <v>6862</v>
      </c>
      <c r="B358" s="1168" t="s">
        <v>529</v>
      </c>
      <c r="C358" s="1479">
        <f t="shared" ref="C358:H358" si="76">AVERAGE(C359,C365,C370,C375,C379,C380)</f>
        <v>0.40743219339890069</v>
      </c>
      <c r="D358" s="1479">
        <f t="shared" si="76"/>
        <v>0.5268144158705439</v>
      </c>
      <c r="E358" s="1479">
        <f t="shared" si="76"/>
        <v>0.68677371761072037</v>
      </c>
      <c r="F358" s="1479">
        <f t="shared" si="76"/>
        <v>0.84872324676649846</v>
      </c>
      <c r="G358" s="1479">
        <f t="shared" si="76"/>
        <v>0.70939085881623287</v>
      </c>
      <c r="H358" s="1479">
        <f t="shared" si="76"/>
        <v>0.75875202194632119</v>
      </c>
      <c r="I358" s="1755"/>
      <c r="J358" s="1061"/>
      <c r="K358" s="1061"/>
      <c r="L358" s="1061"/>
      <c r="M358" s="1061"/>
      <c r="N358" s="1061"/>
      <c r="O358" s="1061"/>
      <c r="P358" s="1061"/>
      <c r="Q358" s="1061"/>
    </row>
    <row r="359" spans="1:158" s="1099" customFormat="1" ht="32.1" customHeight="1">
      <c r="A359" s="1169"/>
      <c r="B359" s="1597" t="s">
        <v>6931</v>
      </c>
      <c r="C359" s="1506">
        <f t="shared" ref="C359:H359" si="77">AVERAGE(C360:C364)</f>
        <v>1</v>
      </c>
      <c r="D359" s="1506">
        <f t="shared" si="77"/>
        <v>0.49354838709677418</v>
      </c>
      <c r="E359" s="1506">
        <f t="shared" si="77"/>
        <v>0.87333333333333341</v>
      </c>
      <c r="F359" s="1506">
        <f t="shared" si="77"/>
        <v>0.92500000000000004</v>
      </c>
      <c r="G359" s="1506">
        <f t="shared" si="77"/>
        <v>0.98750000000000004</v>
      </c>
      <c r="H359" s="1506">
        <f t="shared" si="77"/>
        <v>0.97083333333333321</v>
      </c>
      <c r="I359" s="1761"/>
      <c r="J359" s="1263"/>
      <c r="K359" s="1263"/>
      <c r="L359" s="1263"/>
      <c r="M359" s="1263"/>
      <c r="N359" s="1263"/>
      <c r="O359" s="1263"/>
      <c r="P359" s="1263"/>
      <c r="Q359" s="1263"/>
      <c r="R359" s="1081"/>
      <c r="S359" s="1082"/>
      <c r="T359" s="1082"/>
      <c r="U359" s="1082"/>
      <c r="V359" s="1082"/>
      <c r="W359" s="1082"/>
      <c r="X359" s="1082"/>
      <c r="Y359" s="1082"/>
      <c r="Z359" s="1082"/>
      <c r="AA359" s="1082"/>
      <c r="AB359" s="1082"/>
      <c r="AC359" s="1082"/>
      <c r="AD359" s="1082"/>
      <c r="AE359" s="1082"/>
      <c r="AF359" s="1082"/>
      <c r="AG359" s="1082"/>
      <c r="AH359" s="1082"/>
      <c r="AI359" s="1082"/>
      <c r="AJ359" s="1082"/>
      <c r="AK359" s="1082"/>
      <c r="AL359" s="1082"/>
      <c r="AM359" s="1082"/>
      <c r="AN359" s="1082"/>
      <c r="AO359" s="1082"/>
      <c r="AP359" s="1082"/>
      <c r="AQ359" s="1082"/>
      <c r="AR359" s="1082"/>
      <c r="AS359" s="1082"/>
      <c r="AT359" s="1082"/>
      <c r="AU359" s="1082"/>
      <c r="AV359" s="1082"/>
      <c r="AW359" s="1082"/>
      <c r="AX359" s="1082"/>
      <c r="AY359" s="1082"/>
      <c r="AZ359" s="1082"/>
      <c r="BA359" s="1082"/>
      <c r="BB359" s="1082"/>
      <c r="BC359" s="1082"/>
      <c r="BD359" s="1082"/>
      <c r="BE359" s="1082"/>
      <c r="BF359" s="1082"/>
      <c r="BG359" s="1082"/>
      <c r="BH359" s="1082"/>
      <c r="BI359" s="1082"/>
      <c r="BJ359" s="1082"/>
      <c r="BK359" s="1082"/>
      <c r="BL359" s="1082"/>
      <c r="BM359" s="1082"/>
      <c r="BN359" s="1082"/>
      <c r="BO359" s="1082"/>
      <c r="BP359" s="1082"/>
      <c r="BQ359" s="1082"/>
      <c r="BR359" s="1082"/>
      <c r="BS359" s="1082"/>
      <c r="BT359" s="1082"/>
      <c r="BU359" s="1082"/>
      <c r="BV359" s="1082"/>
      <c r="BW359" s="1082"/>
      <c r="BX359" s="1082"/>
      <c r="BY359" s="1082"/>
      <c r="BZ359" s="1082"/>
      <c r="CA359" s="1082"/>
      <c r="CB359" s="1082"/>
      <c r="CC359" s="1082"/>
      <c r="CD359" s="1082"/>
      <c r="CE359" s="1082"/>
      <c r="CF359" s="1082"/>
      <c r="CG359" s="1082"/>
      <c r="CH359" s="1082"/>
      <c r="CI359" s="1082"/>
      <c r="CJ359" s="1082"/>
      <c r="CK359" s="1082"/>
      <c r="CL359" s="1082"/>
      <c r="CM359" s="1082"/>
      <c r="CN359" s="1082"/>
      <c r="CO359" s="1082"/>
      <c r="CP359" s="1082"/>
      <c r="CQ359" s="1082"/>
      <c r="CR359" s="1082"/>
      <c r="CS359" s="1082"/>
      <c r="CT359" s="1082"/>
      <c r="CU359" s="1082"/>
      <c r="CV359" s="1082"/>
      <c r="CW359" s="1082"/>
      <c r="CX359" s="1082"/>
      <c r="CY359" s="1082"/>
      <c r="CZ359" s="1082"/>
      <c r="DA359" s="1082"/>
      <c r="DB359" s="1082"/>
      <c r="DC359" s="1082"/>
      <c r="DD359" s="1082"/>
      <c r="DE359" s="1082"/>
      <c r="DF359" s="1082"/>
      <c r="DG359" s="1082"/>
      <c r="DH359" s="1082"/>
      <c r="DI359" s="1082"/>
      <c r="DJ359" s="1082"/>
      <c r="DK359" s="1082"/>
      <c r="DL359" s="1082"/>
      <c r="DM359" s="1082"/>
      <c r="DN359" s="1082"/>
      <c r="DO359" s="1082"/>
      <c r="DP359" s="1082"/>
      <c r="DQ359" s="1082"/>
      <c r="DR359" s="1082"/>
      <c r="DS359" s="1082"/>
      <c r="DT359" s="1082"/>
      <c r="DU359" s="1082"/>
      <c r="DV359" s="1082"/>
      <c r="DW359" s="1082"/>
      <c r="DX359" s="1082"/>
      <c r="DY359" s="1082"/>
      <c r="DZ359" s="1082"/>
      <c r="EA359" s="1082"/>
      <c r="EB359" s="1082"/>
      <c r="EC359" s="1082"/>
      <c r="ED359" s="1082"/>
      <c r="EE359" s="1082"/>
      <c r="EF359" s="1082"/>
      <c r="EG359" s="1082"/>
      <c r="EH359" s="1082"/>
      <c r="EI359" s="1082"/>
      <c r="EJ359" s="1082"/>
      <c r="EK359" s="1082"/>
      <c r="EL359" s="1082"/>
      <c r="EM359" s="1082"/>
      <c r="EN359" s="1082"/>
      <c r="EO359" s="1082"/>
      <c r="EP359" s="1082"/>
      <c r="EQ359" s="1082"/>
      <c r="ER359" s="1082"/>
      <c r="ES359" s="1082"/>
      <c r="ET359" s="1082"/>
      <c r="EU359" s="1082"/>
      <c r="EV359" s="1082"/>
      <c r="EW359" s="1082"/>
      <c r="EX359" s="1082"/>
      <c r="EY359" s="1082"/>
      <c r="EZ359" s="1082"/>
      <c r="FA359" s="1082"/>
      <c r="FB359" s="1082"/>
    </row>
    <row r="360" spans="1:158" s="1099" customFormat="1" ht="32.1" customHeight="1">
      <c r="A360" s="1169"/>
      <c r="B360" s="1264" t="s">
        <v>530</v>
      </c>
      <c r="C360" s="1424">
        <f t="shared" ref="C360:H364" si="78">IF(J360&lt;$P360,1,IF(J360&gt;$Q360,0,(J360-$Q360)/($P360-$Q360)))</f>
        <v>1</v>
      </c>
      <c r="D360" s="1424">
        <f t="shared" si="78"/>
        <v>0</v>
      </c>
      <c r="E360" s="1424">
        <f t="shared" si="78"/>
        <v>0.8666666666666667</v>
      </c>
      <c r="F360" s="1424">
        <f t="shared" si="78"/>
        <v>1</v>
      </c>
      <c r="G360" s="1424">
        <f t="shared" si="78"/>
        <v>1</v>
      </c>
      <c r="H360" s="1424">
        <f t="shared" si="78"/>
        <v>1</v>
      </c>
      <c r="I360" s="1761" t="s">
        <v>5295</v>
      </c>
      <c r="J360" s="1265">
        <v>20</v>
      </c>
      <c r="K360" s="1265">
        <v>44</v>
      </c>
      <c r="L360" s="1265">
        <v>31</v>
      </c>
      <c r="M360" s="1265">
        <v>8</v>
      </c>
      <c r="N360" s="1265">
        <v>9</v>
      </c>
      <c r="O360" s="1265">
        <v>5</v>
      </c>
      <c r="P360" s="1265">
        <v>29</v>
      </c>
      <c r="Q360" s="1266">
        <v>44</v>
      </c>
      <c r="R360" s="1081"/>
      <c r="S360" s="1082"/>
      <c r="T360" s="1082"/>
      <c r="U360" s="1082"/>
      <c r="V360" s="1082"/>
      <c r="W360" s="1082"/>
      <c r="X360" s="1082"/>
      <c r="Y360" s="1082"/>
      <c r="Z360" s="1082"/>
      <c r="AA360" s="1082"/>
      <c r="AB360" s="1082"/>
      <c r="AC360" s="1082"/>
      <c r="AD360" s="1082"/>
      <c r="AE360" s="1082"/>
      <c r="AF360" s="1082"/>
      <c r="AG360" s="1082"/>
      <c r="AH360" s="1082"/>
      <c r="AI360" s="1082"/>
      <c r="AJ360" s="1082"/>
      <c r="AK360" s="1082"/>
      <c r="AL360" s="1082"/>
      <c r="AM360" s="1082"/>
      <c r="AN360" s="1082"/>
      <c r="AO360" s="1082"/>
      <c r="AP360" s="1082"/>
      <c r="AQ360" s="1082"/>
      <c r="AR360" s="1082"/>
      <c r="AS360" s="1082"/>
      <c r="AT360" s="1082"/>
      <c r="AU360" s="1082"/>
      <c r="AV360" s="1082"/>
      <c r="AW360" s="1082"/>
      <c r="AX360" s="1082"/>
      <c r="AY360" s="1082"/>
      <c r="AZ360" s="1082"/>
      <c r="BA360" s="1082"/>
      <c r="BB360" s="1082"/>
      <c r="BC360" s="1082"/>
      <c r="BD360" s="1082"/>
      <c r="BE360" s="1082"/>
      <c r="BF360" s="1082"/>
      <c r="BG360" s="1082"/>
      <c r="BH360" s="1082"/>
      <c r="BI360" s="1082"/>
      <c r="BJ360" s="1082"/>
      <c r="BK360" s="1082"/>
      <c r="BL360" s="1082"/>
      <c r="BM360" s="1082"/>
      <c r="BN360" s="1082"/>
      <c r="BO360" s="1082"/>
      <c r="BP360" s="1082"/>
      <c r="BQ360" s="1082"/>
      <c r="BR360" s="1082"/>
      <c r="BS360" s="1082"/>
      <c r="BT360" s="1082"/>
      <c r="BU360" s="1082"/>
      <c r="BV360" s="1082"/>
      <c r="BW360" s="1082"/>
      <c r="BX360" s="1082"/>
      <c r="BY360" s="1082"/>
      <c r="BZ360" s="1082"/>
      <c r="CA360" s="1082"/>
      <c r="CB360" s="1082"/>
      <c r="CC360" s="1082"/>
      <c r="CD360" s="1082"/>
      <c r="CE360" s="1082"/>
      <c r="CF360" s="1082"/>
      <c r="CG360" s="1082"/>
      <c r="CH360" s="1082"/>
      <c r="CI360" s="1082"/>
      <c r="CJ360" s="1082"/>
      <c r="CK360" s="1082"/>
      <c r="CL360" s="1082"/>
      <c r="CM360" s="1082"/>
      <c r="CN360" s="1082"/>
      <c r="CO360" s="1082"/>
      <c r="CP360" s="1082"/>
      <c r="CQ360" s="1082"/>
      <c r="CR360" s="1082"/>
      <c r="CS360" s="1082"/>
      <c r="CT360" s="1082"/>
      <c r="CU360" s="1082"/>
      <c r="CV360" s="1082"/>
      <c r="CW360" s="1082"/>
      <c r="CX360" s="1082"/>
      <c r="CY360" s="1082"/>
      <c r="CZ360" s="1082"/>
      <c r="DA360" s="1082"/>
      <c r="DB360" s="1082"/>
      <c r="DC360" s="1082"/>
      <c r="DD360" s="1082"/>
      <c r="DE360" s="1082"/>
      <c r="DF360" s="1082"/>
      <c r="DG360" s="1082"/>
      <c r="DH360" s="1082"/>
      <c r="DI360" s="1082"/>
      <c r="DJ360" s="1082"/>
      <c r="DK360" s="1082"/>
      <c r="DL360" s="1082"/>
      <c r="DM360" s="1082"/>
      <c r="DN360" s="1082"/>
      <c r="DO360" s="1082"/>
      <c r="DP360" s="1082"/>
      <c r="DQ360" s="1082"/>
      <c r="DR360" s="1082"/>
      <c r="DS360" s="1082"/>
      <c r="DT360" s="1082"/>
      <c r="DU360" s="1082"/>
      <c r="DV360" s="1082"/>
      <c r="DW360" s="1082"/>
      <c r="DX360" s="1082"/>
      <c r="DY360" s="1082"/>
      <c r="DZ360" s="1082"/>
      <c r="EA360" s="1082"/>
      <c r="EB360" s="1082"/>
      <c r="EC360" s="1082"/>
      <c r="ED360" s="1082"/>
      <c r="EE360" s="1082"/>
      <c r="EF360" s="1082"/>
      <c r="EG360" s="1082"/>
      <c r="EH360" s="1082"/>
      <c r="EI360" s="1082"/>
      <c r="EJ360" s="1082"/>
      <c r="EK360" s="1082"/>
      <c r="EL360" s="1082"/>
      <c r="EM360" s="1082"/>
      <c r="EN360" s="1082"/>
      <c r="EO360" s="1082"/>
      <c r="EP360" s="1082"/>
      <c r="EQ360" s="1082"/>
      <c r="ER360" s="1082"/>
      <c r="ES360" s="1082"/>
      <c r="ET360" s="1082"/>
      <c r="EU360" s="1082"/>
      <c r="EV360" s="1082"/>
      <c r="EW360" s="1082"/>
      <c r="EX360" s="1082"/>
      <c r="EY360" s="1082"/>
      <c r="EZ360" s="1082"/>
      <c r="FA360" s="1082"/>
      <c r="FB360" s="1082"/>
    </row>
    <row r="361" spans="1:158" s="1099" customFormat="1" ht="32.1" customHeight="1">
      <c r="A361" s="1169"/>
      <c r="B361" s="1264" t="s">
        <v>531</v>
      </c>
      <c r="C361" s="1424">
        <f t="shared" si="78"/>
        <v>1</v>
      </c>
      <c r="D361" s="1424">
        <f t="shared" si="78"/>
        <v>0.967741935483871</v>
      </c>
      <c r="E361" s="1424">
        <f t="shared" si="78"/>
        <v>1</v>
      </c>
      <c r="F361" s="1424">
        <f t="shared" si="78"/>
        <v>1</v>
      </c>
      <c r="G361" s="1424">
        <f t="shared" si="78"/>
        <v>1</v>
      </c>
      <c r="H361" s="1424">
        <f t="shared" si="78"/>
        <v>1</v>
      </c>
      <c r="I361" s="1761" t="s">
        <v>5295</v>
      </c>
      <c r="J361" s="1265">
        <v>5</v>
      </c>
      <c r="K361" s="1265">
        <v>6</v>
      </c>
      <c r="L361" s="1265">
        <v>5</v>
      </c>
      <c r="M361" s="1265">
        <v>3</v>
      </c>
      <c r="N361" s="1265">
        <v>4</v>
      </c>
      <c r="O361" s="1265">
        <v>3</v>
      </c>
      <c r="P361" s="1265">
        <v>5.5</v>
      </c>
      <c r="Q361" s="1266">
        <v>21</v>
      </c>
      <c r="R361" s="1081"/>
      <c r="S361" s="1082"/>
      <c r="T361" s="1082"/>
      <c r="U361" s="1082"/>
      <c r="V361" s="1082"/>
      <c r="W361" s="1082"/>
      <c r="X361" s="1082"/>
      <c r="Y361" s="1082"/>
      <c r="Z361" s="1082"/>
      <c r="AA361" s="1082"/>
      <c r="AB361" s="1082"/>
      <c r="AC361" s="1082"/>
      <c r="AD361" s="1082"/>
      <c r="AE361" s="1082"/>
      <c r="AF361" s="1082"/>
      <c r="AG361" s="1082"/>
      <c r="AH361" s="1082"/>
      <c r="AI361" s="1082"/>
      <c r="AJ361" s="1082"/>
      <c r="AK361" s="1082"/>
      <c r="AL361" s="1082"/>
      <c r="AM361" s="1082"/>
      <c r="AN361" s="1082"/>
      <c r="AO361" s="1082"/>
      <c r="AP361" s="1082"/>
      <c r="AQ361" s="1082"/>
      <c r="AR361" s="1082"/>
      <c r="AS361" s="1082"/>
      <c r="AT361" s="1082"/>
      <c r="AU361" s="1082"/>
      <c r="AV361" s="1082"/>
      <c r="AW361" s="1082"/>
      <c r="AX361" s="1082"/>
      <c r="AY361" s="1082"/>
      <c r="AZ361" s="1082"/>
      <c r="BA361" s="1082"/>
      <c r="BB361" s="1082"/>
      <c r="BC361" s="1082"/>
      <c r="BD361" s="1082"/>
      <c r="BE361" s="1082"/>
      <c r="BF361" s="1082"/>
      <c r="BG361" s="1082"/>
      <c r="BH361" s="1082"/>
      <c r="BI361" s="1082"/>
      <c r="BJ361" s="1082"/>
      <c r="BK361" s="1082"/>
      <c r="BL361" s="1082"/>
      <c r="BM361" s="1082"/>
      <c r="BN361" s="1082"/>
      <c r="BO361" s="1082"/>
      <c r="BP361" s="1082"/>
      <c r="BQ361" s="1082"/>
      <c r="BR361" s="1082"/>
      <c r="BS361" s="1082"/>
      <c r="BT361" s="1082"/>
      <c r="BU361" s="1082"/>
      <c r="BV361" s="1082"/>
      <c r="BW361" s="1082"/>
      <c r="BX361" s="1082"/>
      <c r="BY361" s="1082"/>
      <c r="BZ361" s="1082"/>
      <c r="CA361" s="1082"/>
      <c r="CB361" s="1082"/>
      <c r="CC361" s="1082"/>
      <c r="CD361" s="1082"/>
      <c r="CE361" s="1082"/>
      <c r="CF361" s="1082"/>
      <c r="CG361" s="1082"/>
      <c r="CH361" s="1082"/>
      <c r="CI361" s="1082"/>
      <c r="CJ361" s="1082"/>
      <c r="CK361" s="1082"/>
      <c r="CL361" s="1082"/>
      <c r="CM361" s="1082"/>
      <c r="CN361" s="1082"/>
      <c r="CO361" s="1082"/>
      <c r="CP361" s="1082"/>
      <c r="CQ361" s="1082"/>
      <c r="CR361" s="1082"/>
      <c r="CS361" s="1082"/>
      <c r="CT361" s="1082"/>
      <c r="CU361" s="1082"/>
      <c r="CV361" s="1082"/>
      <c r="CW361" s="1082"/>
      <c r="CX361" s="1082"/>
      <c r="CY361" s="1082"/>
      <c r="CZ361" s="1082"/>
      <c r="DA361" s="1082"/>
      <c r="DB361" s="1082"/>
      <c r="DC361" s="1082"/>
      <c r="DD361" s="1082"/>
      <c r="DE361" s="1082"/>
      <c r="DF361" s="1082"/>
      <c r="DG361" s="1082"/>
      <c r="DH361" s="1082"/>
      <c r="DI361" s="1082"/>
      <c r="DJ361" s="1082"/>
      <c r="DK361" s="1082"/>
      <c r="DL361" s="1082"/>
      <c r="DM361" s="1082"/>
      <c r="DN361" s="1082"/>
      <c r="DO361" s="1082"/>
      <c r="DP361" s="1082"/>
      <c r="DQ361" s="1082"/>
      <c r="DR361" s="1082"/>
      <c r="DS361" s="1082"/>
      <c r="DT361" s="1082"/>
      <c r="DU361" s="1082"/>
      <c r="DV361" s="1082"/>
      <c r="DW361" s="1082"/>
      <c r="DX361" s="1082"/>
      <c r="DY361" s="1082"/>
      <c r="DZ361" s="1082"/>
      <c r="EA361" s="1082"/>
      <c r="EB361" s="1082"/>
      <c r="EC361" s="1082"/>
      <c r="ED361" s="1082"/>
      <c r="EE361" s="1082"/>
      <c r="EF361" s="1082"/>
      <c r="EG361" s="1082"/>
      <c r="EH361" s="1082"/>
      <c r="EI361" s="1082"/>
      <c r="EJ361" s="1082"/>
      <c r="EK361" s="1082"/>
      <c r="EL361" s="1082"/>
      <c r="EM361" s="1082"/>
      <c r="EN361" s="1082"/>
      <c r="EO361" s="1082"/>
      <c r="EP361" s="1082"/>
      <c r="EQ361" s="1082"/>
      <c r="ER361" s="1082"/>
      <c r="ES361" s="1082"/>
      <c r="ET361" s="1082"/>
      <c r="EU361" s="1082"/>
      <c r="EV361" s="1082"/>
      <c r="EW361" s="1082"/>
      <c r="EX361" s="1082"/>
      <c r="EY361" s="1082"/>
      <c r="EZ361" s="1082"/>
      <c r="FA361" s="1082"/>
      <c r="FB361" s="1082"/>
    </row>
    <row r="362" spans="1:158" s="1099" customFormat="1" ht="32.1" customHeight="1">
      <c r="A362" s="1169"/>
      <c r="B362" s="1264" t="s">
        <v>532</v>
      </c>
      <c r="C362" s="1424">
        <f t="shared" si="78"/>
        <v>1</v>
      </c>
      <c r="D362" s="1424">
        <f t="shared" si="78"/>
        <v>0.5</v>
      </c>
      <c r="E362" s="1424">
        <f t="shared" si="78"/>
        <v>0.5</v>
      </c>
      <c r="F362" s="1424">
        <f t="shared" si="78"/>
        <v>1</v>
      </c>
      <c r="G362" s="1424">
        <f t="shared" si="78"/>
        <v>1</v>
      </c>
      <c r="H362" s="1424">
        <f t="shared" si="78"/>
        <v>1</v>
      </c>
      <c r="I362" s="1761" t="s">
        <v>5295</v>
      </c>
      <c r="J362" s="1265">
        <v>4</v>
      </c>
      <c r="K362" s="1265">
        <v>5</v>
      </c>
      <c r="L362" s="1265">
        <v>5</v>
      </c>
      <c r="M362" s="1265">
        <v>3</v>
      </c>
      <c r="N362" s="1265">
        <v>3</v>
      </c>
      <c r="O362" s="1265">
        <v>2</v>
      </c>
      <c r="P362" s="1265">
        <v>4</v>
      </c>
      <c r="Q362" s="1266">
        <v>6</v>
      </c>
      <c r="R362" s="1081"/>
      <c r="S362" s="1082"/>
      <c r="T362" s="1082"/>
      <c r="U362" s="1082"/>
      <c r="V362" s="1082"/>
      <c r="W362" s="1082"/>
      <c r="X362" s="1082"/>
      <c r="Y362" s="1082"/>
      <c r="Z362" s="1082"/>
      <c r="AA362" s="1082"/>
      <c r="AB362" s="1082"/>
      <c r="AC362" s="1082"/>
      <c r="AD362" s="1082"/>
      <c r="AE362" s="1082"/>
      <c r="AF362" s="1082"/>
      <c r="AG362" s="1082"/>
      <c r="AH362" s="1082"/>
      <c r="AI362" s="1082"/>
      <c r="AJ362" s="1082"/>
      <c r="AK362" s="1082"/>
      <c r="AL362" s="1082"/>
      <c r="AM362" s="1082"/>
      <c r="AN362" s="1082"/>
      <c r="AO362" s="1082"/>
      <c r="AP362" s="1082"/>
      <c r="AQ362" s="1082"/>
      <c r="AR362" s="1082"/>
      <c r="AS362" s="1082"/>
      <c r="AT362" s="1082"/>
      <c r="AU362" s="1082"/>
      <c r="AV362" s="1082"/>
      <c r="AW362" s="1082"/>
      <c r="AX362" s="1082"/>
      <c r="AY362" s="1082"/>
      <c r="AZ362" s="1082"/>
      <c r="BA362" s="1082"/>
      <c r="BB362" s="1082"/>
      <c r="BC362" s="1082"/>
      <c r="BD362" s="1082"/>
      <c r="BE362" s="1082"/>
      <c r="BF362" s="1082"/>
      <c r="BG362" s="1082"/>
      <c r="BH362" s="1082"/>
      <c r="BI362" s="1082"/>
      <c r="BJ362" s="1082"/>
      <c r="BK362" s="1082"/>
      <c r="BL362" s="1082"/>
      <c r="BM362" s="1082"/>
      <c r="BN362" s="1082"/>
      <c r="BO362" s="1082"/>
      <c r="BP362" s="1082"/>
      <c r="BQ362" s="1082"/>
      <c r="BR362" s="1082"/>
      <c r="BS362" s="1082"/>
      <c r="BT362" s="1082"/>
      <c r="BU362" s="1082"/>
      <c r="BV362" s="1082"/>
      <c r="BW362" s="1082"/>
      <c r="BX362" s="1082"/>
      <c r="BY362" s="1082"/>
      <c r="BZ362" s="1082"/>
      <c r="CA362" s="1082"/>
      <c r="CB362" s="1082"/>
      <c r="CC362" s="1082"/>
      <c r="CD362" s="1082"/>
      <c r="CE362" s="1082"/>
      <c r="CF362" s="1082"/>
      <c r="CG362" s="1082"/>
      <c r="CH362" s="1082"/>
      <c r="CI362" s="1082"/>
      <c r="CJ362" s="1082"/>
      <c r="CK362" s="1082"/>
      <c r="CL362" s="1082"/>
      <c r="CM362" s="1082"/>
      <c r="CN362" s="1082"/>
      <c r="CO362" s="1082"/>
      <c r="CP362" s="1082"/>
      <c r="CQ362" s="1082"/>
      <c r="CR362" s="1082"/>
      <c r="CS362" s="1082"/>
      <c r="CT362" s="1082"/>
      <c r="CU362" s="1082"/>
      <c r="CV362" s="1082"/>
      <c r="CW362" s="1082"/>
      <c r="CX362" s="1082"/>
      <c r="CY362" s="1082"/>
      <c r="CZ362" s="1082"/>
      <c r="DA362" s="1082"/>
      <c r="DB362" s="1082"/>
      <c r="DC362" s="1082"/>
      <c r="DD362" s="1082"/>
      <c r="DE362" s="1082"/>
      <c r="DF362" s="1082"/>
      <c r="DG362" s="1082"/>
      <c r="DH362" s="1082"/>
      <c r="DI362" s="1082"/>
      <c r="DJ362" s="1082"/>
      <c r="DK362" s="1082"/>
      <c r="DL362" s="1082"/>
      <c r="DM362" s="1082"/>
      <c r="DN362" s="1082"/>
      <c r="DO362" s="1082"/>
      <c r="DP362" s="1082"/>
      <c r="DQ362" s="1082"/>
      <c r="DR362" s="1082"/>
      <c r="DS362" s="1082"/>
      <c r="DT362" s="1082"/>
      <c r="DU362" s="1082"/>
      <c r="DV362" s="1082"/>
      <c r="DW362" s="1082"/>
      <c r="DX362" s="1082"/>
      <c r="DY362" s="1082"/>
      <c r="DZ362" s="1082"/>
      <c r="EA362" s="1082"/>
      <c r="EB362" s="1082"/>
      <c r="EC362" s="1082"/>
      <c r="ED362" s="1082"/>
      <c r="EE362" s="1082"/>
      <c r="EF362" s="1082"/>
      <c r="EG362" s="1082"/>
      <c r="EH362" s="1082"/>
      <c r="EI362" s="1082"/>
      <c r="EJ362" s="1082"/>
      <c r="EK362" s="1082"/>
      <c r="EL362" s="1082"/>
      <c r="EM362" s="1082"/>
      <c r="EN362" s="1082"/>
      <c r="EO362" s="1082"/>
      <c r="EP362" s="1082"/>
      <c r="EQ362" s="1082"/>
      <c r="ER362" s="1082"/>
      <c r="ES362" s="1082"/>
      <c r="ET362" s="1082"/>
      <c r="EU362" s="1082"/>
      <c r="EV362" s="1082"/>
      <c r="EW362" s="1082"/>
      <c r="EX362" s="1082"/>
      <c r="EY362" s="1082"/>
      <c r="EZ362" s="1082"/>
      <c r="FA362" s="1082"/>
      <c r="FB362" s="1082"/>
    </row>
    <row r="363" spans="1:158" s="1099" customFormat="1" ht="32.1" customHeight="1">
      <c r="A363" s="1169"/>
      <c r="B363" s="1264" t="s">
        <v>533</v>
      </c>
      <c r="C363" s="1424">
        <f t="shared" si="78"/>
        <v>1</v>
      </c>
      <c r="D363" s="1424">
        <f t="shared" si="78"/>
        <v>0</v>
      </c>
      <c r="E363" s="1424">
        <f t="shared" si="78"/>
        <v>1</v>
      </c>
      <c r="F363" s="1424">
        <f t="shared" si="78"/>
        <v>0.625</v>
      </c>
      <c r="G363" s="1424">
        <f t="shared" si="78"/>
        <v>0.93749999999999989</v>
      </c>
      <c r="H363" s="1424">
        <f t="shared" si="78"/>
        <v>0.85416666666666663</v>
      </c>
      <c r="I363" s="1761" t="s">
        <v>5295</v>
      </c>
      <c r="J363" s="1265">
        <v>0.5</v>
      </c>
      <c r="K363" s="1265">
        <v>6.2</v>
      </c>
      <c r="L363" s="1265">
        <v>0.6</v>
      </c>
      <c r="M363" s="1265">
        <v>2.4</v>
      </c>
      <c r="N363" s="1265">
        <v>0.9</v>
      </c>
      <c r="O363" s="1265">
        <v>1.3</v>
      </c>
      <c r="P363" s="1265">
        <v>0.6</v>
      </c>
      <c r="Q363" s="1267">
        <v>5.4</v>
      </c>
      <c r="R363" s="1081"/>
      <c r="S363" s="1082"/>
      <c r="T363" s="1082"/>
      <c r="U363" s="1082"/>
      <c r="V363" s="1082"/>
      <c r="W363" s="1082"/>
      <c r="X363" s="1082"/>
      <c r="Y363" s="1082"/>
      <c r="Z363" s="1082"/>
      <c r="AA363" s="1082"/>
      <c r="AB363" s="1082"/>
      <c r="AC363" s="1082"/>
      <c r="AD363" s="1082"/>
      <c r="AE363" s="1082"/>
      <c r="AF363" s="1082"/>
      <c r="AG363" s="1082"/>
      <c r="AH363" s="1082"/>
      <c r="AI363" s="1082"/>
      <c r="AJ363" s="1082"/>
      <c r="AK363" s="1082"/>
      <c r="AL363" s="1082"/>
      <c r="AM363" s="1082"/>
      <c r="AN363" s="1082"/>
      <c r="AO363" s="1082"/>
      <c r="AP363" s="1082"/>
      <c r="AQ363" s="1082"/>
      <c r="AR363" s="1082"/>
      <c r="AS363" s="1082"/>
      <c r="AT363" s="1082"/>
      <c r="AU363" s="1082"/>
      <c r="AV363" s="1082"/>
      <c r="AW363" s="1082"/>
      <c r="AX363" s="1082"/>
      <c r="AY363" s="1082"/>
      <c r="AZ363" s="1082"/>
      <c r="BA363" s="1082"/>
      <c r="BB363" s="1082"/>
      <c r="BC363" s="1082"/>
      <c r="BD363" s="1082"/>
      <c r="BE363" s="1082"/>
      <c r="BF363" s="1082"/>
      <c r="BG363" s="1082"/>
      <c r="BH363" s="1082"/>
      <c r="BI363" s="1082"/>
      <c r="BJ363" s="1082"/>
      <c r="BK363" s="1082"/>
      <c r="BL363" s="1082"/>
      <c r="BM363" s="1082"/>
      <c r="BN363" s="1082"/>
      <c r="BO363" s="1082"/>
      <c r="BP363" s="1082"/>
      <c r="BQ363" s="1082"/>
      <c r="BR363" s="1082"/>
      <c r="BS363" s="1082"/>
      <c r="BT363" s="1082"/>
      <c r="BU363" s="1082"/>
      <c r="BV363" s="1082"/>
      <c r="BW363" s="1082"/>
      <c r="BX363" s="1082"/>
      <c r="BY363" s="1082"/>
      <c r="BZ363" s="1082"/>
      <c r="CA363" s="1082"/>
      <c r="CB363" s="1082"/>
      <c r="CC363" s="1082"/>
      <c r="CD363" s="1082"/>
      <c r="CE363" s="1082"/>
      <c r="CF363" s="1082"/>
      <c r="CG363" s="1082"/>
      <c r="CH363" s="1082"/>
      <c r="CI363" s="1082"/>
      <c r="CJ363" s="1082"/>
      <c r="CK363" s="1082"/>
      <c r="CL363" s="1082"/>
      <c r="CM363" s="1082"/>
      <c r="CN363" s="1082"/>
      <c r="CO363" s="1082"/>
      <c r="CP363" s="1082"/>
      <c r="CQ363" s="1082"/>
      <c r="CR363" s="1082"/>
      <c r="CS363" s="1082"/>
      <c r="CT363" s="1082"/>
      <c r="CU363" s="1082"/>
      <c r="CV363" s="1082"/>
      <c r="CW363" s="1082"/>
      <c r="CX363" s="1082"/>
      <c r="CY363" s="1082"/>
      <c r="CZ363" s="1082"/>
      <c r="DA363" s="1082"/>
      <c r="DB363" s="1082"/>
      <c r="DC363" s="1082"/>
      <c r="DD363" s="1082"/>
      <c r="DE363" s="1082"/>
      <c r="DF363" s="1082"/>
      <c r="DG363" s="1082"/>
      <c r="DH363" s="1082"/>
      <c r="DI363" s="1082"/>
      <c r="DJ363" s="1082"/>
      <c r="DK363" s="1082"/>
      <c r="DL363" s="1082"/>
      <c r="DM363" s="1082"/>
      <c r="DN363" s="1082"/>
      <c r="DO363" s="1082"/>
      <c r="DP363" s="1082"/>
      <c r="DQ363" s="1082"/>
      <c r="DR363" s="1082"/>
      <c r="DS363" s="1082"/>
      <c r="DT363" s="1082"/>
      <c r="DU363" s="1082"/>
      <c r="DV363" s="1082"/>
      <c r="DW363" s="1082"/>
      <c r="DX363" s="1082"/>
      <c r="DY363" s="1082"/>
      <c r="DZ363" s="1082"/>
      <c r="EA363" s="1082"/>
      <c r="EB363" s="1082"/>
      <c r="EC363" s="1082"/>
      <c r="ED363" s="1082"/>
      <c r="EE363" s="1082"/>
      <c r="EF363" s="1082"/>
      <c r="EG363" s="1082"/>
      <c r="EH363" s="1082"/>
      <c r="EI363" s="1082"/>
      <c r="EJ363" s="1082"/>
      <c r="EK363" s="1082"/>
      <c r="EL363" s="1082"/>
      <c r="EM363" s="1082"/>
      <c r="EN363" s="1082"/>
      <c r="EO363" s="1082"/>
      <c r="EP363" s="1082"/>
      <c r="EQ363" s="1082"/>
      <c r="ER363" s="1082"/>
      <c r="ES363" s="1082"/>
      <c r="ET363" s="1082"/>
      <c r="EU363" s="1082"/>
      <c r="EV363" s="1082"/>
      <c r="EW363" s="1082"/>
      <c r="EX363" s="1082"/>
      <c r="EY363" s="1082"/>
      <c r="EZ363" s="1082"/>
      <c r="FA363" s="1082"/>
      <c r="FB363" s="1082"/>
    </row>
    <row r="364" spans="1:158" s="1099" customFormat="1" ht="32.1" customHeight="1">
      <c r="A364" s="1169"/>
      <c r="B364" s="1264" t="s">
        <v>534</v>
      </c>
      <c r="C364" s="1424">
        <f t="shared" si="78"/>
        <v>1</v>
      </c>
      <c r="D364" s="1424">
        <f t="shared" si="78"/>
        <v>1</v>
      </c>
      <c r="E364" s="1424">
        <f t="shared" si="78"/>
        <v>1</v>
      </c>
      <c r="F364" s="1424">
        <f t="shared" si="78"/>
        <v>1</v>
      </c>
      <c r="G364" s="1424">
        <f t="shared" si="78"/>
        <v>1</v>
      </c>
      <c r="H364" s="1424">
        <f t="shared" si="78"/>
        <v>1</v>
      </c>
      <c r="I364" s="1761" t="s">
        <v>5295</v>
      </c>
      <c r="J364" s="1265">
        <v>0</v>
      </c>
      <c r="K364" s="1265">
        <v>0</v>
      </c>
      <c r="L364" s="1265">
        <v>0</v>
      </c>
      <c r="M364" s="1265">
        <v>0</v>
      </c>
      <c r="N364" s="1265">
        <v>0</v>
      </c>
      <c r="O364" s="1265">
        <v>0</v>
      </c>
      <c r="P364" s="1265">
        <v>20.3</v>
      </c>
      <c r="Q364" s="1267">
        <v>8.1</v>
      </c>
      <c r="R364" s="1081"/>
      <c r="S364" s="1082"/>
      <c r="T364" s="1082"/>
      <c r="U364" s="1082"/>
      <c r="V364" s="1082"/>
      <c r="W364" s="1082"/>
      <c r="X364" s="1082"/>
      <c r="Y364" s="1082"/>
      <c r="Z364" s="1082"/>
      <c r="AA364" s="1082"/>
      <c r="AB364" s="1082"/>
      <c r="AC364" s="1082"/>
      <c r="AD364" s="1082"/>
      <c r="AE364" s="1082"/>
      <c r="AF364" s="1082"/>
      <c r="AG364" s="1082"/>
      <c r="AH364" s="1082"/>
      <c r="AI364" s="1082"/>
      <c r="AJ364" s="1082"/>
      <c r="AK364" s="1082"/>
      <c r="AL364" s="1082"/>
      <c r="AM364" s="1082"/>
      <c r="AN364" s="1082"/>
      <c r="AO364" s="1082"/>
      <c r="AP364" s="1082"/>
      <c r="AQ364" s="1082"/>
      <c r="AR364" s="1082"/>
      <c r="AS364" s="1082"/>
      <c r="AT364" s="1082"/>
      <c r="AU364" s="1082"/>
      <c r="AV364" s="1082"/>
      <c r="AW364" s="1082"/>
      <c r="AX364" s="1082"/>
      <c r="AY364" s="1082"/>
      <c r="AZ364" s="1082"/>
      <c r="BA364" s="1082"/>
      <c r="BB364" s="1082"/>
      <c r="BC364" s="1082"/>
      <c r="BD364" s="1082"/>
      <c r="BE364" s="1082"/>
      <c r="BF364" s="1082"/>
      <c r="BG364" s="1082"/>
      <c r="BH364" s="1082"/>
      <c r="BI364" s="1082"/>
      <c r="BJ364" s="1082"/>
      <c r="BK364" s="1082"/>
      <c r="BL364" s="1082"/>
      <c r="BM364" s="1082"/>
      <c r="BN364" s="1082"/>
      <c r="BO364" s="1082"/>
      <c r="BP364" s="1082"/>
      <c r="BQ364" s="1082"/>
      <c r="BR364" s="1082"/>
      <c r="BS364" s="1082"/>
      <c r="BT364" s="1082"/>
      <c r="BU364" s="1082"/>
      <c r="BV364" s="1082"/>
      <c r="BW364" s="1082"/>
      <c r="BX364" s="1082"/>
      <c r="BY364" s="1082"/>
      <c r="BZ364" s="1082"/>
      <c r="CA364" s="1082"/>
      <c r="CB364" s="1082"/>
      <c r="CC364" s="1082"/>
      <c r="CD364" s="1082"/>
      <c r="CE364" s="1082"/>
      <c r="CF364" s="1082"/>
      <c r="CG364" s="1082"/>
      <c r="CH364" s="1082"/>
      <c r="CI364" s="1082"/>
      <c r="CJ364" s="1082"/>
      <c r="CK364" s="1082"/>
      <c r="CL364" s="1082"/>
      <c r="CM364" s="1082"/>
      <c r="CN364" s="1082"/>
      <c r="CO364" s="1082"/>
      <c r="CP364" s="1082"/>
      <c r="CQ364" s="1082"/>
      <c r="CR364" s="1082"/>
      <c r="CS364" s="1082"/>
      <c r="CT364" s="1082"/>
      <c r="CU364" s="1082"/>
      <c r="CV364" s="1082"/>
      <c r="CW364" s="1082"/>
      <c r="CX364" s="1082"/>
      <c r="CY364" s="1082"/>
      <c r="CZ364" s="1082"/>
      <c r="DA364" s="1082"/>
      <c r="DB364" s="1082"/>
      <c r="DC364" s="1082"/>
      <c r="DD364" s="1082"/>
      <c r="DE364" s="1082"/>
      <c r="DF364" s="1082"/>
      <c r="DG364" s="1082"/>
      <c r="DH364" s="1082"/>
      <c r="DI364" s="1082"/>
      <c r="DJ364" s="1082"/>
      <c r="DK364" s="1082"/>
      <c r="DL364" s="1082"/>
      <c r="DM364" s="1082"/>
      <c r="DN364" s="1082"/>
      <c r="DO364" s="1082"/>
      <c r="DP364" s="1082"/>
      <c r="DQ364" s="1082"/>
      <c r="DR364" s="1082"/>
      <c r="DS364" s="1082"/>
      <c r="DT364" s="1082"/>
      <c r="DU364" s="1082"/>
      <c r="DV364" s="1082"/>
      <c r="DW364" s="1082"/>
      <c r="DX364" s="1082"/>
      <c r="DY364" s="1082"/>
      <c r="DZ364" s="1082"/>
      <c r="EA364" s="1082"/>
      <c r="EB364" s="1082"/>
      <c r="EC364" s="1082"/>
      <c r="ED364" s="1082"/>
      <c r="EE364" s="1082"/>
      <c r="EF364" s="1082"/>
      <c r="EG364" s="1082"/>
      <c r="EH364" s="1082"/>
      <c r="EI364" s="1082"/>
      <c r="EJ364" s="1082"/>
      <c r="EK364" s="1082"/>
      <c r="EL364" s="1082"/>
      <c r="EM364" s="1082"/>
      <c r="EN364" s="1082"/>
      <c r="EO364" s="1082"/>
      <c r="EP364" s="1082"/>
      <c r="EQ364" s="1082"/>
      <c r="ER364" s="1082"/>
      <c r="ES364" s="1082"/>
      <c r="ET364" s="1082"/>
      <c r="EU364" s="1082"/>
      <c r="EV364" s="1082"/>
      <c r="EW364" s="1082"/>
      <c r="EX364" s="1082"/>
      <c r="EY364" s="1082"/>
      <c r="EZ364" s="1082"/>
      <c r="FA364" s="1082"/>
      <c r="FB364" s="1082"/>
    </row>
    <row r="365" spans="1:158" s="1099" customFormat="1" ht="32.1" customHeight="1">
      <c r="A365" s="1169"/>
      <c r="B365" s="1097" t="s">
        <v>535</v>
      </c>
      <c r="C365" s="1506">
        <f t="shared" ref="C365:H365" si="79">AVERAGE(C366:C369)</f>
        <v>3.125E-2</v>
      </c>
      <c r="D365" s="1506">
        <f t="shared" si="79"/>
        <v>0.63779438405797106</v>
      </c>
      <c r="E365" s="1506">
        <f t="shared" si="79"/>
        <v>0.83322010869565222</v>
      </c>
      <c r="F365" s="1506">
        <f t="shared" si="79"/>
        <v>0.85846920289855078</v>
      </c>
      <c r="G365" s="1506">
        <f t="shared" si="79"/>
        <v>0.90115489130434789</v>
      </c>
      <c r="H365" s="1506">
        <f t="shared" si="79"/>
        <v>0.89560688405797106</v>
      </c>
      <c r="I365" s="1761"/>
      <c r="J365" s="1263"/>
      <c r="K365" s="1263"/>
      <c r="L365" s="1263"/>
      <c r="M365" s="1263"/>
      <c r="N365" s="1263"/>
      <c r="O365" s="1263"/>
      <c r="P365" s="1263"/>
      <c r="Q365" s="1263"/>
      <c r="R365" s="1081"/>
      <c r="S365" s="1082"/>
      <c r="T365" s="1082"/>
      <c r="U365" s="1082"/>
      <c r="V365" s="1082"/>
      <c r="W365" s="1082"/>
      <c r="X365" s="1082"/>
      <c r="Y365" s="1082"/>
      <c r="Z365" s="1082"/>
      <c r="AA365" s="1082"/>
      <c r="AB365" s="1082"/>
      <c r="AC365" s="1082"/>
      <c r="AD365" s="1082"/>
      <c r="AE365" s="1082"/>
      <c r="AF365" s="1082"/>
      <c r="AG365" s="1082"/>
      <c r="AH365" s="1082"/>
      <c r="AI365" s="1082"/>
      <c r="AJ365" s="1082"/>
      <c r="AK365" s="1082"/>
      <c r="AL365" s="1082"/>
      <c r="AM365" s="1082"/>
      <c r="AN365" s="1082"/>
      <c r="AO365" s="1082"/>
      <c r="AP365" s="1082"/>
      <c r="AQ365" s="1082"/>
      <c r="AR365" s="1082"/>
      <c r="AS365" s="1082"/>
      <c r="AT365" s="1082"/>
      <c r="AU365" s="1082"/>
      <c r="AV365" s="1082"/>
      <c r="AW365" s="1082"/>
      <c r="AX365" s="1082"/>
      <c r="AY365" s="1082"/>
      <c r="AZ365" s="1082"/>
      <c r="BA365" s="1082"/>
      <c r="BB365" s="1082"/>
      <c r="BC365" s="1082"/>
      <c r="BD365" s="1082"/>
      <c r="BE365" s="1082"/>
      <c r="BF365" s="1082"/>
      <c r="BG365" s="1082"/>
      <c r="BH365" s="1082"/>
      <c r="BI365" s="1082"/>
      <c r="BJ365" s="1082"/>
      <c r="BK365" s="1082"/>
      <c r="BL365" s="1082"/>
      <c r="BM365" s="1082"/>
      <c r="BN365" s="1082"/>
      <c r="BO365" s="1082"/>
      <c r="BP365" s="1082"/>
      <c r="BQ365" s="1082"/>
      <c r="BR365" s="1082"/>
      <c r="BS365" s="1082"/>
      <c r="BT365" s="1082"/>
      <c r="BU365" s="1082"/>
      <c r="BV365" s="1082"/>
      <c r="BW365" s="1082"/>
      <c r="BX365" s="1082"/>
      <c r="BY365" s="1082"/>
      <c r="BZ365" s="1082"/>
      <c r="CA365" s="1082"/>
      <c r="CB365" s="1082"/>
      <c r="CC365" s="1082"/>
      <c r="CD365" s="1082"/>
      <c r="CE365" s="1082"/>
      <c r="CF365" s="1082"/>
      <c r="CG365" s="1082"/>
      <c r="CH365" s="1082"/>
      <c r="CI365" s="1082"/>
      <c r="CJ365" s="1082"/>
      <c r="CK365" s="1082"/>
      <c r="CL365" s="1082"/>
      <c r="CM365" s="1082"/>
      <c r="CN365" s="1082"/>
      <c r="CO365" s="1082"/>
      <c r="CP365" s="1082"/>
      <c r="CQ365" s="1082"/>
      <c r="CR365" s="1082"/>
      <c r="CS365" s="1082"/>
      <c r="CT365" s="1082"/>
      <c r="CU365" s="1082"/>
      <c r="CV365" s="1082"/>
      <c r="CW365" s="1082"/>
      <c r="CX365" s="1082"/>
      <c r="CY365" s="1082"/>
      <c r="CZ365" s="1082"/>
      <c r="DA365" s="1082"/>
      <c r="DB365" s="1082"/>
      <c r="DC365" s="1082"/>
      <c r="DD365" s="1082"/>
      <c r="DE365" s="1082"/>
      <c r="DF365" s="1082"/>
      <c r="DG365" s="1082"/>
      <c r="DH365" s="1082"/>
      <c r="DI365" s="1082"/>
      <c r="DJ365" s="1082"/>
      <c r="DK365" s="1082"/>
      <c r="DL365" s="1082"/>
      <c r="DM365" s="1082"/>
      <c r="DN365" s="1082"/>
      <c r="DO365" s="1082"/>
      <c r="DP365" s="1082"/>
      <c r="DQ365" s="1082"/>
      <c r="DR365" s="1082"/>
      <c r="DS365" s="1082"/>
      <c r="DT365" s="1082"/>
      <c r="DU365" s="1082"/>
      <c r="DV365" s="1082"/>
      <c r="DW365" s="1082"/>
      <c r="DX365" s="1082"/>
      <c r="DY365" s="1082"/>
      <c r="DZ365" s="1082"/>
      <c r="EA365" s="1082"/>
      <c r="EB365" s="1082"/>
      <c r="EC365" s="1082"/>
      <c r="ED365" s="1082"/>
      <c r="EE365" s="1082"/>
      <c r="EF365" s="1082"/>
      <c r="EG365" s="1082"/>
      <c r="EH365" s="1082"/>
      <c r="EI365" s="1082"/>
      <c r="EJ365" s="1082"/>
      <c r="EK365" s="1082"/>
      <c r="EL365" s="1082"/>
      <c r="EM365" s="1082"/>
      <c r="EN365" s="1082"/>
      <c r="EO365" s="1082"/>
      <c r="EP365" s="1082"/>
      <c r="EQ365" s="1082"/>
      <c r="ER365" s="1082"/>
      <c r="ES365" s="1082"/>
      <c r="ET365" s="1082"/>
      <c r="EU365" s="1082"/>
      <c r="EV365" s="1082"/>
      <c r="EW365" s="1082"/>
      <c r="EX365" s="1082"/>
      <c r="EY365" s="1082"/>
      <c r="EZ365" s="1082"/>
      <c r="FA365" s="1082"/>
      <c r="FB365" s="1082"/>
    </row>
    <row r="366" spans="1:158" s="1099" customFormat="1" ht="32.1" customHeight="1">
      <c r="A366" s="1169"/>
      <c r="B366" s="1264" t="s">
        <v>530</v>
      </c>
      <c r="C366" s="1424">
        <f t="shared" ref="C366:H366" si="80">IF(J366&lt;$P366,1,IF(J366&gt;$Q366,0,(J366-$Q366)/($P366-$Q366)))</f>
        <v>0.125</v>
      </c>
      <c r="D366" s="1424">
        <f t="shared" si="80"/>
        <v>1</v>
      </c>
      <c r="E366" s="1424">
        <f t="shared" si="80"/>
        <v>0.96875</v>
      </c>
      <c r="F366" s="1424">
        <f t="shared" si="80"/>
        <v>0.58333333333333337</v>
      </c>
      <c r="G366" s="1424">
        <f t="shared" si="80"/>
        <v>0.875</v>
      </c>
      <c r="H366" s="1424">
        <f t="shared" si="80"/>
        <v>0.79166666666666663</v>
      </c>
      <c r="I366" s="1761" t="s">
        <v>5295</v>
      </c>
      <c r="J366" s="1265">
        <v>150</v>
      </c>
      <c r="K366" s="1265">
        <v>60</v>
      </c>
      <c r="L366" s="1265">
        <v>69</v>
      </c>
      <c r="M366" s="1265">
        <v>106</v>
      </c>
      <c r="N366" s="1265">
        <v>78</v>
      </c>
      <c r="O366" s="1265">
        <v>86</v>
      </c>
      <c r="P366" s="1265">
        <v>66</v>
      </c>
      <c r="Q366" s="1266">
        <v>162</v>
      </c>
      <c r="R366" s="1081"/>
      <c r="S366" s="1082"/>
      <c r="T366" s="1082"/>
      <c r="U366" s="1082"/>
      <c r="V366" s="1082"/>
      <c r="W366" s="1082"/>
      <c r="X366" s="1082"/>
      <c r="Y366" s="1082"/>
      <c r="Z366" s="1082"/>
      <c r="AA366" s="1082"/>
      <c r="AB366" s="1082"/>
      <c r="AC366" s="1082"/>
      <c r="AD366" s="1082"/>
      <c r="AE366" s="1082"/>
      <c r="AF366" s="1082"/>
      <c r="AG366" s="1082"/>
      <c r="AH366" s="1082"/>
      <c r="AI366" s="1082"/>
      <c r="AJ366" s="1082"/>
      <c r="AK366" s="1082"/>
      <c r="AL366" s="1082"/>
      <c r="AM366" s="1082"/>
      <c r="AN366" s="1082"/>
      <c r="AO366" s="1082"/>
      <c r="AP366" s="1082"/>
      <c r="AQ366" s="1082"/>
      <c r="AR366" s="1082"/>
      <c r="AS366" s="1082"/>
      <c r="AT366" s="1082"/>
      <c r="AU366" s="1082"/>
      <c r="AV366" s="1082"/>
      <c r="AW366" s="1082"/>
      <c r="AX366" s="1082"/>
      <c r="AY366" s="1082"/>
      <c r="AZ366" s="1082"/>
      <c r="BA366" s="1082"/>
      <c r="BB366" s="1082"/>
      <c r="BC366" s="1082"/>
      <c r="BD366" s="1082"/>
      <c r="BE366" s="1082"/>
      <c r="BF366" s="1082"/>
      <c r="BG366" s="1082"/>
      <c r="BH366" s="1082"/>
      <c r="BI366" s="1082"/>
      <c r="BJ366" s="1082"/>
      <c r="BK366" s="1082"/>
      <c r="BL366" s="1082"/>
      <c r="BM366" s="1082"/>
      <c r="BN366" s="1082"/>
      <c r="BO366" s="1082"/>
      <c r="BP366" s="1082"/>
      <c r="BQ366" s="1082"/>
      <c r="BR366" s="1082"/>
      <c r="BS366" s="1082"/>
      <c r="BT366" s="1082"/>
      <c r="BU366" s="1082"/>
      <c r="BV366" s="1082"/>
      <c r="BW366" s="1082"/>
      <c r="BX366" s="1082"/>
      <c r="BY366" s="1082"/>
      <c r="BZ366" s="1082"/>
      <c r="CA366" s="1082"/>
      <c r="CB366" s="1082"/>
      <c r="CC366" s="1082"/>
      <c r="CD366" s="1082"/>
      <c r="CE366" s="1082"/>
      <c r="CF366" s="1082"/>
      <c r="CG366" s="1082"/>
      <c r="CH366" s="1082"/>
      <c r="CI366" s="1082"/>
      <c r="CJ366" s="1082"/>
      <c r="CK366" s="1082"/>
      <c r="CL366" s="1082"/>
      <c r="CM366" s="1082"/>
      <c r="CN366" s="1082"/>
      <c r="CO366" s="1082"/>
      <c r="CP366" s="1082"/>
      <c r="CQ366" s="1082"/>
      <c r="CR366" s="1082"/>
      <c r="CS366" s="1082"/>
      <c r="CT366" s="1082"/>
      <c r="CU366" s="1082"/>
      <c r="CV366" s="1082"/>
      <c r="CW366" s="1082"/>
      <c r="CX366" s="1082"/>
      <c r="CY366" s="1082"/>
      <c r="CZ366" s="1082"/>
      <c r="DA366" s="1082"/>
      <c r="DB366" s="1082"/>
      <c r="DC366" s="1082"/>
      <c r="DD366" s="1082"/>
      <c r="DE366" s="1082"/>
      <c r="DF366" s="1082"/>
      <c r="DG366" s="1082"/>
      <c r="DH366" s="1082"/>
      <c r="DI366" s="1082"/>
      <c r="DJ366" s="1082"/>
      <c r="DK366" s="1082"/>
      <c r="DL366" s="1082"/>
      <c r="DM366" s="1082"/>
      <c r="DN366" s="1082"/>
      <c r="DO366" s="1082"/>
      <c r="DP366" s="1082"/>
      <c r="DQ366" s="1082"/>
      <c r="DR366" s="1082"/>
      <c r="DS366" s="1082"/>
      <c r="DT366" s="1082"/>
      <c r="DU366" s="1082"/>
      <c r="DV366" s="1082"/>
      <c r="DW366" s="1082"/>
      <c r="DX366" s="1082"/>
      <c r="DY366" s="1082"/>
      <c r="DZ366" s="1082"/>
      <c r="EA366" s="1082"/>
      <c r="EB366" s="1082"/>
      <c r="EC366" s="1082"/>
      <c r="ED366" s="1082"/>
      <c r="EE366" s="1082"/>
      <c r="EF366" s="1082"/>
      <c r="EG366" s="1082"/>
      <c r="EH366" s="1082"/>
      <c r="EI366" s="1082"/>
      <c r="EJ366" s="1082"/>
      <c r="EK366" s="1082"/>
      <c r="EL366" s="1082"/>
      <c r="EM366" s="1082"/>
      <c r="EN366" s="1082"/>
      <c r="EO366" s="1082"/>
      <c r="EP366" s="1082"/>
      <c r="EQ366" s="1082"/>
      <c r="ER366" s="1082"/>
      <c r="ES366" s="1082"/>
      <c r="ET366" s="1082"/>
      <c r="EU366" s="1082"/>
      <c r="EV366" s="1082"/>
      <c r="EW366" s="1082"/>
      <c r="EX366" s="1082"/>
      <c r="EY366" s="1082"/>
      <c r="EZ366" s="1082"/>
      <c r="FA366" s="1082"/>
      <c r="FB366" s="1082"/>
    </row>
    <row r="367" spans="1:158" s="1099" customFormat="1" ht="32.1" customHeight="1">
      <c r="A367" s="1169"/>
      <c r="B367" s="1264" t="s">
        <v>536</v>
      </c>
      <c r="C367" s="1424">
        <f t="shared" ref="C367:H367" si="81">IF(J367&gt;$P367,1,IF(J367&lt;$Q367,0,(J367-$Q367)/($P367-$Q367)))</f>
        <v>0</v>
      </c>
      <c r="D367" s="1424">
        <f t="shared" si="81"/>
        <v>0.54076086956521752</v>
      </c>
      <c r="E367" s="1424">
        <f t="shared" si="81"/>
        <v>0.67663043478260876</v>
      </c>
      <c r="F367" s="1424">
        <f t="shared" si="81"/>
        <v>0.85054347826086962</v>
      </c>
      <c r="G367" s="1424">
        <f t="shared" si="81"/>
        <v>0.76086956521739146</v>
      </c>
      <c r="H367" s="1424">
        <f t="shared" si="81"/>
        <v>0.85326086956521752</v>
      </c>
      <c r="I367" s="1761" t="s">
        <v>5295</v>
      </c>
      <c r="J367" s="1265">
        <v>7.5</v>
      </c>
      <c r="K367" s="1265">
        <v>28.1</v>
      </c>
      <c r="L367" s="1265">
        <v>33.1</v>
      </c>
      <c r="M367" s="1265">
        <v>39.5</v>
      </c>
      <c r="N367" s="1265">
        <v>36.200000000000003</v>
      </c>
      <c r="O367" s="1265">
        <v>39.6</v>
      </c>
      <c r="P367" s="1265">
        <v>45</v>
      </c>
      <c r="Q367" s="1267">
        <v>8.1999999999999993</v>
      </c>
      <c r="R367" s="1081"/>
      <c r="S367" s="1082"/>
      <c r="T367" s="1082"/>
      <c r="U367" s="1082"/>
      <c r="V367" s="1082"/>
      <c r="W367" s="1082"/>
      <c r="X367" s="1082"/>
      <c r="Y367" s="1082"/>
      <c r="Z367" s="1082"/>
      <c r="AA367" s="1082"/>
      <c r="AB367" s="1082"/>
      <c r="AC367" s="1082"/>
      <c r="AD367" s="1082"/>
      <c r="AE367" s="1082"/>
      <c r="AF367" s="1082"/>
      <c r="AG367" s="1082"/>
      <c r="AH367" s="1082"/>
      <c r="AI367" s="1082"/>
      <c r="AJ367" s="1082"/>
      <c r="AK367" s="1082"/>
      <c r="AL367" s="1082"/>
      <c r="AM367" s="1082"/>
      <c r="AN367" s="1082"/>
      <c r="AO367" s="1082"/>
      <c r="AP367" s="1082"/>
      <c r="AQ367" s="1082"/>
      <c r="AR367" s="1082"/>
      <c r="AS367" s="1082"/>
      <c r="AT367" s="1082"/>
      <c r="AU367" s="1082"/>
      <c r="AV367" s="1082"/>
      <c r="AW367" s="1082"/>
      <c r="AX367" s="1082"/>
      <c r="AY367" s="1082"/>
      <c r="AZ367" s="1082"/>
      <c r="BA367" s="1082"/>
      <c r="BB367" s="1082"/>
      <c r="BC367" s="1082"/>
      <c r="BD367" s="1082"/>
      <c r="BE367" s="1082"/>
      <c r="BF367" s="1082"/>
      <c r="BG367" s="1082"/>
      <c r="BH367" s="1082"/>
      <c r="BI367" s="1082"/>
      <c r="BJ367" s="1082"/>
      <c r="BK367" s="1082"/>
      <c r="BL367" s="1082"/>
      <c r="BM367" s="1082"/>
      <c r="BN367" s="1082"/>
      <c r="BO367" s="1082"/>
      <c r="BP367" s="1082"/>
      <c r="BQ367" s="1082"/>
      <c r="BR367" s="1082"/>
      <c r="BS367" s="1082"/>
      <c r="BT367" s="1082"/>
      <c r="BU367" s="1082"/>
      <c r="BV367" s="1082"/>
      <c r="BW367" s="1082"/>
      <c r="BX367" s="1082"/>
      <c r="BY367" s="1082"/>
      <c r="BZ367" s="1082"/>
      <c r="CA367" s="1082"/>
      <c r="CB367" s="1082"/>
      <c r="CC367" s="1082"/>
      <c r="CD367" s="1082"/>
      <c r="CE367" s="1082"/>
      <c r="CF367" s="1082"/>
      <c r="CG367" s="1082"/>
      <c r="CH367" s="1082"/>
      <c r="CI367" s="1082"/>
      <c r="CJ367" s="1082"/>
      <c r="CK367" s="1082"/>
      <c r="CL367" s="1082"/>
      <c r="CM367" s="1082"/>
      <c r="CN367" s="1082"/>
      <c r="CO367" s="1082"/>
      <c r="CP367" s="1082"/>
      <c r="CQ367" s="1082"/>
      <c r="CR367" s="1082"/>
      <c r="CS367" s="1082"/>
      <c r="CT367" s="1082"/>
      <c r="CU367" s="1082"/>
      <c r="CV367" s="1082"/>
      <c r="CW367" s="1082"/>
      <c r="CX367" s="1082"/>
      <c r="CY367" s="1082"/>
      <c r="CZ367" s="1082"/>
      <c r="DA367" s="1082"/>
      <c r="DB367" s="1082"/>
      <c r="DC367" s="1082"/>
      <c r="DD367" s="1082"/>
      <c r="DE367" s="1082"/>
      <c r="DF367" s="1082"/>
      <c r="DG367" s="1082"/>
      <c r="DH367" s="1082"/>
      <c r="DI367" s="1082"/>
      <c r="DJ367" s="1082"/>
      <c r="DK367" s="1082"/>
      <c r="DL367" s="1082"/>
      <c r="DM367" s="1082"/>
      <c r="DN367" s="1082"/>
      <c r="DO367" s="1082"/>
      <c r="DP367" s="1082"/>
      <c r="DQ367" s="1082"/>
      <c r="DR367" s="1082"/>
      <c r="DS367" s="1082"/>
      <c r="DT367" s="1082"/>
      <c r="DU367" s="1082"/>
      <c r="DV367" s="1082"/>
      <c r="DW367" s="1082"/>
      <c r="DX367" s="1082"/>
      <c r="DY367" s="1082"/>
      <c r="DZ367" s="1082"/>
      <c r="EA367" s="1082"/>
      <c r="EB367" s="1082"/>
      <c r="EC367" s="1082"/>
      <c r="ED367" s="1082"/>
      <c r="EE367" s="1082"/>
      <c r="EF367" s="1082"/>
      <c r="EG367" s="1082"/>
      <c r="EH367" s="1082"/>
      <c r="EI367" s="1082"/>
      <c r="EJ367" s="1082"/>
      <c r="EK367" s="1082"/>
      <c r="EL367" s="1082"/>
      <c r="EM367" s="1082"/>
      <c r="EN367" s="1082"/>
      <c r="EO367" s="1082"/>
      <c r="EP367" s="1082"/>
      <c r="EQ367" s="1082"/>
      <c r="ER367" s="1082"/>
      <c r="ES367" s="1082"/>
      <c r="ET367" s="1082"/>
      <c r="EU367" s="1082"/>
      <c r="EV367" s="1082"/>
      <c r="EW367" s="1082"/>
      <c r="EX367" s="1082"/>
      <c r="EY367" s="1082"/>
      <c r="EZ367" s="1082"/>
      <c r="FA367" s="1082"/>
      <c r="FB367" s="1082"/>
    </row>
    <row r="368" spans="1:158" s="1099" customFormat="1" ht="32.1" customHeight="1">
      <c r="A368" s="1268"/>
      <c r="B368" s="1264" t="s">
        <v>537</v>
      </c>
      <c r="C368" s="1424">
        <f t="shared" ref="C368:H369" si="82">IF(J368&lt;$P368,1,IF(J368&gt;$Q368,0,(J368-$Q368)/($P368-$Q368)))</f>
        <v>0</v>
      </c>
      <c r="D368" s="1424">
        <f t="shared" si="82"/>
        <v>0.1666666666666668</v>
      </c>
      <c r="E368" s="1424">
        <f t="shared" si="82"/>
        <v>1</v>
      </c>
      <c r="F368" s="1424">
        <f t="shared" si="82"/>
        <v>1</v>
      </c>
      <c r="G368" s="1424">
        <f t="shared" si="82"/>
        <v>1</v>
      </c>
      <c r="H368" s="1424">
        <f t="shared" si="82"/>
        <v>1</v>
      </c>
      <c r="I368" s="1761" t="s">
        <v>5295</v>
      </c>
      <c r="J368" s="1265">
        <v>2.9</v>
      </c>
      <c r="K368" s="1265">
        <v>2.8</v>
      </c>
      <c r="L368" s="1265">
        <v>1.5</v>
      </c>
      <c r="M368" s="1265">
        <v>2</v>
      </c>
      <c r="N368" s="1265">
        <v>1.9</v>
      </c>
      <c r="O368" s="1265">
        <v>1.5</v>
      </c>
      <c r="P368" s="1265">
        <v>2.2999999999999998</v>
      </c>
      <c r="Q368" s="1266">
        <v>2.9</v>
      </c>
      <c r="R368" s="1081"/>
      <c r="S368" s="1082"/>
      <c r="T368" s="1082"/>
      <c r="U368" s="1082"/>
      <c r="V368" s="1082"/>
      <c r="W368" s="1082"/>
      <c r="X368" s="1082"/>
      <c r="Y368" s="1082"/>
      <c r="Z368" s="1082"/>
      <c r="AA368" s="1082"/>
      <c r="AB368" s="1082"/>
      <c r="AC368" s="1082"/>
      <c r="AD368" s="1082"/>
      <c r="AE368" s="1082"/>
      <c r="AF368" s="1082"/>
      <c r="AG368" s="1082"/>
      <c r="AH368" s="1082"/>
      <c r="AI368" s="1082"/>
      <c r="AJ368" s="1082"/>
      <c r="AK368" s="1082"/>
      <c r="AL368" s="1082"/>
      <c r="AM368" s="1082"/>
      <c r="AN368" s="1082"/>
      <c r="AO368" s="1082"/>
      <c r="AP368" s="1082"/>
      <c r="AQ368" s="1082"/>
      <c r="AR368" s="1082"/>
      <c r="AS368" s="1082"/>
      <c r="AT368" s="1082"/>
      <c r="AU368" s="1082"/>
      <c r="AV368" s="1082"/>
      <c r="AW368" s="1082"/>
      <c r="AX368" s="1082"/>
      <c r="AY368" s="1082"/>
      <c r="AZ368" s="1082"/>
      <c r="BA368" s="1082"/>
      <c r="BB368" s="1082"/>
      <c r="BC368" s="1082"/>
      <c r="BD368" s="1082"/>
      <c r="BE368" s="1082"/>
      <c r="BF368" s="1082"/>
      <c r="BG368" s="1082"/>
      <c r="BH368" s="1082"/>
      <c r="BI368" s="1082"/>
      <c r="BJ368" s="1082"/>
      <c r="BK368" s="1082"/>
      <c r="BL368" s="1082"/>
      <c r="BM368" s="1082"/>
      <c r="BN368" s="1082"/>
      <c r="BO368" s="1082"/>
      <c r="BP368" s="1082"/>
      <c r="BQ368" s="1082"/>
      <c r="BR368" s="1082"/>
      <c r="BS368" s="1082"/>
      <c r="BT368" s="1082"/>
      <c r="BU368" s="1082"/>
      <c r="BV368" s="1082"/>
      <c r="BW368" s="1082"/>
      <c r="BX368" s="1082"/>
      <c r="BY368" s="1082"/>
      <c r="BZ368" s="1082"/>
      <c r="CA368" s="1082"/>
      <c r="CB368" s="1082"/>
      <c r="CC368" s="1082"/>
      <c r="CD368" s="1082"/>
      <c r="CE368" s="1082"/>
      <c r="CF368" s="1082"/>
      <c r="CG368" s="1082"/>
      <c r="CH368" s="1082"/>
      <c r="CI368" s="1082"/>
      <c r="CJ368" s="1082"/>
      <c r="CK368" s="1082"/>
      <c r="CL368" s="1082"/>
      <c r="CM368" s="1082"/>
      <c r="CN368" s="1082"/>
      <c r="CO368" s="1082"/>
      <c r="CP368" s="1082"/>
      <c r="CQ368" s="1082"/>
      <c r="CR368" s="1082"/>
      <c r="CS368" s="1082"/>
      <c r="CT368" s="1082"/>
      <c r="CU368" s="1082"/>
      <c r="CV368" s="1082"/>
      <c r="CW368" s="1082"/>
      <c r="CX368" s="1082"/>
      <c r="CY368" s="1082"/>
      <c r="CZ368" s="1082"/>
      <c r="DA368" s="1082"/>
      <c r="DB368" s="1082"/>
      <c r="DC368" s="1082"/>
      <c r="DD368" s="1082"/>
      <c r="DE368" s="1082"/>
      <c r="DF368" s="1082"/>
      <c r="DG368" s="1082"/>
      <c r="DH368" s="1082"/>
      <c r="DI368" s="1082"/>
      <c r="DJ368" s="1082"/>
      <c r="DK368" s="1082"/>
      <c r="DL368" s="1082"/>
      <c r="DM368" s="1082"/>
      <c r="DN368" s="1082"/>
      <c r="DO368" s="1082"/>
      <c r="DP368" s="1082"/>
      <c r="DQ368" s="1082"/>
      <c r="DR368" s="1082"/>
      <c r="DS368" s="1082"/>
      <c r="DT368" s="1082"/>
      <c r="DU368" s="1082"/>
      <c r="DV368" s="1082"/>
      <c r="DW368" s="1082"/>
      <c r="DX368" s="1082"/>
      <c r="DY368" s="1082"/>
      <c r="DZ368" s="1082"/>
      <c r="EA368" s="1082"/>
      <c r="EB368" s="1082"/>
      <c r="EC368" s="1082"/>
      <c r="ED368" s="1082"/>
      <c r="EE368" s="1082"/>
      <c r="EF368" s="1082"/>
      <c r="EG368" s="1082"/>
      <c r="EH368" s="1082"/>
      <c r="EI368" s="1082"/>
      <c r="EJ368" s="1082"/>
      <c r="EK368" s="1082"/>
      <c r="EL368" s="1082"/>
      <c r="EM368" s="1082"/>
      <c r="EN368" s="1082"/>
      <c r="EO368" s="1082"/>
      <c r="EP368" s="1082"/>
      <c r="EQ368" s="1082"/>
      <c r="ER368" s="1082"/>
      <c r="ES368" s="1082"/>
      <c r="ET368" s="1082"/>
      <c r="EU368" s="1082"/>
      <c r="EV368" s="1082"/>
      <c r="EW368" s="1082"/>
      <c r="EX368" s="1082"/>
      <c r="EY368" s="1082"/>
      <c r="EZ368" s="1082"/>
      <c r="FA368" s="1082"/>
      <c r="FB368" s="1082"/>
    </row>
    <row r="369" spans="1:158" s="1099" customFormat="1" ht="32.1" customHeight="1">
      <c r="A369" s="1169"/>
      <c r="B369" s="1264" t="s">
        <v>538</v>
      </c>
      <c r="C369" s="1424">
        <f t="shared" si="82"/>
        <v>0</v>
      </c>
      <c r="D369" s="1424">
        <f t="shared" si="82"/>
        <v>0.84375</v>
      </c>
      <c r="E369" s="1424">
        <f t="shared" si="82"/>
        <v>0.6875</v>
      </c>
      <c r="F369" s="1424">
        <f t="shared" si="82"/>
        <v>1</v>
      </c>
      <c r="G369" s="1424">
        <f t="shared" si="82"/>
        <v>0.96875</v>
      </c>
      <c r="H369" s="1424">
        <f t="shared" si="82"/>
        <v>0.9375</v>
      </c>
      <c r="I369" s="1761" t="s">
        <v>5295</v>
      </c>
      <c r="J369" s="1265">
        <v>42</v>
      </c>
      <c r="K369" s="1265">
        <v>15</v>
      </c>
      <c r="L369" s="1265">
        <v>20</v>
      </c>
      <c r="M369" s="1265">
        <v>10</v>
      </c>
      <c r="N369" s="1265">
        <v>11</v>
      </c>
      <c r="O369" s="1265">
        <v>12</v>
      </c>
      <c r="P369" s="1265">
        <v>10</v>
      </c>
      <c r="Q369" s="1266">
        <v>42</v>
      </c>
      <c r="R369" s="1081"/>
      <c r="S369" s="1082"/>
      <c r="T369" s="1082"/>
      <c r="U369" s="1082"/>
      <c r="V369" s="1082"/>
      <c r="W369" s="1082"/>
      <c r="X369" s="1082"/>
      <c r="Y369" s="1082"/>
      <c r="Z369" s="1082"/>
      <c r="AA369" s="1082"/>
      <c r="AB369" s="1082"/>
      <c r="AC369" s="1082"/>
      <c r="AD369" s="1082"/>
      <c r="AE369" s="1082"/>
      <c r="AF369" s="1082"/>
      <c r="AG369" s="1082"/>
      <c r="AH369" s="1082"/>
      <c r="AI369" s="1082"/>
      <c r="AJ369" s="1082"/>
      <c r="AK369" s="1082"/>
      <c r="AL369" s="1082"/>
      <c r="AM369" s="1082"/>
      <c r="AN369" s="1082"/>
      <c r="AO369" s="1082"/>
      <c r="AP369" s="1082"/>
      <c r="AQ369" s="1082"/>
      <c r="AR369" s="1082"/>
      <c r="AS369" s="1082"/>
      <c r="AT369" s="1082"/>
      <c r="AU369" s="1082"/>
      <c r="AV369" s="1082"/>
      <c r="AW369" s="1082"/>
      <c r="AX369" s="1082"/>
      <c r="AY369" s="1082"/>
      <c r="AZ369" s="1082"/>
      <c r="BA369" s="1082"/>
      <c r="BB369" s="1082"/>
      <c r="BC369" s="1082"/>
      <c r="BD369" s="1082"/>
      <c r="BE369" s="1082"/>
      <c r="BF369" s="1082"/>
      <c r="BG369" s="1082"/>
      <c r="BH369" s="1082"/>
      <c r="BI369" s="1082"/>
      <c r="BJ369" s="1082"/>
      <c r="BK369" s="1082"/>
      <c r="BL369" s="1082"/>
      <c r="BM369" s="1082"/>
      <c r="BN369" s="1082"/>
      <c r="BO369" s="1082"/>
      <c r="BP369" s="1082"/>
      <c r="BQ369" s="1082"/>
      <c r="BR369" s="1082"/>
      <c r="BS369" s="1082"/>
      <c r="BT369" s="1082"/>
      <c r="BU369" s="1082"/>
      <c r="BV369" s="1082"/>
      <c r="BW369" s="1082"/>
      <c r="BX369" s="1082"/>
      <c r="BY369" s="1082"/>
      <c r="BZ369" s="1082"/>
      <c r="CA369" s="1082"/>
      <c r="CB369" s="1082"/>
      <c r="CC369" s="1082"/>
      <c r="CD369" s="1082"/>
      <c r="CE369" s="1082"/>
      <c r="CF369" s="1082"/>
      <c r="CG369" s="1082"/>
      <c r="CH369" s="1082"/>
      <c r="CI369" s="1082"/>
      <c r="CJ369" s="1082"/>
      <c r="CK369" s="1082"/>
      <c r="CL369" s="1082"/>
      <c r="CM369" s="1082"/>
      <c r="CN369" s="1082"/>
      <c r="CO369" s="1082"/>
      <c r="CP369" s="1082"/>
      <c r="CQ369" s="1082"/>
      <c r="CR369" s="1082"/>
      <c r="CS369" s="1082"/>
      <c r="CT369" s="1082"/>
      <c r="CU369" s="1082"/>
      <c r="CV369" s="1082"/>
      <c r="CW369" s="1082"/>
      <c r="CX369" s="1082"/>
      <c r="CY369" s="1082"/>
      <c r="CZ369" s="1082"/>
      <c r="DA369" s="1082"/>
      <c r="DB369" s="1082"/>
      <c r="DC369" s="1082"/>
      <c r="DD369" s="1082"/>
      <c r="DE369" s="1082"/>
      <c r="DF369" s="1082"/>
      <c r="DG369" s="1082"/>
      <c r="DH369" s="1082"/>
      <c r="DI369" s="1082"/>
      <c r="DJ369" s="1082"/>
      <c r="DK369" s="1082"/>
      <c r="DL369" s="1082"/>
      <c r="DM369" s="1082"/>
      <c r="DN369" s="1082"/>
      <c r="DO369" s="1082"/>
      <c r="DP369" s="1082"/>
      <c r="DQ369" s="1082"/>
      <c r="DR369" s="1082"/>
      <c r="DS369" s="1082"/>
      <c r="DT369" s="1082"/>
      <c r="DU369" s="1082"/>
      <c r="DV369" s="1082"/>
      <c r="DW369" s="1082"/>
      <c r="DX369" s="1082"/>
      <c r="DY369" s="1082"/>
      <c r="DZ369" s="1082"/>
      <c r="EA369" s="1082"/>
      <c r="EB369" s="1082"/>
      <c r="EC369" s="1082"/>
      <c r="ED369" s="1082"/>
      <c r="EE369" s="1082"/>
      <c r="EF369" s="1082"/>
      <c r="EG369" s="1082"/>
      <c r="EH369" s="1082"/>
      <c r="EI369" s="1082"/>
      <c r="EJ369" s="1082"/>
      <c r="EK369" s="1082"/>
      <c r="EL369" s="1082"/>
      <c r="EM369" s="1082"/>
      <c r="EN369" s="1082"/>
      <c r="EO369" s="1082"/>
      <c r="EP369" s="1082"/>
      <c r="EQ369" s="1082"/>
      <c r="ER369" s="1082"/>
      <c r="ES369" s="1082"/>
      <c r="ET369" s="1082"/>
      <c r="EU369" s="1082"/>
      <c r="EV369" s="1082"/>
      <c r="EW369" s="1082"/>
      <c r="EX369" s="1082"/>
      <c r="EY369" s="1082"/>
      <c r="EZ369" s="1082"/>
      <c r="FA369" s="1082"/>
      <c r="FB369" s="1082"/>
    </row>
    <row r="370" spans="1:158" s="1099" customFormat="1" ht="32.1" customHeight="1">
      <c r="A370" s="1169"/>
      <c r="B370" s="1097" t="s">
        <v>539</v>
      </c>
      <c r="C370" s="1506">
        <f t="shared" ref="C370:H370" si="83">AVERAGE(C371:C374)</f>
        <v>0.4968443729397552</v>
      </c>
      <c r="D370" s="1506">
        <f t="shared" si="83"/>
        <v>0.98128520481285209</v>
      </c>
      <c r="E370" s="1506">
        <f t="shared" si="83"/>
        <v>0.61495455645692254</v>
      </c>
      <c r="F370" s="1506">
        <f t="shared" si="83"/>
        <v>0.88698630136986301</v>
      </c>
      <c r="G370" s="1506">
        <f t="shared" si="83"/>
        <v>0.68908567476585669</v>
      </c>
      <c r="H370" s="1506">
        <f t="shared" si="83"/>
        <v>0.94888011198880107</v>
      </c>
      <c r="I370" s="1761"/>
      <c r="J370" s="1263"/>
      <c r="K370" s="1263"/>
      <c r="L370" s="1263"/>
      <c r="M370" s="1263"/>
      <c r="N370" s="1263"/>
      <c r="O370" s="1263"/>
      <c r="P370" s="1263"/>
      <c r="Q370" s="1263"/>
      <c r="R370" s="1081"/>
      <c r="S370" s="1082"/>
      <c r="T370" s="1082"/>
      <c r="U370" s="1082"/>
      <c r="V370" s="1082"/>
      <c r="W370" s="1082"/>
      <c r="X370" s="1082"/>
      <c r="Y370" s="1082"/>
      <c r="Z370" s="1082"/>
      <c r="AA370" s="1082"/>
      <c r="AB370" s="1082"/>
      <c r="AC370" s="1082"/>
      <c r="AD370" s="1082"/>
      <c r="AE370" s="1082"/>
      <c r="AF370" s="1082"/>
      <c r="AG370" s="1082"/>
      <c r="AH370" s="1082"/>
      <c r="AI370" s="1082"/>
      <c r="AJ370" s="1082"/>
      <c r="AK370" s="1082"/>
      <c r="AL370" s="1082"/>
      <c r="AM370" s="1082"/>
      <c r="AN370" s="1082"/>
      <c r="AO370" s="1082"/>
      <c r="AP370" s="1082"/>
      <c r="AQ370" s="1082"/>
      <c r="AR370" s="1082"/>
      <c r="AS370" s="1082"/>
      <c r="AT370" s="1082"/>
      <c r="AU370" s="1082"/>
      <c r="AV370" s="1082"/>
      <c r="AW370" s="1082"/>
      <c r="AX370" s="1082"/>
      <c r="AY370" s="1082"/>
      <c r="AZ370" s="1082"/>
      <c r="BA370" s="1082"/>
      <c r="BB370" s="1082"/>
      <c r="BC370" s="1082"/>
      <c r="BD370" s="1082"/>
      <c r="BE370" s="1082"/>
      <c r="BF370" s="1082"/>
      <c r="BG370" s="1082"/>
      <c r="BH370" s="1082"/>
      <c r="BI370" s="1082"/>
      <c r="BJ370" s="1082"/>
      <c r="BK370" s="1082"/>
      <c r="BL370" s="1082"/>
      <c r="BM370" s="1082"/>
      <c r="BN370" s="1082"/>
      <c r="BO370" s="1082"/>
      <c r="BP370" s="1082"/>
      <c r="BQ370" s="1082"/>
      <c r="BR370" s="1082"/>
      <c r="BS370" s="1082"/>
      <c r="BT370" s="1082"/>
      <c r="BU370" s="1082"/>
      <c r="BV370" s="1082"/>
      <c r="BW370" s="1082"/>
      <c r="BX370" s="1082"/>
      <c r="BY370" s="1082"/>
      <c r="BZ370" s="1082"/>
      <c r="CA370" s="1082"/>
      <c r="CB370" s="1082"/>
      <c r="CC370" s="1082"/>
      <c r="CD370" s="1082"/>
      <c r="CE370" s="1082"/>
      <c r="CF370" s="1082"/>
      <c r="CG370" s="1082"/>
      <c r="CH370" s="1082"/>
      <c r="CI370" s="1082"/>
      <c r="CJ370" s="1082"/>
      <c r="CK370" s="1082"/>
      <c r="CL370" s="1082"/>
      <c r="CM370" s="1082"/>
      <c r="CN370" s="1082"/>
      <c r="CO370" s="1082"/>
      <c r="CP370" s="1082"/>
      <c r="CQ370" s="1082"/>
      <c r="CR370" s="1082"/>
      <c r="CS370" s="1082"/>
      <c r="CT370" s="1082"/>
      <c r="CU370" s="1082"/>
      <c r="CV370" s="1082"/>
      <c r="CW370" s="1082"/>
      <c r="CX370" s="1082"/>
      <c r="CY370" s="1082"/>
      <c r="CZ370" s="1082"/>
      <c r="DA370" s="1082"/>
      <c r="DB370" s="1082"/>
      <c r="DC370" s="1082"/>
      <c r="DD370" s="1082"/>
      <c r="DE370" s="1082"/>
      <c r="DF370" s="1082"/>
      <c r="DG370" s="1082"/>
      <c r="DH370" s="1082"/>
      <c r="DI370" s="1082"/>
      <c r="DJ370" s="1082"/>
      <c r="DK370" s="1082"/>
      <c r="DL370" s="1082"/>
      <c r="DM370" s="1082"/>
      <c r="DN370" s="1082"/>
      <c r="DO370" s="1082"/>
      <c r="DP370" s="1082"/>
      <c r="DQ370" s="1082"/>
      <c r="DR370" s="1082"/>
      <c r="DS370" s="1082"/>
      <c r="DT370" s="1082"/>
      <c r="DU370" s="1082"/>
      <c r="DV370" s="1082"/>
      <c r="DW370" s="1082"/>
      <c r="DX370" s="1082"/>
      <c r="DY370" s="1082"/>
      <c r="DZ370" s="1082"/>
      <c r="EA370" s="1082"/>
      <c r="EB370" s="1082"/>
      <c r="EC370" s="1082"/>
      <c r="ED370" s="1082"/>
      <c r="EE370" s="1082"/>
      <c r="EF370" s="1082"/>
      <c r="EG370" s="1082"/>
      <c r="EH370" s="1082"/>
      <c r="EI370" s="1082"/>
      <c r="EJ370" s="1082"/>
      <c r="EK370" s="1082"/>
      <c r="EL370" s="1082"/>
      <c r="EM370" s="1082"/>
      <c r="EN370" s="1082"/>
      <c r="EO370" s="1082"/>
      <c r="EP370" s="1082"/>
      <c r="EQ370" s="1082"/>
      <c r="ER370" s="1082"/>
      <c r="ES370" s="1082"/>
      <c r="ET370" s="1082"/>
      <c r="EU370" s="1082"/>
      <c r="EV370" s="1082"/>
      <c r="EW370" s="1082"/>
      <c r="EX370" s="1082"/>
      <c r="EY370" s="1082"/>
      <c r="EZ370" s="1082"/>
      <c r="FA370" s="1082"/>
      <c r="FB370" s="1082"/>
    </row>
    <row r="371" spans="1:158" s="1099" customFormat="1" ht="32.1" customHeight="1">
      <c r="A371" s="1169"/>
      <c r="B371" s="1264" t="s">
        <v>530</v>
      </c>
      <c r="C371" s="1424">
        <f t="shared" ref="C371:H374" si="84">IF(J371&lt;$P371,1,IF(J371&gt;$Q371,0,(J371-$Q371)/($P371-$Q371)))</f>
        <v>0.58394160583941601</v>
      </c>
      <c r="D371" s="1424">
        <f t="shared" si="84"/>
        <v>0.97080291970802923</v>
      </c>
      <c r="E371" s="1424">
        <f t="shared" si="84"/>
        <v>0.47445255474452552</v>
      </c>
      <c r="F371" s="1424">
        <f t="shared" si="84"/>
        <v>1</v>
      </c>
      <c r="G371" s="1424">
        <f t="shared" si="84"/>
        <v>0.55474452554744524</v>
      </c>
      <c r="H371" s="1424">
        <f t="shared" si="84"/>
        <v>0.9051094890510949</v>
      </c>
      <c r="I371" s="1761" t="s">
        <v>5295</v>
      </c>
      <c r="J371" s="1265">
        <v>84</v>
      </c>
      <c r="K371" s="1265">
        <v>31</v>
      </c>
      <c r="L371" s="1265">
        <v>99</v>
      </c>
      <c r="M371" s="1265">
        <v>22</v>
      </c>
      <c r="N371" s="1265">
        <v>88</v>
      </c>
      <c r="O371" s="1265">
        <v>40</v>
      </c>
      <c r="P371" s="1265">
        <v>27</v>
      </c>
      <c r="Q371" s="1266">
        <v>164</v>
      </c>
      <c r="R371" s="1081"/>
      <c r="S371" s="1082"/>
      <c r="T371" s="1082"/>
      <c r="U371" s="1082"/>
      <c r="V371" s="1082"/>
      <c r="W371" s="1082"/>
      <c r="X371" s="1082"/>
      <c r="Y371" s="1082"/>
      <c r="Z371" s="1082"/>
      <c r="AA371" s="1082"/>
      <c r="AB371" s="1082"/>
      <c r="AC371" s="1082"/>
      <c r="AD371" s="1082"/>
      <c r="AE371" s="1082"/>
      <c r="AF371" s="1082"/>
      <c r="AG371" s="1082"/>
      <c r="AH371" s="1082"/>
      <c r="AI371" s="1082"/>
      <c r="AJ371" s="1082"/>
      <c r="AK371" s="1082"/>
      <c r="AL371" s="1082"/>
      <c r="AM371" s="1082"/>
      <c r="AN371" s="1082"/>
      <c r="AO371" s="1082"/>
      <c r="AP371" s="1082"/>
      <c r="AQ371" s="1082"/>
      <c r="AR371" s="1082"/>
      <c r="AS371" s="1082"/>
      <c r="AT371" s="1082"/>
      <c r="AU371" s="1082"/>
      <c r="AV371" s="1082"/>
      <c r="AW371" s="1082"/>
      <c r="AX371" s="1082"/>
      <c r="AY371" s="1082"/>
      <c r="AZ371" s="1082"/>
      <c r="BA371" s="1082"/>
      <c r="BB371" s="1082"/>
      <c r="BC371" s="1082"/>
      <c r="BD371" s="1082"/>
      <c r="BE371" s="1082"/>
      <c r="BF371" s="1082"/>
      <c r="BG371" s="1082"/>
      <c r="BH371" s="1082"/>
      <c r="BI371" s="1082"/>
      <c r="BJ371" s="1082"/>
      <c r="BK371" s="1082"/>
      <c r="BL371" s="1082"/>
      <c r="BM371" s="1082"/>
      <c r="BN371" s="1082"/>
      <c r="BO371" s="1082"/>
      <c r="BP371" s="1082"/>
      <c r="BQ371" s="1082"/>
      <c r="BR371" s="1082"/>
      <c r="BS371" s="1082"/>
      <c r="BT371" s="1082"/>
      <c r="BU371" s="1082"/>
      <c r="BV371" s="1082"/>
      <c r="BW371" s="1082"/>
      <c r="BX371" s="1082"/>
      <c r="BY371" s="1082"/>
      <c r="BZ371" s="1082"/>
      <c r="CA371" s="1082"/>
      <c r="CB371" s="1082"/>
      <c r="CC371" s="1082"/>
      <c r="CD371" s="1082"/>
      <c r="CE371" s="1082"/>
      <c r="CF371" s="1082"/>
      <c r="CG371" s="1082"/>
      <c r="CH371" s="1082"/>
      <c r="CI371" s="1082"/>
      <c r="CJ371" s="1082"/>
      <c r="CK371" s="1082"/>
      <c r="CL371" s="1082"/>
      <c r="CM371" s="1082"/>
      <c r="CN371" s="1082"/>
      <c r="CO371" s="1082"/>
      <c r="CP371" s="1082"/>
      <c r="CQ371" s="1082"/>
      <c r="CR371" s="1082"/>
      <c r="CS371" s="1082"/>
      <c r="CT371" s="1082"/>
      <c r="CU371" s="1082"/>
      <c r="CV371" s="1082"/>
      <c r="CW371" s="1082"/>
      <c r="CX371" s="1082"/>
      <c r="CY371" s="1082"/>
      <c r="CZ371" s="1082"/>
      <c r="DA371" s="1082"/>
      <c r="DB371" s="1082"/>
      <c r="DC371" s="1082"/>
      <c r="DD371" s="1082"/>
      <c r="DE371" s="1082"/>
      <c r="DF371" s="1082"/>
      <c r="DG371" s="1082"/>
      <c r="DH371" s="1082"/>
      <c r="DI371" s="1082"/>
      <c r="DJ371" s="1082"/>
      <c r="DK371" s="1082"/>
      <c r="DL371" s="1082"/>
      <c r="DM371" s="1082"/>
      <c r="DN371" s="1082"/>
      <c r="DO371" s="1082"/>
      <c r="DP371" s="1082"/>
      <c r="DQ371" s="1082"/>
      <c r="DR371" s="1082"/>
      <c r="DS371" s="1082"/>
      <c r="DT371" s="1082"/>
      <c r="DU371" s="1082"/>
      <c r="DV371" s="1082"/>
      <c r="DW371" s="1082"/>
      <c r="DX371" s="1082"/>
      <c r="DY371" s="1082"/>
      <c r="DZ371" s="1082"/>
      <c r="EA371" s="1082"/>
      <c r="EB371" s="1082"/>
      <c r="EC371" s="1082"/>
      <c r="ED371" s="1082"/>
      <c r="EE371" s="1082"/>
      <c r="EF371" s="1082"/>
      <c r="EG371" s="1082"/>
      <c r="EH371" s="1082"/>
      <c r="EI371" s="1082"/>
      <c r="EJ371" s="1082"/>
      <c r="EK371" s="1082"/>
      <c r="EL371" s="1082"/>
      <c r="EM371" s="1082"/>
      <c r="EN371" s="1082"/>
      <c r="EO371" s="1082"/>
      <c r="EP371" s="1082"/>
      <c r="EQ371" s="1082"/>
      <c r="ER371" s="1082"/>
      <c r="ES371" s="1082"/>
      <c r="ET371" s="1082"/>
      <c r="EU371" s="1082"/>
      <c r="EV371" s="1082"/>
      <c r="EW371" s="1082"/>
      <c r="EX371" s="1082"/>
      <c r="EY371" s="1082"/>
      <c r="EZ371" s="1082"/>
      <c r="FA371" s="1082"/>
      <c r="FB371" s="1082"/>
    </row>
    <row r="372" spans="1:158" s="1099" customFormat="1" ht="32.1" customHeight="1">
      <c r="A372" s="1169"/>
      <c r="B372" s="1264" t="s">
        <v>540</v>
      </c>
      <c r="C372" s="1424">
        <f t="shared" si="84"/>
        <v>0.15753424657534246</v>
      </c>
      <c r="D372" s="1424">
        <f t="shared" si="84"/>
        <v>0.954337899543379</v>
      </c>
      <c r="E372" s="1424">
        <f t="shared" si="84"/>
        <v>0.97716894977168944</v>
      </c>
      <c r="F372" s="1424">
        <f t="shared" si="84"/>
        <v>0.54794520547945202</v>
      </c>
      <c r="G372" s="1424">
        <f t="shared" si="84"/>
        <v>0.35159817351598172</v>
      </c>
      <c r="H372" s="1424">
        <f t="shared" si="84"/>
        <v>0.8904109589041096</v>
      </c>
      <c r="I372" s="1761" t="s">
        <v>5295</v>
      </c>
      <c r="J372" s="1265">
        <v>355.5</v>
      </c>
      <c r="K372" s="1265">
        <v>181</v>
      </c>
      <c r="L372" s="1265">
        <v>176</v>
      </c>
      <c r="M372" s="1265">
        <v>270</v>
      </c>
      <c r="N372" s="1265">
        <v>313</v>
      </c>
      <c r="O372" s="1265">
        <v>195</v>
      </c>
      <c r="P372" s="1265">
        <v>171</v>
      </c>
      <c r="Q372" s="1266">
        <v>390</v>
      </c>
      <c r="R372" s="1081"/>
      <c r="S372" s="1082"/>
      <c r="T372" s="1082"/>
      <c r="U372" s="1082"/>
      <c r="V372" s="1082"/>
      <c r="W372" s="1082"/>
      <c r="X372" s="1082"/>
      <c r="Y372" s="1082"/>
      <c r="Z372" s="1082"/>
      <c r="AA372" s="1082"/>
      <c r="AB372" s="1082"/>
      <c r="AC372" s="1082"/>
      <c r="AD372" s="1082"/>
      <c r="AE372" s="1082"/>
      <c r="AF372" s="1082"/>
      <c r="AG372" s="1082"/>
      <c r="AH372" s="1082"/>
      <c r="AI372" s="1082"/>
      <c r="AJ372" s="1082"/>
      <c r="AK372" s="1082"/>
      <c r="AL372" s="1082"/>
      <c r="AM372" s="1082"/>
      <c r="AN372" s="1082"/>
      <c r="AO372" s="1082"/>
      <c r="AP372" s="1082"/>
      <c r="AQ372" s="1082"/>
      <c r="AR372" s="1082"/>
      <c r="AS372" s="1082"/>
      <c r="AT372" s="1082"/>
      <c r="AU372" s="1082"/>
      <c r="AV372" s="1082"/>
      <c r="AW372" s="1082"/>
      <c r="AX372" s="1082"/>
      <c r="AY372" s="1082"/>
      <c r="AZ372" s="1082"/>
      <c r="BA372" s="1082"/>
      <c r="BB372" s="1082"/>
      <c r="BC372" s="1082"/>
      <c r="BD372" s="1082"/>
      <c r="BE372" s="1082"/>
      <c r="BF372" s="1082"/>
      <c r="BG372" s="1082"/>
      <c r="BH372" s="1082"/>
      <c r="BI372" s="1082"/>
      <c r="BJ372" s="1082"/>
      <c r="BK372" s="1082"/>
      <c r="BL372" s="1082"/>
      <c r="BM372" s="1082"/>
      <c r="BN372" s="1082"/>
      <c r="BO372" s="1082"/>
      <c r="BP372" s="1082"/>
      <c r="BQ372" s="1082"/>
      <c r="BR372" s="1082"/>
      <c r="BS372" s="1082"/>
      <c r="BT372" s="1082"/>
      <c r="BU372" s="1082"/>
      <c r="BV372" s="1082"/>
      <c r="BW372" s="1082"/>
      <c r="BX372" s="1082"/>
      <c r="BY372" s="1082"/>
      <c r="BZ372" s="1082"/>
      <c r="CA372" s="1082"/>
      <c r="CB372" s="1082"/>
      <c r="CC372" s="1082"/>
      <c r="CD372" s="1082"/>
      <c r="CE372" s="1082"/>
      <c r="CF372" s="1082"/>
      <c r="CG372" s="1082"/>
      <c r="CH372" s="1082"/>
      <c r="CI372" s="1082"/>
      <c r="CJ372" s="1082"/>
      <c r="CK372" s="1082"/>
      <c r="CL372" s="1082"/>
      <c r="CM372" s="1082"/>
      <c r="CN372" s="1082"/>
      <c r="CO372" s="1082"/>
      <c r="CP372" s="1082"/>
      <c r="CQ372" s="1082"/>
      <c r="CR372" s="1082"/>
      <c r="CS372" s="1082"/>
      <c r="CT372" s="1082"/>
      <c r="CU372" s="1082"/>
      <c r="CV372" s="1082"/>
      <c r="CW372" s="1082"/>
      <c r="CX372" s="1082"/>
      <c r="CY372" s="1082"/>
      <c r="CZ372" s="1082"/>
      <c r="DA372" s="1082"/>
      <c r="DB372" s="1082"/>
      <c r="DC372" s="1082"/>
      <c r="DD372" s="1082"/>
      <c r="DE372" s="1082"/>
      <c r="DF372" s="1082"/>
      <c r="DG372" s="1082"/>
      <c r="DH372" s="1082"/>
      <c r="DI372" s="1082"/>
      <c r="DJ372" s="1082"/>
      <c r="DK372" s="1082"/>
      <c r="DL372" s="1082"/>
      <c r="DM372" s="1082"/>
      <c r="DN372" s="1082"/>
      <c r="DO372" s="1082"/>
      <c r="DP372" s="1082"/>
      <c r="DQ372" s="1082"/>
      <c r="DR372" s="1082"/>
      <c r="DS372" s="1082"/>
      <c r="DT372" s="1082"/>
      <c r="DU372" s="1082"/>
      <c r="DV372" s="1082"/>
      <c r="DW372" s="1082"/>
      <c r="DX372" s="1082"/>
      <c r="DY372" s="1082"/>
      <c r="DZ372" s="1082"/>
      <c r="EA372" s="1082"/>
      <c r="EB372" s="1082"/>
      <c r="EC372" s="1082"/>
      <c r="ED372" s="1082"/>
      <c r="EE372" s="1082"/>
      <c r="EF372" s="1082"/>
      <c r="EG372" s="1082"/>
      <c r="EH372" s="1082"/>
      <c r="EI372" s="1082"/>
      <c r="EJ372" s="1082"/>
      <c r="EK372" s="1082"/>
      <c r="EL372" s="1082"/>
      <c r="EM372" s="1082"/>
      <c r="EN372" s="1082"/>
      <c r="EO372" s="1082"/>
      <c r="EP372" s="1082"/>
      <c r="EQ372" s="1082"/>
      <c r="ER372" s="1082"/>
      <c r="ES372" s="1082"/>
      <c r="ET372" s="1082"/>
      <c r="EU372" s="1082"/>
      <c r="EV372" s="1082"/>
      <c r="EW372" s="1082"/>
      <c r="EX372" s="1082"/>
      <c r="EY372" s="1082"/>
      <c r="EZ372" s="1082"/>
      <c r="FA372" s="1082"/>
      <c r="FB372" s="1082"/>
    </row>
    <row r="373" spans="1:158" s="1099" customFormat="1" ht="32.1" customHeight="1">
      <c r="A373" s="1268"/>
      <c r="B373" s="1264" t="s">
        <v>541</v>
      </c>
      <c r="C373" s="1424">
        <f t="shared" si="84"/>
        <v>1</v>
      </c>
      <c r="D373" s="1424">
        <f t="shared" si="84"/>
        <v>1</v>
      </c>
      <c r="E373" s="1424">
        <f t="shared" si="84"/>
        <v>1</v>
      </c>
      <c r="F373" s="1424">
        <f t="shared" si="84"/>
        <v>1</v>
      </c>
      <c r="G373" s="1424">
        <f t="shared" si="84"/>
        <v>0.85</v>
      </c>
      <c r="H373" s="1424">
        <f t="shared" si="84"/>
        <v>1</v>
      </c>
      <c r="I373" s="1761" t="s">
        <v>5295</v>
      </c>
      <c r="J373" s="1265">
        <v>5</v>
      </c>
      <c r="K373" s="1265">
        <v>10</v>
      </c>
      <c r="L373" s="1265">
        <v>7</v>
      </c>
      <c r="M373" s="1265">
        <v>5</v>
      </c>
      <c r="N373" s="1265">
        <v>14</v>
      </c>
      <c r="O373" s="1265">
        <v>6</v>
      </c>
      <c r="P373" s="1265">
        <v>11</v>
      </c>
      <c r="Q373" s="1266">
        <v>31</v>
      </c>
      <c r="R373" s="1081"/>
      <c r="S373" s="1082"/>
      <c r="T373" s="1082"/>
      <c r="U373" s="1082"/>
      <c r="V373" s="1082"/>
      <c r="W373" s="1082"/>
      <c r="X373" s="1082"/>
      <c r="Y373" s="1082"/>
      <c r="Z373" s="1082"/>
      <c r="AA373" s="1082"/>
      <c r="AB373" s="1082"/>
      <c r="AC373" s="1082"/>
      <c r="AD373" s="1082"/>
      <c r="AE373" s="1082"/>
      <c r="AF373" s="1082"/>
      <c r="AG373" s="1082"/>
      <c r="AH373" s="1082"/>
      <c r="AI373" s="1082"/>
      <c r="AJ373" s="1082"/>
      <c r="AK373" s="1082"/>
      <c r="AL373" s="1082"/>
      <c r="AM373" s="1082"/>
      <c r="AN373" s="1082"/>
      <c r="AO373" s="1082"/>
      <c r="AP373" s="1082"/>
      <c r="AQ373" s="1082"/>
      <c r="AR373" s="1082"/>
      <c r="AS373" s="1082"/>
      <c r="AT373" s="1082"/>
      <c r="AU373" s="1082"/>
      <c r="AV373" s="1082"/>
      <c r="AW373" s="1082"/>
      <c r="AX373" s="1082"/>
      <c r="AY373" s="1082"/>
      <c r="AZ373" s="1082"/>
      <c r="BA373" s="1082"/>
      <c r="BB373" s="1082"/>
      <c r="BC373" s="1082"/>
      <c r="BD373" s="1082"/>
      <c r="BE373" s="1082"/>
      <c r="BF373" s="1082"/>
      <c r="BG373" s="1082"/>
      <c r="BH373" s="1082"/>
      <c r="BI373" s="1082"/>
      <c r="BJ373" s="1082"/>
      <c r="BK373" s="1082"/>
      <c r="BL373" s="1082"/>
      <c r="BM373" s="1082"/>
      <c r="BN373" s="1082"/>
      <c r="BO373" s="1082"/>
      <c r="BP373" s="1082"/>
      <c r="BQ373" s="1082"/>
      <c r="BR373" s="1082"/>
      <c r="BS373" s="1082"/>
      <c r="BT373" s="1082"/>
      <c r="BU373" s="1082"/>
      <c r="BV373" s="1082"/>
      <c r="BW373" s="1082"/>
      <c r="BX373" s="1082"/>
      <c r="BY373" s="1082"/>
      <c r="BZ373" s="1082"/>
      <c r="CA373" s="1082"/>
      <c r="CB373" s="1082"/>
      <c r="CC373" s="1082"/>
      <c r="CD373" s="1082"/>
      <c r="CE373" s="1082"/>
      <c r="CF373" s="1082"/>
      <c r="CG373" s="1082"/>
      <c r="CH373" s="1082"/>
      <c r="CI373" s="1082"/>
      <c r="CJ373" s="1082"/>
      <c r="CK373" s="1082"/>
      <c r="CL373" s="1082"/>
      <c r="CM373" s="1082"/>
      <c r="CN373" s="1082"/>
      <c r="CO373" s="1082"/>
      <c r="CP373" s="1082"/>
      <c r="CQ373" s="1082"/>
      <c r="CR373" s="1082"/>
      <c r="CS373" s="1082"/>
      <c r="CT373" s="1082"/>
      <c r="CU373" s="1082"/>
      <c r="CV373" s="1082"/>
      <c r="CW373" s="1082"/>
      <c r="CX373" s="1082"/>
      <c r="CY373" s="1082"/>
      <c r="CZ373" s="1082"/>
      <c r="DA373" s="1082"/>
      <c r="DB373" s="1082"/>
      <c r="DC373" s="1082"/>
      <c r="DD373" s="1082"/>
      <c r="DE373" s="1082"/>
      <c r="DF373" s="1082"/>
      <c r="DG373" s="1082"/>
      <c r="DH373" s="1082"/>
      <c r="DI373" s="1082"/>
      <c r="DJ373" s="1082"/>
      <c r="DK373" s="1082"/>
      <c r="DL373" s="1082"/>
      <c r="DM373" s="1082"/>
      <c r="DN373" s="1082"/>
      <c r="DO373" s="1082"/>
      <c r="DP373" s="1082"/>
      <c r="DQ373" s="1082"/>
      <c r="DR373" s="1082"/>
      <c r="DS373" s="1082"/>
      <c r="DT373" s="1082"/>
      <c r="DU373" s="1082"/>
      <c r="DV373" s="1082"/>
      <c r="DW373" s="1082"/>
      <c r="DX373" s="1082"/>
      <c r="DY373" s="1082"/>
      <c r="DZ373" s="1082"/>
      <c r="EA373" s="1082"/>
      <c r="EB373" s="1082"/>
      <c r="EC373" s="1082"/>
      <c r="ED373" s="1082"/>
      <c r="EE373" s="1082"/>
      <c r="EF373" s="1082"/>
      <c r="EG373" s="1082"/>
      <c r="EH373" s="1082"/>
      <c r="EI373" s="1082"/>
      <c r="EJ373" s="1082"/>
      <c r="EK373" s="1082"/>
      <c r="EL373" s="1082"/>
      <c r="EM373" s="1082"/>
      <c r="EN373" s="1082"/>
      <c r="EO373" s="1082"/>
      <c r="EP373" s="1082"/>
      <c r="EQ373" s="1082"/>
      <c r="ER373" s="1082"/>
      <c r="ES373" s="1082"/>
      <c r="ET373" s="1082"/>
      <c r="EU373" s="1082"/>
      <c r="EV373" s="1082"/>
      <c r="EW373" s="1082"/>
      <c r="EX373" s="1082"/>
      <c r="EY373" s="1082"/>
      <c r="EZ373" s="1082"/>
      <c r="FA373" s="1082"/>
      <c r="FB373" s="1082"/>
    </row>
    <row r="374" spans="1:158" s="1099" customFormat="1" ht="32.1" customHeight="1">
      <c r="A374" s="1169"/>
      <c r="B374" s="1264" t="s">
        <v>542</v>
      </c>
      <c r="C374" s="1424">
        <f t="shared" si="84"/>
        <v>0.24590163934426237</v>
      </c>
      <c r="D374" s="1424">
        <f t="shared" si="84"/>
        <v>1</v>
      </c>
      <c r="E374" s="1424">
        <f t="shared" si="84"/>
        <v>8.19672131147553E-3</v>
      </c>
      <c r="F374" s="1424">
        <f t="shared" si="84"/>
        <v>1</v>
      </c>
      <c r="G374" s="1424">
        <f t="shared" si="84"/>
        <v>1</v>
      </c>
      <c r="H374" s="1424">
        <f t="shared" si="84"/>
        <v>1</v>
      </c>
      <c r="I374" s="1761" t="s">
        <v>5295</v>
      </c>
      <c r="J374" s="1265">
        <v>51.9</v>
      </c>
      <c r="K374" s="1265">
        <v>40.4</v>
      </c>
      <c r="L374" s="1265">
        <v>54.8</v>
      </c>
      <c r="M374" s="1265">
        <v>16.399999999999999</v>
      </c>
      <c r="N374" s="1265">
        <v>18.5</v>
      </c>
      <c r="O374" s="1265">
        <v>39.799999999999997</v>
      </c>
      <c r="P374" s="1265">
        <v>42.7</v>
      </c>
      <c r="Q374" s="1267">
        <v>54.9</v>
      </c>
      <c r="R374" s="1081"/>
      <c r="S374" s="1082"/>
      <c r="T374" s="1082"/>
      <c r="U374" s="1082"/>
      <c r="V374" s="1082"/>
      <c r="W374" s="1082"/>
      <c r="X374" s="1082"/>
      <c r="Y374" s="1082"/>
      <c r="Z374" s="1082"/>
      <c r="AA374" s="1082"/>
      <c r="AB374" s="1082"/>
      <c r="AC374" s="1082"/>
      <c r="AD374" s="1082"/>
      <c r="AE374" s="1082"/>
      <c r="AF374" s="1082"/>
      <c r="AG374" s="1082"/>
      <c r="AH374" s="1082"/>
      <c r="AI374" s="1082"/>
      <c r="AJ374" s="1082"/>
      <c r="AK374" s="1082"/>
      <c r="AL374" s="1082"/>
      <c r="AM374" s="1082"/>
      <c r="AN374" s="1082"/>
      <c r="AO374" s="1082"/>
      <c r="AP374" s="1082"/>
      <c r="AQ374" s="1082"/>
      <c r="AR374" s="1082"/>
      <c r="AS374" s="1082"/>
      <c r="AT374" s="1082"/>
      <c r="AU374" s="1082"/>
      <c r="AV374" s="1082"/>
      <c r="AW374" s="1082"/>
      <c r="AX374" s="1082"/>
      <c r="AY374" s="1082"/>
      <c r="AZ374" s="1082"/>
      <c r="BA374" s="1082"/>
      <c r="BB374" s="1082"/>
      <c r="BC374" s="1082"/>
      <c r="BD374" s="1082"/>
      <c r="BE374" s="1082"/>
      <c r="BF374" s="1082"/>
      <c r="BG374" s="1082"/>
      <c r="BH374" s="1082"/>
      <c r="BI374" s="1082"/>
      <c r="BJ374" s="1082"/>
      <c r="BK374" s="1082"/>
      <c r="BL374" s="1082"/>
      <c r="BM374" s="1082"/>
      <c r="BN374" s="1082"/>
      <c r="BO374" s="1082"/>
      <c r="BP374" s="1082"/>
      <c r="BQ374" s="1082"/>
      <c r="BR374" s="1082"/>
      <c r="BS374" s="1082"/>
      <c r="BT374" s="1082"/>
      <c r="BU374" s="1082"/>
      <c r="BV374" s="1082"/>
      <c r="BW374" s="1082"/>
      <c r="BX374" s="1082"/>
      <c r="BY374" s="1082"/>
      <c r="BZ374" s="1082"/>
      <c r="CA374" s="1082"/>
      <c r="CB374" s="1082"/>
      <c r="CC374" s="1082"/>
      <c r="CD374" s="1082"/>
      <c r="CE374" s="1082"/>
      <c r="CF374" s="1082"/>
      <c r="CG374" s="1082"/>
      <c r="CH374" s="1082"/>
      <c r="CI374" s="1082"/>
      <c r="CJ374" s="1082"/>
      <c r="CK374" s="1082"/>
      <c r="CL374" s="1082"/>
      <c r="CM374" s="1082"/>
      <c r="CN374" s="1082"/>
      <c r="CO374" s="1082"/>
      <c r="CP374" s="1082"/>
      <c r="CQ374" s="1082"/>
      <c r="CR374" s="1082"/>
      <c r="CS374" s="1082"/>
      <c r="CT374" s="1082"/>
      <c r="CU374" s="1082"/>
      <c r="CV374" s="1082"/>
      <c r="CW374" s="1082"/>
      <c r="CX374" s="1082"/>
      <c r="CY374" s="1082"/>
      <c r="CZ374" s="1082"/>
      <c r="DA374" s="1082"/>
      <c r="DB374" s="1082"/>
      <c r="DC374" s="1082"/>
      <c r="DD374" s="1082"/>
      <c r="DE374" s="1082"/>
      <c r="DF374" s="1082"/>
      <c r="DG374" s="1082"/>
      <c r="DH374" s="1082"/>
      <c r="DI374" s="1082"/>
      <c r="DJ374" s="1082"/>
      <c r="DK374" s="1082"/>
      <c r="DL374" s="1082"/>
      <c r="DM374" s="1082"/>
      <c r="DN374" s="1082"/>
      <c r="DO374" s="1082"/>
      <c r="DP374" s="1082"/>
      <c r="DQ374" s="1082"/>
      <c r="DR374" s="1082"/>
      <c r="DS374" s="1082"/>
      <c r="DT374" s="1082"/>
      <c r="DU374" s="1082"/>
      <c r="DV374" s="1082"/>
      <c r="DW374" s="1082"/>
      <c r="DX374" s="1082"/>
      <c r="DY374" s="1082"/>
      <c r="DZ374" s="1082"/>
      <c r="EA374" s="1082"/>
      <c r="EB374" s="1082"/>
      <c r="EC374" s="1082"/>
      <c r="ED374" s="1082"/>
      <c r="EE374" s="1082"/>
      <c r="EF374" s="1082"/>
      <c r="EG374" s="1082"/>
      <c r="EH374" s="1082"/>
      <c r="EI374" s="1082"/>
      <c r="EJ374" s="1082"/>
      <c r="EK374" s="1082"/>
      <c r="EL374" s="1082"/>
      <c r="EM374" s="1082"/>
      <c r="EN374" s="1082"/>
      <c r="EO374" s="1082"/>
      <c r="EP374" s="1082"/>
      <c r="EQ374" s="1082"/>
      <c r="ER374" s="1082"/>
      <c r="ES374" s="1082"/>
      <c r="ET374" s="1082"/>
      <c r="EU374" s="1082"/>
      <c r="EV374" s="1082"/>
      <c r="EW374" s="1082"/>
      <c r="EX374" s="1082"/>
      <c r="EY374" s="1082"/>
      <c r="EZ374" s="1082"/>
      <c r="FA374" s="1082"/>
      <c r="FB374" s="1082"/>
    </row>
    <row r="375" spans="1:158" s="1099" customFormat="1" ht="32.1" customHeight="1">
      <c r="A375" s="1169"/>
      <c r="B375" s="1597" t="s">
        <v>543</v>
      </c>
      <c r="C375" s="1506">
        <f t="shared" ref="C375:H375" si="85">AVERAGE(C376:C378)</f>
        <v>0.41748427672955973</v>
      </c>
      <c r="D375" s="1506">
        <f t="shared" si="85"/>
        <v>0.4080577869107665</v>
      </c>
      <c r="E375" s="1506">
        <f t="shared" si="85"/>
        <v>0.93396226415094341</v>
      </c>
      <c r="F375" s="1506">
        <f t="shared" si="85"/>
        <v>0.86459306307989292</v>
      </c>
      <c r="G375" s="1506">
        <f t="shared" si="85"/>
        <v>0.59748427672955973</v>
      </c>
      <c r="H375" s="1506">
        <f t="shared" si="85"/>
        <v>0.88050314465408797</v>
      </c>
      <c r="I375" s="1761"/>
      <c r="J375" s="1263"/>
      <c r="K375" s="1263"/>
      <c r="L375" s="1263"/>
      <c r="M375" s="1263"/>
      <c r="N375" s="1263"/>
      <c r="O375" s="1263"/>
      <c r="P375" s="1263"/>
      <c r="Q375" s="1263"/>
      <c r="R375" s="1081"/>
      <c r="S375" s="1082"/>
      <c r="T375" s="1082"/>
      <c r="U375" s="1082"/>
      <c r="V375" s="1082"/>
      <c r="W375" s="1082"/>
      <c r="X375" s="1082"/>
      <c r="Y375" s="1082"/>
      <c r="Z375" s="1082"/>
      <c r="AA375" s="1082"/>
      <c r="AB375" s="1082"/>
      <c r="AC375" s="1082"/>
      <c r="AD375" s="1082"/>
      <c r="AE375" s="1082"/>
      <c r="AF375" s="1082"/>
      <c r="AG375" s="1082"/>
      <c r="AH375" s="1082"/>
      <c r="AI375" s="1082"/>
      <c r="AJ375" s="1082"/>
      <c r="AK375" s="1082"/>
      <c r="AL375" s="1082"/>
      <c r="AM375" s="1082"/>
      <c r="AN375" s="1082"/>
      <c r="AO375" s="1082"/>
      <c r="AP375" s="1082"/>
      <c r="AQ375" s="1082"/>
      <c r="AR375" s="1082"/>
      <c r="AS375" s="1082"/>
      <c r="AT375" s="1082"/>
      <c r="AU375" s="1082"/>
      <c r="AV375" s="1082"/>
      <c r="AW375" s="1082"/>
      <c r="AX375" s="1082"/>
      <c r="AY375" s="1082"/>
      <c r="AZ375" s="1082"/>
      <c r="BA375" s="1082"/>
      <c r="BB375" s="1082"/>
      <c r="BC375" s="1082"/>
      <c r="BD375" s="1082"/>
      <c r="BE375" s="1082"/>
      <c r="BF375" s="1082"/>
      <c r="BG375" s="1082"/>
      <c r="BH375" s="1082"/>
      <c r="BI375" s="1082"/>
      <c r="BJ375" s="1082"/>
      <c r="BK375" s="1082"/>
      <c r="BL375" s="1082"/>
      <c r="BM375" s="1082"/>
      <c r="BN375" s="1082"/>
      <c r="BO375" s="1082"/>
      <c r="BP375" s="1082"/>
      <c r="BQ375" s="1082"/>
      <c r="BR375" s="1082"/>
      <c r="BS375" s="1082"/>
      <c r="BT375" s="1082"/>
      <c r="BU375" s="1082"/>
      <c r="BV375" s="1082"/>
      <c r="BW375" s="1082"/>
      <c r="BX375" s="1082"/>
      <c r="BY375" s="1082"/>
      <c r="BZ375" s="1082"/>
      <c r="CA375" s="1082"/>
      <c r="CB375" s="1082"/>
      <c r="CC375" s="1082"/>
      <c r="CD375" s="1082"/>
      <c r="CE375" s="1082"/>
      <c r="CF375" s="1082"/>
      <c r="CG375" s="1082"/>
      <c r="CH375" s="1082"/>
      <c r="CI375" s="1082"/>
      <c r="CJ375" s="1082"/>
      <c r="CK375" s="1082"/>
      <c r="CL375" s="1082"/>
      <c r="CM375" s="1082"/>
      <c r="CN375" s="1082"/>
      <c r="CO375" s="1082"/>
      <c r="CP375" s="1082"/>
      <c r="CQ375" s="1082"/>
      <c r="CR375" s="1082"/>
      <c r="CS375" s="1082"/>
      <c r="CT375" s="1082"/>
      <c r="CU375" s="1082"/>
      <c r="CV375" s="1082"/>
      <c r="CW375" s="1082"/>
      <c r="CX375" s="1082"/>
      <c r="CY375" s="1082"/>
      <c r="CZ375" s="1082"/>
      <c r="DA375" s="1082"/>
      <c r="DB375" s="1082"/>
      <c r="DC375" s="1082"/>
      <c r="DD375" s="1082"/>
      <c r="DE375" s="1082"/>
      <c r="DF375" s="1082"/>
      <c r="DG375" s="1082"/>
      <c r="DH375" s="1082"/>
      <c r="DI375" s="1082"/>
      <c r="DJ375" s="1082"/>
      <c r="DK375" s="1082"/>
      <c r="DL375" s="1082"/>
      <c r="DM375" s="1082"/>
      <c r="DN375" s="1082"/>
      <c r="DO375" s="1082"/>
      <c r="DP375" s="1082"/>
      <c r="DQ375" s="1082"/>
      <c r="DR375" s="1082"/>
      <c r="DS375" s="1082"/>
      <c r="DT375" s="1082"/>
      <c r="DU375" s="1082"/>
      <c r="DV375" s="1082"/>
      <c r="DW375" s="1082"/>
      <c r="DX375" s="1082"/>
      <c r="DY375" s="1082"/>
      <c r="DZ375" s="1082"/>
      <c r="EA375" s="1082"/>
      <c r="EB375" s="1082"/>
      <c r="EC375" s="1082"/>
      <c r="ED375" s="1082"/>
      <c r="EE375" s="1082"/>
      <c r="EF375" s="1082"/>
      <c r="EG375" s="1082"/>
      <c r="EH375" s="1082"/>
      <c r="EI375" s="1082"/>
      <c r="EJ375" s="1082"/>
      <c r="EK375" s="1082"/>
      <c r="EL375" s="1082"/>
      <c r="EM375" s="1082"/>
      <c r="EN375" s="1082"/>
      <c r="EO375" s="1082"/>
      <c r="EP375" s="1082"/>
      <c r="EQ375" s="1082"/>
      <c r="ER375" s="1082"/>
      <c r="ES375" s="1082"/>
      <c r="ET375" s="1082"/>
      <c r="EU375" s="1082"/>
      <c r="EV375" s="1082"/>
      <c r="EW375" s="1082"/>
      <c r="EX375" s="1082"/>
      <c r="EY375" s="1082"/>
      <c r="EZ375" s="1082"/>
      <c r="FA375" s="1082"/>
      <c r="FB375" s="1082"/>
    </row>
    <row r="376" spans="1:158" s="1099" customFormat="1" ht="32.1" customHeight="1">
      <c r="A376" s="1169"/>
      <c r="B376" s="1264" t="s">
        <v>530</v>
      </c>
      <c r="C376" s="1424">
        <f t="shared" ref="C376:H376" si="86">IF(J376&lt;$P376,1,IF(J376&gt;$Q376,0,(J376-$Q376)/($P376-$Q376)))</f>
        <v>0.29245283018867924</v>
      </c>
      <c r="D376" s="1424">
        <f t="shared" si="86"/>
        <v>0.47169811320754718</v>
      </c>
      <c r="E376" s="1424">
        <f t="shared" si="86"/>
        <v>0.80188679245283023</v>
      </c>
      <c r="F376" s="1424">
        <f t="shared" si="86"/>
        <v>0.90566037735849059</v>
      </c>
      <c r="G376" s="1424">
        <f t="shared" si="86"/>
        <v>0.79245283018867929</v>
      </c>
      <c r="H376" s="1424">
        <f t="shared" si="86"/>
        <v>0.64150943396226412</v>
      </c>
      <c r="I376" s="1761" t="s">
        <v>5295</v>
      </c>
      <c r="J376" s="1265">
        <v>81</v>
      </c>
      <c r="K376" s="1265">
        <v>62</v>
      </c>
      <c r="L376" s="1265">
        <v>27</v>
      </c>
      <c r="M376" s="1265">
        <v>16</v>
      </c>
      <c r="N376" s="1265">
        <v>28</v>
      </c>
      <c r="O376" s="1265">
        <v>44</v>
      </c>
      <c r="P376" s="1265">
        <v>6</v>
      </c>
      <c r="Q376" s="1266">
        <v>112</v>
      </c>
      <c r="R376" s="1081"/>
      <c r="S376" s="1082"/>
      <c r="T376" s="1082"/>
      <c r="U376" s="1082"/>
      <c r="V376" s="1082"/>
      <c r="W376" s="1082"/>
      <c r="X376" s="1082"/>
      <c r="Y376" s="1082"/>
      <c r="Z376" s="1082"/>
      <c r="AA376" s="1082"/>
      <c r="AB376" s="1082"/>
      <c r="AC376" s="1082"/>
      <c r="AD376" s="1082"/>
      <c r="AE376" s="1082"/>
      <c r="AF376" s="1082"/>
      <c r="AG376" s="1082"/>
      <c r="AH376" s="1082"/>
      <c r="AI376" s="1082"/>
      <c r="AJ376" s="1082"/>
      <c r="AK376" s="1082"/>
      <c r="AL376" s="1082"/>
      <c r="AM376" s="1082"/>
      <c r="AN376" s="1082"/>
      <c r="AO376" s="1082"/>
      <c r="AP376" s="1082"/>
      <c r="AQ376" s="1082"/>
      <c r="AR376" s="1082"/>
      <c r="AS376" s="1082"/>
      <c r="AT376" s="1082"/>
      <c r="AU376" s="1082"/>
      <c r="AV376" s="1082"/>
      <c r="AW376" s="1082"/>
      <c r="AX376" s="1082"/>
      <c r="AY376" s="1082"/>
      <c r="AZ376" s="1082"/>
      <c r="BA376" s="1082"/>
      <c r="BB376" s="1082"/>
      <c r="BC376" s="1082"/>
      <c r="BD376" s="1082"/>
      <c r="BE376" s="1082"/>
      <c r="BF376" s="1082"/>
      <c r="BG376" s="1082"/>
      <c r="BH376" s="1082"/>
      <c r="BI376" s="1082"/>
      <c r="BJ376" s="1082"/>
      <c r="BK376" s="1082"/>
      <c r="BL376" s="1082"/>
      <c r="BM376" s="1082"/>
      <c r="BN376" s="1082"/>
      <c r="BO376" s="1082"/>
      <c r="BP376" s="1082"/>
      <c r="BQ376" s="1082"/>
      <c r="BR376" s="1082"/>
      <c r="BS376" s="1082"/>
      <c r="BT376" s="1082"/>
      <c r="BU376" s="1082"/>
      <c r="BV376" s="1082"/>
      <c r="BW376" s="1082"/>
      <c r="BX376" s="1082"/>
      <c r="BY376" s="1082"/>
      <c r="BZ376" s="1082"/>
      <c r="CA376" s="1082"/>
      <c r="CB376" s="1082"/>
      <c r="CC376" s="1082"/>
      <c r="CD376" s="1082"/>
      <c r="CE376" s="1082"/>
      <c r="CF376" s="1082"/>
      <c r="CG376" s="1082"/>
      <c r="CH376" s="1082"/>
      <c r="CI376" s="1082"/>
      <c r="CJ376" s="1082"/>
      <c r="CK376" s="1082"/>
      <c r="CL376" s="1082"/>
      <c r="CM376" s="1082"/>
      <c r="CN376" s="1082"/>
      <c r="CO376" s="1082"/>
      <c r="CP376" s="1082"/>
      <c r="CQ376" s="1082"/>
      <c r="CR376" s="1082"/>
      <c r="CS376" s="1082"/>
      <c r="CT376" s="1082"/>
      <c r="CU376" s="1082"/>
      <c r="CV376" s="1082"/>
      <c r="CW376" s="1082"/>
      <c r="CX376" s="1082"/>
      <c r="CY376" s="1082"/>
      <c r="CZ376" s="1082"/>
      <c r="DA376" s="1082"/>
      <c r="DB376" s="1082"/>
      <c r="DC376" s="1082"/>
      <c r="DD376" s="1082"/>
      <c r="DE376" s="1082"/>
      <c r="DF376" s="1082"/>
      <c r="DG376" s="1082"/>
      <c r="DH376" s="1082"/>
      <c r="DI376" s="1082"/>
      <c r="DJ376" s="1082"/>
      <c r="DK376" s="1082"/>
      <c r="DL376" s="1082"/>
      <c r="DM376" s="1082"/>
      <c r="DN376" s="1082"/>
      <c r="DO376" s="1082"/>
      <c r="DP376" s="1082"/>
      <c r="DQ376" s="1082"/>
      <c r="DR376" s="1082"/>
      <c r="DS376" s="1082"/>
      <c r="DT376" s="1082"/>
      <c r="DU376" s="1082"/>
      <c r="DV376" s="1082"/>
      <c r="DW376" s="1082"/>
      <c r="DX376" s="1082"/>
      <c r="DY376" s="1082"/>
      <c r="DZ376" s="1082"/>
      <c r="EA376" s="1082"/>
      <c r="EB376" s="1082"/>
      <c r="EC376" s="1082"/>
      <c r="ED376" s="1082"/>
      <c r="EE376" s="1082"/>
      <c r="EF376" s="1082"/>
      <c r="EG376" s="1082"/>
      <c r="EH376" s="1082"/>
      <c r="EI376" s="1082"/>
      <c r="EJ376" s="1082"/>
      <c r="EK376" s="1082"/>
      <c r="EL376" s="1082"/>
      <c r="EM376" s="1082"/>
      <c r="EN376" s="1082"/>
      <c r="EO376" s="1082"/>
      <c r="EP376" s="1082"/>
      <c r="EQ376" s="1082"/>
      <c r="ER376" s="1082"/>
      <c r="ES376" s="1082"/>
      <c r="ET376" s="1082"/>
      <c r="EU376" s="1082"/>
      <c r="EV376" s="1082"/>
      <c r="EW376" s="1082"/>
      <c r="EX376" s="1082"/>
      <c r="EY376" s="1082"/>
      <c r="EZ376" s="1082"/>
      <c r="FA376" s="1082"/>
      <c r="FB376" s="1082"/>
    </row>
    <row r="377" spans="1:158" s="1099" customFormat="1" ht="32.1" customHeight="1">
      <c r="A377" s="1169"/>
      <c r="B377" s="1264" t="s">
        <v>531</v>
      </c>
      <c r="C377" s="1424">
        <f t="shared" ref="C377:H378" si="87">IF(J377&lt;$P377,1,IF(J377&gt;$Q377,0,(J377-$Q377)/($P377-$Q377)))</f>
        <v>0.96</v>
      </c>
      <c r="D377" s="1424">
        <f t="shared" si="87"/>
        <v>0</v>
      </c>
      <c r="E377" s="1424">
        <f t="shared" si="87"/>
        <v>1</v>
      </c>
      <c r="F377" s="1424">
        <f t="shared" si="87"/>
        <v>1</v>
      </c>
      <c r="G377" s="1424">
        <f t="shared" si="87"/>
        <v>0</v>
      </c>
      <c r="H377" s="1424">
        <f t="shared" si="87"/>
        <v>1</v>
      </c>
      <c r="I377" s="1761" t="s">
        <v>5295</v>
      </c>
      <c r="J377" s="1265">
        <v>378</v>
      </c>
      <c r="K377" s="1265">
        <v>585</v>
      </c>
      <c r="L377" s="1265">
        <v>275</v>
      </c>
      <c r="M377" s="1265">
        <v>285</v>
      </c>
      <c r="N377" s="1265">
        <v>570</v>
      </c>
      <c r="O377" s="1265">
        <v>277</v>
      </c>
      <c r="P377" s="1265">
        <v>370</v>
      </c>
      <c r="Q377" s="1266">
        <v>570</v>
      </c>
      <c r="R377" s="1081"/>
      <c r="S377" s="1082"/>
      <c r="T377" s="1082"/>
      <c r="U377" s="1082"/>
      <c r="V377" s="1082"/>
      <c r="W377" s="1082"/>
      <c r="X377" s="1082"/>
      <c r="Y377" s="1082"/>
      <c r="Z377" s="1082"/>
      <c r="AA377" s="1082"/>
      <c r="AB377" s="1082"/>
      <c r="AC377" s="1082"/>
      <c r="AD377" s="1082"/>
      <c r="AE377" s="1082"/>
      <c r="AF377" s="1082"/>
      <c r="AG377" s="1082"/>
      <c r="AH377" s="1082"/>
      <c r="AI377" s="1082"/>
      <c r="AJ377" s="1082"/>
      <c r="AK377" s="1082"/>
      <c r="AL377" s="1082"/>
      <c r="AM377" s="1082"/>
      <c r="AN377" s="1082"/>
      <c r="AO377" s="1082"/>
      <c r="AP377" s="1082"/>
      <c r="AQ377" s="1082"/>
      <c r="AR377" s="1082"/>
      <c r="AS377" s="1082"/>
      <c r="AT377" s="1082"/>
      <c r="AU377" s="1082"/>
      <c r="AV377" s="1082"/>
      <c r="AW377" s="1082"/>
      <c r="AX377" s="1082"/>
      <c r="AY377" s="1082"/>
      <c r="AZ377" s="1082"/>
      <c r="BA377" s="1082"/>
      <c r="BB377" s="1082"/>
      <c r="BC377" s="1082"/>
      <c r="BD377" s="1082"/>
      <c r="BE377" s="1082"/>
      <c r="BF377" s="1082"/>
      <c r="BG377" s="1082"/>
      <c r="BH377" s="1082"/>
      <c r="BI377" s="1082"/>
      <c r="BJ377" s="1082"/>
      <c r="BK377" s="1082"/>
      <c r="BL377" s="1082"/>
      <c r="BM377" s="1082"/>
      <c r="BN377" s="1082"/>
      <c r="BO377" s="1082"/>
      <c r="BP377" s="1082"/>
      <c r="BQ377" s="1082"/>
      <c r="BR377" s="1082"/>
      <c r="BS377" s="1082"/>
      <c r="BT377" s="1082"/>
      <c r="BU377" s="1082"/>
      <c r="BV377" s="1082"/>
      <c r="BW377" s="1082"/>
      <c r="BX377" s="1082"/>
      <c r="BY377" s="1082"/>
      <c r="BZ377" s="1082"/>
      <c r="CA377" s="1082"/>
      <c r="CB377" s="1082"/>
      <c r="CC377" s="1082"/>
      <c r="CD377" s="1082"/>
      <c r="CE377" s="1082"/>
      <c r="CF377" s="1082"/>
      <c r="CG377" s="1082"/>
      <c r="CH377" s="1082"/>
      <c r="CI377" s="1082"/>
      <c r="CJ377" s="1082"/>
      <c r="CK377" s="1082"/>
      <c r="CL377" s="1082"/>
      <c r="CM377" s="1082"/>
      <c r="CN377" s="1082"/>
      <c r="CO377" s="1082"/>
      <c r="CP377" s="1082"/>
      <c r="CQ377" s="1082"/>
      <c r="CR377" s="1082"/>
      <c r="CS377" s="1082"/>
      <c r="CT377" s="1082"/>
      <c r="CU377" s="1082"/>
      <c r="CV377" s="1082"/>
      <c r="CW377" s="1082"/>
      <c r="CX377" s="1082"/>
      <c r="CY377" s="1082"/>
      <c r="CZ377" s="1082"/>
      <c r="DA377" s="1082"/>
      <c r="DB377" s="1082"/>
      <c r="DC377" s="1082"/>
      <c r="DD377" s="1082"/>
      <c r="DE377" s="1082"/>
      <c r="DF377" s="1082"/>
      <c r="DG377" s="1082"/>
      <c r="DH377" s="1082"/>
      <c r="DI377" s="1082"/>
      <c r="DJ377" s="1082"/>
      <c r="DK377" s="1082"/>
      <c r="DL377" s="1082"/>
      <c r="DM377" s="1082"/>
      <c r="DN377" s="1082"/>
      <c r="DO377" s="1082"/>
      <c r="DP377" s="1082"/>
      <c r="DQ377" s="1082"/>
      <c r="DR377" s="1082"/>
      <c r="DS377" s="1082"/>
      <c r="DT377" s="1082"/>
      <c r="DU377" s="1082"/>
      <c r="DV377" s="1082"/>
      <c r="DW377" s="1082"/>
      <c r="DX377" s="1082"/>
      <c r="DY377" s="1082"/>
      <c r="DZ377" s="1082"/>
      <c r="EA377" s="1082"/>
      <c r="EB377" s="1082"/>
      <c r="EC377" s="1082"/>
      <c r="ED377" s="1082"/>
      <c r="EE377" s="1082"/>
      <c r="EF377" s="1082"/>
      <c r="EG377" s="1082"/>
      <c r="EH377" s="1082"/>
      <c r="EI377" s="1082"/>
      <c r="EJ377" s="1082"/>
      <c r="EK377" s="1082"/>
      <c r="EL377" s="1082"/>
      <c r="EM377" s="1082"/>
      <c r="EN377" s="1082"/>
      <c r="EO377" s="1082"/>
      <c r="EP377" s="1082"/>
      <c r="EQ377" s="1082"/>
      <c r="ER377" s="1082"/>
      <c r="ES377" s="1082"/>
      <c r="ET377" s="1082"/>
      <c r="EU377" s="1082"/>
      <c r="EV377" s="1082"/>
      <c r="EW377" s="1082"/>
      <c r="EX377" s="1082"/>
      <c r="EY377" s="1082"/>
      <c r="EZ377" s="1082"/>
      <c r="FA377" s="1082"/>
      <c r="FB377" s="1082"/>
    </row>
    <row r="378" spans="1:158" s="1099" customFormat="1" ht="32.1" customHeight="1">
      <c r="A378" s="1169"/>
      <c r="B378" s="1264" t="s">
        <v>544</v>
      </c>
      <c r="C378" s="1424">
        <f t="shared" si="87"/>
        <v>0</v>
      </c>
      <c r="D378" s="1424">
        <f t="shared" si="87"/>
        <v>0.75247524752475248</v>
      </c>
      <c r="E378" s="1424">
        <f t="shared" si="87"/>
        <v>1</v>
      </c>
      <c r="F378" s="1424">
        <f t="shared" si="87"/>
        <v>0.68811881188118817</v>
      </c>
      <c r="G378" s="1424">
        <f t="shared" si="87"/>
        <v>1</v>
      </c>
      <c r="H378" s="1424">
        <f t="shared" si="87"/>
        <v>1</v>
      </c>
      <c r="I378" s="1761" t="s">
        <v>5295</v>
      </c>
      <c r="J378" s="1265">
        <v>46.3</v>
      </c>
      <c r="K378" s="1265">
        <v>28.6</v>
      </c>
      <c r="L378" s="1265">
        <v>23.4</v>
      </c>
      <c r="M378" s="1265">
        <v>29.9</v>
      </c>
      <c r="N378" s="1265">
        <v>16</v>
      </c>
      <c r="O378" s="1265">
        <v>18.5</v>
      </c>
      <c r="P378" s="1265">
        <v>23.6</v>
      </c>
      <c r="Q378" s="1267">
        <v>43.8</v>
      </c>
      <c r="R378" s="1081"/>
      <c r="S378" s="1082"/>
      <c r="T378" s="1082"/>
      <c r="U378" s="1082"/>
      <c r="V378" s="1082"/>
      <c r="W378" s="1082"/>
      <c r="X378" s="1082"/>
      <c r="Y378" s="1082"/>
      <c r="Z378" s="1082"/>
      <c r="AA378" s="1082"/>
      <c r="AB378" s="1082"/>
      <c r="AC378" s="1082"/>
      <c r="AD378" s="1082"/>
      <c r="AE378" s="1082"/>
      <c r="AF378" s="1082"/>
      <c r="AG378" s="1082"/>
      <c r="AH378" s="1082"/>
      <c r="AI378" s="1082"/>
      <c r="AJ378" s="1082"/>
      <c r="AK378" s="1082"/>
      <c r="AL378" s="1082"/>
      <c r="AM378" s="1082"/>
      <c r="AN378" s="1082"/>
      <c r="AO378" s="1082"/>
      <c r="AP378" s="1082"/>
      <c r="AQ378" s="1082"/>
      <c r="AR378" s="1082"/>
      <c r="AS378" s="1082"/>
      <c r="AT378" s="1082"/>
      <c r="AU378" s="1082"/>
      <c r="AV378" s="1082"/>
      <c r="AW378" s="1082"/>
      <c r="AX378" s="1082"/>
      <c r="AY378" s="1082"/>
      <c r="AZ378" s="1082"/>
      <c r="BA378" s="1082"/>
      <c r="BB378" s="1082"/>
      <c r="BC378" s="1082"/>
      <c r="BD378" s="1082"/>
      <c r="BE378" s="1082"/>
      <c r="BF378" s="1082"/>
      <c r="BG378" s="1082"/>
      <c r="BH378" s="1082"/>
      <c r="BI378" s="1082"/>
      <c r="BJ378" s="1082"/>
      <c r="BK378" s="1082"/>
      <c r="BL378" s="1082"/>
      <c r="BM378" s="1082"/>
      <c r="BN378" s="1082"/>
      <c r="BO378" s="1082"/>
      <c r="BP378" s="1082"/>
      <c r="BQ378" s="1082"/>
      <c r="BR378" s="1082"/>
      <c r="BS378" s="1082"/>
      <c r="BT378" s="1082"/>
      <c r="BU378" s="1082"/>
      <c r="BV378" s="1082"/>
      <c r="BW378" s="1082"/>
      <c r="BX378" s="1082"/>
      <c r="BY378" s="1082"/>
      <c r="BZ378" s="1082"/>
      <c r="CA378" s="1082"/>
      <c r="CB378" s="1082"/>
      <c r="CC378" s="1082"/>
      <c r="CD378" s="1082"/>
      <c r="CE378" s="1082"/>
      <c r="CF378" s="1082"/>
      <c r="CG378" s="1082"/>
      <c r="CH378" s="1082"/>
      <c r="CI378" s="1082"/>
      <c r="CJ378" s="1082"/>
      <c r="CK378" s="1082"/>
      <c r="CL378" s="1082"/>
      <c r="CM378" s="1082"/>
      <c r="CN378" s="1082"/>
      <c r="CO378" s="1082"/>
      <c r="CP378" s="1082"/>
      <c r="CQ378" s="1082"/>
      <c r="CR378" s="1082"/>
      <c r="CS378" s="1082"/>
      <c r="CT378" s="1082"/>
      <c r="CU378" s="1082"/>
      <c r="CV378" s="1082"/>
      <c r="CW378" s="1082"/>
      <c r="CX378" s="1082"/>
      <c r="CY378" s="1082"/>
      <c r="CZ378" s="1082"/>
      <c r="DA378" s="1082"/>
      <c r="DB378" s="1082"/>
      <c r="DC378" s="1082"/>
      <c r="DD378" s="1082"/>
      <c r="DE378" s="1082"/>
      <c r="DF378" s="1082"/>
      <c r="DG378" s="1082"/>
      <c r="DH378" s="1082"/>
      <c r="DI378" s="1082"/>
      <c r="DJ378" s="1082"/>
      <c r="DK378" s="1082"/>
      <c r="DL378" s="1082"/>
      <c r="DM378" s="1082"/>
      <c r="DN378" s="1082"/>
      <c r="DO378" s="1082"/>
      <c r="DP378" s="1082"/>
      <c r="DQ378" s="1082"/>
      <c r="DR378" s="1082"/>
      <c r="DS378" s="1082"/>
      <c r="DT378" s="1082"/>
      <c r="DU378" s="1082"/>
      <c r="DV378" s="1082"/>
      <c r="DW378" s="1082"/>
      <c r="DX378" s="1082"/>
      <c r="DY378" s="1082"/>
      <c r="DZ378" s="1082"/>
      <c r="EA378" s="1082"/>
      <c r="EB378" s="1082"/>
      <c r="EC378" s="1082"/>
      <c r="ED378" s="1082"/>
      <c r="EE378" s="1082"/>
      <c r="EF378" s="1082"/>
      <c r="EG378" s="1082"/>
      <c r="EH378" s="1082"/>
      <c r="EI378" s="1082"/>
      <c r="EJ378" s="1082"/>
      <c r="EK378" s="1082"/>
      <c r="EL378" s="1082"/>
      <c r="EM378" s="1082"/>
      <c r="EN378" s="1082"/>
      <c r="EO378" s="1082"/>
      <c r="EP378" s="1082"/>
      <c r="EQ378" s="1082"/>
      <c r="ER378" s="1082"/>
      <c r="ES378" s="1082"/>
      <c r="ET378" s="1082"/>
      <c r="EU378" s="1082"/>
      <c r="EV378" s="1082"/>
      <c r="EW378" s="1082"/>
      <c r="EX378" s="1082"/>
      <c r="EY378" s="1082"/>
      <c r="EZ378" s="1082"/>
      <c r="FA378" s="1082"/>
      <c r="FB378" s="1082"/>
    </row>
    <row r="379" spans="1:158" s="1099" customFormat="1" ht="32.1" customHeight="1">
      <c r="A379" s="1169"/>
      <c r="B379" s="1269" t="s">
        <v>554</v>
      </c>
      <c r="C379" s="1424">
        <f t="shared" ref="C379:H380" si="88">IF(J379&gt;$P379,1,IF(J379&lt;$Q379,0,(J379-$Q379)/($P379-$Q379)))</f>
        <v>0.40421013151072732</v>
      </c>
      <c r="D379" s="1424">
        <f t="shared" si="88"/>
        <v>0.55875301982327841</v>
      </c>
      <c r="E379" s="1424">
        <f t="shared" si="88"/>
        <v>0.58329284839659801</v>
      </c>
      <c r="F379" s="1424">
        <f t="shared" si="88"/>
        <v>0.66288756938844107</v>
      </c>
      <c r="G379" s="1424">
        <f t="shared" si="88"/>
        <v>0.6694872004779463</v>
      </c>
      <c r="H379" s="1424">
        <f t="shared" si="88"/>
        <v>0.57480946301286184</v>
      </c>
      <c r="I379" s="1761" t="s">
        <v>5295</v>
      </c>
      <c r="J379" s="1270">
        <v>41.413074235378062</v>
      </c>
      <c r="K379" s="1270">
        <v>49.6</v>
      </c>
      <c r="L379" s="1270">
        <v>50.9</v>
      </c>
      <c r="M379" s="1270">
        <v>55.116538717059122</v>
      </c>
      <c r="N379" s="1270">
        <v>55.466154868236501</v>
      </c>
      <c r="O379" s="1270">
        <v>50.450591766934863</v>
      </c>
      <c r="P379" s="1270">
        <v>72.975105189340809</v>
      </c>
      <c r="Q379" s="1270">
        <v>20</v>
      </c>
      <c r="R379" s="1081"/>
      <c r="S379" s="1082"/>
      <c r="T379" s="1082"/>
      <c r="U379" s="1082"/>
      <c r="V379" s="1082"/>
      <c r="W379" s="1082"/>
      <c r="X379" s="1082"/>
      <c r="Y379" s="1082"/>
      <c r="Z379" s="1082"/>
      <c r="AA379" s="1082"/>
      <c r="AB379" s="1082"/>
      <c r="AC379" s="1082"/>
      <c r="AD379" s="1082"/>
      <c r="AE379" s="1082"/>
      <c r="AF379" s="1082"/>
      <c r="AG379" s="1082"/>
      <c r="AH379" s="1082"/>
      <c r="AI379" s="1082"/>
      <c r="AJ379" s="1082"/>
      <c r="AK379" s="1082"/>
      <c r="AL379" s="1082"/>
      <c r="AM379" s="1082"/>
      <c r="AN379" s="1082"/>
      <c r="AO379" s="1082"/>
      <c r="AP379" s="1082"/>
      <c r="AQ379" s="1082"/>
      <c r="AR379" s="1082"/>
      <c r="AS379" s="1082"/>
      <c r="AT379" s="1082"/>
      <c r="AU379" s="1082"/>
      <c r="AV379" s="1082"/>
      <c r="AW379" s="1082"/>
      <c r="AX379" s="1082"/>
      <c r="AY379" s="1082"/>
      <c r="AZ379" s="1082"/>
      <c r="BA379" s="1082"/>
      <c r="BB379" s="1082"/>
      <c r="BC379" s="1082"/>
      <c r="BD379" s="1082"/>
      <c r="BE379" s="1082"/>
      <c r="BF379" s="1082"/>
      <c r="BG379" s="1082"/>
      <c r="BH379" s="1082"/>
      <c r="BI379" s="1082"/>
      <c r="BJ379" s="1082"/>
      <c r="BK379" s="1082"/>
      <c r="BL379" s="1082"/>
      <c r="BM379" s="1082"/>
      <c r="BN379" s="1082"/>
      <c r="BO379" s="1082"/>
      <c r="BP379" s="1082"/>
      <c r="BQ379" s="1082"/>
      <c r="BR379" s="1082"/>
      <c r="BS379" s="1082"/>
      <c r="BT379" s="1082"/>
      <c r="BU379" s="1082"/>
      <c r="BV379" s="1082"/>
      <c r="BW379" s="1082"/>
      <c r="BX379" s="1082"/>
      <c r="BY379" s="1082"/>
      <c r="BZ379" s="1082"/>
      <c r="CA379" s="1082"/>
      <c r="CB379" s="1082"/>
      <c r="CC379" s="1082"/>
      <c r="CD379" s="1082"/>
      <c r="CE379" s="1082"/>
      <c r="CF379" s="1082"/>
      <c r="CG379" s="1082"/>
      <c r="CH379" s="1082"/>
      <c r="CI379" s="1082"/>
      <c r="CJ379" s="1082"/>
      <c r="CK379" s="1082"/>
      <c r="CL379" s="1082"/>
      <c r="CM379" s="1082"/>
      <c r="CN379" s="1082"/>
      <c r="CO379" s="1082"/>
      <c r="CP379" s="1082"/>
      <c r="CQ379" s="1082"/>
      <c r="CR379" s="1082"/>
      <c r="CS379" s="1082"/>
      <c r="CT379" s="1082"/>
      <c r="CU379" s="1082"/>
      <c r="CV379" s="1082"/>
      <c r="CW379" s="1082"/>
      <c r="CX379" s="1082"/>
      <c r="CY379" s="1082"/>
      <c r="CZ379" s="1082"/>
      <c r="DA379" s="1082"/>
      <c r="DB379" s="1082"/>
      <c r="DC379" s="1082"/>
      <c r="DD379" s="1082"/>
      <c r="DE379" s="1082"/>
      <c r="DF379" s="1082"/>
      <c r="DG379" s="1082"/>
      <c r="DH379" s="1082"/>
      <c r="DI379" s="1082"/>
      <c r="DJ379" s="1082"/>
      <c r="DK379" s="1082"/>
      <c r="DL379" s="1082"/>
      <c r="DM379" s="1082"/>
      <c r="DN379" s="1082"/>
      <c r="DO379" s="1082"/>
      <c r="DP379" s="1082"/>
      <c r="DQ379" s="1082"/>
      <c r="DR379" s="1082"/>
      <c r="DS379" s="1082"/>
      <c r="DT379" s="1082"/>
      <c r="DU379" s="1082"/>
      <c r="DV379" s="1082"/>
      <c r="DW379" s="1082"/>
      <c r="DX379" s="1082"/>
      <c r="DY379" s="1082"/>
      <c r="DZ379" s="1082"/>
      <c r="EA379" s="1082"/>
      <c r="EB379" s="1082"/>
      <c r="EC379" s="1082"/>
      <c r="ED379" s="1082"/>
      <c r="EE379" s="1082"/>
      <c r="EF379" s="1082"/>
      <c r="EG379" s="1082"/>
      <c r="EH379" s="1082"/>
      <c r="EI379" s="1082"/>
      <c r="EJ379" s="1082"/>
      <c r="EK379" s="1082"/>
      <c r="EL379" s="1082"/>
      <c r="EM379" s="1082"/>
      <c r="EN379" s="1082"/>
      <c r="EO379" s="1082"/>
      <c r="EP379" s="1082"/>
      <c r="EQ379" s="1082"/>
      <c r="ER379" s="1082"/>
      <c r="ES379" s="1082"/>
      <c r="ET379" s="1082"/>
      <c r="EU379" s="1082"/>
      <c r="EV379" s="1082"/>
      <c r="EW379" s="1082"/>
      <c r="EX379" s="1082"/>
      <c r="EY379" s="1082"/>
      <c r="EZ379" s="1082"/>
      <c r="FA379" s="1082"/>
      <c r="FB379" s="1082"/>
    </row>
    <row r="380" spans="1:158" s="1099" customFormat="1" ht="32.1" customHeight="1">
      <c r="A380" s="1169"/>
      <c r="B380" s="1382" t="s">
        <v>5351</v>
      </c>
      <c r="C380" s="1424">
        <f t="shared" si="88"/>
        <v>9.4804379213362128E-2</v>
      </c>
      <c r="D380" s="1424">
        <f t="shared" si="88"/>
        <v>8.1447712521621266E-2</v>
      </c>
      <c r="E380" s="1424">
        <f t="shared" si="88"/>
        <v>0.28187919463087252</v>
      </c>
      <c r="F380" s="1424">
        <f t="shared" si="88"/>
        <v>0.89440334386224318</v>
      </c>
      <c r="G380" s="1424">
        <f t="shared" si="88"/>
        <v>0.41163310961968674</v>
      </c>
      <c r="H380" s="1424">
        <f t="shared" si="88"/>
        <v>0.28187919463087252</v>
      </c>
      <c r="I380" s="1761" t="s">
        <v>5295</v>
      </c>
      <c r="J380" s="1270">
        <v>29.237755750837287</v>
      </c>
      <c r="K380" s="1270">
        <v>28.640712749716471</v>
      </c>
      <c r="L380" s="1270">
        <v>37.6</v>
      </c>
      <c r="M380" s="1270">
        <v>64.979829470642272</v>
      </c>
      <c r="N380" s="1270">
        <v>43.4</v>
      </c>
      <c r="O380" s="1270">
        <v>37.6</v>
      </c>
      <c r="P380" s="1270">
        <v>69.7</v>
      </c>
      <c r="Q380" s="1270">
        <v>25</v>
      </c>
      <c r="R380" s="1081"/>
      <c r="S380" s="1082"/>
      <c r="T380" s="1082"/>
      <c r="U380" s="1082"/>
      <c r="V380" s="1082"/>
      <c r="W380" s="1082"/>
      <c r="X380" s="1082"/>
      <c r="Y380" s="1082"/>
      <c r="Z380" s="1082"/>
      <c r="AA380" s="1082"/>
      <c r="AB380" s="1082"/>
      <c r="AC380" s="1082"/>
      <c r="AD380" s="1082"/>
      <c r="AE380" s="1082"/>
      <c r="AF380" s="1082"/>
      <c r="AG380" s="1082"/>
      <c r="AH380" s="1082"/>
      <c r="AI380" s="1082"/>
      <c r="AJ380" s="1082"/>
      <c r="AK380" s="1082"/>
      <c r="AL380" s="1082"/>
      <c r="AM380" s="1082"/>
      <c r="AN380" s="1082"/>
      <c r="AO380" s="1082"/>
      <c r="AP380" s="1082"/>
      <c r="AQ380" s="1082"/>
      <c r="AR380" s="1082"/>
      <c r="AS380" s="1082"/>
      <c r="AT380" s="1082"/>
      <c r="AU380" s="1082"/>
      <c r="AV380" s="1082"/>
      <c r="AW380" s="1082"/>
      <c r="AX380" s="1082"/>
      <c r="AY380" s="1082"/>
      <c r="AZ380" s="1082"/>
      <c r="BA380" s="1082"/>
      <c r="BB380" s="1082"/>
      <c r="BC380" s="1082"/>
      <c r="BD380" s="1082"/>
      <c r="BE380" s="1082"/>
      <c r="BF380" s="1082"/>
      <c r="BG380" s="1082"/>
      <c r="BH380" s="1082"/>
      <c r="BI380" s="1082"/>
      <c r="BJ380" s="1082"/>
      <c r="BK380" s="1082"/>
      <c r="BL380" s="1082"/>
      <c r="BM380" s="1082"/>
      <c r="BN380" s="1082"/>
      <c r="BO380" s="1082"/>
      <c r="BP380" s="1082"/>
      <c r="BQ380" s="1082"/>
      <c r="BR380" s="1082"/>
      <c r="BS380" s="1082"/>
      <c r="BT380" s="1082"/>
      <c r="BU380" s="1082"/>
      <c r="BV380" s="1082"/>
      <c r="BW380" s="1082"/>
      <c r="BX380" s="1082"/>
      <c r="BY380" s="1082"/>
      <c r="BZ380" s="1082"/>
      <c r="CA380" s="1082"/>
      <c r="CB380" s="1082"/>
      <c r="CC380" s="1082"/>
      <c r="CD380" s="1082"/>
      <c r="CE380" s="1082"/>
      <c r="CF380" s="1082"/>
      <c r="CG380" s="1082"/>
      <c r="CH380" s="1082"/>
      <c r="CI380" s="1082"/>
      <c r="CJ380" s="1082"/>
      <c r="CK380" s="1082"/>
      <c r="CL380" s="1082"/>
      <c r="CM380" s="1082"/>
      <c r="CN380" s="1082"/>
      <c r="CO380" s="1082"/>
      <c r="CP380" s="1082"/>
      <c r="CQ380" s="1082"/>
      <c r="CR380" s="1082"/>
      <c r="CS380" s="1082"/>
      <c r="CT380" s="1082"/>
      <c r="CU380" s="1082"/>
      <c r="CV380" s="1082"/>
      <c r="CW380" s="1082"/>
      <c r="CX380" s="1082"/>
      <c r="CY380" s="1082"/>
      <c r="CZ380" s="1082"/>
      <c r="DA380" s="1082"/>
      <c r="DB380" s="1082"/>
      <c r="DC380" s="1082"/>
      <c r="DD380" s="1082"/>
      <c r="DE380" s="1082"/>
      <c r="DF380" s="1082"/>
      <c r="DG380" s="1082"/>
      <c r="DH380" s="1082"/>
      <c r="DI380" s="1082"/>
      <c r="DJ380" s="1082"/>
      <c r="DK380" s="1082"/>
      <c r="DL380" s="1082"/>
      <c r="DM380" s="1082"/>
      <c r="DN380" s="1082"/>
      <c r="DO380" s="1082"/>
      <c r="DP380" s="1082"/>
      <c r="DQ380" s="1082"/>
      <c r="DR380" s="1082"/>
      <c r="DS380" s="1082"/>
      <c r="DT380" s="1082"/>
      <c r="DU380" s="1082"/>
      <c r="DV380" s="1082"/>
      <c r="DW380" s="1082"/>
      <c r="DX380" s="1082"/>
      <c r="DY380" s="1082"/>
      <c r="DZ380" s="1082"/>
      <c r="EA380" s="1082"/>
      <c r="EB380" s="1082"/>
      <c r="EC380" s="1082"/>
      <c r="ED380" s="1082"/>
      <c r="EE380" s="1082"/>
      <c r="EF380" s="1082"/>
      <c r="EG380" s="1082"/>
      <c r="EH380" s="1082"/>
      <c r="EI380" s="1082"/>
      <c r="EJ380" s="1082"/>
      <c r="EK380" s="1082"/>
      <c r="EL380" s="1082"/>
      <c r="EM380" s="1082"/>
      <c r="EN380" s="1082"/>
      <c r="EO380" s="1082"/>
      <c r="EP380" s="1082"/>
      <c r="EQ380" s="1082"/>
      <c r="ER380" s="1082"/>
      <c r="ES380" s="1082"/>
      <c r="ET380" s="1082"/>
      <c r="EU380" s="1082"/>
      <c r="EV380" s="1082"/>
      <c r="EW380" s="1082"/>
      <c r="EX380" s="1082"/>
      <c r="EY380" s="1082"/>
      <c r="EZ380" s="1082"/>
      <c r="FA380" s="1082"/>
      <c r="FB380" s="1082"/>
    </row>
    <row r="381" spans="1:158" s="1099" customFormat="1" ht="32.1" customHeight="1">
      <c r="A381" s="1169"/>
      <c r="B381" s="1597"/>
      <c r="C381" s="1424"/>
      <c r="D381" s="1424"/>
      <c r="E381" s="1576"/>
      <c r="F381" s="1424"/>
      <c r="G381" s="1424"/>
      <c r="H381" s="1424"/>
      <c r="I381" s="1761"/>
      <c r="J381" s="1271"/>
      <c r="K381" s="1271"/>
      <c r="L381" s="1272"/>
      <c r="M381" s="1271"/>
      <c r="N381" s="1271"/>
      <c r="O381" s="1271"/>
      <c r="P381" s="1270"/>
      <c r="Q381" s="1270"/>
      <c r="R381" s="1081"/>
      <c r="S381" s="1082"/>
      <c r="T381" s="1082"/>
      <c r="U381" s="1082"/>
      <c r="V381" s="1082"/>
      <c r="W381" s="1082"/>
      <c r="X381" s="1082"/>
      <c r="Y381" s="1082"/>
      <c r="Z381" s="1082"/>
      <c r="AA381" s="1082"/>
      <c r="AB381" s="1082"/>
      <c r="AC381" s="1082"/>
      <c r="AD381" s="1082"/>
      <c r="AE381" s="1082"/>
      <c r="AF381" s="1082"/>
      <c r="AG381" s="1082"/>
      <c r="AH381" s="1082"/>
      <c r="AI381" s="1082"/>
      <c r="AJ381" s="1082"/>
      <c r="AK381" s="1082"/>
      <c r="AL381" s="1082"/>
      <c r="AM381" s="1082"/>
      <c r="AN381" s="1082"/>
      <c r="AO381" s="1082"/>
      <c r="AP381" s="1082"/>
      <c r="AQ381" s="1082"/>
      <c r="AR381" s="1082"/>
      <c r="AS381" s="1082"/>
      <c r="AT381" s="1082"/>
      <c r="AU381" s="1082"/>
      <c r="AV381" s="1082"/>
      <c r="AW381" s="1082"/>
      <c r="AX381" s="1082"/>
      <c r="AY381" s="1082"/>
      <c r="AZ381" s="1082"/>
      <c r="BA381" s="1082"/>
      <c r="BB381" s="1082"/>
      <c r="BC381" s="1082"/>
      <c r="BD381" s="1082"/>
      <c r="BE381" s="1082"/>
      <c r="BF381" s="1082"/>
      <c r="BG381" s="1082"/>
      <c r="BH381" s="1082"/>
      <c r="BI381" s="1082"/>
      <c r="BJ381" s="1082"/>
      <c r="BK381" s="1082"/>
      <c r="BL381" s="1082"/>
      <c r="BM381" s="1082"/>
      <c r="BN381" s="1082"/>
      <c r="BO381" s="1082"/>
      <c r="BP381" s="1082"/>
      <c r="BQ381" s="1082"/>
      <c r="BR381" s="1082"/>
      <c r="BS381" s="1082"/>
      <c r="BT381" s="1082"/>
      <c r="BU381" s="1082"/>
      <c r="BV381" s="1082"/>
      <c r="BW381" s="1082"/>
      <c r="BX381" s="1082"/>
      <c r="BY381" s="1082"/>
      <c r="BZ381" s="1082"/>
      <c r="CA381" s="1082"/>
      <c r="CB381" s="1082"/>
      <c r="CC381" s="1082"/>
      <c r="CD381" s="1082"/>
      <c r="CE381" s="1082"/>
      <c r="CF381" s="1082"/>
      <c r="CG381" s="1082"/>
      <c r="CH381" s="1082"/>
      <c r="CI381" s="1082"/>
      <c r="CJ381" s="1082"/>
      <c r="CK381" s="1082"/>
      <c r="CL381" s="1082"/>
      <c r="CM381" s="1082"/>
      <c r="CN381" s="1082"/>
      <c r="CO381" s="1082"/>
      <c r="CP381" s="1082"/>
      <c r="CQ381" s="1082"/>
      <c r="CR381" s="1082"/>
      <c r="CS381" s="1082"/>
      <c r="CT381" s="1082"/>
      <c r="CU381" s="1082"/>
      <c r="CV381" s="1082"/>
      <c r="CW381" s="1082"/>
      <c r="CX381" s="1082"/>
      <c r="CY381" s="1082"/>
      <c r="CZ381" s="1082"/>
      <c r="DA381" s="1082"/>
      <c r="DB381" s="1082"/>
      <c r="DC381" s="1082"/>
      <c r="DD381" s="1082"/>
      <c r="DE381" s="1082"/>
      <c r="DF381" s="1082"/>
      <c r="DG381" s="1082"/>
      <c r="DH381" s="1082"/>
      <c r="DI381" s="1082"/>
      <c r="DJ381" s="1082"/>
      <c r="DK381" s="1082"/>
      <c r="DL381" s="1082"/>
      <c r="DM381" s="1082"/>
      <c r="DN381" s="1082"/>
      <c r="DO381" s="1082"/>
      <c r="DP381" s="1082"/>
      <c r="DQ381" s="1082"/>
      <c r="DR381" s="1082"/>
      <c r="DS381" s="1082"/>
      <c r="DT381" s="1082"/>
      <c r="DU381" s="1082"/>
      <c r="DV381" s="1082"/>
      <c r="DW381" s="1082"/>
      <c r="DX381" s="1082"/>
      <c r="DY381" s="1082"/>
      <c r="DZ381" s="1082"/>
      <c r="EA381" s="1082"/>
      <c r="EB381" s="1082"/>
      <c r="EC381" s="1082"/>
      <c r="ED381" s="1082"/>
      <c r="EE381" s="1082"/>
      <c r="EF381" s="1082"/>
      <c r="EG381" s="1082"/>
      <c r="EH381" s="1082"/>
      <c r="EI381" s="1082"/>
      <c r="EJ381" s="1082"/>
      <c r="EK381" s="1082"/>
      <c r="EL381" s="1082"/>
      <c r="EM381" s="1082"/>
      <c r="EN381" s="1082"/>
      <c r="EO381" s="1082"/>
      <c r="EP381" s="1082"/>
      <c r="EQ381" s="1082"/>
      <c r="ER381" s="1082"/>
      <c r="ES381" s="1082"/>
      <c r="ET381" s="1082"/>
      <c r="EU381" s="1082"/>
      <c r="EV381" s="1082"/>
      <c r="EW381" s="1082"/>
      <c r="EX381" s="1082"/>
      <c r="EY381" s="1082"/>
      <c r="EZ381" s="1082"/>
      <c r="FA381" s="1082"/>
      <c r="FB381" s="1082"/>
    </row>
    <row r="382" spans="1:158" s="1099" customFormat="1" ht="32.1" customHeight="1">
      <c r="A382" s="1169"/>
      <c r="B382" s="1097"/>
      <c r="C382" s="1424"/>
      <c r="D382" s="1424"/>
      <c r="E382" s="1424"/>
      <c r="F382" s="1424"/>
      <c r="G382" s="1424"/>
      <c r="H382" s="1424"/>
      <c r="I382" s="1761"/>
      <c r="J382" s="1271"/>
      <c r="K382" s="1271"/>
      <c r="L382" s="1272"/>
      <c r="M382" s="1271"/>
      <c r="N382" s="1271"/>
      <c r="O382" s="1271"/>
      <c r="P382" s="1270"/>
      <c r="Q382" s="1270"/>
      <c r="R382" s="1081"/>
      <c r="S382" s="1082"/>
      <c r="T382" s="1082"/>
      <c r="U382" s="1082"/>
      <c r="V382" s="1082"/>
      <c r="W382" s="1082"/>
      <c r="X382" s="1082"/>
      <c r="Y382" s="1082"/>
      <c r="Z382" s="1082"/>
      <c r="AA382" s="1082"/>
      <c r="AB382" s="1082"/>
      <c r="AC382" s="1082"/>
      <c r="AD382" s="1082"/>
      <c r="AE382" s="1082"/>
      <c r="AF382" s="1082"/>
      <c r="AG382" s="1082"/>
      <c r="AH382" s="1082"/>
      <c r="AI382" s="1082"/>
      <c r="AJ382" s="1082"/>
      <c r="AK382" s="1082"/>
      <c r="AL382" s="1082"/>
      <c r="AM382" s="1082"/>
      <c r="AN382" s="1082"/>
      <c r="AO382" s="1082"/>
      <c r="AP382" s="1082"/>
      <c r="AQ382" s="1082"/>
      <c r="AR382" s="1082"/>
      <c r="AS382" s="1082"/>
      <c r="AT382" s="1082"/>
      <c r="AU382" s="1082"/>
      <c r="AV382" s="1082"/>
      <c r="AW382" s="1082"/>
      <c r="AX382" s="1082"/>
      <c r="AY382" s="1082"/>
      <c r="AZ382" s="1082"/>
      <c r="BA382" s="1082"/>
      <c r="BB382" s="1082"/>
      <c r="BC382" s="1082"/>
      <c r="BD382" s="1082"/>
      <c r="BE382" s="1082"/>
      <c r="BF382" s="1082"/>
      <c r="BG382" s="1082"/>
      <c r="BH382" s="1082"/>
      <c r="BI382" s="1082"/>
      <c r="BJ382" s="1082"/>
      <c r="BK382" s="1082"/>
      <c r="BL382" s="1082"/>
      <c r="BM382" s="1082"/>
      <c r="BN382" s="1082"/>
      <c r="BO382" s="1082"/>
      <c r="BP382" s="1082"/>
      <c r="BQ382" s="1082"/>
      <c r="BR382" s="1082"/>
      <c r="BS382" s="1082"/>
      <c r="BT382" s="1082"/>
      <c r="BU382" s="1082"/>
      <c r="BV382" s="1082"/>
      <c r="BW382" s="1082"/>
      <c r="BX382" s="1082"/>
      <c r="BY382" s="1082"/>
      <c r="BZ382" s="1082"/>
      <c r="CA382" s="1082"/>
      <c r="CB382" s="1082"/>
      <c r="CC382" s="1082"/>
      <c r="CD382" s="1082"/>
      <c r="CE382" s="1082"/>
      <c r="CF382" s="1082"/>
      <c r="CG382" s="1082"/>
      <c r="CH382" s="1082"/>
      <c r="CI382" s="1082"/>
      <c r="CJ382" s="1082"/>
      <c r="CK382" s="1082"/>
      <c r="CL382" s="1082"/>
      <c r="CM382" s="1082"/>
      <c r="CN382" s="1082"/>
      <c r="CO382" s="1082"/>
      <c r="CP382" s="1082"/>
      <c r="CQ382" s="1082"/>
      <c r="CR382" s="1082"/>
      <c r="CS382" s="1082"/>
      <c r="CT382" s="1082"/>
      <c r="CU382" s="1082"/>
      <c r="CV382" s="1082"/>
      <c r="CW382" s="1082"/>
      <c r="CX382" s="1082"/>
      <c r="CY382" s="1082"/>
      <c r="CZ382" s="1082"/>
      <c r="DA382" s="1082"/>
      <c r="DB382" s="1082"/>
      <c r="DC382" s="1082"/>
      <c r="DD382" s="1082"/>
      <c r="DE382" s="1082"/>
      <c r="DF382" s="1082"/>
      <c r="DG382" s="1082"/>
      <c r="DH382" s="1082"/>
      <c r="DI382" s="1082"/>
      <c r="DJ382" s="1082"/>
      <c r="DK382" s="1082"/>
      <c r="DL382" s="1082"/>
      <c r="DM382" s="1082"/>
      <c r="DN382" s="1082"/>
      <c r="DO382" s="1082"/>
      <c r="DP382" s="1082"/>
      <c r="DQ382" s="1082"/>
      <c r="DR382" s="1082"/>
      <c r="DS382" s="1082"/>
      <c r="DT382" s="1082"/>
      <c r="DU382" s="1082"/>
      <c r="DV382" s="1082"/>
      <c r="DW382" s="1082"/>
      <c r="DX382" s="1082"/>
      <c r="DY382" s="1082"/>
      <c r="DZ382" s="1082"/>
      <c r="EA382" s="1082"/>
      <c r="EB382" s="1082"/>
      <c r="EC382" s="1082"/>
      <c r="ED382" s="1082"/>
      <c r="EE382" s="1082"/>
      <c r="EF382" s="1082"/>
      <c r="EG382" s="1082"/>
      <c r="EH382" s="1082"/>
      <c r="EI382" s="1082"/>
      <c r="EJ382" s="1082"/>
      <c r="EK382" s="1082"/>
      <c r="EL382" s="1082"/>
      <c r="EM382" s="1082"/>
      <c r="EN382" s="1082"/>
      <c r="EO382" s="1082"/>
      <c r="EP382" s="1082"/>
      <c r="EQ382" s="1082"/>
      <c r="ER382" s="1082"/>
      <c r="ES382" s="1082"/>
      <c r="ET382" s="1082"/>
      <c r="EU382" s="1082"/>
      <c r="EV382" s="1082"/>
      <c r="EW382" s="1082"/>
      <c r="EX382" s="1082"/>
      <c r="EY382" s="1082"/>
      <c r="EZ382" s="1082"/>
      <c r="FA382" s="1082"/>
      <c r="FB382" s="1082"/>
    </row>
    <row r="383" spans="1:158" s="1099" customFormat="1" ht="32.1" customHeight="1">
      <c r="A383" s="1169"/>
      <c r="B383" s="1597"/>
      <c r="C383" s="1424"/>
      <c r="D383" s="1424"/>
      <c r="E383" s="1424"/>
      <c r="F383" s="1424"/>
      <c r="G383" s="1424"/>
      <c r="H383" s="1424"/>
      <c r="I383" s="1761"/>
      <c r="J383" s="1273"/>
      <c r="K383" s="1273"/>
      <c r="L383" s="1273"/>
      <c r="M383" s="1273"/>
      <c r="N383" s="1273"/>
      <c r="O383" s="1273"/>
      <c r="P383" s="1270"/>
      <c r="Q383" s="1270"/>
      <c r="R383" s="1081"/>
      <c r="S383" s="1082"/>
      <c r="T383" s="1082"/>
      <c r="U383" s="1082"/>
      <c r="V383" s="1082"/>
      <c r="W383" s="1082"/>
      <c r="X383" s="1082"/>
      <c r="Y383" s="1082"/>
      <c r="Z383" s="1082"/>
      <c r="AA383" s="1082"/>
      <c r="AB383" s="1082"/>
      <c r="AC383" s="1082"/>
      <c r="AD383" s="1082"/>
      <c r="AE383" s="1082"/>
      <c r="AF383" s="1082"/>
      <c r="AG383" s="1082"/>
      <c r="AH383" s="1082"/>
      <c r="AI383" s="1082"/>
      <c r="AJ383" s="1082"/>
      <c r="AK383" s="1082"/>
      <c r="AL383" s="1082"/>
      <c r="AM383" s="1082"/>
      <c r="AN383" s="1082"/>
      <c r="AO383" s="1082"/>
      <c r="AP383" s="1082"/>
      <c r="AQ383" s="1082"/>
      <c r="AR383" s="1082"/>
      <c r="AS383" s="1082"/>
      <c r="AT383" s="1082"/>
      <c r="AU383" s="1082"/>
      <c r="AV383" s="1082"/>
      <c r="AW383" s="1082"/>
      <c r="AX383" s="1082"/>
      <c r="AY383" s="1082"/>
      <c r="AZ383" s="1082"/>
      <c r="BA383" s="1082"/>
      <c r="BB383" s="1082"/>
      <c r="BC383" s="1082"/>
      <c r="BD383" s="1082"/>
      <c r="BE383" s="1082"/>
      <c r="BF383" s="1082"/>
      <c r="BG383" s="1082"/>
      <c r="BH383" s="1082"/>
      <c r="BI383" s="1082"/>
      <c r="BJ383" s="1082"/>
      <c r="BK383" s="1082"/>
      <c r="BL383" s="1082"/>
      <c r="BM383" s="1082"/>
      <c r="BN383" s="1082"/>
      <c r="BO383" s="1082"/>
      <c r="BP383" s="1082"/>
      <c r="BQ383" s="1082"/>
      <c r="BR383" s="1082"/>
      <c r="BS383" s="1082"/>
      <c r="BT383" s="1082"/>
      <c r="BU383" s="1082"/>
      <c r="BV383" s="1082"/>
      <c r="BW383" s="1082"/>
      <c r="BX383" s="1082"/>
      <c r="BY383" s="1082"/>
      <c r="BZ383" s="1082"/>
      <c r="CA383" s="1082"/>
      <c r="CB383" s="1082"/>
      <c r="CC383" s="1082"/>
      <c r="CD383" s="1082"/>
      <c r="CE383" s="1082"/>
      <c r="CF383" s="1082"/>
      <c r="CG383" s="1082"/>
      <c r="CH383" s="1082"/>
      <c r="CI383" s="1082"/>
      <c r="CJ383" s="1082"/>
      <c r="CK383" s="1082"/>
      <c r="CL383" s="1082"/>
      <c r="CM383" s="1082"/>
      <c r="CN383" s="1082"/>
      <c r="CO383" s="1082"/>
      <c r="CP383" s="1082"/>
      <c r="CQ383" s="1082"/>
      <c r="CR383" s="1082"/>
      <c r="CS383" s="1082"/>
      <c r="CT383" s="1082"/>
      <c r="CU383" s="1082"/>
      <c r="CV383" s="1082"/>
      <c r="CW383" s="1082"/>
      <c r="CX383" s="1082"/>
      <c r="CY383" s="1082"/>
      <c r="CZ383" s="1082"/>
      <c r="DA383" s="1082"/>
      <c r="DB383" s="1082"/>
      <c r="DC383" s="1082"/>
      <c r="DD383" s="1082"/>
      <c r="DE383" s="1082"/>
      <c r="DF383" s="1082"/>
      <c r="DG383" s="1082"/>
      <c r="DH383" s="1082"/>
      <c r="DI383" s="1082"/>
      <c r="DJ383" s="1082"/>
      <c r="DK383" s="1082"/>
      <c r="DL383" s="1082"/>
      <c r="DM383" s="1082"/>
      <c r="DN383" s="1082"/>
      <c r="DO383" s="1082"/>
      <c r="DP383" s="1082"/>
      <c r="DQ383" s="1082"/>
      <c r="DR383" s="1082"/>
      <c r="DS383" s="1082"/>
      <c r="DT383" s="1082"/>
      <c r="DU383" s="1082"/>
      <c r="DV383" s="1082"/>
      <c r="DW383" s="1082"/>
      <c r="DX383" s="1082"/>
      <c r="DY383" s="1082"/>
      <c r="DZ383" s="1082"/>
      <c r="EA383" s="1082"/>
      <c r="EB383" s="1082"/>
      <c r="EC383" s="1082"/>
      <c r="ED383" s="1082"/>
      <c r="EE383" s="1082"/>
      <c r="EF383" s="1082"/>
      <c r="EG383" s="1082"/>
      <c r="EH383" s="1082"/>
      <c r="EI383" s="1082"/>
      <c r="EJ383" s="1082"/>
      <c r="EK383" s="1082"/>
      <c r="EL383" s="1082"/>
      <c r="EM383" s="1082"/>
      <c r="EN383" s="1082"/>
      <c r="EO383" s="1082"/>
      <c r="EP383" s="1082"/>
      <c r="EQ383" s="1082"/>
      <c r="ER383" s="1082"/>
      <c r="ES383" s="1082"/>
      <c r="ET383" s="1082"/>
      <c r="EU383" s="1082"/>
      <c r="EV383" s="1082"/>
      <c r="EW383" s="1082"/>
      <c r="EX383" s="1082"/>
      <c r="EY383" s="1082"/>
      <c r="EZ383" s="1082"/>
      <c r="FA383" s="1082"/>
      <c r="FB383" s="1082"/>
    </row>
    <row r="384" spans="1:158" ht="32.1" customHeight="1">
      <c r="A384" s="1606" t="s">
        <v>6863</v>
      </c>
      <c r="B384" s="1063" t="s">
        <v>555</v>
      </c>
      <c r="C384" s="1508">
        <f t="shared" ref="C384:H384" si="89">AVERAGE(C385,C390,C394,C399)</f>
        <v>0.45125175280747731</v>
      </c>
      <c r="D384" s="1508">
        <f t="shared" si="89"/>
        <v>0.4203845515896773</v>
      </c>
      <c r="E384" s="1508">
        <f t="shared" si="89"/>
        <v>3.9789431330472108E-2</v>
      </c>
      <c r="F384" s="1508">
        <f t="shared" si="89"/>
        <v>0.40030811471174454</v>
      </c>
      <c r="G384" s="1508">
        <f t="shared" si="89"/>
        <v>0.45484065031280929</v>
      </c>
      <c r="H384" s="1508">
        <f t="shared" si="89"/>
        <v>0.18079468901544099</v>
      </c>
      <c r="I384" s="1766"/>
      <c r="J384" s="1064"/>
      <c r="K384" s="1064"/>
      <c r="L384" s="1064"/>
      <c r="M384" s="1064"/>
      <c r="N384" s="1064"/>
      <c r="O384" s="1064"/>
      <c r="P384" s="1064"/>
      <c r="Q384" s="1064"/>
    </row>
    <row r="385" spans="1:158" s="1099" customFormat="1" ht="32.1" customHeight="1">
      <c r="A385" s="1169"/>
      <c r="B385" s="1097" t="s">
        <v>556</v>
      </c>
      <c r="C385" s="1507">
        <f t="shared" ref="C385:H385" si="90">AVERAGE(C386:C389)</f>
        <v>0.38111485184138161</v>
      </c>
      <c r="D385" s="1507">
        <f t="shared" si="90"/>
        <v>0.30065119760479042</v>
      </c>
      <c r="E385" s="1507">
        <f t="shared" si="90"/>
        <v>7.6657725321888429E-2</v>
      </c>
      <c r="F385" s="1507">
        <f t="shared" si="90"/>
        <v>0.41759553853666054</v>
      </c>
      <c r="G385" s="1507">
        <f t="shared" si="90"/>
        <v>0.49425326385854895</v>
      </c>
      <c r="H385" s="1507">
        <f t="shared" si="90"/>
        <v>3.540772532188842E-2</v>
      </c>
      <c r="I385" s="1761"/>
      <c r="J385" s="1232"/>
      <c r="K385" s="1232"/>
      <c r="L385" s="1232"/>
      <c r="M385" s="1232"/>
      <c r="N385" s="1232"/>
      <c r="O385" s="1232"/>
      <c r="P385" s="1232"/>
      <c r="Q385" s="1232"/>
      <c r="R385" s="1081"/>
      <c r="S385" s="1082"/>
      <c r="T385" s="1082"/>
      <c r="U385" s="1082"/>
      <c r="V385" s="1082"/>
      <c r="W385" s="1082"/>
      <c r="X385" s="1082"/>
      <c r="Y385" s="1082"/>
      <c r="Z385" s="1082"/>
      <c r="AA385" s="1082"/>
      <c r="AB385" s="1082"/>
      <c r="AC385" s="1082"/>
      <c r="AD385" s="1082"/>
      <c r="AE385" s="1082"/>
      <c r="AF385" s="1082"/>
      <c r="AG385" s="1082"/>
      <c r="AH385" s="1082"/>
      <c r="AI385" s="1082"/>
      <c r="AJ385" s="1082"/>
      <c r="AK385" s="1082"/>
      <c r="AL385" s="1082"/>
      <c r="AM385" s="1082"/>
      <c r="AN385" s="1082"/>
      <c r="AO385" s="1082"/>
      <c r="AP385" s="1082"/>
      <c r="AQ385" s="1082"/>
      <c r="AR385" s="1082"/>
      <c r="AS385" s="1082"/>
      <c r="AT385" s="1082"/>
      <c r="AU385" s="1082"/>
      <c r="AV385" s="1082"/>
      <c r="AW385" s="1082"/>
      <c r="AX385" s="1082"/>
      <c r="AY385" s="1082"/>
      <c r="AZ385" s="1082"/>
      <c r="BA385" s="1082"/>
      <c r="BB385" s="1082"/>
      <c r="BC385" s="1082"/>
      <c r="BD385" s="1082"/>
      <c r="BE385" s="1082"/>
      <c r="BF385" s="1082"/>
      <c r="BG385" s="1082"/>
      <c r="BH385" s="1082"/>
      <c r="BI385" s="1082"/>
      <c r="BJ385" s="1082"/>
      <c r="BK385" s="1082"/>
      <c r="BL385" s="1082"/>
      <c r="BM385" s="1082"/>
      <c r="BN385" s="1082"/>
      <c r="BO385" s="1082"/>
      <c r="BP385" s="1082"/>
      <c r="BQ385" s="1082"/>
      <c r="BR385" s="1082"/>
      <c r="BS385" s="1082"/>
      <c r="BT385" s="1082"/>
      <c r="BU385" s="1082"/>
      <c r="BV385" s="1082"/>
      <c r="BW385" s="1082"/>
      <c r="BX385" s="1082"/>
      <c r="BY385" s="1082"/>
      <c r="BZ385" s="1082"/>
      <c r="CA385" s="1082"/>
      <c r="CB385" s="1082"/>
      <c r="CC385" s="1082"/>
      <c r="CD385" s="1082"/>
      <c r="CE385" s="1082"/>
      <c r="CF385" s="1082"/>
      <c r="CG385" s="1082"/>
      <c r="CH385" s="1082"/>
      <c r="CI385" s="1082"/>
      <c r="CJ385" s="1082"/>
      <c r="CK385" s="1082"/>
      <c r="CL385" s="1082"/>
      <c r="CM385" s="1082"/>
      <c r="CN385" s="1082"/>
      <c r="CO385" s="1082"/>
      <c r="CP385" s="1082"/>
      <c r="CQ385" s="1082"/>
      <c r="CR385" s="1082"/>
      <c r="CS385" s="1082"/>
      <c r="CT385" s="1082"/>
      <c r="CU385" s="1082"/>
      <c r="CV385" s="1082"/>
      <c r="CW385" s="1082"/>
      <c r="CX385" s="1082"/>
      <c r="CY385" s="1082"/>
      <c r="CZ385" s="1082"/>
      <c r="DA385" s="1082"/>
      <c r="DB385" s="1082"/>
      <c r="DC385" s="1082"/>
      <c r="DD385" s="1082"/>
      <c r="DE385" s="1082"/>
      <c r="DF385" s="1082"/>
      <c r="DG385" s="1082"/>
      <c r="DH385" s="1082"/>
      <c r="DI385" s="1082"/>
      <c r="DJ385" s="1082"/>
      <c r="DK385" s="1082"/>
      <c r="DL385" s="1082"/>
      <c r="DM385" s="1082"/>
      <c r="DN385" s="1082"/>
      <c r="DO385" s="1082"/>
      <c r="DP385" s="1082"/>
      <c r="DQ385" s="1082"/>
      <c r="DR385" s="1082"/>
      <c r="DS385" s="1082"/>
      <c r="DT385" s="1082"/>
      <c r="DU385" s="1082"/>
      <c r="DV385" s="1082"/>
      <c r="DW385" s="1082"/>
      <c r="DX385" s="1082"/>
      <c r="DY385" s="1082"/>
      <c r="DZ385" s="1082"/>
      <c r="EA385" s="1082"/>
      <c r="EB385" s="1082"/>
      <c r="EC385" s="1082"/>
      <c r="ED385" s="1082"/>
      <c r="EE385" s="1082"/>
      <c r="EF385" s="1082"/>
      <c r="EG385" s="1082"/>
      <c r="EH385" s="1082"/>
      <c r="EI385" s="1082"/>
      <c r="EJ385" s="1082"/>
      <c r="EK385" s="1082"/>
      <c r="EL385" s="1082"/>
      <c r="EM385" s="1082"/>
      <c r="EN385" s="1082"/>
      <c r="EO385" s="1082"/>
      <c r="EP385" s="1082"/>
      <c r="EQ385" s="1082"/>
      <c r="ER385" s="1082"/>
      <c r="ES385" s="1082"/>
      <c r="ET385" s="1082"/>
      <c r="EU385" s="1082"/>
      <c r="EV385" s="1082"/>
      <c r="EW385" s="1082"/>
      <c r="EX385" s="1082"/>
      <c r="EY385" s="1082"/>
      <c r="EZ385" s="1082"/>
      <c r="FA385" s="1082"/>
      <c r="FB385" s="1082"/>
    </row>
    <row r="386" spans="1:158" s="1099" customFormat="1" ht="32.1" customHeight="1">
      <c r="A386" s="1169"/>
      <c r="B386" s="1269" t="s">
        <v>557</v>
      </c>
      <c r="C386" s="1424">
        <f t="shared" ref="C386:H389" si="91">IF(J386&gt;$P386,1,IF(J386&lt;$Q386,0,(J386-$Q386)/($P386-$Q386)))</f>
        <v>0.33999999999999986</v>
      </c>
      <c r="D386" s="1424">
        <f t="shared" si="91"/>
        <v>0.33999999999999986</v>
      </c>
      <c r="E386" s="1424">
        <f t="shared" si="91"/>
        <v>0</v>
      </c>
      <c r="F386" s="1424">
        <f t="shared" si="91"/>
        <v>0.33999999999999986</v>
      </c>
      <c r="G386" s="1424">
        <f t="shared" si="91"/>
        <v>0.33999999999999986</v>
      </c>
      <c r="H386" s="1424">
        <f t="shared" si="91"/>
        <v>0</v>
      </c>
      <c r="I386" s="1761" t="s">
        <v>5295</v>
      </c>
      <c r="J386" s="1274">
        <v>2.67</v>
      </c>
      <c r="K386" s="1274">
        <v>2.67</v>
      </c>
      <c r="L386" s="1274">
        <v>2.33</v>
      </c>
      <c r="M386" s="1274">
        <v>2.67</v>
      </c>
      <c r="N386" s="1274">
        <v>2.67</v>
      </c>
      <c r="O386" s="1274">
        <v>2.33</v>
      </c>
      <c r="P386" s="1274">
        <v>3.33</v>
      </c>
      <c r="Q386" s="1275">
        <v>2.33</v>
      </c>
      <c r="R386" s="1081"/>
      <c r="S386" s="1082"/>
      <c r="T386" s="1082"/>
      <c r="U386" s="1082"/>
      <c r="V386" s="1082"/>
      <c r="W386" s="1082"/>
      <c r="X386" s="1082"/>
      <c r="Y386" s="1082"/>
      <c r="Z386" s="1082"/>
      <c r="AA386" s="1082"/>
      <c r="AB386" s="1082"/>
      <c r="AC386" s="1082"/>
      <c r="AD386" s="1082"/>
      <c r="AE386" s="1082"/>
      <c r="AF386" s="1082"/>
      <c r="AG386" s="1082"/>
      <c r="AH386" s="1082"/>
      <c r="AI386" s="1082"/>
      <c r="AJ386" s="1082"/>
      <c r="AK386" s="1082"/>
      <c r="AL386" s="1082"/>
      <c r="AM386" s="1082"/>
      <c r="AN386" s="1082"/>
      <c r="AO386" s="1082"/>
      <c r="AP386" s="1082"/>
      <c r="AQ386" s="1082"/>
      <c r="AR386" s="1082"/>
      <c r="AS386" s="1082"/>
      <c r="AT386" s="1082"/>
      <c r="AU386" s="1082"/>
      <c r="AV386" s="1082"/>
      <c r="AW386" s="1082"/>
      <c r="AX386" s="1082"/>
      <c r="AY386" s="1082"/>
      <c r="AZ386" s="1082"/>
      <c r="BA386" s="1082"/>
      <c r="BB386" s="1082"/>
      <c r="BC386" s="1082"/>
      <c r="BD386" s="1082"/>
      <c r="BE386" s="1082"/>
      <c r="BF386" s="1082"/>
      <c r="BG386" s="1082"/>
      <c r="BH386" s="1082"/>
      <c r="BI386" s="1082"/>
      <c r="BJ386" s="1082"/>
      <c r="BK386" s="1082"/>
      <c r="BL386" s="1082"/>
      <c r="BM386" s="1082"/>
      <c r="BN386" s="1082"/>
      <c r="BO386" s="1082"/>
      <c r="BP386" s="1082"/>
      <c r="BQ386" s="1082"/>
      <c r="BR386" s="1082"/>
      <c r="BS386" s="1082"/>
      <c r="BT386" s="1082"/>
      <c r="BU386" s="1082"/>
      <c r="BV386" s="1082"/>
      <c r="BW386" s="1082"/>
      <c r="BX386" s="1082"/>
      <c r="BY386" s="1082"/>
      <c r="BZ386" s="1082"/>
      <c r="CA386" s="1082"/>
      <c r="CB386" s="1082"/>
      <c r="CC386" s="1082"/>
      <c r="CD386" s="1082"/>
      <c r="CE386" s="1082"/>
      <c r="CF386" s="1082"/>
      <c r="CG386" s="1082"/>
      <c r="CH386" s="1082"/>
      <c r="CI386" s="1082"/>
      <c r="CJ386" s="1082"/>
      <c r="CK386" s="1082"/>
      <c r="CL386" s="1082"/>
      <c r="CM386" s="1082"/>
      <c r="CN386" s="1082"/>
      <c r="CO386" s="1082"/>
      <c r="CP386" s="1082"/>
      <c r="CQ386" s="1082"/>
      <c r="CR386" s="1082"/>
      <c r="CS386" s="1082"/>
      <c r="CT386" s="1082"/>
      <c r="CU386" s="1082"/>
      <c r="CV386" s="1082"/>
      <c r="CW386" s="1082"/>
      <c r="CX386" s="1082"/>
      <c r="CY386" s="1082"/>
      <c r="CZ386" s="1082"/>
      <c r="DA386" s="1082"/>
      <c r="DB386" s="1082"/>
      <c r="DC386" s="1082"/>
      <c r="DD386" s="1082"/>
      <c r="DE386" s="1082"/>
      <c r="DF386" s="1082"/>
      <c r="DG386" s="1082"/>
      <c r="DH386" s="1082"/>
      <c r="DI386" s="1082"/>
      <c r="DJ386" s="1082"/>
      <c r="DK386" s="1082"/>
      <c r="DL386" s="1082"/>
      <c r="DM386" s="1082"/>
      <c r="DN386" s="1082"/>
      <c r="DO386" s="1082"/>
      <c r="DP386" s="1082"/>
      <c r="DQ386" s="1082"/>
      <c r="DR386" s="1082"/>
      <c r="DS386" s="1082"/>
      <c r="DT386" s="1082"/>
      <c r="DU386" s="1082"/>
      <c r="DV386" s="1082"/>
      <c r="DW386" s="1082"/>
      <c r="DX386" s="1082"/>
      <c r="DY386" s="1082"/>
      <c r="DZ386" s="1082"/>
      <c r="EA386" s="1082"/>
      <c r="EB386" s="1082"/>
      <c r="EC386" s="1082"/>
      <c r="ED386" s="1082"/>
      <c r="EE386" s="1082"/>
      <c r="EF386" s="1082"/>
      <c r="EG386" s="1082"/>
      <c r="EH386" s="1082"/>
      <c r="EI386" s="1082"/>
      <c r="EJ386" s="1082"/>
      <c r="EK386" s="1082"/>
      <c r="EL386" s="1082"/>
      <c r="EM386" s="1082"/>
      <c r="EN386" s="1082"/>
      <c r="EO386" s="1082"/>
      <c r="EP386" s="1082"/>
      <c r="EQ386" s="1082"/>
      <c r="ER386" s="1082"/>
      <c r="ES386" s="1082"/>
      <c r="ET386" s="1082"/>
      <c r="EU386" s="1082"/>
      <c r="EV386" s="1082"/>
      <c r="EW386" s="1082"/>
      <c r="EX386" s="1082"/>
      <c r="EY386" s="1082"/>
      <c r="EZ386" s="1082"/>
      <c r="FA386" s="1082"/>
      <c r="FB386" s="1082"/>
    </row>
    <row r="387" spans="1:158" s="1099" customFormat="1" ht="32.1" customHeight="1">
      <c r="A387" s="1169"/>
      <c r="B387" s="1269" t="s">
        <v>558</v>
      </c>
      <c r="C387" s="1424">
        <f t="shared" si="91"/>
        <v>0.28326180257510736</v>
      </c>
      <c r="D387" s="1424">
        <f t="shared" si="91"/>
        <v>0</v>
      </c>
      <c r="E387" s="1424">
        <f t="shared" si="91"/>
        <v>0.14163090128755368</v>
      </c>
      <c r="F387" s="1424">
        <f t="shared" si="91"/>
        <v>0.42918454935622319</v>
      </c>
      <c r="G387" s="1424">
        <f t="shared" si="91"/>
        <v>0.57081545064377681</v>
      </c>
      <c r="H387" s="1424">
        <f t="shared" si="91"/>
        <v>0.14163090128755368</v>
      </c>
      <c r="I387" s="1761" t="s">
        <v>5295</v>
      </c>
      <c r="J387" s="1274">
        <v>2.33</v>
      </c>
      <c r="K387" s="1274">
        <v>1.67</v>
      </c>
      <c r="L387" s="1274">
        <v>2</v>
      </c>
      <c r="M387" s="1274">
        <v>2.67</v>
      </c>
      <c r="N387" s="1274">
        <v>3</v>
      </c>
      <c r="O387" s="1274">
        <v>2</v>
      </c>
      <c r="P387" s="1274">
        <v>4</v>
      </c>
      <c r="Q387" s="1275">
        <v>1.67</v>
      </c>
      <c r="R387" s="1081"/>
      <c r="S387" s="1082"/>
      <c r="T387" s="1082"/>
      <c r="U387" s="1082"/>
      <c r="V387" s="1082"/>
      <c r="W387" s="1082"/>
      <c r="X387" s="1082"/>
      <c r="Y387" s="1082"/>
      <c r="Z387" s="1082"/>
      <c r="AA387" s="1082"/>
      <c r="AB387" s="1082"/>
      <c r="AC387" s="1082"/>
      <c r="AD387" s="1082"/>
      <c r="AE387" s="1082"/>
      <c r="AF387" s="1082"/>
      <c r="AG387" s="1082"/>
      <c r="AH387" s="1082"/>
      <c r="AI387" s="1082"/>
      <c r="AJ387" s="1082"/>
      <c r="AK387" s="1082"/>
      <c r="AL387" s="1082"/>
      <c r="AM387" s="1082"/>
      <c r="AN387" s="1082"/>
      <c r="AO387" s="1082"/>
      <c r="AP387" s="1082"/>
      <c r="AQ387" s="1082"/>
      <c r="AR387" s="1082"/>
      <c r="AS387" s="1082"/>
      <c r="AT387" s="1082"/>
      <c r="AU387" s="1082"/>
      <c r="AV387" s="1082"/>
      <c r="AW387" s="1082"/>
      <c r="AX387" s="1082"/>
      <c r="AY387" s="1082"/>
      <c r="AZ387" s="1082"/>
      <c r="BA387" s="1082"/>
      <c r="BB387" s="1082"/>
      <c r="BC387" s="1082"/>
      <c r="BD387" s="1082"/>
      <c r="BE387" s="1082"/>
      <c r="BF387" s="1082"/>
      <c r="BG387" s="1082"/>
      <c r="BH387" s="1082"/>
      <c r="BI387" s="1082"/>
      <c r="BJ387" s="1082"/>
      <c r="BK387" s="1082"/>
      <c r="BL387" s="1082"/>
      <c r="BM387" s="1082"/>
      <c r="BN387" s="1082"/>
      <c r="BO387" s="1082"/>
      <c r="BP387" s="1082"/>
      <c r="BQ387" s="1082"/>
      <c r="BR387" s="1082"/>
      <c r="BS387" s="1082"/>
      <c r="BT387" s="1082"/>
      <c r="BU387" s="1082"/>
      <c r="BV387" s="1082"/>
      <c r="BW387" s="1082"/>
      <c r="BX387" s="1082"/>
      <c r="BY387" s="1082"/>
      <c r="BZ387" s="1082"/>
      <c r="CA387" s="1082"/>
      <c r="CB387" s="1082"/>
      <c r="CC387" s="1082"/>
      <c r="CD387" s="1082"/>
      <c r="CE387" s="1082"/>
      <c r="CF387" s="1082"/>
      <c r="CG387" s="1082"/>
      <c r="CH387" s="1082"/>
      <c r="CI387" s="1082"/>
      <c r="CJ387" s="1082"/>
      <c r="CK387" s="1082"/>
      <c r="CL387" s="1082"/>
      <c r="CM387" s="1082"/>
      <c r="CN387" s="1082"/>
      <c r="CO387" s="1082"/>
      <c r="CP387" s="1082"/>
      <c r="CQ387" s="1082"/>
      <c r="CR387" s="1082"/>
      <c r="CS387" s="1082"/>
      <c r="CT387" s="1082"/>
      <c r="CU387" s="1082"/>
      <c r="CV387" s="1082"/>
      <c r="CW387" s="1082"/>
      <c r="CX387" s="1082"/>
      <c r="CY387" s="1082"/>
      <c r="CZ387" s="1082"/>
      <c r="DA387" s="1082"/>
      <c r="DB387" s="1082"/>
      <c r="DC387" s="1082"/>
      <c r="DD387" s="1082"/>
      <c r="DE387" s="1082"/>
      <c r="DF387" s="1082"/>
      <c r="DG387" s="1082"/>
      <c r="DH387" s="1082"/>
      <c r="DI387" s="1082"/>
      <c r="DJ387" s="1082"/>
      <c r="DK387" s="1082"/>
      <c r="DL387" s="1082"/>
      <c r="DM387" s="1082"/>
      <c r="DN387" s="1082"/>
      <c r="DO387" s="1082"/>
      <c r="DP387" s="1082"/>
      <c r="DQ387" s="1082"/>
      <c r="DR387" s="1082"/>
      <c r="DS387" s="1082"/>
      <c r="DT387" s="1082"/>
      <c r="DU387" s="1082"/>
      <c r="DV387" s="1082"/>
      <c r="DW387" s="1082"/>
      <c r="DX387" s="1082"/>
      <c r="DY387" s="1082"/>
      <c r="DZ387" s="1082"/>
      <c r="EA387" s="1082"/>
      <c r="EB387" s="1082"/>
      <c r="EC387" s="1082"/>
      <c r="ED387" s="1082"/>
      <c r="EE387" s="1082"/>
      <c r="EF387" s="1082"/>
      <c r="EG387" s="1082"/>
      <c r="EH387" s="1082"/>
      <c r="EI387" s="1082"/>
      <c r="EJ387" s="1082"/>
      <c r="EK387" s="1082"/>
      <c r="EL387" s="1082"/>
      <c r="EM387" s="1082"/>
      <c r="EN387" s="1082"/>
      <c r="EO387" s="1082"/>
      <c r="EP387" s="1082"/>
      <c r="EQ387" s="1082"/>
      <c r="ER387" s="1082"/>
      <c r="ES387" s="1082"/>
      <c r="ET387" s="1082"/>
      <c r="EU387" s="1082"/>
      <c r="EV387" s="1082"/>
      <c r="EW387" s="1082"/>
      <c r="EX387" s="1082"/>
      <c r="EY387" s="1082"/>
      <c r="EZ387" s="1082"/>
      <c r="FA387" s="1082"/>
      <c r="FB387" s="1082"/>
    </row>
    <row r="388" spans="1:158" s="1099" customFormat="1" ht="32.1" customHeight="1">
      <c r="A388" s="1169"/>
      <c r="B388" s="1269" t="s">
        <v>559</v>
      </c>
      <c r="C388" s="1424">
        <f t="shared" si="91"/>
        <v>0.40119760479041916</v>
      </c>
      <c r="D388" s="1424">
        <f t="shared" si="91"/>
        <v>0.19760479041916174</v>
      </c>
      <c r="E388" s="1424">
        <f t="shared" si="91"/>
        <v>0</v>
      </c>
      <c r="F388" s="1424">
        <f t="shared" si="91"/>
        <v>0.40119760479041916</v>
      </c>
      <c r="G388" s="1424">
        <f t="shared" si="91"/>
        <v>0.40119760479041916</v>
      </c>
      <c r="H388" s="1424">
        <f t="shared" si="91"/>
        <v>0</v>
      </c>
      <c r="I388" s="1761" t="s">
        <v>5295</v>
      </c>
      <c r="J388" s="1274">
        <v>2.67</v>
      </c>
      <c r="K388" s="1274">
        <v>2.33</v>
      </c>
      <c r="L388" s="1274">
        <v>2</v>
      </c>
      <c r="M388" s="1274">
        <v>2.67</v>
      </c>
      <c r="N388" s="1274">
        <v>2.67</v>
      </c>
      <c r="O388" s="1274">
        <v>2</v>
      </c>
      <c r="P388" s="1274">
        <v>3.67</v>
      </c>
      <c r="Q388" s="1275">
        <v>2</v>
      </c>
      <c r="R388" s="1081"/>
      <c r="S388" s="1082"/>
      <c r="T388" s="1082"/>
      <c r="U388" s="1082"/>
      <c r="V388" s="1082"/>
      <c r="W388" s="1082"/>
      <c r="X388" s="1082"/>
      <c r="Y388" s="1082"/>
      <c r="Z388" s="1082"/>
      <c r="AA388" s="1082"/>
      <c r="AB388" s="1082"/>
      <c r="AC388" s="1082"/>
      <c r="AD388" s="1082"/>
      <c r="AE388" s="1082"/>
      <c r="AF388" s="1082"/>
      <c r="AG388" s="1082"/>
      <c r="AH388" s="1082"/>
      <c r="AI388" s="1082"/>
      <c r="AJ388" s="1082"/>
      <c r="AK388" s="1082"/>
      <c r="AL388" s="1082"/>
      <c r="AM388" s="1082"/>
      <c r="AN388" s="1082"/>
      <c r="AO388" s="1082"/>
      <c r="AP388" s="1082"/>
      <c r="AQ388" s="1082"/>
      <c r="AR388" s="1082"/>
      <c r="AS388" s="1082"/>
      <c r="AT388" s="1082"/>
      <c r="AU388" s="1082"/>
      <c r="AV388" s="1082"/>
      <c r="AW388" s="1082"/>
      <c r="AX388" s="1082"/>
      <c r="AY388" s="1082"/>
      <c r="AZ388" s="1082"/>
      <c r="BA388" s="1082"/>
      <c r="BB388" s="1082"/>
      <c r="BC388" s="1082"/>
      <c r="BD388" s="1082"/>
      <c r="BE388" s="1082"/>
      <c r="BF388" s="1082"/>
      <c r="BG388" s="1082"/>
      <c r="BH388" s="1082"/>
      <c r="BI388" s="1082"/>
      <c r="BJ388" s="1082"/>
      <c r="BK388" s="1082"/>
      <c r="BL388" s="1082"/>
      <c r="BM388" s="1082"/>
      <c r="BN388" s="1082"/>
      <c r="BO388" s="1082"/>
      <c r="BP388" s="1082"/>
      <c r="BQ388" s="1082"/>
      <c r="BR388" s="1082"/>
      <c r="BS388" s="1082"/>
      <c r="BT388" s="1082"/>
      <c r="BU388" s="1082"/>
      <c r="BV388" s="1082"/>
      <c r="BW388" s="1082"/>
      <c r="BX388" s="1082"/>
      <c r="BY388" s="1082"/>
      <c r="BZ388" s="1082"/>
      <c r="CA388" s="1082"/>
      <c r="CB388" s="1082"/>
      <c r="CC388" s="1082"/>
      <c r="CD388" s="1082"/>
      <c r="CE388" s="1082"/>
      <c r="CF388" s="1082"/>
      <c r="CG388" s="1082"/>
      <c r="CH388" s="1082"/>
      <c r="CI388" s="1082"/>
      <c r="CJ388" s="1082"/>
      <c r="CK388" s="1082"/>
      <c r="CL388" s="1082"/>
      <c r="CM388" s="1082"/>
      <c r="CN388" s="1082"/>
      <c r="CO388" s="1082"/>
      <c r="CP388" s="1082"/>
      <c r="CQ388" s="1082"/>
      <c r="CR388" s="1082"/>
      <c r="CS388" s="1082"/>
      <c r="CT388" s="1082"/>
      <c r="CU388" s="1082"/>
      <c r="CV388" s="1082"/>
      <c r="CW388" s="1082"/>
      <c r="CX388" s="1082"/>
      <c r="CY388" s="1082"/>
      <c r="CZ388" s="1082"/>
      <c r="DA388" s="1082"/>
      <c r="DB388" s="1082"/>
      <c r="DC388" s="1082"/>
      <c r="DD388" s="1082"/>
      <c r="DE388" s="1082"/>
      <c r="DF388" s="1082"/>
      <c r="DG388" s="1082"/>
      <c r="DH388" s="1082"/>
      <c r="DI388" s="1082"/>
      <c r="DJ388" s="1082"/>
      <c r="DK388" s="1082"/>
      <c r="DL388" s="1082"/>
      <c r="DM388" s="1082"/>
      <c r="DN388" s="1082"/>
      <c r="DO388" s="1082"/>
      <c r="DP388" s="1082"/>
      <c r="DQ388" s="1082"/>
      <c r="DR388" s="1082"/>
      <c r="DS388" s="1082"/>
      <c r="DT388" s="1082"/>
      <c r="DU388" s="1082"/>
      <c r="DV388" s="1082"/>
      <c r="DW388" s="1082"/>
      <c r="DX388" s="1082"/>
      <c r="DY388" s="1082"/>
      <c r="DZ388" s="1082"/>
      <c r="EA388" s="1082"/>
      <c r="EB388" s="1082"/>
      <c r="EC388" s="1082"/>
      <c r="ED388" s="1082"/>
      <c r="EE388" s="1082"/>
      <c r="EF388" s="1082"/>
      <c r="EG388" s="1082"/>
      <c r="EH388" s="1082"/>
      <c r="EI388" s="1082"/>
      <c r="EJ388" s="1082"/>
      <c r="EK388" s="1082"/>
      <c r="EL388" s="1082"/>
      <c r="EM388" s="1082"/>
      <c r="EN388" s="1082"/>
      <c r="EO388" s="1082"/>
      <c r="EP388" s="1082"/>
      <c r="EQ388" s="1082"/>
      <c r="ER388" s="1082"/>
      <c r="ES388" s="1082"/>
      <c r="ET388" s="1082"/>
      <c r="EU388" s="1082"/>
      <c r="EV388" s="1082"/>
      <c r="EW388" s="1082"/>
      <c r="EX388" s="1082"/>
      <c r="EY388" s="1082"/>
      <c r="EZ388" s="1082"/>
      <c r="FA388" s="1082"/>
      <c r="FB388" s="1082"/>
    </row>
    <row r="389" spans="1:158" s="1099" customFormat="1" ht="32.1" customHeight="1">
      <c r="A389" s="1169"/>
      <c r="B389" s="1269" t="s">
        <v>560</v>
      </c>
      <c r="C389" s="1424">
        <f t="shared" si="91"/>
        <v>0.5</v>
      </c>
      <c r="D389" s="1424">
        <f t="shared" si="91"/>
        <v>0.66500000000000004</v>
      </c>
      <c r="E389" s="1424">
        <f t="shared" si="91"/>
        <v>0.16500000000000004</v>
      </c>
      <c r="F389" s="1424">
        <f t="shared" si="91"/>
        <v>0.5</v>
      </c>
      <c r="G389" s="1424">
        <f t="shared" si="91"/>
        <v>0.66500000000000004</v>
      </c>
      <c r="H389" s="1424">
        <f t="shared" si="91"/>
        <v>0</v>
      </c>
      <c r="I389" s="1761" t="s">
        <v>5295</v>
      </c>
      <c r="J389" s="1274">
        <v>2.67</v>
      </c>
      <c r="K389" s="1274">
        <v>3</v>
      </c>
      <c r="L389" s="1274">
        <v>2</v>
      </c>
      <c r="M389" s="1274">
        <v>2.67</v>
      </c>
      <c r="N389" s="1274">
        <v>3</v>
      </c>
      <c r="O389" s="1274">
        <v>1.67</v>
      </c>
      <c r="P389" s="1274">
        <v>3.67</v>
      </c>
      <c r="Q389" s="1275">
        <v>1.67</v>
      </c>
      <c r="R389" s="1081"/>
      <c r="S389" s="1082"/>
      <c r="T389" s="1082"/>
      <c r="U389" s="1082"/>
      <c r="V389" s="1082"/>
      <c r="W389" s="1082"/>
      <c r="X389" s="1082"/>
      <c r="Y389" s="1082"/>
      <c r="Z389" s="1082"/>
      <c r="AA389" s="1082"/>
      <c r="AB389" s="1082"/>
      <c r="AC389" s="1082"/>
      <c r="AD389" s="1082"/>
      <c r="AE389" s="1082"/>
      <c r="AF389" s="1082"/>
      <c r="AG389" s="1082"/>
      <c r="AH389" s="1082"/>
      <c r="AI389" s="1082"/>
      <c r="AJ389" s="1082"/>
      <c r="AK389" s="1082"/>
      <c r="AL389" s="1082"/>
      <c r="AM389" s="1082"/>
      <c r="AN389" s="1082"/>
      <c r="AO389" s="1082"/>
      <c r="AP389" s="1082"/>
      <c r="AQ389" s="1082"/>
      <c r="AR389" s="1082"/>
      <c r="AS389" s="1082"/>
      <c r="AT389" s="1082"/>
      <c r="AU389" s="1082"/>
      <c r="AV389" s="1082"/>
      <c r="AW389" s="1082"/>
      <c r="AX389" s="1082"/>
      <c r="AY389" s="1082"/>
      <c r="AZ389" s="1082"/>
      <c r="BA389" s="1082"/>
      <c r="BB389" s="1082"/>
      <c r="BC389" s="1082"/>
      <c r="BD389" s="1082"/>
      <c r="BE389" s="1082"/>
      <c r="BF389" s="1082"/>
      <c r="BG389" s="1082"/>
      <c r="BH389" s="1082"/>
      <c r="BI389" s="1082"/>
      <c r="BJ389" s="1082"/>
      <c r="BK389" s="1082"/>
      <c r="BL389" s="1082"/>
      <c r="BM389" s="1082"/>
      <c r="BN389" s="1082"/>
      <c r="BO389" s="1082"/>
      <c r="BP389" s="1082"/>
      <c r="BQ389" s="1082"/>
      <c r="BR389" s="1082"/>
      <c r="BS389" s="1082"/>
      <c r="BT389" s="1082"/>
      <c r="BU389" s="1082"/>
      <c r="BV389" s="1082"/>
      <c r="BW389" s="1082"/>
      <c r="BX389" s="1082"/>
      <c r="BY389" s="1082"/>
      <c r="BZ389" s="1082"/>
      <c r="CA389" s="1082"/>
      <c r="CB389" s="1082"/>
      <c r="CC389" s="1082"/>
      <c r="CD389" s="1082"/>
      <c r="CE389" s="1082"/>
      <c r="CF389" s="1082"/>
      <c r="CG389" s="1082"/>
      <c r="CH389" s="1082"/>
      <c r="CI389" s="1082"/>
      <c r="CJ389" s="1082"/>
      <c r="CK389" s="1082"/>
      <c r="CL389" s="1082"/>
      <c r="CM389" s="1082"/>
      <c r="CN389" s="1082"/>
      <c r="CO389" s="1082"/>
      <c r="CP389" s="1082"/>
      <c r="CQ389" s="1082"/>
      <c r="CR389" s="1082"/>
      <c r="CS389" s="1082"/>
      <c r="CT389" s="1082"/>
      <c r="CU389" s="1082"/>
      <c r="CV389" s="1082"/>
      <c r="CW389" s="1082"/>
      <c r="CX389" s="1082"/>
      <c r="CY389" s="1082"/>
      <c r="CZ389" s="1082"/>
      <c r="DA389" s="1082"/>
      <c r="DB389" s="1082"/>
      <c r="DC389" s="1082"/>
      <c r="DD389" s="1082"/>
      <c r="DE389" s="1082"/>
      <c r="DF389" s="1082"/>
      <c r="DG389" s="1082"/>
      <c r="DH389" s="1082"/>
      <c r="DI389" s="1082"/>
      <c r="DJ389" s="1082"/>
      <c r="DK389" s="1082"/>
      <c r="DL389" s="1082"/>
      <c r="DM389" s="1082"/>
      <c r="DN389" s="1082"/>
      <c r="DO389" s="1082"/>
      <c r="DP389" s="1082"/>
      <c r="DQ389" s="1082"/>
      <c r="DR389" s="1082"/>
      <c r="DS389" s="1082"/>
      <c r="DT389" s="1082"/>
      <c r="DU389" s="1082"/>
      <c r="DV389" s="1082"/>
      <c r="DW389" s="1082"/>
      <c r="DX389" s="1082"/>
      <c r="DY389" s="1082"/>
      <c r="DZ389" s="1082"/>
      <c r="EA389" s="1082"/>
      <c r="EB389" s="1082"/>
      <c r="EC389" s="1082"/>
      <c r="ED389" s="1082"/>
      <c r="EE389" s="1082"/>
      <c r="EF389" s="1082"/>
      <c r="EG389" s="1082"/>
      <c r="EH389" s="1082"/>
      <c r="EI389" s="1082"/>
      <c r="EJ389" s="1082"/>
      <c r="EK389" s="1082"/>
      <c r="EL389" s="1082"/>
      <c r="EM389" s="1082"/>
      <c r="EN389" s="1082"/>
      <c r="EO389" s="1082"/>
      <c r="EP389" s="1082"/>
      <c r="EQ389" s="1082"/>
      <c r="ER389" s="1082"/>
      <c r="ES389" s="1082"/>
      <c r="ET389" s="1082"/>
      <c r="EU389" s="1082"/>
      <c r="EV389" s="1082"/>
      <c r="EW389" s="1082"/>
      <c r="EX389" s="1082"/>
      <c r="EY389" s="1082"/>
      <c r="EZ389" s="1082"/>
      <c r="FA389" s="1082"/>
      <c r="FB389" s="1082"/>
    </row>
    <row r="390" spans="1:158" s="1099" customFormat="1" ht="32.1" customHeight="1">
      <c r="A390" s="1169"/>
      <c r="B390" s="1097" t="s">
        <v>562</v>
      </c>
      <c r="C390" s="1507">
        <f t="shared" ref="C390:H390" si="92">AVERAGE(C391:C393)</f>
        <v>0.45247524301744702</v>
      </c>
      <c r="D390" s="1507">
        <f t="shared" si="92"/>
        <v>0.61851768995877043</v>
      </c>
      <c r="E390" s="1507">
        <f t="shared" si="92"/>
        <v>0</v>
      </c>
      <c r="F390" s="1507">
        <f t="shared" si="92"/>
        <v>0.62609707790074431</v>
      </c>
      <c r="G390" s="1507">
        <f t="shared" si="92"/>
        <v>0.66729557977340359</v>
      </c>
      <c r="H390" s="1507">
        <f t="shared" si="92"/>
        <v>0.43902103073987558</v>
      </c>
      <c r="I390" s="1761"/>
      <c r="J390" s="1274"/>
      <c r="K390" s="1274"/>
      <c r="L390" s="1274"/>
      <c r="M390" s="1274"/>
      <c r="N390" s="1274"/>
      <c r="O390" s="1274"/>
      <c r="P390" s="1274"/>
      <c r="Q390" s="1166"/>
      <c r="R390" s="1081"/>
      <c r="S390" s="1082"/>
      <c r="T390" s="1082"/>
      <c r="U390" s="1082"/>
      <c r="V390" s="1082"/>
      <c r="W390" s="1082"/>
      <c r="X390" s="1082"/>
      <c r="Y390" s="1082"/>
      <c r="Z390" s="1082"/>
      <c r="AA390" s="1082"/>
      <c r="AB390" s="1082"/>
      <c r="AC390" s="1082"/>
      <c r="AD390" s="1082"/>
      <c r="AE390" s="1082"/>
      <c r="AF390" s="1082"/>
      <c r="AG390" s="1082"/>
      <c r="AH390" s="1082"/>
      <c r="AI390" s="1082"/>
      <c r="AJ390" s="1082"/>
      <c r="AK390" s="1082"/>
      <c r="AL390" s="1082"/>
      <c r="AM390" s="1082"/>
      <c r="AN390" s="1082"/>
      <c r="AO390" s="1082"/>
      <c r="AP390" s="1082"/>
      <c r="AQ390" s="1082"/>
      <c r="AR390" s="1082"/>
      <c r="AS390" s="1082"/>
      <c r="AT390" s="1082"/>
      <c r="AU390" s="1082"/>
      <c r="AV390" s="1082"/>
      <c r="AW390" s="1082"/>
      <c r="AX390" s="1082"/>
      <c r="AY390" s="1082"/>
      <c r="AZ390" s="1082"/>
      <c r="BA390" s="1082"/>
      <c r="BB390" s="1082"/>
      <c r="BC390" s="1082"/>
      <c r="BD390" s="1082"/>
      <c r="BE390" s="1082"/>
      <c r="BF390" s="1082"/>
      <c r="BG390" s="1082"/>
      <c r="BH390" s="1082"/>
      <c r="BI390" s="1082"/>
      <c r="BJ390" s="1082"/>
      <c r="BK390" s="1082"/>
      <c r="BL390" s="1082"/>
      <c r="BM390" s="1082"/>
      <c r="BN390" s="1082"/>
      <c r="BO390" s="1082"/>
      <c r="BP390" s="1082"/>
      <c r="BQ390" s="1082"/>
      <c r="BR390" s="1082"/>
      <c r="BS390" s="1082"/>
      <c r="BT390" s="1082"/>
      <c r="BU390" s="1082"/>
      <c r="BV390" s="1082"/>
      <c r="BW390" s="1082"/>
      <c r="BX390" s="1082"/>
      <c r="BY390" s="1082"/>
      <c r="BZ390" s="1082"/>
      <c r="CA390" s="1082"/>
      <c r="CB390" s="1082"/>
      <c r="CC390" s="1082"/>
      <c r="CD390" s="1082"/>
      <c r="CE390" s="1082"/>
      <c r="CF390" s="1082"/>
      <c r="CG390" s="1082"/>
      <c r="CH390" s="1082"/>
      <c r="CI390" s="1082"/>
      <c r="CJ390" s="1082"/>
      <c r="CK390" s="1082"/>
      <c r="CL390" s="1082"/>
      <c r="CM390" s="1082"/>
      <c r="CN390" s="1082"/>
      <c r="CO390" s="1082"/>
      <c r="CP390" s="1082"/>
      <c r="CQ390" s="1082"/>
      <c r="CR390" s="1082"/>
      <c r="CS390" s="1082"/>
      <c r="CT390" s="1082"/>
      <c r="CU390" s="1082"/>
      <c r="CV390" s="1082"/>
      <c r="CW390" s="1082"/>
      <c r="CX390" s="1082"/>
      <c r="CY390" s="1082"/>
      <c r="CZ390" s="1082"/>
      <c r="DA390" s="1082"/>
      <c r="DB390" s="1082"/>
      <c r="DC390" s="1082"/>
      <c r="DD390" s="1082"/>
      <c r="DE390" s="1082"/>
      <c r="DF390" s="1082"/>
      <c r="DG390" s="1082"/>
      <c r="DH390" s="1082"/>
      <c r="DI390" s="1082"/>
      <c r="DJ390" s="1082"/>
      <c r="DK390" s="1082"/>
      <c r="DL390" s="1082"/>
      <c r="DM390" s="1082"/>
      <c r="DN390" s="1082"/>
      <c r="DO390" s="1082"/>
      <c r="DP390" s="1082"/>
      <c r="DQ390" s="1082"/>
      <c r="DR390" s="1082"/>
      <c r="DS390" s="1082"/>
      <c r="DT390" s="1082"/>
      <c r="DU390" s="1082"/>
      <c r="DV390" s="1082"/>
      <c r="DW390" s="1082"/>
      <c r="DX390" s="1082"/>
      <c r="DY390" s="1082"/>
      <c r="DZ390" s="1082"/>
      <c r="EA390" s="1082"/>
      <c r="EB390" s="1082"/>
      <c r="EC390" s="1082"/>
      <c r="ED390" s="1082"/>
      <c r="EE390" s="1082"/>
      <c r="EF390" s="1082"/>
      <c r="EG390" s="1082"/>
      <c r="EH390" s="1082"/>
      <c r="EI390" s="1082"/>
      <c r="EJ390" s="1082"/>
      <c r="EK390" s="1082"/>
      <c r="EL390" s="1082"/>
      <c r="EM390" s="1082"/>
      <c r="EN390" s="1082"/>
      <c r="EO390" s="1082"/>
      <c r="EP390" s="1082"/>
      <c r="EQ390" s="1082"/>
      <c r="ER390" s="1082"/>
      <c r="ES390" s="1082"/>
      <c r="ET390" s="1082"/>
      <c r="EU390" s="1082"/>
      <c r="EV390" s="1082"/>
      <c r="EW390" s="1082"/>
      <c r="EX390" s="1082"/>
      <c r="EY390" s="1082"/>
      <c r="EZ390" s="1082"/>
      <c r="FA390" s="1082"/>
      <c r="FB390" s="1082"/>
    </row>
    <row r="391" spans="1:158" s="1099" customFormat="1" ht="32.1" customHeight="1">
      <c r="A391" s="1169"/>
      <c r="B391" s="1269" t="s">
        <v>563</v>
      </c>
      <c r="C391" s="1424">
        <f t="shared" ref="C391:H393" si="93">IF(J391&gt;$P391,1,IF(J391&lt;$Q391,0,(J391-$Q391)/($P391-$Q391)))</f>
        <v>0.25093632958801498</v>
      </c>
      <c r="D391" s="1424">
        <f t="shared" si="93"/>
        <v>0.74906367041198507</v>
      </c>
      <c r="E391" s="1424">
        <f t="shared" si="93"/>
        <v>0</v>
      </c>
      <c r="F391" s="1424">
        <f t="shared" si="93"/>
        <v>0.37453183520599254</v>
      </c>
      <c r="G391" s="1424">
        <f t="shared" si="93"/>
        <v>0.49812734082397009</v>
      </c>
      <c r="H391" s="1424">
        <f t="shared" si="93"/>
        <v>0.49812734082397009</v>
      </c>
      <c r="I391" s="1761" t="s">
        <v>5295</v>
      </c>
      <c r="J391" s="1274">
        <v>1.67</v>
      </c>
      <c r="K391" s="1274">
        <v>3</v>
      </c>
      <c r="L391" s="1274">
        <v>1</v>
      </c>
      <c r="M391" s="1274">
        <v>2</v>
      </c>
      <c r="N391" s="1274">
        <v>2.33</v>
      </c>
      <c r="O391" s="1274">
        <v>2.33</v>
      </c>
      <c r="P391" s="1274">
        <v>3.67</v>
      </c>
      <c r="Q391" s="1275">
        <v>1</v>
      </c>
      <c r="R391" s="1081"/>
      <c r="S391" s="1082"/>
      <c r="T391" s="1082"/>
      <c r="U391" s="1082"/>
      <c r="V391" s="1082"/>
      <c r="W391" s="1082"/>
      <c r="X391" s="1082"/>
      <c r="Y391" s="1082"/>
      <c r="Z391" s="1082"/>
      <c r="AA391" s="1082"/>
      <c r="AB391" s="1082"/>
      <c r="AC391" s="1082"/>
      <c r="AD391" s="1082"/>
      <c r="AE391" s="1082"/>
      <c r="AF391" s="1082"/>
      <c r="AG391" s="1082"/>
      <c r="AH391" s="1082"/>
      <c r="AI391" s="1082"/>
      <c r="AJ391" s="1082"/>
      <c r="AK391" s="1082"/>
      <c r="AL391" s="1082"/>
      <c r="AM391" s="1082"/>
      <c r="AN391" s="1082"/>
      <c r="AO391" s="1082"/>
      <c r="AP391" s="1082"/>
      <c r="AQ391" s="1082"/>
      <c r="AR391" s="1082"/>
      <c r="AS391" s="1082"/>
      <c r="AT391" s="1082"/>
      <c r="AU391" s="1082"/>
      <c r="AV391" s="1082"/>
      <c r="AW391" s="1082"/>
      <c r="AX391" s="1082"/>
      <c r="AY391" s="1082"/>
      <c r="AZ391" s="1082"/>
      <c r="BA391" s="1082"/>
      <c r="BB391" s="1082"/>
      <c r="BC391" s="1082"/>
      <c r="BD391" s="1082"/>
      <c r="BE391" s="1082"/>
      <c r="BF391" s="1082"/>
      <c r="BG391" s="1082"/>
      <c r="BH391" s="1082"/>
      <c r="BI391" s="1082"/>
      <c r="BJ391" s="1082"/>
      <c r="BK391" s="1082"/>
      <c r="BL391" s="1082"/>
      <c r="BM391" s="1082"/>
      <c r="BN391" s="1082"/>
      <c r="BO391" s="1082"/>
      <c r="BP391" s="1082"/>
      <c r="BQ391" s="1082"/>
      <c r="BR391" s="1082"/>
      <c r="BS391" s="1082"/>
      <c r="BT391" s="1082"/>
      <c r="BU391" s="1082"/>
      <c r="BV391" s="1082"/>
      <c r="BW391" s="1082"/>
      <c r="BX391" s="1082"/>
      <c r="BY391" s="1082"/>
      <c r="BZ391" s="1082"/>
      <c r="CA391" s="1082"/>
      <c r="CB391" s="1082"/>
      <c r="CC391" s="1082"/>
      <c r="CD391" s="1082"/>
      <c r="CE391" s="1082"/>
      <c r="CF391" s="1082"/>
      <c r="CG391" s="1082"/>
      <c r="CH391" s="1082"/>
      <c r="CI391" s="1082"/>
      <c r="CJ391" s="1082"/>
      <c r="CK391" s="1082"/>
      <c r="CL391" s="1082"/>
      <c r="CM391" s="1082"/>
      <c r="CN391" s="1082"/>
      <c r="CO391" s="1082"/>
      <c r="CP391" s="1082"/>
      <c r="CQ391" s="1082"/>
      <c r="CR391" s="1082"/>
      <c r="CS391" s="1082"/>
      <c r="CT391" s="1082"/>
      <c r="CU391" s="1082"/>
      <c r="CV391" s="1082"/>
      <c r="CW391" s="1082"/>
      <c r="CX391" s="1082"/>
      <c r="CY391" s="1082"/>
      <c r="CZ391" s="1082"/>
      <c r="DA391" s="1082"/>
      <c r="DB391" s="1082"/>
      <c r="DC391" s="1082"/>
      <c r="DD391" s="1082"/>
      <c r="DE391" s="1082"/>
      <c r="DF391" s="1082"/>
      <c r="DG391" s="1082"/>
      <c r="DH391" s="1082"/>
      <c r="DI391" s="1082"/>
      <c r="DJ391" s="1082"/>
      <c r="DK391" s="1082"/>
      <c r="DL391" s="1082"/>
      <c r="DM391" s="1082"/>
      <c r="DN391" s="1082"/>
      <c r="DO391" s="1082"/>
      <c r="DP391" s="1082"/>
      <c r="DQ391" s="1082"/>
      <c r="DR391" s="1082"/>
      <c r="DS391" s="1082"/>
      <c r="DT391" s="1082"/>
      <c r="DU391" s="1082"/>
      <c r="DV391" s="1082"/>
      <c r="DW391" s="1082"/>
      <c r="DX391" s="1082"/>
      <c r="DY391" s="1082"/>
      <c r="DZ391" s="1082"/>
      <c r="EA391" s="1082"/>
      <c r="EB391" s="1082"/>
      <c r="EC391" s="1082"/>
      <c r="ED391" s="1082"/>
      <c r="EE391" s="1082"/>
      <c r="EF391" s="1082"/>
      <c r="EG391" s="1082"/>
      <c r="EH391" s="1082"/>
      <c r="EI391" s="1082"/>
      <c r="EJ391" s="1082"/>
      <c r="EK391" s="1082"/>
      <c r="EL391" s="1082"/>
      <c r="EM391" s="1082"/>
      <c r="EN391" s="1082"/>
      <c r="EO391" s="1082"/>
      <c r="EP391" s="1082"/>
      <c r="EQ391" s="1082"/>
      <c r="ER391" s="1082"/>
      <c r="ES391" s="1082"/>
      <c r="ET391" s="1082"/>
      <c r="EU391" s="1082"/>
      <c r="EV391" s="1082"/>
      <c r="EW391" s="1082"/>
      <c r="EX391" s="1082"/>
      <c r="EY391" s="1082"/>
      <c r="EZ391" s="1082"/>
      <c r="FA391" s="1082"/>
      <c r="FB391" s="1082"/>
    </row>
    <row r="392" spans="1:158" s="1099" customFormat="1" ht="32.1" customHeight="1">
      <c r="A392" s="1169"/>
      <c r="B392" s="1269" t="s">
        <v>564</v>
      </c>
      <c r="C392" s="1424">
        <f t="shared" si="93"/>
        <v>0.24812030075187974</v>
      </c>
      <c r="D392" s="1424">
        <f t="shared" si="93"/>
        <v>0.24812030075187974</v>
      </c>
      <c r="E392" s="1424">
        <f t="shared" si="93"/>
        <v>0</v>
      </c>
      <c r="F392" s="1424">
        <f t="shared" si="93"/>
        <v>0.50375939849624052</v>
      </c>
      <c r="G392" s="1424">
        <f t="shared" si="93"/>
        <v>0.50375939849624052</v>
      </c>
      <c r="H392" s="1424">
        <f t="shared" si="93"/>
        <v>0.24812030075187974</v>
      </c>
      <c r="I392" s="1761" t="s">
        <v>5295</v>
      </c>
      <c r="J392" s="1274">
        <v>2.33</v>
      </c>
      <c r="K392" s="1274">
        <v>2.33</v>
      </c>
      <c r="L392" s="1274">
        <v>2</v>
      </c>
      <c r="M392" s="1274">
        <v>2.67</v>
      </c>
      <c r="N392" s="1274">
        <v>2.67</v>
      </c>
      <c r="O392" s="1274">
        <v>2.33</v>
      </c>
      <c r="P392" s="1274">
        <v>3.33</v>
      </c>
      <c r="Q392" s="1275">
        <v>2</v>
      </c>
      <c r="R392" s="1081"/>
      <c r="S392" s="1082"/>
      <c r="T392" s="1082"/>
      <c r="U392" s="1082"/>
      <c r="V392" s="1082"/>
      <c r="W392" s="1082"/>
      <c r="X392" s="1082"/>
      <c r="Y392" s="1082"/>
      <c r="Z392" s="1082"/>
      <c r="AA392" s="1082"/>
      <c r="AB392" s="1082"/>
      <c r="AC392" s="1082"/>
      <c r="AD392" s="1082"/>
      <c r="AE392" s="1082"/>
      <c r="AF392" s="1082"/>
      <c r="AG392" s="1082"/>
      <c r="AH392" s="1082"/>
      <c r="AI392" s="1082"/>
      <c r="AJ392" s="1082"/>
      <c r="AK392" s="1082"/>
      <c r="AL392" s="1082"/>
      <c r="AM392" s="1082"/>
      <c r="AN392" s="1082"/>
      <c r="AO392" s="1082"/>
      <c r="AP392" s="1082"/>
      <c r="AQ392" s="1082"/>
      <c r="AR392" s="1082"/>
      <c r="AS392" s="1082"/>
      <c r="AT392" s="1082"/>
      <c r="AU392" s="1082"/>
      <c r="AV392" s="1082"/>
      <c r="AW392" s="1082"/>
      <c r="AX392" s="1082"/>
      <c r="AY392" s="1082"/>
      <c r="AZ392" s="1082"/>
      <c r="BA392" s="1082"/>
      <c r="BB392" s="1082"/>
      <c r="BC392" s="1082"/>
      <c r="BD392" s="1082"/>
      <c r="BE392" s="1082"/>
      <c r="BF392" s="1082"/>
      <c r="BG392" s="1082"/>
      <c r="BH392" s="1082"/>
      <c r="BI392" s="1082"/>
      <c r="BJ392" s="1082"/>
      <c r="BK392" s="1082"/>
      <c r="BL392" s="1082"/>
      <c r="BM392" s="1082"/>
      <c r="BN392" s="1082"/>
      <c r="BO392" s="1082"/>
      <c r="BP392" s="1082"/>
      <c r="BQ392" s="1082"/>
      <c r="BR392" s="1082"/>
      <c r="BS392" s="1082"/>
      <c r="BT392" s="1082"/>
      <c r="BU392" s="1082"/>
      <c r="BV392" s="1082"/>
      <c r="BW392" s="1082"/>
      <c r="BX392" s="1082"/>
      <c r="BY392" s="1082"/>
      <c r="BZ392" s="1082"/>
      <c r="CA392" s="1082"/>
      <c r="CB392" s="1082"/>
      <c r="CC392" s="1082"/>
      <c r="CD392" s="1082"/>
      <c r="CE392" s="1082"/>
      <c r="CF392" s="1082"/>
      <c r="CG392" s="1082"/>
      <c r="CH392" s="1082"/>
      <c r="CI392" s="1082"/>
      <c r="CJ392" s="1082"/>
      <c r="CK392" s="1082"/>
      <c r="CL392" s="1082"/>
      <c r="CM392" s="1082"/>
      <c r="CN392" s="1082"/>
      <c r="CO392" s="1082"/>
      <c r="CP392" s="1082"/>
      <c r="CQ392" s="1082"/>
      <c r="CR392" s="1082"/>
      <c r="CS392" s="1082"/>
      <c r="CT392" s="1082"/>
      <c r="CU392" s="1082"/>
      <c r="CV392" s="1082"/>
      <c r="CW392" s="1082"/>
      <c r="CX392" s="1082"/>
      <c r="CY392" s="1082"/>
      <c r="CZ392" s="1082"/>
      <c r="DA392" s="1082"/>
      <c r="DB392" s="1082"/>
      <c r="DC392" s="1082"/>
      <c r="DD392" s="1082"/>
      <c r="DE392" s="1082"/>
      <c r="DF392" s="1082"/>
      <c r="DG392" s="1082"/>
      <c r="DH392" s="1082"/>
      <c r="DI392" s="1082"/>
      <c r="DJ392" s="1082"/>
      <c r="DK392" s="1082"/>
      <c r="DL392" s="1082"/>
      <c r="DM392" s="1082"/>
      <c r="DN392" s="1082"/>
      <c r="DO392" s="1082"/>
      <c r="DP392" s="1082"/>
      <c r="DQ392" s="1082"/>
      <c r="DR392" s="1082"/>
      <c r="DS392" s="1082"/>
      <c r="DT392" s="1082"/>
      <c r="DU392" s="1082"/>
      <c r="DV392" s="1082"/>
      <c r="DW392" s="1082"/>
      <c r="DX392" s="1082"/>
      <c r="DY392" s="1082"/>
      <c r="DZ392" s="1082"/>
      <c r="EA392" s="1082"/>
      <c r="EB392" s="1082"/>
      <c r="EC392" s="1082"/>
      <c r="ED392" s="1082"/>
      <c r="EE392" s="1082"/>
      <c r="EF392" s="1082"/>
      <c r="EG392" s="1082"/>
      <c r="EH392" s="1082"/>
      <c r="EI392" s="1082"/>
      <c r="EJ392" s="1082"/>
      <c r="EK392" s="1082"/>
      <c r="EL392" s="1082"/>
      <c r="EM392" s="1082"/>
      <c r="EN392" s="1082"/>
      <c r="EO392" s="1082"/>
      <c r="EP392" s="1082"/>
      <c r="EQ392" s="1082"/>
      <c r="ER392" s="1082"/>
      <c r="ES392" s="1082"/>
      <c r="ET392" s="1082"/>
      <c r="EU392" s="1082"/>
      <c r="EV392" s="1082"/>
      <c r="EW392" s="1082"/>
      <c r="EX392" s="1082"/>
      <c r="EY392" s="1082"/>
      <c r="EZ392" s="1082"/>
      <c r="FA392" s="1082"/>
      <c r="FB392" s="1082"/>
    </row>
    <row r="393" spans="1:158" s="1099" customFormat="1" ht="32.1" customHeight="1">
      <c r="A393" s="1169"/>
      <c r="B393" s="1269" t="s">
        <v>565</v>
      </c>
      <c r="C393" s="1424">
        <f t="shared" si="93"/>
        <v>0.85836909871244638</v>
      </c>
      <c r="D393" s="1424">
        <f t="shared" si="93"/>
        <v>0.85836909871244638</v>
      </c>
      <c r="E393" s="1424">
        <f t="shared" si="93"/>
        <v>0</v>
      </c>
      <c r="F393" s="1424">
        <f t="shared" si="93"/>
        <v>1</v>
      </c>
      <c r="G393" s="1424">
        <f t="shared" si="93"/>
        <v>1</v>
      </c>
      <c r="H393" s="1424">
        <f t="shared" si="93"/>
        <v>0.57081545064377681</v>
      </c>
      <c r="I393" s="1761" t="s">
        <v>5295</v>
      </c>
      <c r="J393" s="1274">
        <v>3</v>
      </c>
      <c r="K393" s="1274">
        <v>3</v>
      </c>
      <c r="L393" s="1274">
        <v>1</v>
      </c>
      <c r="M393" s="1274">
        <v>3.33</v>
      </c>
      <c r="N393" s="1274">
        <v>3.33</v>
      </c>
      <c r="O393" s="1274">
        <v>2.33</v>
      </c>
      <c r="P393" s="1274">
        <v>3.33</v>
      </c>
      <c r="Q393" s="1275">
        <v>1</v>
      </c>
      <c r="R393" s="1081"/>
      <c r="S393" s="1082"/>
      <c r="T393" s="1082"/>
      <c r="U393" s="1082"/>
      <c r="V393" s="1082"/>
      <c r="W393" s="1082"/>
      <c r="X393" s="1082"/>
      <c r="Y393" s="1082"/>
      <c r="Z393" s="1082"/>
      <c r="AA393" s="1082"/>
      <c r="AB393" s="1082"/>
      <c r="AC393" s="1082"/>
      <c r="AD393" s="1082"/>
      <c r="AE393" s="1082"/>
      <c r="AF393" s="1082"/>
      <c r="AG393" s="1082"/>
      <c r="AH393" s="1082"/>
      <c r="AI393" s="1082"/>
      <c r="AJ393" s="1082"/>
      <c r="AK393" s="1082"/>
      <c r="AL393" s="1082"/>
      <c r="AM393" s="1082"/>
      <c r="AN393" s="1082"/>
      <c r="AO393" s="1082"/>
      <c r="AP393" s="1082"/>
      <c r="AQ393" s="1082"/>
      <c r="AR393" s="1082"/>
      <c r="AS393" s="1082"/>
      <c r="AT393" s="1082"/>
      <c r="AU393" s="1082"/>
      <c r="AV393" s="1082"/>
      <c r="AW393" s="1082"/>
      <c r="AX393" s="1082"/>
      <c r="AY393" s="1082"/>
      <c r="AZ393" s="1082"/>
      <c r="BA393" s="1082"/>
      <c r="BB393" s="1082"/>
      <c r="BC393" s="1082"/>
      <c r="BD393" s="1082"/>
      <c r="BE393" s="1082"/>
      <c r="BF393" s="1082"/>
      <c r="BG393" s="1082"/>
      <c r="BH393" s="1082"/>
      <c r="BI393" s="1082"/>
      <c r="BJ393" s="1082"/>
      <c r="BK393" s="1082"/>
      <c r="BL393" s="1082"/>
      <c r="BM393" s="1082"/>
      <c r="BN393" s="1082"/>
      <c r="BO393" s="1082"/>
      <c r="BP393" s="1082"/>
      <c r="BQ393" s="1082"/>
      <c r="BR393" s="1082"/>
      <c r="BS393" s="1082"/>
      <c r="BT393" s="1082"/>
      <c r="BU393" s="1082"/>
      <c r="BV393" s="1082"/>
      <c r="BW393" s="1082"/>
      <c r="BX393" s="1082"/>
      <c r="BY393" s="1082"/>
      <c r="BZ393" s="1082"/>
      <c r="CA393" s="1082"/>
      <c r="CB393" s="1082"/>
      <c r="CC393" s="1082"/>
      <c r="CD393" s="1082"/>
      <c r="CE393" s="1082"/>
      <c r="CF393" s="1082"/>
      <c r="CG393" s="1082"/>
      <c r="CH393" s="1082"/>
      <c r="CI393" s="1082"/>
      <c r="CJ393" s="1082"/>
      <c r="CK393" s="1082"/>
      <c r="CL393" s="1082"/>
      <c r="CM393" s="1082"/>
      <c r="CN393" s="1082"/>
      <c r="CO393" s="1082"/>
      <c r="CP393" s="1082"/>
      <c r="CQ393" s="1082"/>
      <c r="CR393" s="1082"/>
      <c r="CS393" s="1082"/>
      <c r="CT393" s="1082"/>
      <c r="CU393" s="1082"/>
      <c r="CV393" s="1082"/>
      <c r="CW393" s="1082"/>
      <c r="CX393" s="1082"/>
      <c r="CY393" s="1082"/>
      <c r="CZ393" s="1082"/>
      <c r="DA393" s="1082"/>
      <c r="DB393" s="1082"/>
      <c r="DC393" s="1082"/>
      <c r="DD393" s="1082"/>
      <c r="DE393" s="1082"/>
      <c r="DF393" s="1082"/>
      <c r="DG393" s="1082"/>
      <c r="DH393" s="1082"/>
      <c r="DI393" s="1082"/>
      <c r="DJ393" s="1082"/>
      <c r="DK393" s="1082"/>
      <c r="DL393" s="1082"/>
      <c r="DM393" s="1082"/>
      <c r="DN393" s="1082"/>
      <c r="DO393" s="1082"/>
      <c r="DP393" s="1082"/>
      <c r="DQ393" s="1082"/>
      <c r="DR393" s="1082"/>
      <c r="DS393" s="1082"/>
      <c r="DT393" s="1082"/>
      <c r="DU393" s="1082"/>
      <c r="DV393" s="1082"/>
      <c r="DW393" s="1082"/>
      <c r="DX393" s="1082"/>
      <c r="DY393" s="1082"/>
      <c r="DZ393" s="1082"/>
      <c r="EA393" s="1082"/>
      <c r="EB393" s="1082"/>
      <c r="EC393" s="1082"/>
      <c r="ED393" s="1082"/>
      <c r="EE393" s="1082"/>
      <c r="EF393" s="1082"/>
      <c r="EG393" s="1082"/>
      <c r="EH393" s="1082"/>
      <c r="EI393" s="1082"/>
      <c r="EJ393" s="1082"/>
      <c r="EK393" s="1082"/>
      <c r="EL393" s="1082"/>
      <c r="EM393" s="1082"/>
      <c r="EN393" s="1082"/>
      <c r="EO393" s="1082"/>
      <c r="EP393" s="1082"/>
      <c r="EQ393" s="1082"/>
      <c r="ER393" s="1082"/>
      <c r="ES393" s="1082"/>
      <c r="ET393" s="1082"/>
      <c r="EU393" s="1082"/>
      <c r="EV393" s="1082"/>
      <c r="EW393" s="1082"/>
      <c r="EX393" s="1082"/>
      <c r="EY393" s="1082"/>
      <c r="EZ393" s="1082"/>
      <c r="FA393" s="1082"/>
      <c r="FB393" s="1082"/>
    </row>
    <row r="394" spans="1:158" s="1099" customFormat="1" ht="32.1" customHeight="1">
      <c r="A394" s="1169"/>
      <c r="B394" s="1097" t="s">
        <v>566</v>
      </c>
      <c r="C394" s="1507">
        <f t="shared" ref="C394:H394" si="94">AVERAGE(C395:C398)</f>
        <v>0.53344699155905051</v>
      </c>
      <c r="D394" s="1507">
        <f t="shared" si="94"/>
        <v>0.57439939398311812</v>
      </c>
      <c r="E394" s="1507">
        <f t="shared" si="94"/>
        <v>8.2500000000000018E-2</v>
      </c>
      <c r="F394" s="1507">
        <f t="shared" si="94"/>
        <v>0.43159999278551336</v>
      </c>
      <c r="G394" s="1507">
        <f t="shared" si="94"/>
        <v>0.53375360724334464</v>
      </c>
      <c r="H394" s="1507">
        <f t="shared" si="94"/>
        <v>0.24875000000000003</v>
      </c>
      <c r="I394" s="1767"/>
      <c r="J394" s="1274"/>
      <c r="K394" s="1274"/>
      <c r="L394" s="1274"/>
      <c r="M394" s="1274"/>
      <c r="N394" s="1274"/>
      <c r="O394" s="1274"/>
      <c r="P394" s="1274"/>
      <c r="Q394" s="1166"/>
      <c r="R394" s="1081"/>
      <c r="S394" s="1082"/>
      <c r="T394" s="1082"/>
      <c r="U394" s="1082"/>
      <c r="V394" s="1082"/>
      <c r="W394" s="1082"/>
      <c r="X394" s="1082"/>
      <c r="Y394" s="1082"/>
      <c r="Z394" s="1082"/>
      <c r="AA394" s="1082"/>
      <c r="AB394" s="1082"/>
      <c r="AC394" s="1082"/>
      <c r="AD394" s="1082"/>
      <c r="AE394" s="1082"/>
      <c r="AF394" s="1082"/>
      <c r="AG394" s="1082"/>
      <c r="AH394" s="1082"/>
      <c r="AI394" s="1082"/>
      <c r="AJ394" s="1082"/>
      <c r="AK394" s="1082"/>
      <c r="AL394" s="1082"/>
      <c r="AM394" s="1082"/>
      <c r="AN394" s="1082"/>
      <c r="AO394" s="1082"/>
      <c r="AP394" s="1082"/>
      <c r="AQ394" s="1082"/>
      <c r="AR394" s="1082"/>
      <c r="AS394" s="1082"/>
      <c r="AT394" s="1082"/>
      <c r="AU394" s="1082"/>
      <c r="AV394" s="1082"/>
      <c r="AW394" s="1082"/>
      <c r="AX394" s="1082"/>
      <c r="AY394" s="1082"/>
      <c r="AZ394" s="1082"/>
      <c r="BA394" s="1082"/>
      <c r="BB394" s="1082"/>
      <c r="BC394" s="1082"/>
      <c r="BD394" s="1082"/>
      <c r="BE394" s="1082"/>
      <c r="BF394" s="1082"/>
      <c r="BG394" s="1082"/>
      <c r="BH394" s="1082"/>
      <c r="BI394" s="1082"/>
      <c r="BJ394" s="1082"/>
      <c r="BK394" s="1082"/>
      <c r="BL394" s="1082"/>
      <c r="BM394" s="1082"/>
      <c r="BN394" s="1082"/>
      <c r="BO394" s="1082"/>
      <c r="BP394" s="1082"/>
      <c r="BQ394" s="1082"/>
      <c r="BR394" s="1082"/>
      <c r="BS394" s="1082"/>
      <c r="BT394" s="1082"/>
      <c r="BU394" s="1082"/>
      <c r="BV394" s="1082"/>
      <c r="BW394" s="1082"/>
      <c r="BX394" s="1082"/>
      <c r="BY394" s="1082"/>
      <c r="BZ394" s="1082"/>
      <c r="CA394" s="1082"/>
      <c r="CB394" s="1082"/>
      <c r="CC394" s="1082"/>
      <c r="CD394" s="1082"/>
      <c r="CE394" s="1082"/>
      <c r="CF394" s="1082"/>
      <c r="CG394" s="1082"/>
      <c r="CH394" s="1082"/>
      <c r="CI394" s="1082"/>
      <c r="CJ394" s="1082"/>
      <c r="CK394" s="1082"/>
      <c r="CL394" s="1082"/>
      <c r="CM394" s="1082"/>
      <c r="CN394" s="1082"/>
      <c r="CO394" s="1082"/>
      <c r="CP394" s="1082"/>
      <c r="CQ394" s="1082"/>
      <c r="CR394" s="1082"/>
      <c r="CS394" s="1082"/>
      <c r="CT394" s="1082"/>
      <c r="CU394" s="1082"/>
      <c r="CV394" s="1082"/>
      <c r="CW394" s="1082"/>
      <c r="CX394" s="1082"/>
      <c r="CY394" s="1082"/>
      <c r="CZ394" s="1082"/>
      <c r="DA394" s="1082"/>
      <c r="DB394" s="1082"/>
      <c r="DC394" s="1082"/>
      <c r="DD394" s="1082"/>
      <c r="DE394" s="1082"/>
      <c r="DF394" s="1082"/>
      <c r="DG394" s="1082"/>
      <c r="DH394" s="1082"/>
      <c r="DI394" s="1082"/>
      <c r="DJ394" s="1082"/>
      <c r="DK394" s="1082"/>
      <c r="DL394" s="1082"/>
      <c r="DM394" s="1082"/>
      <c r="DN394" s="1082"/>
      <c r="DO394" s="1082"/>
      <c r="DP394" s="1082"/>
      <c r="DQ394" s="1082"/>
      <c r="DR394" s="1082"/>
      <c r="DS394" s="1082"/>
      <c r="DT394" s="1082"/>
      <c r="DU394" s="1082"/>
      <c r="DV394" s="1082"/>
      <c r="DW394" s="1082"/>
      <c r="DX394" s="1082"/>
      <c r="DY394" s="1082"/>
      <c r="DZ394" s="1082"/>
      <c r="EA394" s="1082"/>
      <c r="EB394" s="1082"/>
      <c r="EC394" s="1082"/>
      <c r="ED394" s="1082"/>
      <c r="EE394" s="1082"/>
      <c r="EF394" s="1082"/>
      <c r="EG394" s="1082"/>
      <c r="EH394" s="1082"/>
      <c r="EI394" s="1082"/>
      <c r="EJ394" s="1082"/>
      <c r="EK394" s="1082"/>
      <c r="EL394" s="1082"/>
      <c r="EM394" s="1082"/>
      <c r="EN394" s="1082"/>
      <c r="EO394" s="1082"/>
      <c r="EP394" s="1082"/>
      <c r="EQ394" s="1082"/>
      <c r="ER394" s="1082"/>
      <c r="ES394" s="1082"/>
      <c r="ET394" s="1082"/>
      <c r="EU394" s="1082"/>
      <c r="EV394" s="1082"/>
      <c r="EW394" s="1082"/>
      <c r="EX394" s="1082"/>
      <c r="EY394" s="1082"/>
      <c r="EZ394" s="1082"/>
      <c r="FA394" s="1082"/>
      <c r="FB394" s="1082"/>
    </row>
    <row r="395" spans="1:158" s="1099" customFormat="1" ht="32.1" customHeight="1">
      <c r="A395" s="1169"/>
      <c r="B395" s="1269" t="s">
        <v>567</v>
      </c>
      <c r="C395" s="1424">
        <f t="shared" ref="C395:H398" si="95">IF(J395&gt;$P395,1,IF(J395&lt;$Q395,0,(J395-$Q395)/($P395-$Q395)))</f>
        <v>0.39759036144578319</v>
      </c>
      <c r="D395" s="1424">
        <f t="shared" si="95"/>
        <v>0.1987951807228916</v>
      </c>
      <c r="E395" s="1424">
        <f t="shared" si="95"/>
        <v>0</v>
      </c>
      <c r="F395" s="1424">
        <f t="shared" si="95"/>
        <v>0.1987951807228916</v>
      </c>
      <c r="G395" s="1424">
        <f t="shared" si="95"/>
        <v>0.60240963855421681</v>
      </c>
      <c r="H395" s="1424">
        <f t="shared" si="95"/>
        <v>0</v>
      </c>
      <c r="I395" s="1761" t="s">
        <v>5295</v>
      </c>
      <c r="J395" s="1274">
        <v>2.33</v>
      </c>
      <c r="K395" s="1274">
        <v>2</v>
      </c>
      <c r="L395" s="1274">
        <v>1.67</v>
      </c>
      <c r="M395" s="1274">
        <v>2</v>
      </c>
      <c r="N395" s="1274">
        <v>2.67</v>
      </c>
      <c r="O395" s="1274">
        <v>1.67</v>
      </c>
      <c r="P395" s="1274">
        <v>3.33</v>
      </c>
      <c r="Q395" s="1275">
        <v>1.67</v>
      </c>
      <c r="R395" s="1081"/>
      <c r="S395" s="1082"/>
      <c r="T395" s="1082"/>
      <c r="U395" s="1082"/>
      <c r="V395" s="1082"/>
      <c r="W395" s="1082"/>
      <c r="X395" s="1082"/>
      <c r="Y395" s="1082"/>
      <c r="Z395" s="1082"/>
      <c r="AA395" s="1082"/>
      <c r="AB395" s="1082"/>
      <c r="AC395" s="1082"/>
      <c r="AD395" s="1082"/>
      <c r="AE395" s="1082"/>
      <c r="AF395" s="1082"/>
      <c r="AG395" s="1082"/>
      <c r="AH395" s="1082"/>
      <c r="AI395" s="1082"/>
      <c r="AJ395" s="1082"/>
      <c r="AK395" s="1082"/>
      <c r="AL395" s="1082"/>
      <c r="AM395" s="1082"/>
      <c r="AN395" s="1082"/>
      <c r="AO395" s="1082"/>
      <c r="AP395" s="1082"/>
      <c r="AQ395" s="1082"/>
      <c r="AR395" s="1082"/>
      <c r="AS395" s="1082"/>
      <c r="AT395" s="1082"/>
      <c r="AU395" s="1082"/>
      <c r="AV395" s="1082"/>
      <c r="AW395" s="1082"/>
      <c r="AX395" s="1082"/>
      <c r="AY395" s="1082"/>
      <c r="AZ395" s="1082"/>
      <c r="BA395" s="1082"/>
      <c r="BB395" s="1082"/>
      <c r="BC395" s="1082"/>
      <c r="BD395" s="1082"/>
      <c r="BE395" s="1082"/>
      <c r="BF395" s="1082"/>
      <c r="BG395" s="1082"/>
      <c r="BH395" s="1082"/>
      <c r="BI395" s="1082"/>
      <c r="BJ395" s="1082"/>
      <c r="BK395" s="1082"/>
      <c r="BL395" s="1082"/>
      <c r="BM395" s="1082"/>
      <c r="BN395" s="1082"/>
      <c r="BO395" s="1082"/>
      <c r="BP395" s="1082"/>
      <c r="BQ395" s="1082"/>
      <c r="BR395" s="1082"/>
      <c r="BS395" s="1082"/>
      <c r="BT395" s="1082"/>
      <c r="BU395" s="1082"/>
      <c r="BV395" s="1082"/>
      <c r="BW395" s="1082"/>
      <c r="BX395" s="1082"/>
      <c r="BY395" s="1082"/>
      <c r="BZ395" s="1082"/>
      <c r="CA395" s="1082"/>
      <c r="CB395" s="1082"/>
      <c r="CC395" s="1082"/>
      <c r="CD395" s="1082"/>
      <c r="CE395" s="1082"/>
      <c r="CF395" s="1082"/>
      <c r="CG395" s="1082"/>
      <c r="CH395" s="1082"/>
      <c r="CI395" s="1082"/>
      <c r="CJ395" s="1082"/>
      <c r="CK395" s="1082"/>
      <c r="CL395" s="1082"/>
      <c r="CM395" s="1082"/>
      <c r="CN395" s="1082"/>
      <c r="CO395" s="1082"/>
      <c r="CP395" s="1082"/>
      <c r="CQ395" s="1082"/>
      <c r="CR395" s="1082"/>
      <c r="CS395" s="1082"/>
      <c r="CT395" s="1082"/>
      <c r="CU395" s="1082"/>
      <c r="CV395" s="1082"/>
      <c r="CW395" s="1082"/>
      <c r="CX395" s="1082"/>
      <c r="CY395" s="1082"/>
      <c r="CZ395" s="1082"/>
      <c r="DA395" s="1082"/>
      <c r="DB395" s="1082"/>
      <c r="DC395" s="1082"/>
      <c r="DD395" s="1082"/>
      <c r="DE395" s="1082"/>
      <c r="DF395" s="1082"/>
      <c r="DG395" s="1082"/>
      <c r="DH395" s="1082"/>
      <c r="DI395" s="1082"/>
      <c r="DJ395" s="1082"/>
      <c r="DK395" s="1082"/>
      <c r="DL395" s="1082"/>
      <c r="DM395" s="1082"/>
      <c r="DN395" s="1082"/>
      <c r="DO395" s="1082"/>
      <c r="DP395" s="1082"/>
      <c r="DQ395" s="1082"/>
      <c r="DR395" s="1082"/>
      <c r="DS395" s="1082"/>
      <c r="DT395" s="1082"/>
      <c r="DU395" s="1082"/>
      <c r="DV395" s="1082"/>
      <c r="DW395" s="1082"/>
      <c r="DX395" s="1082"/>
      <c r="DY395" s="1082"/>
      <c r="DZ395" s="1082"/>
      <c r="EA395" s="1082"/>
      <c r="EB395" s="1082"/>
      <c r="EC395" s="1082"/>
      <c r="ED395" s="1082"/>
      <c r="EE395" s="1082"/>
      <c r="EF395" s="1082"/>
      <c r="EG395" s="1082"/>
      <c r="EH395" s="1082"/>
      <c r="EI395" s="1082"/>
      <c r="EJ395" s="1082"/>
      <c r="EK395" s="1082"/>
      <c r="EL395" s="1082"/>
      <c r="EM395" s="1082"/>
      <c r="EN395" s="1082"/>
      <c r="EO395" s="1082"/>
      <c r="EP395" s="1082"/>
      <c r="EQ395" s="1082"/>
      <c r="ER395" s="1082"/>
      <c r="ES395" s="1082"/>
      <c r="ET395" s="1082"/>
      <c r="EU395" s="1082"/>
      <c r="EV395" s="1082"/>
      <c r="EW395" s="1082"/>
      <c r="EX395" s="1082"/>
      <c r="EY395" s="1082"/>
      <c r="EZ395" s="1082"/>
      <c r="FA395" s="1082"/>
      <c r="FB395" s="1082"/>
    </row>
    <row r="396" spans="1:158" s="1099" customFormat="1" ht="32.1" customHeight="1">
      <c r="A396" s="1169"/>
      <c r="B396" s="1269" t="s">
        <v>568</v>
      </c>
      <c r="C396" s="1424">
        <f t="shared" si="95"/>
        <v>0.40119760479041916</v>
      </c>
      <c r="D396" s="1424">
        <f t="shared" si="95"/>
        <v>0.5988023952095809</v>
      </c>
      <c r="E396" s="1424">
        <f t="shared" si="95"/>
        <v>0</v>
      </c>
      <c r="F396" s="1424">
        <f t="shared" si="95"/>
        <v>0.19760479041916174</v>
      </c>
      <c r="G396" s="1424">
        <f t="shared" si="95"/>
        <v>0.19760479041916174</v>
      </c>
      <c r="H396" s="1424">
        <f t="shared" si="95"/>
        <v>0</v>
      </c>
      <c r="I396" s="1761" t="s">
        <v>5295</v>
      </c>
      <c r="J396" s="1274">
        <v>2.67</v>
      </c>
      <c r="K396" s="1274">
        <v>3</v>
      </c>
      <c r="L396" s="1274">
        <v>2</v>
      </c>
      <c r="M396" s="1274">
        <v>2.33</v>
      </c>
      <c r="N396" s="1274">
        <v>2.33</v>
      </c>
      <c r="O396" s="1274">
        <v>2</v>
      </c>
      <c r="P396" s="1274">
        <v>3.67</v>
      </c>
      <c r="Q396" s="1275">
        <v>2</v>
      </c>
      <c r="R396" s="1081"/>
      <c r="S396" s="1082"/>
      <c r="T396" s="1082"/>
      <c r="U396" s="1082"/>
      <c r="V396" s="1082"/>
      <c r="W396" s="1082"/>
      <c r="X396" s="1082"/>
      <c r="Y396" s="1082"/>
      <c r="Z396" s="1082"/>
      <c r="AA396" s="1082"/>
      <c r="AB396" s="1082"/>
      <c r="AC396" s="1082"/>
      <c r="AD396" s="1082"/>
      <c r="AE396" s="1082"/>
      <c r="AF396" s="1082"/>
      <c r="AG396" s="1082"/>
      <c r="AH396" s="1082"/>
      <c r="AI396" s="1082"/>
      <c r="AJ396" s="1082"/>
      <c r="AK396" s="1082"/>
      <c r="AL396" s="1082"/>
      <c r="AM396" s="1082"/>
      <c r="AN396" s="1082"/>
      <c r="AO396" s="1082"/>
      <c r="AP396" s="1082"/>
      <c r="AQ396" s="1082"/>
      <c r="AR396" s="1082"/>
      <c r="AS396" s="1082"/>
      <c r="AT396" s="1082"/>
      <c r="AU396" s="1082"/>
      <c r="AV396" s="1082"/>
      <c r="AW396" s="1082"/>
      <c r="AX396" s="1082"/>
      <c r="AY396" s="1082"/>
      <c r="AZ396" s="1082"/>
      <c r="BA396" s="1082"/>
      <c r="BB396" s="1082"/>
      <c r="BC396" s="1082"/>
      <c r="BD396" s="1082"/>
      <c r="BE396" s="1082"/>
      <c r="BF396" s="1082"/>
      <c r="BG396" s="1082"/>
      <c r="BH396" s="1082"/>
      <c r="BI396" s="1082"/>
      <c r="BJ396" s="1082"/>
      <c r="BK396" s="1082"/>
      <c r="BL396" s="1082"/>
      <c r="BM396" s="1082"/>
      <c r="BN396" s="1082"/>
      <c r="BO396" s="1082"/>
      <c r="BP396" s="1082"/>
      <c r="BQ396" s="1082"/>
      <c r="BR396" s="1082"/>
      <c r="BS396" s="1082"/>
      <c r="BT396" s="1082"/>
      <c r="BU396" s="1082"/>
      <c r="BV396" s="1082"/>
      <c r="BW396" s="1082"/>
      <c r="BX396" s="1082"/>
      <c r="BY396" s="1082"/>
      <c r="BZ396" s="1082"/>
      <c r="CA396" s="1082"/>
      <c r="CB396" s="1082"/>
      <c r="CC396" s="1082"/>
      <c r="CD396" s="1082"/>
      <c r="CE396" s="1082"/>
      <c r="CF396" s="1082"/>
      <c r="CG396" s="1082"/>
      <c r="CH396" s="1082"/>
      <c r="CI396" s="1082"/>
      <c r="CJ396" s="1082"/>
      <c r="CK396" s="1082"/>
      <c r="CL396" s="1082"/>
      <c r="CM396" s="1082"/>
      <c r="CN396" s="1082"/>
      <c r="CO396" s="1082"/>
      <c r="CP396" s="1082"/>
      <c r="CQ396" s="1082"/>
      <c r="CR396" s="1082"/>
      <c r="CS396" s="1082"/>
      <c r="CT396" s="1082"/>
      <c r="CU396" s="1082"/>
      <c r="CV396" s="1082"/>
      <c r="CW396" s="1082"/>
      <c r="CX396" s="1082"/>
      <c r="CY396" s="1082"/>
      <c r="CZ396" s="1082"/>
      <c r="DA396" s="1082"/>
      <c r="DB396" s="1082"/>
      <c r="DC396" s="1082"/>
      <c r="DD396" s="1082"/>
      <c r="DE396" s="1082"/>
      <c r="DF396" s="1082"/>
      <c r="DG396" s="1082"/>
      <c r="DH396" s="1082"/>
      <c r="DI396" s="1082"/>
      <c r="DJ396" s="1082"/>
      <c r="DK396" s="1082"/>
      <c r="DL396" s="1082"/>
      <c r="DM396" s="1082"/>
      <c r="DN396" s="1082"/>
      <c r="DO396" s="1082"/>
      <c r="DP396" s="1082"/>
      <c r="DQ396" s="1082"/>
      <c r="DR396" s="1082"/>
      <c r="DS396" s="1082"/>
      <c r="DT396" s="1082"/>
      <c r="DU396" s="1082"/>
      <c r="DV396" s="1082"/>
      <c r="DW396" s="1082"/>
      <c r="DX396" s="1082"/>
      <c r="DY396" s="1082"/>
      <c r="DZ396" s="1082"/>
      <c r="EA396" s="1082"/>
      <c r="EB396" s="1082"/>
      <c r="EC396" s="1082"/>
      <c r="ED396" s="1082"/>
      <c r="EE396" s="1082"/>
      <c r="EF396" s="1082"/>
      <c r="EG396" s="1082"/>
      <c r="EH396" s="1082"/>
      <c r="EI396" s="1082"/>
      <c r="EJ396" s="1082"/>
      <c r="EK396" s="1082"/>
      <c r="EL396" s="1082"/>
      <c r="EM396" s="1082"/>
      <c r="EN396" s="1082"/>
      <c r="EO396" s="1082"/>
      <c r="EP396" s="1082"/>
      <c r="EQ396" s="1082"/>
      <c r="ER396" s="1082"/>
      <c r="ES396" s="1082"/>
      <c r="ET396" s="1082"/>
      <c r="EU396" s="1082"/>
      <c r="EV396" s="1082"/>
      <c r="EW396" s="1082"/>
      <c r="EX396" s="1082"/>
      <c r="EY396" s="1082"/>
      <c r="EZ396" s="1082"/>
      <c r="FA396" s="1082"/>
      <c r="FB396" s="1082"/>
    </row>
    <row r="397" spans="1:158" s="1099" customFormat="1" ht="32.1" customHeight="1">
      <c r="A397" s="1169"/>
      <c r="B397" s="1269" t="s">
        <v>569</v>
      </c>
      <c r="C397" s="1424">
        <f t="shared" si="95"/>
        <v>0.66999999999999993</v>
      </c>
      <c r="D397" s="1424">
        <f t="shared" si="95"/>
        <v>1</v>
      </c>
      <c r="E397" s="1424">
        <f t="shared" si="95"/>
        <v>0.33000000000000007</v>
      </c>
      <c r="F397" s="1424">
        <f t="shared" si="95"/>
        <v>0.33000000000000007</v>
      </c>
      <c r="G397" s="1424">
        <f t="shared" si="95"/>
        <v>0.66999999999999993</v>
      </c>
      <c r="H397" s="1424">
        <f t="shared" si="95"/>
        <v>0.33000000000000007</v>
      </c>
      <c r="I397" s="1761" t="s">
        <v>5295</v>
      </c>
      <c r="J397" s="1274">
        <v>2.67</v>
      </c>
      <c r="K397" s="1274">
        <v>3</v>
      </c>
      <c r="L397" s="1274">
        <v>2.33</v>
      </c>
      <c r="M397" s="1274">
        <v>2.33</v>
      </c>
      <c r="N397" s="1274">
        <v>2.67</v>
      </c>
      <c r="O397" s="1274">
        <v>2.33</v>
      </c>
      <c r="P397" s="1274">
        <v>3</v>
      </c>
      <c r="Q397" s="1275">
        <v>2</v>
      </c>
      <c r="R397" s="1081"/>
      <c r="S397" s="1082"/>
      <c r="T397" s="1082"/>
      <c r="U397" s="1082"/>
      <c r="V397" s="1082"/>
      <c r="W397" s="1082"/>
      <c r="X397" s="1082"/>
      <c r="Y397" s="1082"/>
      <c r="Z397" s="1082"/>
      <c r="AA397" s="1082"/>
      <c r="AB397" s="1082"/>
      <c r="AC397" s="1082"/>
      <c r="AD397" s="1082"/>
      <c r="AE397" s="1082"/>
      <c r="AF397" s="1082"/>
      <c r="AG397" s="1082"/>
      <c r="AH397" s="1082"/>
      <c r="AI397" s="1082"/>
      <c r="AJ397" s="1082"/>
      <c r="AK397" s="1082"/>
      <c r="AL397" s="1082"/>
      <c r="AM397" s="1082"/>
      <c r="AN397" s="1082"/>
      <c r="AO397" s="1082"/>
      <c r="AP397" s="1082"/>
      <c r="AQ397" s="1082"/>
      <c r="AR397" s="1082"/>
      <c r="AS397" s="1082"/>
      <c r="AT397" s="1082"/>
      <c r="AU397" s="1082"/>
      <c r="AV397" s="1082"/>
      <c r="AW397" s="1082"/>
      <c r="AX397" s="1082"/>
      <c r="AY397" s="1082"/>
      <c r="AZ397" s="1082"/>
      <c r="BA397" s="1082"/>
      <c r="BB397" s="1082"/>
      <c r="BC397" s="1082"/>
      <c r="BD397" s="1082"/>
      <c r="BE397" s="1082"/>
      <c r="BF397" s="1082"/>
      <c r="BG397" s="1082"/>
      <c r="BH397" s="1082"/>
      <c r="BI397" s="1082"/>
      <c r="BJ397" s="1082"/>
      <c r="BK397" s="1082"/>
      <c r="BL397" s="1082"/>
      <c r="BM397" s="1082"/>
      <c r="BN397" s="1082"/>
      <c r="BO397" s="1082"/>
      <c r="BP397" s="1082"/>
      <c r="BQ397" s="1082"/>
      <c r="BR397" s="1082"/>
      <c r="BS397" s="1082"/>
      <c r="BT397" s="1082"/>
      <c r="BU397" s="1082"/>
      <c r="BV397" s="1082"/>
      <c r="BW397" s="1082"/>
      <c r="BX397" s="1082"/>
      <c r="BY397" s="1082"/>
      <c r="BZ397" s="1082"/>
      <c r="CA397" s="1082"/>
      <c r="CB397" s="1082"/>
      <c r="CC397" s="1082"/>
      <c r="CD397" s="1082"/>
      <c r="CE397" s="1082"/>
      <c r="CF397" s="1082"/>
      <c r="CG397" s="1082"/>
      <c r="CH397" s="1082"/>
      <c r="CI397" s="1082"/>
      <c r="CJ397" s="1082"/>
      <c r="CK397" s="1082"/>
      <c r="CL397" s="1082"/>
      <c r="CM397" s="1082"/>
      <c r="CN397" s="1082"/>
      <c r="CO397" s="1082"/>
      <c r="CP397" s="1082"/>
      <c r="CQ397" s="1082"/>
      <c r="CR397" s="1082"/>
      <c r="CS397" s="1082"/>
      <c r="CT397" s="1082"/>
      <c r="CU397" s="1082"/>
      <c r="CV397" s="1082"/>
      <c r="CW397" s="1082"/>
      <c r="CX397" s="1082"/>
      <c r="CY397" s="1082"/>
      <c r="CZ397" s="1082"/>
      <c r="DA397" s="1082"/>
      <c r="DB397" s="1082"/>
      <c r="DC397" s="1082"/>
      <c r="DD397" s="1082"/>
      <c r="DE397" s="1082"/>
      <c r="DF397" s="1082"/>
      <c r="DG397" s="1082"/>
      <c r="DH397" s="1082"/>
      <c r="DI397" s="1082"/>
      <c r="DJ397" s="1082"/>
      <c r="DK397" s="1082"/>
      <c r="DL397" s="1082"/>
      <c r="DM397" s="1082"/>
      <c r="DN397" s="1082"/>
      <c r="DO397" s="1082"/>
      <c r="DP397" s="1082"/>
      <c r="DQ397" s="1082"/>
      <c r="DR397" s="1082"/>
      <c r="DS397" s="1082"/>
      <c r="DT397" s="1082"/>
      <c r="DU397" s="1082"/>
      <c r="DV397" s="1082"/>
      <c r="DW397" s="1082"/>
      <c r="DX397" s="1082"/>
      <c r="DY397" s="1082"/>
      <c r="DZ397" s="1082"/>
      <c r="EA397" s="1082"/>
      <c r="EB397" s="1082"/>
      <c r="EC397" s="1082"/>
      <c r="ED397" s="1082"/>
      <c r="EE397" s="1082"/>
      <c r="EF397" s="1082"/>
      <c r="EG397" s="1082"/>
      <c r="EH397" s="1082"/>
      <c r="EI397" s="1082"/>
      <c r="EJ397" s="1082"/>
      <c r="EK397" s="1082"/>
      <c r="EL397" s="1082"/>
      <c r="EM397" s="1082"/>
      <c r="EN397" s="1082"/>
      <c r="EO397" s="1082"/>
      <c r="EP397" s="1082"/>
      <c r="EQ397" s="1082"/>
      <c r="ER397" s="1082"/>
      <c r="ES397" s="1082"/>
      <c r="ET397" s="1082"/>
      <c r="EU397" s="1082"/>
      <c r="EV397" s="1082"/>
      <c r="EW397" s="1082"/>
      <c r="EX397" s="1082"/>
      <c r="EY397" s="1082"/>
      <c r="EZ397" s="1082"/>
      <c r="FA397" s="1082"/>
      <c r="FB397" s="1082"/>
    </row>
    <row r="398" spans="1:158" s="1099" customFormat="1" ht="32.1" customHeight="1">
      <c r="A398" s="1169"/>
      <c r="B398" s="1269" t="s">
        <v>570</v>
      </c>
      <c r="C398" s="1424">
        <f t="shared" si="95"/>
        <v>0.66500000000000004</v>
      </c>
      <c r="D398" s="1424">
        <f t="shared" si="95"/>
        <v>0.5</v>
      </c>
      <c r="E398" s="1424">
        <f t="shared" si="95"/>
        <v>0</v>
      </c>
      <c r="F398" s="1424">
        <f t="shared" si="95"/>
        <v>1</v>
      </c>
      <c r="G398" s="1424">
        <f t="shared" si="95"/>
        <v>0.66500000000000004</v>
      </c>
      <c r="H398" s="1424">
        <f t="shared" si="95"/>
        <v>0.66500000000000004</v>
      </c>
      <c r="I398" s="1761" t="s">
        <v>5295</v>
      </c>
      <c r="J398" s="1274">
        <v>2.33</v>
      </c>
      <c r="K398" s="1274">
        <v>2</v>
      </c>
      <c r="L398" s="1274">
        <v>1</v>
      </c>
      <c r="M398" s="1274">
        <v>3</v>
      </c>
      <c r="N398" s="1274">
        <v>2.33</v>
      </c>
      <c r="O398" s="1274">
        <v>2.33</v>
      </c>
      <c r="P398" s="1274">
        <v>3</v>
      </c>
      <c r="Q398" s="1083">
        <v>1</v>
      </c>
      <c r="R398" s="1081"/>
      <c r="S398" s="1082"/>
      <c r="T398" s="1082"/>
      <c r="U398" s="1082"/>
      <c r="V398" s="1082"/>
      <c r="W398" s="1082"/>
      <c r="X398" s="1082"/>
      <c r="Y398" s="1082"/>
      <c r="Z398" s="1082"/>
      <c r="AA398" s="1082"/>
      <c r="AB398" s="1082"/>
      <c r="AC398" s="1082"/>
      <c r="AD398" s="1082"/>
      <c r="AE398" s="1082"/>
      <c r="AF398" s="1082"/>
      <c r="AG398" s="1082"/>
      <c r="AH398" s="1082"/>
      <c r="AI398" s="1082"/>
      <c r="AJ398" s="1082"/>
      <c r="AK398" s="1082"/>
      <c r="AL398" s="1082"/>
      <c r="AM398" s="1082"/>
      <c r="AN398" s="1082"/>
      <c r="AO398" s="1082"/>
      <c r="AP398" s="1082"/>
      <c r="AQ398" s="1082"/>
      <c r="AR398" s="1082"/>
      <c r="AS398" s="1082"/>
      <c r="AT398" s="1082"/>
      <c r="AU398" s="1082"/>
      <c r="AV398" s="1082"/>
      <c r="AW398" s="1082"/>
      <c r="AX398" s="1082"/>
      <c r="AY398" s="1082"/>
      <c r="AZ398" s="1082"/>
      <c r="BA398" s="1082"/>
      <c r="BB398" s="1082"/>
      <c r="BC398" s="1082"/>
      <c r="BD398" s="1082"/>
      <c r="BE398" s="1082"/>
      <c r="BF398" s="1082"/>
      <c r="BG398" s="1082"/>
      <c r="BH398" s="1082"/>
      <c r="BI398" s="1082"/>
      <c r="BJ398" s="1082"/>
      <c r="BK398" s="1082"/>
      <c r="BL398" s="1082"/>
      <c r="BM398" s="1082"/>
      <c r="BN398" s="1082"/>
      <c r="BO398" s="1082"/>
      <c r="BP398" s="1082"/>
      <c r="BQ398" s="1082"/>
      <c r="BR398" s="1082"/>
      <c r="BS398" s="1082"/>
      <c r="BT398" s="1082"/>
      <c r="BU398" s="1082"/>
      <c r="BV398" s="1082"/>
      <c r="BW398" s="1082"/>
      <c r="BX398" s="1082"/>
      <c r="BY398" s="1082"/>
      <c r="BZ398" s="1082"/>
      <c r="CA398" s="1082"/>
      <c r="CB398" s="1082"/>
      <c r="CC398" s="1082"/>
      <c r="CD398" s="1082"/>
      <c r="CE398" s="1082"/>
      <c r="CF398" s="1082"/>
      <c r="CG398" s="1082"/>
      <c r="CH398" s="1082"/>
      <c r="CI398" s="1082"/>
      <c r="CJ398" s="1082"/>
      <c r="CK398" s="1082"/>
      <c r="CL398" s="1082"/>
      <c r="CM398" s="1082"/>
      <c r="CN398" s="1082"/>
      <c r="CO398" s="1082"/>
      <c r="CP398" s="1082"/>
      <c r="CQ398" s="1082"/>
      <c r="CR398" s="1082"/>
      <c r="CS398" s="1082"/>
      <c r="CT398" s="1082"/>
      <c r="CU398" s="1082"/>
      <c r="CV398" s="1082"/>
      <c r="CW398" s="1082"/>
      <c r="CX398" s="1082"/>
      <c r="CY398" s="1082"/>
      <c r="CZ398" s="1082"/>
      <c r="DA398" s="1082"/>
      <c r="DB398" s="1082"/>
      <c r="DC398" s="1082"/>
      <c r="DD398" s="1082"/>
      <c r="DE398" s="1082"/>
      <c r="DF398" s="1082"/>
      <c r="DG398" s="1082"/>
      <c r="DH398" s="1082"/>
      <c r="DI398" s="1082"/>
      <c r="DJ398" s="1082"/>
      <c r="DK398" s="1082"/>
      <c r="DL398" s="1082"/>
      <c r="DM398" s="1082"/>
      <c r="DN398" s="1082"/>
      <c r="DO398" s="1082"/>
      <c r="DP398" s="1082"/>
      <c r="DQ398" s="1082"/>
      <c r="DR398" s="1082"/>
      <c r="DS398" s="1082"/>
      <c r="DT398" s="1082"/>
      <c r="DU398" s="1082"/>
      <c r="DV398" s="1082"/>
      <c r="DW398" s="1082"/>
      <c r="DX398" s="1082"/>
      <c r="DY398" s="1082"/>
      <c r="DZ398" s="1082"/>
      <c r="EA398" s="1082"/>
      <c r="EB398" s="1082"/>
      <c r="EC398" s="1082"/>
      <c r="ED398" s="1082"/>
      <c r="EE398" s="1082"/>
      <c r="EF398" s="1082"/>
      <c r="EG398" s="1082"/>
      <c r="EH398" s="1082"/>
      <c r="EI398" s="1082"/>
      <c r="EJ398" s="1082"/>
      <c r="EK398" s="1082"/>
      <c r="EL398" s="1082"/>
      <c r="EM398" s="1082"/>
      <c r="EN398" s="1082"/>
      <c r="EO398" s="1082"/>
      <c r="EP398" s="1082"/>
      <c r="EQ398" s="1082"/>
      <c r="ER398" s="1082"/>
      <c r="ES398" s="1082"/>
      <c r="ET398" s="1082"/>
      <c r="EU398" s="1082"/>
      <c r="EV398" s="1082"/>
      <c r="EW398" s="1082"/>
      <c r="EX398" s="1082"/>
      <c r="EY398" s="1082"/>
      <c r="EZ398" s="1082"/>
      <c r="FA398" s="1082"/>
      <c r="FB398" s="1082"/>
    </row>
    <row r="399" spans="1:158" s="1099" customFormat="1" ht="32.1" customHeight="1">
      <c r="A399" s="1169"/>
      <c r="B399" s="1097" t="s">
        <v>571</v>
      </c>
      <c r="C399" s="1507">
        <f t="shared" ref="C399:H399" si="96">AVERAGE(C400:C403)</f>
        <v>0.43796992481203006</v>
      </c>
      <c r="D399" s="1507">
        <f t="shared" si="96"/>
        <v>0.18796992481203006</v>
      </c>
      <c r="E399" s="1507">
        <f t="shared" si="96"/>
        <v>0</v>
      </c>
      <c r="F399" s="1507">
        <f t="shared" si="96"/>
        <v>0.12593984962406013</v>
      </c>
      <c r="G399" s="1507">
        <f t="shared" si="96"/>
        <v>0.12406015037593987</v>
      </c>
      <c r="H399" s="1507">
        <f t="shared" si="96"/>
        <v>0</v>
      </c>
      <c r="I399" s="1761"/>
      <c r="J399" s="1274"/>
      <c r="K399" s="1274"/>
      <c r="L399" s="1274"/>
      <c r="M399" s="1274"/>
      <c r="N399" s="1274"/>
      <c r="O399" s="1274"/>
      <c r="P399" s="1274"/>
      <c r="Q399" s="1166"/>
      <c r="R399" s="1081"/>
      <c r="S399" s="1082"/>
      <c r="T399" s="1082"/>
      <c r="U399" s="1082"/>
      <c r="V399" s="1082"/>
      <c r="W399" s="1082"/>
      <c r="X399" s="1082"/>
      <c r="Y399" s="1082"/>
      <c r="Z399" s="1082"/>
      <c r="AA399" s="1082"/>
      <c r="AB399" s="1082"/>
      <c r="AC399" s="1082"/>
      <c r="AD399" s="1082"/>
      <c r="AE399" s="1082"/>
      <c r="AF399" s="1082"/>
      <c r="AG399" s="1082"/>
      <c r="AH399" s="1082"/>
      <c r="AI399" s="1082"/>
      <c r="AJ399" s="1082"/>
      <c r="AK399" s="1082"/>
      <c r="AL399" s="1082"/>
      <c r="AM399" s="1082"/>
      <c r="AN399" s="1082"/>
      <c r="AO399" s="1082"/>
      <c r="AP399" s="1082"/>
      <c r="AQ399" s="1082"/>
      <c r="AR399" s="1082"/>
      <c r="AS399" s="1082"/>
      <c r="AT399" s="1082"/>
      <c r="AU399" s="1082"/>
      <c r="AV399" s="1082"/>
      <c r="AW399" s="1082"/>
      <c r="AX399" s="1082"/>
      <c r="AY399" s="1082"/>
      <c r="AZ399" s="1082"/>
      <c r="BA399" s="1082"/>
      <c r="BB399" s="1082"/>
      <c r="BC399" s="1082"/>
      <c r="BD399" s="1082"/>
      <c r="BE399" s="1082"/>
      <c r="BF399" s="1082"/>
      <c r="BG399" s="1082"/>
      <c r="BH399" s="1082"/>
      <c r="BI399" s="1082"/>
      <c r="BJ399" s="1082"/>
      <c r="BK399" s="1082"/>
      <c r="BL399" s="1082"/>
      <c r="BM399" s="1082"/>
      <c r="BN399" s="1082"/>
      <c r="BO399" s="1082"/>
      <c r="BP399" s="1082"/>
      <c r="BQ399" s="1082"/>
      <c r="BR399" s="1082"/>
      <c r="BS399" s="1082"/>
      <c r="BT399" s="1082"/>
      <c r="BU399" s="1082"/>
      <c r="BV399" s="1082"/>
      <c r="BW399" s="1082"/>
      <c r="BX399" s="1082"/>
      <c r="BY399" s="1082"/>
      <c r="BZ399" s="1082"/>
      <c r="CA399" s="1082"/>
      <c r="CB399" s="1082"/>
      <c r="CC399" s="1082"/>
      <c r="CD399" s="1082"/>
      <c r="CE399" s="1082"/>
      <c r="CF399" s="1082"/>
      <c r="CG399" s="1082"/>
      <c r="CH399" s="1082"/>
      <c r="CI399" s="1082"/>
      <c r="CJ399" s="1082"/>
      <c r="CK399" s="1082"/>
      <c r="CL399" s="1082"/>
      <c r="CM399" s="1082"/>
      <c r="CN399" s="1082"/>
      <c r="CO399" s="1082"/>
      <c r="CP399" s="1082"/>
      <c r="CQ399" s="1082"/>
      <c r="CR399" s="1082"/>
      <c r="CS399" s="1082"/>
      <c r="CT399" s="1082"/>
      <c r="CU399" s="1082"/>
      <c r="CV399" s="1082"/>
      <c r="CW399" s="1082"/>
      <c r="CX399" s="1082"/>
      <c r="CY399" s="1082"/>
      <c r="CZ399" s="1082"/>
      <c r="DA399" s="1082"/>
      <c r="DB399" s="1082"/>
      <c r="DC399" s="1082"/>
      <c r="DD399" s="1082"/>
      <c r="DE399" s="1082"/>
      <c r="DF399" s="1082"/>
      <c r="DG399" s="1082"/>
      <c r="DH399" s="1082"/>
      <c r="DI399" s="1082"/>
      <c r="DJ399" s="1082"/>
      <c r="DK399" s="1082"/>
      <c r="DL399" s="1082"/>
      <c r="DM399" s="1082"/>
      <c r="DN399" s="1082"/>
      <c r="DO399" s="1082"/>
      <c r="DP399" s="1082"/>
      <c r="DQ399" s="1082"/>
      <c r="DR399" s="1082"/>
      <c r="DS399" s="1082"/>
      <c r="DT399" s="1082"/>
      <c r="DU399" s="1082"/>
      <c r="DV399" s="1082"/>
      <c r="DW399" s="1082"/>
      <c r="DX399" s="1082"/>
      <c r="DY399" s="1082"/>
      <c r="DZ399" s="1082"/>
      <c r="EA399" s="1082"/>
      <c r="EB399" s="1082"/>
      <c r="EC399" s="1082"/>
      <c r="ED399" s="1082"/>
      <c r="EE399" s="1082"/>
      <c r="EF399" s="1082"/>
      <c r="EG399" s="1082"/>
      <c r="EH399" s="1082"/>
      <c r="EI399" s="1082"/>
      <c r="EJ399" s="1082"/>
      <c r="EK399" s="1082"/>
      <c r="EL399" s="1082"/>
      <c r="EM399" s="1082"/>
      <c r="EN399" s="1082"/>
      <c r="EO399" s="1082"/>
      <c r="EP399" s="1082"/>
      <c r="EQ399" s="1082"/>
      <c r="ER399" s="1082"/>
      <c r="ES399" s="1082"/>
      <c r="ET399" s="1082"/>
      <c r="EU399" s="1082"/>
      <c r="EV399" s="1082"/>
      <c r="EW399" s="1082"/>
      <c r="EX399" s="1082"/>
      <c r="EY399" s="1082"/>
      <c r="EZ399" s="1082"/>
      <c r="FA399" s="1082"/>
      <c r="FB399" s="1082"/>
    </row>
    <row r="400" spans="1:158" s="1099" customFormat="1" ht="32.1" customHeight="1">
      <c r="A400" s="1169"/>
      <c r="B400" s="1269" t="s">
        <v>572</v>
      </c>
      <c r="C400" s="1424">
        <f t="shared" ref="C400:H403" si="97">IF(J400&gt;$P400,1,IF(J400&lt;$Q400,0,(J400-$Q400)/($P400-$Q400)))</f>
        <v>0.50375939849624052</v>
      </c>
      <c r="D400" s="1424">
        <f t="shared" si="97"/>
        <v>0</v>
      </c>
      <c r="E400" s="1424">
        <f t="shared" si="97"/>
        <v>0</v>
      </c>
      <c r="F400" s="1424">
        <f t="shared" si="97"/>
        <v>0.50375939849624052</v>
      </c>
      <c r="G400" s="1424">
        <f t="shared" si="97"/>
        <v>0.24812030075187974</v>
      </c>
      <c r="H400" s="1424">
        <f t="shared" si="97"/>
        <v>0</v>
      </c>
      <c r="I400" s="1761" t="s">
        <v>5295</v>
      </c>
      <c r="J400" s="1274">
        <v>2.67</v>
      </c>
      <c r="K400" s="1274">
        <v>2</v>
      </c>
      <c r="L400" s="1274">
        <v>2</v>
      </c>
      <c r="M400" s="1274">
        <v>2.67</v>
      </c>
      <c r="N400" s="1274">
        <v>2.33</v>
      </c>
      <c r="O400" s="1274">
        <v>2</v>
      </c>
      <c r="P400" s="1274">
        <v>3.33</v>
      </c>
      <c r="Q400" s="1275">
        <v>2</v>
      </c>
      <c r="R400" s="1081"/>
      <c r="S400" s="1082"/>
      <c r="T400" s="1082"/>
      <c r="U400" s="1082"/>
      <c r="V400" s="1082"/>
      <c r="W400" s="1082"/>
      <c r="X400" s="1082"/>
      <c r="Y400" s="1082"/>
      <c r="Z400" s="1082"/>
      <c r="AA400" s="1082"/>
      <c r="AB400" s="1082"/>
      <c r="AC400" s="1082"/>
      <c r="AD400" s="1082"/>
      <c r="AE400" s="1082"/>
      <c r="AF400" s="1082"/>
      <c r="AG400" s="1082"/>
      <c r="AH400" s="1082"/>
      <c r="AI400" s="1082"/>
      <c r="AJ400" s="1082"/>
      <c r="AK400" s="1082"/>
      <c r="AL400" s="1082"/>
      <c r="AM400" s="1082"/>
      <c r="AN400" s="1082"/>
      <c r="AO400" s="1082"/>
      <c r="AP400" s="1082"/>
      <c r="AQ400" s="1082"/>
      <c r="AR400" s="1082"/>
      <c r="AS400" s="1082"/>
      <c r="AT400" s="1082"/>
      <c r="AU400" s="1082"/>
      <c r="AV400" s="1082"/>
      <c r="AW400" s="1082"/>
      <c r="AX400" s="1082"/>
      <c r="AY400" s="1082"/>
      <c r="AZ400" s="1082"/>
      <c r="BA400" s="1082"/>
      <c r="BB400" s="1082"/>
      <c r="BC400" s="1082"/>
      <c r="BD400" s="1082"/>
      <c r="BE400" s="1082"/>
      <c r="BF400" s="1082"/>
      <c r="BG400" s="1082"/>
      <c r="BH400" s="1082"/>
      <c r="BI400" s="1082"/>
      <c r="BJ400" s="1082"/>
      <c r="BK400" s="1082"/>
      <c r="BL400" s="1082"/>
      <c r="BM400" s="1082"/>
      <c r="BN400" s="1082"/>
      <c r="BO400" s="1082"/>
      <c r="BP400" s="1082"/>
      <c r="BQ400" s="1082"/>
      <c r="BR400" s="1082"/>
      <c r="BS400" s="1082"/>
      <c r="BT400" s="1082"/>
      <c r="BU400" s="1082"/>
      <c r="BV400" s="1082"/>
      <c r="BW400" s="1082"/>
      <c r="BX400" s="1082"/>
      <c r="BY400" s="1082"/>
      <c r="BZ400" s="1082"/>
      <c r="CA400" s="1082"/>
      <c r="CB400" s="1082"/>
      <c r="CC400" s="1082"/>
      <c r="CD400" s="1082"/>
      <c r="CE400" s="1082"/>
      <c r="CF400" s="1082"/>
      <c r="CG400" s="1082"/>
      <c r="CH400" s="1082"/>
      <c r="CI400" s="1082"/>
      <c r="CJ400" s="1082"/>
      <c r="CK400" s="1082"/>
      <c r="CL400" s="1082"/>
      <c r="CM400" s="1082"/>
      <c r="CN400" s="1082"/>
      <c r="CO400" s="1082"/>
      <c r="CP400" s="1082"/>
      <c r="CQ400" s="1082"/>
      <c r="CR400" s="1082"/>
      <c r="CS400" s="1082"/>
      <c r="CT400" s="1082"/>
      <c r="CU400" s="1082"/>
      <c r="CV400" s="1082"/>
      <c r="CW400" s="1082"/>
      <c r="CX400" s="1082"/>
      <c r="CY400" s="1082"/>
      <c r="CZ400" s="1082"/>
      <c r="DA400" s="1082"/>
      <c r="DB400" s="1082"/>
      <c r="DC400" s="1082"/>
      <c r="DD400" s="1082"/>
      <c r="DE400" s="1082"/>
      <c r="DF400" s="1082"/>
      <c r="DG400" s="1082"/>
      <c r="DH400" s="1082"/>
      <c r="DI400" s="1082"/>
      <c r="DJ400" s="1082"/>
      <c r="DK400" s="1082"/>
      <c r="DL400" s="1082"/>
      <c r="DM400" s="1082"/>
      <c r="DN400" s="1082"/>
      <c r="DO400" s="1082"/>
      <c r="DP400" s="1082"/>
      <c r="DQ400" s="1082"/>
      <c r="DR400" s="1082"/>
      <c r="DS400" s="1082"/>
      <c r="DT400" s="1082"/>
      <c r="DU400" s="1082"/>
      <c r="DV400" s="1082"/>
      <c r="DW400" s="1082"/>
      <c r="DX400" s="1082"/>
      <c r="DY400" s="1082"/>
      <c r="DZ400" s="1082"/>
      <c r="EA400" s="1082"/>
      <c r="EB400" s="1082"/>
      <c r="EC400" s="1082"/>
      <c r="ED400" s="1082"/>
      <c r="EE400" s="1082"/>
      <c r="EF400" s="1082"/>
      <c r="EG400" s="1082"/>
      <c r="EH400" s="1082"/>
      <c r="EI400" s="1082"/>
      <c r="EJ400" s="1082"/>
      <c r="EK400" s="1082"/>
      <c r="EL400" s="1082"/>
      <c r="EM400" s="1082"/>
      <c r="EN400" s="1082"/>
      <c r="EO400" s="1082"/>
      <c r="EP400" s="1082"/>
      <c r="EQ400" s="1082"/>
      <c r="ER400" s="1082"/>
      <c r="ES400" s="1082"/>
      <c r="ET400" s="1082"/>
      <c r="EU400" s="1082"/>
      <c r="EV400" s="1082"/>
      <c r="EW400" s="1082"/>
      <c r="EX400" s="1082"/>
      <c r="EY400" s="1082"/>
      <c r="EZ400" s="1082"/>
      <c r="FA400" s="1082"/>
      <c r="FB400" s="1082"/>
    </row>
    <row r="401" spans="1:158" s="1099" customFormat="1" ht="32.1" customHeight="1">
      <c r="A401" s="1169"/>
      <c r="B401" s="1269" t="s">
        <v>573</v>
      </c>
      <c r="C401" s="1424">
        <f t="shared" si="97"/>
        <v>0.24812030075187974</v>
      </c>
      <c r="D401" s="1424">
        <f t="shared" si="97"/>
        <v>0</v>
      </c>
      <c r="E401" s="1424">
        <f t="shared" si="97"/>
        <v>0</v>
      </c>
      <c r="F401" s="1424">
        <f t="shared" si="97"/>
        <v>0</v>
      </c>
      <c r="G401" s="1424">
        <f t="shared" si="97"/>
        <v>0</v>
      </c>
      <c r="H401" s="1424">
        <f t="shared" si="97"/>
        <v>0</v>
      </c>
      <c r="I401" s="1761" t="s">
        <v>5295</v>
      </c>
      <c r="J401" s="1274">
        <v>2.33</v>
      </c>
      <c r="K401" s="1274">
        <v>2</v>
      </c>
      <c r="L401" s="1274">
        <v>2</v>
      </c>
      <c r="M401" s="1274">
        <v>2</v>
      </c>
      <c r="N401" s="1274">
        <v>2</v>
      </c>
      <c r="O401" s="1274">
        <v>2</v>
      </c>
      <c r="P401" s="1274">
        <v>3.33</v>
      </c>
      <c r="Q401" s="1275">
        <v>2</v>
      </c>
      <c r="R401" s="1081"/>
      <c r="S401" s="1082"/>
      <c r="T401" s="1082"/>
      <c r="U401" s="1082"/>
      <c r="V401" s="1082"/>
      <c r="W401" s="1082"/>
      <c r="X401" s="1082"/>
      <c r="Y401" s="1082"/>
      <c r="Z401" s="1082"/>
      <c r="AA401" s="1082"/>
      <c r="AB401" s="1082"/>
      <c r="AC401" s="1082"/>
      <c r="AD401" s="1082"/>
      <c r="AE401" s="1082"/>
      <c r="AF401" s="1082"/>
      <c r="AG401" s="1082"/>
      <c r="AH401" s="1082"/>
      <c r="AI401" s="1082"/>
      <c r="AJ401" s="1082"/>
      <c r="AK401" s="1082"/>
      <c r="AL401" s="1082"/>
      <c r="AM401" s="1082"/>
      <c r="AN401" s="1082"/>
      <c r="AO401" s="1082"/>
      <c r="AP401" s="1082"/>
      <c r="AQ401" s="1082"/>
      <c r="AR401" s="1082"/>
      <c r="AS401" s="1082"/>
      <c r="AT401" s="1082"/>
      <c r="AU401" s="1082"/>
      <c r="AV401" s="1082"/>
      <c r="AW401" s="1082"/>
      <c r="AX401" s="1082"/>
      <c r="AY401" s="1082"/>
      <c r="AZ401" s="1082"/>
      <c r="BA401" s="1082"/>
      <c r="BB401" s="1082"/>
      <c r="BC401" s="1082"/>
      <c r="BD401" s="1082"/>
      <c r="BE401" s="1082"/>
      <c r="BF401" s="1082"/>
      <c r="BG401" s="1082"/>
      <c r="BH401" s="1082"/>
      <c r="BI401" s="1082"/>
      <c r="BJ401" s="1082"/>
      <c r="BK401" s="1082"/>
      <c r="BL401" s="1082"/>
      <c r="BM401" s="1082"/>
      <c r="BN401" s="1082"/>
      <c r="BO401" s="1082"/>
      <c r="BP401" s="1082"/>
      <c r="BQ401" s="1082"/>
      <c r="BR401" s="1082"/>
      <c r="BS401" s="1082"/>
      <c r="BT401" s="1082"/>
      <c r="BU401" s="1082"/>
      <c r="BV401" s="1082"/>
      <c r="BW401" s="1082"/>
      <c r="BX401" s="1082"/>
      <c r="BY401" s="1082"/>
      <c r="BZ401" s="1082"/>
      <c r="CA401" s="1082"/>
      <c r="CB401" s="1082"/>
      <c r="CC401" s="1082"/>
      <c r="CD401" s="1082"/>
      <c r="CE401" s="1082"/>
      <c r="CF401" s="1082"/>
      <c r="CG401" s="1082"/>
      <c r="CH401" s="1082"/>
      <c r="CI401" s="1082"/>
      <c r="CJ401" s="1082"/>
      <c r="CK401" s="1082"/>
      <c r="CL401" s="1082"/>
      <c r="CM401" s="1082"/>
      <c r="CN401" s="1082"/>
      <c r="CO401" s="1082"/>
      <c r="CP401" s="1082"/>
      <c r="CQ401" s="1082"/>
      <c r="CR401" s="1082"/>
      <c r="CS401" s="1082"/>
      <c r="CT401" s="1082"/>
      <c r="CU401" s="1082"/>
      <c r="CV401" s="1082"/>
      <c r="CW401" s="1082"/>
      <c r="CX401" s="1082"/>
      <c r="CY401" s="1082"/>
      <c r="CZ401" s="1082"/>
      <c r="DA401" s="1082"/>
      <c r="DB401" s="1082"/>
      <c r="DC401" s="1082"/>
      <c r="DD401" s="1082"/>
      <c r="DE401" s="1082"/>
      <c r="DF401" s="1082"/>
      <c r="DG401" s="1082"/>
      <c r="DH401" s="1082"/>
      <c r="DI401" s="1082"/>
      <c r="DJ401" s="1082"/>
      <c r="DK401" s="1082"/>
      <c r="DL401" s="1082"/>
      <c r="DM401" s="1082"/>
      <c r="DN401" s="1082"/>
      <c r="DO401" s="1082"/>
      <c r="DP401" s="1082"/>
      <c r="DQ401" s="1082"/>
      <c r="DR401" s="1082"/>
      <c r="DS401" s="1082"/>
      <c r="DT401" s="1082"/>
      <c r="DU401" s="1082"/>
      <c r="DV401" s="1082"/>
      <c r="DW401" s="1082"/>
      <c r="DX401" s="1082"/>
      <c r="DY401" s="1082"/>
      <c r="DZ401" s="1082"/>
      <c r="EA401" s="1082"/>
      <c r="EB401" s="1082"/>
      <c r="EC401" s="1082"/>
      <c r="ED401" s="1082"/>
      <c r="EE401" s="1082"/>
      <c r="EF401" s="1082"/>
      <c r="EG401" s="1082"/>
      <c r="EH401" s="1082"/>
      <c r="EI401" s="1082"/>
      <c r="EJ401" s="1082"/>
      <c r="EK401" s="1082"/>
      <c r="EL401" s="1082"/>
      <c r="EM401" s="1082"/>
      <c r="EN401" s="1082"/>
      <c r="EO401" s="1082"/>
      <c r="EP401" s="1082"/>
      <c r="EQ401" s="1082"/>
      <c r="ER401" s="1082"/>
      <c r="ES401" s="1082"/>
      <c r="ET401" s="1082"/>
      <c r="EU401" s="1082"/>
      <c r="EV401" s="1082"/>
      <c r="EW401" s="1082"/>
      <c r="EX401" s="1082"/>
      <c r="EY401" s="1082"/>
      <c r="EZ401" s="1082"/>
      <c r="FA401" s="1082"/>
      <c r="FB401" s="1082"/>
    </row>
    <row r="402" spans="1:158" s="1099" customFormat="1" ht="32.1" customHeight="1">
      <c r="A402" s="1169"/>
      <c r="B402" s="1269" t="s">
        <v>575</v>
      </c>
      <c r="C402" s="1424">
        <f t="shared" si="97"/>
        <v>0.75187969924812026</v>
      </c>
      <c r="D402" s="1424">
        <f t="shared" si="97"/>
        <v>0.50375939849624052</v>
      </c>
      <c r="E402" s="1424">
        <f t="shared" si="97"/>
        <v>0</v>
      </c>
      <c r="F402" s="1424">
        <f t="shared" si="97"/>
        <v>0</v>
      </c>
      <c r="G402" s="1424">
        <f t="shared" si="97"/>
        <v>0</v>
      </c>
      <c r="H402" s="1424">
        <f t="shared" si="97"/>
        <v>0</v>
      </c>
      <c r="I402" s="1761" t="s">
        <v>5295</v>
      </c>
      <c r="J402" s="1274">
        <v>2</v>
      </c>
      <c r="K402" s="1274">
        <v>1.67</v>
      </c>
      <c r="L402" s="1274">
        <v>1</v>
      </c>
      <c r="M402" s="1274">
        <v>1</v>
      </c>
      <c r="N402" s="1274">
        <v>1</v>
      </c>
      <c r="O402" s="1274">
        <v>1</v>
      </c>
      <c r="P402" s="1274">
        <v>2.33</v>
      </c>
      <c r="Q402" s="1083">
        <v>1</v>
      </c>
      <c r="R402" s="1081"/>
      <c r="S402" s="1082"/>
      <c r="T402" s="1082"/>
      <c r="U402" s="1082"/>
      <c r="V402" s="1082"/>
      <c r="W402" s="1082"/>
      <c r="X402" s="1082"/>
      <c r="Y402" s="1082"/>
      <c r="Z402" s="1082"/>
      <c r="AA402" s="1082"/>
      <c r="AB402" s="1082"/>
      <c r="AC402" s="1082"/>
      <c r="AD402" s="1082"/>
      <c r="AE402" s="1082"/>
      <c r="AF402" s="1082"/>
      <c r="AG402" s="1082"/>
      <c r="AH402" s="1082"/>
      <c r="AI402" s="1082"/>
      <c r="AJ402" s="1082"/>
      <c r="AK402" s="1082"/>
      <c r="AL402" s="1082"/>
      <c r="AM402" s="1082"/>
      <c r="AN402" s="1082"/>
      <c r="AO402" s="1082"/>
      <c r="AP402" s="1082"/>
      <c r="AQ402" s="1082"/>
      <c r="AR402" s="1082"/>
      <c r="AS402" s="1082"/>
      <c r="AT402" s="1082"/>
      <c r="AU402" s="1082"/>
      <c r="AV402" s="1082"/>
      <c r="AW402" s="1082"/>
      <c r="AX402" s="1082"/>
      <c r="AY402" s="1082"/>
      <c r="AZ402" s="1082"/>
      <c r="BA402" s="1082"/>
      <c r="BB402" s="1082"/>
      <c r="BC402" s="1082"/>
      <c r="BD402" s="1082"/>
      <c r="BE402" s="1082"/>
      <c r="BF402" s="1082"/>
      <c r="BG402" s="1082"/>
      <c r="BH402" s="1082"/>
      <c r="BI402" s="1082"/>
      <c r="BJ402" s="1082"/>
      <c r="BK402" s="1082"/>
      <c r="BL402" s="1082"/>
      <c r="BM402" s="1082"/>
      <c r="BN402" s="1082"/>
      <c r="BO402" s="1082"/>
      <c r="BP402" s="1082"/>
      <c r="BQ402" s="1082"/>
      <c r="BR402" s="1082"/>
      <c r="BS402" s="1082"/>
      <c r="BT402" s="1082"/>
      <c r="BU402" s="1082"/>
      <c r="BV402" s="1082"/>
      <c r="BW402" s="1082"/>
      <c r="BX402" s="1082"/>
      <c r="BY402" s="1082"/>
      <c r="BZ402" s="1082"/>
      <c r="CA402" s="1082"/>
      <c r="CB402" s="1082"/>
      <c r="CC402" s="1082"/>
      <c r="CD402" s="1082"/>
      <c r="CE402" s="1082"/>
      <c r="CF402" s="1082"/>
      <c r="CG402" s="1082"/>
      <c r="CH402" s="1082"/>
      <c r="CI402" s="1082"/>
      <c r="CJ402" s="1082"/>
      <c r="CK402" s="1082"/>
      <c r="CL402" s="1082"/>
      <c r="CM402" s="1082"/>
      <c r="CN402" s="1082"/>
      <c r="CO402" s="1082"/>
      <c r="CP402" s="1082"/>
      <c r="CQ402" s="1082"/>
      <c r="CR402" s="1082"/>
      <c r="CS402" s="1082"/>
      <c r="CT402" s="1082"/>
      <c r="CU402" s="1082"/>
      <c r="CV402" s="1082"/>
      <c r="CW402" s="1082"/>
      <c r="CX402" s="1082"/>
      <c r="CY402" s="1082"/>
      <c r="CZ402" s="1082"/>
      <c r="DA402" s="1082"/>
      <c r="DB402" s="1082"/>
      <c r="DC402" s="1082"/>
      <c r="DD402" s="1082"/>
      <c r="DE402" s="1082"/>
      <c r="DF402" s="1082"/>
      <c r="DG402" s="1082"/>
      <c r="DH402" s="1082"/>
      <c r="DI402" s="1082"/>
      <c r="DJ402" s="1082"/>
      <c r="DK402" s="1082"/>
      <c r="DL402" s="1082"/>
      <c r="DM402" s="1082"/>
      <c r="DN402" s="1082"/>
      <c r="DO402" s="1082"/>
      <c r="DP402" s="1082"/>
      <c r="DQ402" s="1082"/>
      <c r="DR402" s="1082"/>
      <c r="DS402" s="1082"/>
      <c r="DT402" s="1082"/>
      <c r="DU402" s="1082"/>
      <c r="DV402" s="1082"/>
      <c r="DW402" s="1082"/>
      <c r="DX402" s="1082"/>
      <c r="DY402" s="1082"/>
      <c r="DZ402" s="1082"/>
      <c r="EA402" s="1082"/>
      <c r="EB402" s="1082"/>
      <c r="EC402" s="1082"/>
      <c r="ED402" s="1082"/>
      <c r="EE402" s="1082"/>
      <c r="EF402" s="1082"/>
      <c r="EG402" s="1082"/>
      <c r="EH402" s="1082"/>
      <c r="EI402" s="1082"/>
      <c r="EJ402" s="1082"/>
      <c r="EK402" s="1082"/>
      <c r="EL402" s="1082"/>
      <c r="EM402" s="1082"/>
      <c r="EN402" s="1082"/>
      <c r="EO402" s="1082"/>
      <c r="EP402" s="1082"/>
      <c r="EQ402" s="1082"/>
      <c r="ER402" s="1082"/>
      <c r="ES402" s="1082"/>
      <c r="ET402" s="1082"/>
      <c r="EU402" s="1082"/>
      <c r="EV402" s="1082"/>
      <c r="EW402" s="1082"/>
      <c r="EX402" s="1082"/>
      <c r="EY402" s="1082"/>
      <c r="EZ402" s="1082"/>
      <c r="FA402" s="1082"/>
      <c r="FB402" s="1082"/>
    </row>
    <row r="403" spans="1:158" s="1099" customFormat="1" ht="32.1" customHeight="1">
      <c r="A403" s="1169"/>
      <c r="B403" s="1269" t="s">
        <v>576</v>
      </c>
      <c r="C403" s="1424">
        <f t="shared" si="97"/>
        <v>0.24812030075187974</v>
      </c>
      <c r="D403" s="1424">
        <f t="shared" si="97"/>
        <v>0.24812030075187974</v>
      </c>
      <c r="E403" s="1424">
        <f t="shared" si="97"/>
        <v>0</v>
      </c>
      <c r="F403" s="1424">
        <f t="shared" si="97"/>
        <v>0</v>
      </c>
      <c r="G403" s="1424">
        <f t="shared" si="97"/>
        <v>0.24812030075187974</v>
      </c>
      <c r="H403" s="1424">
        <f t="shared" si="97"/>
        <v>0</v>
      </c>
      <c r="I403" s="1761" t="s">
        <v>5295</v>
      </c>
      <c r="J403" s="1274">
        <v>2</v>
      </c>
      <c r="K403" s="1274">
        <v>2</v>
      </c>
      <c r="L403" s="1274">
        <v>1.67</v>
      </c>
      <c r="M403" s="1274">
        <v>1.67</v>
      </c>
      <c r="N403" s="1274">
        <v>2</v>
      </c>
      <c r="O403" s="1274">
        <v>1.67</v>
      </c>
      <c r="P403" s="1274">
        <v>3</v>
      </c>
      <c r="Q403" s="1083">
        <v>1.67</v>
      </c>
      <c r="R403" s="1081"/>
      <c r="S403" s="1082"/>
      <c r="T403" s="1082"/>
      <c r="U403" s="1082"/>
      <c r="V403" s="1082"/>
      <c r="W403" s="1082"/>
      <c r="X403" s="1082"/>
      <c r="Y403" s="1082"/>
      <c r="Z403" s="1082"/>
      <c r="AA403" s="1082"/>
      <c r="AB403" s="1082"/>
      <c r="AC403" s="1082"/>
      <c r="AD403" s="1082"/>
      <c r="AE403" s="1082"/>
      <c r="AF403" s="1082"/>
      <c r="AG403" s="1082"/>
      <c r="AH403" s="1082"/>
      <c r="AI403" s="1082"/>
      <c r="AJ403" s="1082"/>
      <c r="AK403" s="1082"/>
      <c r="AL403" s="1082"/>
      <c r="AM403" s="1082"/>
      <c r="AN403" s="1082"/>
      <c r="AO403" s="1082"/>
      <c r="AP403" s="1082"/>
      <c r="AQ403" s="1082"/>
      <c r="AR403" s="1082"/>
      <c r="AS403" s="1082"/>
      <c r="AT403" s="1082"/>
      <c r="AU403" s="1082"/>
      <c r="AV403" s="1082"/>
      <c r="AW403" s="1082"/>
      <c r="AX403" s="1082"/>
      <c r="AY403" s="1082"/>
      <c r="AZ403" s="1082"/>
      <c r="BA403" s="1082"/>
      <c r="BB403" s="1082"/>
      <c r="BC403" s="1082"/>
      <c r="BD403" s="1082"/>
      <c r="BE403" s="1082"/>
      <c r="BF403" s="1082"/>
      <c r="BG403" s="1082"/>
      <c r="BH403" s="1082"/>
      <c r="BI403" s="1082"/>
      <c r="BJ403" s="1082"/>
      <c r="BK403" s="1082"/>
      <c r="BL403" s="1082"/>
      <c r="BM403" s="1082"/>
      <c r="BN403" s="1082"/>
      <c r="BO403" s="1082"/>
      <c r="BP403" s="1082"/>
      <c r="BQ403" s="1082"/>
      <c r="BR403" s="1082"/>
      <c r="BS403" s="1082"/>
      <c r="BT403" s="1082"/>
      <c r="BU403" s="1082"/>
      <c r="BV403" s="1082"/>
      <c r="BW403" s="1082"/>
      <c r="BX403" s="1082"/>
      <c r="BY403" s="1082"/>
      <c r="BZ403" s="1082"/>
      <c r="CA403" s="1082"/>
      <c r="CB403" s="1082"/>
      <c r="CC403" s="1082"/>
      <c r="CD403" s="1082"/>
      <c r="CE403" s="1082"/>
      <c r="CF403" s="1082"/>
      <c r="CG403" s="1082"/>
      <c r="CH403" s="1082"/>
      <c r="CI403" s="1082"/>
      <c r="CJ403" s="1082"/>
      <c r="CK403" s="1082"/>
      <c r="CL403" s="1082"/>
      <c r="CM403" s="1082"/>
      <c r="CN403" s="1082"/>
      <c r="CO403" s="1082"/>
      <c r="CP403" s="1082"/>
      <c r="CQ403" s="1082"/>
      <c r="CR403" s="1082"/>
      <c r="CS403" s="1082"/>
      <c r="CT403" s="1082"/>
      <c r="CU403" s="1082"/>
      <c r="CV403" s="1082"/>
      <c r="CW403" s="1082"/>
      <c r="CX403" s="1082"/>
      <c r="CY403" s="1082"/>
      <c r="CZ403" s="1082"/>
      <c r="DA403" s="1082"/>
      <c r="DB403" s="1082"/>
      <c r="DC403" s="1082"/>
      <c r="DD403" s="1082"/>
      <c r="DE403" s="1082"/>
      <c r="DF403" s="1082"/>
      <c r="DG403" s="1082"/>
      <c r="DH403" s="1082"/>
      <c r="DI403" s="1082"/>
      <c r="DJ403" s="1082"/>
      <c r="DK403" s="1082"/>
      <c r="DL403" s="1082"/>
      <c r="DM403" s="1082"/>
      <c r="DN403" s="1082"/>
      <c r="DO403" s="1082"/>
      <c r="DP403" s="1082"/>
      <c r="DQ403" s="1082"/>
      <c r="DR403" s="1082"/>
      <c r="DS403" s="1082"/>
      <c r="DT403" s="1082"/>
      <c r="DU403" s="1082"/>
      <c r="DV403" s="1082"/>
      <c r="DW403" s="1082"/>
      <c r="DX403" s="1082"/>
      <c r="DY403" s="1082"/>
      <c r="DZ403" s="1082"/>
      <c r="EA403" s="1082"/>
      <c r="EB403" s="1082"/>
      <c r="EC403" s="1082"/>
      <c r="ED403" s="1082"/>
      <c r="EE403" s="1082"/>
      <c r="EF403" s="1082"/>
      <c r="EG403" s="1082"/>
      <c r="EH403" s="1082"/>
      <c r="EI403" s="1082"/>
      <c r="EJ403" s="1082"/>
      <c r="EK403" s="1082"/>
      <c r="EL403" s="1082"/>
      <c r="EM403" s="1082"/>
      <c r="EN403" s="1082"/>
      <c r="EO403" s="1082"/>
      <c r="EP403" s="1082"/>
      <c r="EQ403" s="1082"/>
      <c r="ER403" s="1082"/>
      <c r="ES403" s="1082"/>
      <c r="ET403" s="1082"/>
      <c r="EU403" s="1082"/>
      <c r="EV403" s="1082"/>
      <c r="EW403" s="1082"/>
      <c r="EX403" s="1082"/>
      <c r="EY403" s="1082"/>
      <c r="EZ403" s="1082"/>
      <c r="FA403" s="1082"/>
      <c r="FB403" s="1082"/>
    </row>
    <row r="404" spans="1:158" ht="32.1" customHeight="1">
      <c r="A404" s="1607" t="s">
        <v>6864</v>
      </c>
      <c r="B404" s="1681" t="s">
        <v>577</v>
      </c>
      <c r="C404" s="1509">
        <f t="shared" ref="C404:H404" si="98">AVERAGE(C405,C424,C435,C454,C467,C473,C480)</f>
        <v>0.72762869629250171</v>
      </c>
      <c r="D404" s="1509">
        <f t="shared" si="98"/>
        <v>0.64904901531182813</v>
      </c>
      <c r="E404" s="1509">
        <f t="shared" si="98"/>
        <v>0.354201487593233</v>
      </c>
      <c r="F404" s="1509">
        <f t="shared" si="98"/>
        <v>0.72733871964241636</v>
      </c>
      <c r="G404" s="1509">
        <f t="shared" si="98"/>
        <v>0.62409148624582522</v>
      </c>
      <c r="H404" s="1509">
        <f t="shared" si="98"/>
        <v>0.36385459478843574</v>
      </c>
      <c r="I404" s="1768"/>
      <c r="J404" s="1064"/>
      <c r="K404" s="1061"/>
      <c r="L404" s="1061"/>
      <c r="M404" s="1064"/>
      <c r="N404" s="1061"/>
      <c r="O404" s="1061"/>
      <c r="P404" s="1061"/>
      <c r="Q404" s="1061"/>
    </row>
    <row r="405" spans="1:158" ht="32.1" customHeight="1">
      <c r="A405" s="1608" t="s">
        <v>6865</v>
      </c>
      <c r="B405" s="1136" t="s">
        <v>578</v>
      </c>
      <c r="C405" s="1682">
        <f t="shared" ref="C405:H405" si="99">AVERAGE(C407,C408,C410,C411,C412,C413,C414,C415,C417,C419,C420,C421,C422,C423)</f>
        <v>0.71857142857142853</v>
      </c>
      <c r="D405" s="1682">
        <f t="shared" si="99"/>
        <v>0.71857142857142864</v>
      </c>
      <c r="E405" s="1682">
        <f t="shared" si="99"/>
        <v>0.4821428571428571</v>
      </c>
      <c r="F405" s="1682">
        <f t="shared" si="99"/>
        <v>0.59642857142857142</v>
      </c>
      <c r="G405" s="1682">
        <f t="shared" si="99"/>
        <v>0.47357142857142859</v>
      </c>
      <c r="H405" s="1682">
        <f t="shared" si="99"/>
        <v>0.41273571428571432</v>
      </c>
      <c r="I405" s="1195"/>
      <c r="J405" s="1130"/>
      <c r="K405" s="1276"/>
      <c r="L405" s="1276"/>
      <c r="M405" s="1130"/>
      <c r="N405" s="1276"/>
      <c r="O405" s="1276"/>
      <c r="P405" s="1276"/>
      <c r="Q405" s="1276"/>
    </row>
    <row r="406" spans="1:158" ht="32.1" customHeight="1">
      <c r="A406" s="1608" t="s">
        <v>6866</v>
      </c>
      <c r="B406" s="1136" t="s">
        <v>579</v>
      </c>
      <c r="C406" s="1461">
        <f t="shared" ref="C406:H406" si="100">AVERAGE(C407:C408)</f>
        <v>1</v>
      </c>
      <c r="D406" s="1461">
        <f t="shared" si="100"/>
        <v>1</v>
      </c>
      <c r="E406" s="1461">
        <f t="shared" si="100"/>
        <v>1</v>
      </c>
      <c r="F406" s="1461">
        <f t="shared" si="100"/>
        <v>0</v>
      </c>
      <c r="G406" s="1461">
        <f t="shared" si="100"/>
        <v>1</v>
      </c>
      <c r="H406" s="1461">
        <f t="shared" si="100"/>
        <v>1</v>
      </c>
      <c r="I406" s="1195"/>
      <c r="J406" s="1130"/>
      <c r="K406" s="1276"/>
      <c r="L406" s="1276"/>
      <c r="M406" s="1130"/>
      <c r="N406" s="1276"/>
      <c r="O406" s="1276"/>
      <c r="P406" s="1276"/>
      <c r="Q406" s="1276"/>
    </row>
    <row r="407" spans="1:158" ht="32.1" customHeight="1">
      <c r="A407" s="1052"/>
      <c r="B407" s="1151" t="s">
        <v>580</v>
      </c>
      <c r="C407" s="1485">
        <v>1</v>
      </c>
      <c r="D407" s="1485">
        <v>1</v>
      </c>
      <c r="E407" s="1485">
        <v>1</v>
      </c>
      <c r="F407" s="1485">
        <v>0</v>
      </c>
      <c r="G407" s="1485">
        <v>1</v>
      </c>
      <c r="H407" s="1485">
        <v>1</v>
      </c>
      <c r="I407" s="1195" t="s">
        <v>38</v>
      </c>
      <c r="J407" s="1073">
        <v>1</v>
      </c>
      <c r="K407" s="1073" t="s">
        <v>6471</v>
      </c>
      <c r="L407" s="1079" t="s">
        <v>5972</v>
      </c>
      <c r="M407" s="1102">
        <v>0</v>
      </c>
      <c r="N407" s="1073" t="s">
        <v>5513</v>
      </c>
      <c r="O407" s="1073" t="s">
        <v>5756</v>
      </c>
      <c r="P407" s="1073">
        <v>1</v>
      </c>
      <c r="Q407" s="1073">
        <v>0</v>
      </c>
    </row>
    <row r="408" spans="1:158" ht="32.1" customHeight="1">
      <c r="A408" s="1052"/>
      <c r="B408" s="1404" t="s">
        <v>6932</v>
      </c>
      <c r="C408" s="1485">
        <v>1</v>
      </c>
      <c r="D408" s="1485">
        <v>1</v>
      </c>
      <c r="E408" s="1485">
        <v>1</v>
      </c>
      <c r="F408" s="1485">
        <v>0</v>
      </c>
      <c r="G408" s="1485">
        <v>1</v>
      </c>
      <c r="H408" s="1485">
        <v>1</v>
      </c>
      <c r="I408" s="1195" t="s">
        <v>38</v>
      </c>
      <c r="J408" s="1073">
        <v>1</v>
      </c>
      <c r="K408" s="1394" t="s">
        <v>6893</v>
      </c>
      <c r="L408" s="1407" t="s">
        <v>5973</v>
      </c>
      <c r="M408" s="1102">
        <v>0</v>
      </c>
      <c r="N408" s="1073" t="s">
        <v>811</v>
      </c>
      <c r="O408" s="1073" t="s">
        <v>5757</v>
      </c>
      <c r="P408" s="1073"/>
      <c r="Q408" s="1073"/>
    </row>
    <row r="409" spans="1:158" ht="32.1" customHeight="1">
      <c r="A409" s="1608" t="s">
        <v>6867</v>
      </c>
      <c r="B409" s="1136" t="s">
        <v>5335</v>
      </c>
      <c r="C409" s="1461">
        <f t="shared" ref="C409:H409" si="101">AVERAGE(C410:C423)</f>
        <v>0.67166666666666652</v>
      </c>
      <c r="D409" s="1461">
        <f t="shared" si="101"/>
        <v>0.67166666666666675</v>
      </c>
      <c r="E409" s="1461">
        <f t="shared" si="101"/>
        <v>0.39583333333333331</v>
      </c>
      <c r="F409" s="1461">
        <f t="shared" si="101"/>
        <v>0.6958333333333333</v>
      </c>
      <c r="G409" s="1461">
        <f t="shared" si="101"/>
        <v>0.38583333333333331</v>
      </c>
      <c r="H409" s="1461">
        <f t="shared" si="101"/>
        <v>0.3148583333333333</v>
      </c>
      <c r="I409" s="1195"/>
      <c r="J409" s="1130"/>
      <c r="K409" s="1276"/>
      <c r="L409" s="1276"/>
      <c r="M409" s="1386"/>
      <c r="N409" s="1276"/>
      <c r="O409" s="1276"/>
      <c r="P409" s="1276"/>
      <c r="Q409" s="1276"/>
    </row>
    <row r="410" spans="1:158" ht="32.1" customHeight="1">
      <c r="A410" s="1052"/>
      <c r="B410" s="1151" t="s">
        <v>582</v>
      </c>
      <c r="C410" s="1510">
        <v>1</v>
      </c>
      <c r="D410" s="1510">
        <v>1</v>
      </c>
      <c r="E410" s="1510">
        <v>0</v>
      </c>
      <c r="F410" s="1510">
        <v>1</v>
      </c>
      <c r="G410" s="1510">
        <v>1</v>
      </c>
      <c r="H410" s="1510">
        <v>0</v>
      </c>
      <c r="I410" s="1195" t="s">
        <v>38</v>
      </c>
      <c r="J410" s="1073">
        <v>1</v>
      </c>
      <c r="K410" s="1073" t="s">
        <v>960</v>
      </c>
      <c r="L410" s="1079" t="s">
        <v>5974</v>
      </c>
      <c r="M410" s="1102">
        <v>1</v>
      </c>
      <c r="N410" s="1073">
        <v>1</v>
      </c>
      <c r="O410" s="1073" t="s">
        <v>5758</v>
      </c>
      <c r="P410" s="1073">
        <v>1</v>
      </c>
      <c r="Q410" s="1073">
        <v>0</v>
      </c>
    </row>
    <row r="411" spans="1:158" ht="32.1" customHeight="1">
      <c r="A411" s="1052"/>
      <c r="B411" s="1053" t="s">
        <v>584</v>
      </c>
      <c r="C411" s="1510">
        <v>1</v>
      </c>
      <c r="D411" s="1510">
        <v>1</v>
      </c>
      <c r="E411" s="1510">
        <v>1</v>
      </c>
      <c r="F411" s="1510">
        <v>1</v>
      </c>
      <c r="G411" s="1510">
        <v>1</v>
      </c>
      <c r="H411" s="1510">
        <v>1</v>
      </c>
      <c r="I411" s="1195" t="s">
        <v>38</v>
      </c>
      <c r="J411" s="1073">
        <v>1</v>
      </c>
      <c r="K411" s="1073" t="s">
        <v>960</v>
      </c>
      <c r="L411" s="1278" t="s">
        <v>811</v>
      </c>
      <c r="M411" s="1102">
        <v>1</v>
      </c>
      <c r="N411" s="1102">
        <v>1</v>
      </c>
      <c r="O411" s="1102" t="s">
        <v>5759</v>
      </c>
      <c r="P411" s="1073">
        <v>1</v>
      </c>
      <c r="Q411" s="1073">
        <v>0</v>
      </c>
    </row>
    <row r="412" spans="1:158" ht="47.1" customHeight="1">
      <c r="A412" s="1052"/>
      <c r="B412" s="1151" t="s">
        <v>585</v>
      </c>
      <c r="C412" s="1726">
        <v>1</v>
      </c>
      <c r="D412" s="1726">
        <v>1</v>
      </c>
      <c r="E412" s="1726">
        <v>1</v>
      </c>
      <c r="F412" s="1726">
        <v>1</v>
      </c>
      <c r="G412" s="1726">
        <v>1</v>
      </c>
      <c r="H412" s="1726">
        <v>1</v>
      </c>
      <c r="I412" s="1195" t="s">
        <v>154</v>
      </c>
      <c r="J412" s="1073">
        <v>1</v>
      </c>
      <c r="K412" s="1073" t="s">
        <v>960</v>
      </c>
      <c r="L412" s="1278" t="s">
        <v>960</v>
      </c>
      <c r="M412" s="1102">
        <v>0.5</v>
      </c>
      <c r="N412" s="1102">
        <v>1</v>
      </c>
      <c r="O412" s="1102" t="s">
        <v>5760</v>
      </c>
      <c r="P412" s="1073">
        <v>1</v>
      </c>
      <c r="Q412" s="1073">
        <v>0</v>
      </c>
    </row>
    <row r="413" spans="1:158" ht="32.1" customHeight="1">
      <c r="A413" s="1052"/>
      <c r="B413" s="1151" t="s">
        <v>586</v>
      </c>
      <c r="C413" s="1726">
        <f>(60-$Q413)/($P413-$Q413)</f>
        <v>0.6</v>
      </c>
      <c r="D413" s="1726">
        <f>(74-$Q413)/($P413-$Q413)</f>
        <v>0.74</v>
      </c>
      <c r="E413" s="1726">
        <f>(60-$Q413)/($P413-$Q413)</f>
        <v>0.6</v>
      </c>
      <c r="F413" s="1726">
        <f>(97-$Q413)/($P413-$Q413)</f>
        <v>0.97</v>
      </c>
      <c r="G413" s="1726">
        <f>(10-$Q413)/($P413-$Q413)</f>
        <v>0.1</v>
      </c>
      <c r="H413" s="1726">
        <f>(25.71-$Q413)/($P413-$Q413)</f>
        <v>0.2571</v>
      </c>
      <c r="I413" s="1195" t="s">
        <v>525</v>
      </c>
      <c r="J413" s="1279">
        <v>0.6</v>
      </c>
      <c r="K413" s="1280">
        <f>(15489+2936)/25056</f>
        <v>0.73535280970625794</v>
      </c>
      <c r="L413" s="1278" t="s">
        <v>5975</v>
      </c>
      <c r="M413" s="1102">
        <v>0.97</v>
      </c>
      <c r="N413" s="1281">
        <v>0.1</v>
      </c>
      <c r="O413" s="1102" t="s">
        <v>5761</v>
      </c>
      <c r="P413" s="1073">
        <v>100</v>
      </c>
      <c r="Q413" s="1073">
        <v>0</v>
      </c>
    </row>
    <row r="414" spans="1:158" ht="32.1" customHeight="1">
      <c r="A414" s="1052"/>
      <c r="B414" s="1151" t="s">
        <v>587</v>
      </c>
      <c r="C414" s="1726">
        <f>(38-$Q414)/($P414-$Q414)</f>
        <v>0.38</v>
      </c>
      <c r="D414" s="1726">
        <f>(100-$Q414)/($P414-$Q414)</f>
        <v>1</v>
      </c>
      <c r="E414" s="1726">
        <f>(10-$Q414)/($P414-$Q414)</f>
        <v>0.1</v>
      </c>
      <c r="F414" s="1726">
        <f>(32-$Q414)/($P414-$Q414)</f>
        <v>0.32</v>
      </c>
      <c r="G414" s="1726">
        <f>(3-$Q414)/($P414-$Q414)</f>
        <v>0.03</v>
      </c>
      <c r="H414" s="1726">
        <f>(2.12-$Q414)/($P414-$Q414)</f>
        <v>2.12E-2</v>
      </c>
      <c r="I414" s="1195" t="s">
        <v>525</v>
      </c>
      <c r="J414" s="1104" t="s">
        <v>5357</v>
      </c>
      <c r="K414" s="1073" t="s">
        <v>6472</v>
      </c>
      <c r="L414" s="1278" t="s">
        <v>5976</v>
      </c>
      <c r="M414" s="1102">
        <v>0.32</v>
      </c>
      <c r="N414" s="1280">
        <v>0.03</v>
      </c>
      <c r="O414" s="1102" t="s">
        <v>5762</v>
      </c>
      <c r="P414" s="1073">
        <v>100</v>
      </c>
      <c r="Q414" s="1073">
        <v>0</v>
      </c>
    </row>
    <row r="415" spans="1:158" ht="32.1" customHeight="1">
      <c r="A415" s="1086"/>
      <c r="B415" s="1383" t="s">
        <v>588</v>
      </c>
      <c r="C415" s="1485">
        <f>IF(J8506&gt;$P415,1,IF(J415&lt;$Q415,0,(J415-$Q415)/($P415-$Q415)))</f>
        <v>0.08</v>
      </c>
      <c r="D415" s="1485">
        <f>IF(K8506&gt;$P415,1,IF(K415&lt;$Q415,0,(K415-$Q415)/($P415-$Q415)))</f>
        <v>7.0000000000000007E-2</v>
      </c>
      <c r="E415" s="1485">
        <f>IF(L415&gt;$P415,1,IF(L415&lt;$Q415,0,(L415-$Q415)/($P415-$Q415)))</f>
        <v>0.05</v>
      </c>
      <c r="F415" s="1485">
        <f>IF(M415&gt;$P415,1,IF(M415&lt;$Q415,0,(M415-$Q415)/($P415-$Q415)))</f>
        <v>0.06</v>
      </c>
      <c r="G415" s="1485">
        <f>IF(N415&gt;$P415,1,IF(N415&lt;$Q415,0,(N415-$Q415)/($P415-$Q415)))</f>
        <v>0</v>
      </c>
      <c r="H415" s="1485">
        <v>0</v>
      </c>
      <c r="I415" s="1195" t="s">
        <v>525</v>
      </c>
      <c r="J415" s="1073">
        <v>8</v>
      </c>
      <c r="K415" s="1394">
        <v>7</v>
      </c>
      <c r="L415" s="1102">
        <v>5</v>
      </c>
      <c r="M415" s="1102">
        <v>6</v>
      </c>
      <c r="N415" s="1102">
        <v>0</v>
      </c>
      <c r="O415" s="1411" t="s">
        <v>5763</v>
      </c>
      <c r="P415" s="1073">
        <v>100</v>
      </c>
      <c r="Q415" s="1073">
        <v>0</v>
      </c>
    </row>
    <row r="416" spans="1:158" ht="32.1" customHeight="1">
      <c r="A416" s="1086"/>
      <c r="B416" s="1383"/>
      <c r="C416" s="1485"/>
      <c r="D416" s="1485"/>
      <c r="E416" s="1485"/>
      <c r="F416" s="1485"/>
      <c r="G416" s="1485"/>
      <c r="H416" s="1485"/>
      <c r="I416" s="1195"/>
      <c r="J416" s="1104"/>
      <c r="K416" s="1073"/>
      <c r="L416" s="1102"/>
      <c r="M416" s="1102"/>
      <c r="N416" s="1411"/>
      <c r="O416" s="1411"/>
      <c r="P416" s="1073"/>
      <c r="Q416" s="1073"/>
    </row>
    <row r="417" spans="1:158" ht="32.1" customHeight="1">
      <c r="A417" s="1086"/>
      <c r="B417" s="1383" t="s">
        <v>6928</v>
      </c>
      <c r="C417" s="1485">
        <v>0.25</v>
      </c>
      <c r="D417" s="1485">
        <v>0.25</v>
      </c>
      <c r="E417" s="1485">
        <v>0</v>
      </c>
      <c r="F417" s="1485">
        <v>0.25</v>
      </c>
      <c r="G417" s="1485">
        <v>0</v>
      </c>
      <c r="H417" s="1485">
        <v>0</v>
      </c>
      <c r="I417" s="1769" t="s">
        <v>5253</v>
      </c>
      <c r="J417" s="1073">
        <v>0</v>
      </c>
      <c r="K417" s="1073" t="s">
        <v>6473</v>
      </c>
      <c r="L417" s="1102">
        <v>0</v>
      </c>
      <c r="M417" s="1102">
        <v>0</v>
      </c>
      <c r="N417" s="1102">
        <v>0</v>
      </c>
      <c r="O417" s="1102" t="s">
        <v>748</v>
      </c>
      <c r="P417" s="1073">
        <v>1</v>
      </c>
      <c r="Q417" s="1073">
        <v>0</v>
      </c>
    </row>
    <row r="418" spans="1:158" ht="32.1" customHeight="1">
      <c r="A418" s="1052"/>
      <c r="B418" s="1151"/>
      <c r="C418" s="1485"/>
      <c r="D418" s="1485"/>
      <c r="E418" s="1485"/>
      <c r="F418" s="1485"/>
      <c r="G418" s="1485"/>
      <c r="H418" s="1485"/>
      <c r="I418" s="1195"/>
      <c r="J418" s="1073"/>
      <c r="K418" s="1073"/>
      <c r="L418" s="1102"/>
      <c r="M418" s="1102"/>
      <c r="N418" s="1102"/>
      <c r="O418" s="1102"/>
      <c r="P418" s="1073"/>
      <c r="Q418" s="1073"/>
    </row>
    <row r="419" spans="1:158" s="1099" customFormat="1" ht="32.1" customHeight="1">
      <c r="A419" s="1169"/>
      <c r="B419" s="1622" t="s">
        <v>6883</v>
      </c>
      <c r="C419" s="1512">
        <v>1</v>
      </c>
      <c r="D419" s="1512">
        <v>1</v>
      </c>
      <c r="E419" s="1512">
        <v>1</v>
      </c>
      <c r="F419" s="1512">
        <v>1</v>
      </c>
      <c r="G419" s="1512">
        <v>1</v>
      </c>
      <c r="H419" s="1512">
        <v>0</v>
      </c>
      <c r="I419" s="1770" t="s">
        <v>5253</v>
      </c>
      <c r="J419" s="1098">
        <v>1</v>
      </c>
      <c r="K419" s="1098">
        <v>1</v>
      </c>
      <c r="L419" s="1098">
        <v>1</v>
      </c>
      <c r="M419" s="1098">
        <v>1</v>
      </c>
      <c r="N419" s="1098">
        <v>1</v>
      </c>
      <c r="O419" s="1098"/>
      <c r="P419" s="1098">
        <v>1</v>
      </c>
      <c r="Q419" s="1098">
        <v>0</v>
      </c>
      <c r="R419" s="1283"/>
      <c r="S419" s="1242"/>
      <c r="T419" s="1242"/>
      <c r="U419" s="1242"/>
      <c r="V419" s="1242"/>
      <c r="W419" s="1242"/>
      <c r="X419" s="1242"/>
      <c r="Y419" s="1242"/>
      <c r="Z419" s="1242"/>
      <c r="AA419" s="1242"/>
      <c r="AB419" s="1242"/>
      <c r="AC419" s="1242"/>
      <c r="AD419" s="1242"/>
      <c r="AE419" s="1242"/>
      <c r="AF419" s="1242"/>
      <c r="AG419" s="1242"/>
      <c r="AH419" s="1242"/>
      <c r="AI419" s="1242"/>
      <c r="AJ419" s="1242"/>
      <c r="AK419" s="1242"/>
      <c r="AL419" s="1242"/>
      <c r="AM419" s="1242"/>
      <c r="AN419" s="1242"/>
      <c r="AO419" s="1242"/>
      <c r="AP419" s="1242"/>
      <c r="AQ419" s="1242"/>
      <c r="AR419" s="1242"/>
      <c r="AS419" s="1242"/>
      <c r="AT419" s="1242"/>
      <c r="AU419" s="1242"/>
      <c r="AV419" s="1242"/>
      <c r="AW419" s="1242"/>
      <c r="AX419" s="1242"/>
      <c r="AY419" s="1242"/>
      <c r="AZ419" s="1242"/>
      <c r="BA419" s="1242"/>
      <c r="BB419" s="1242"/>
      <c r="BC419" s="1242"/>
      <c r="BD419" s="1242"/>
      <c r="BE419" s="1242"/>
      <c r="BF419" s="1242"/>
      <c r="BG419" s="1242"/>
      <c r="BH419" s="1242"/>
      <c r="BI419" s="1242"/>
      <c r="BJ419" s="1242"/>
      <c r="BK419" s="1242"/>
      <c r="BL419" s="1242"/>
      <c r="BM419" s="1242"/>
      <c r="BN419" s="1242"/>
      <c r="BO419" s="1242"/>
      <c r="BP419" s="1242"/>
      <c r="BQ419" s="1242"/>
      <c r="BR419" s="1242"/>
      <c r="BS419" s="1242"/>
      <c r="BT419" s="1242"/>
      <c r="BU419" s="1242"/>
      <c r="BV419" s="1242"/>
      <c r="BW419" s="1242"/>
      <c r="BX419" s="1242"/>
      <c r="BY419" s="1242"/>
      <c r="BZ419" s="1242"/>
      <c r="CA419" s="1242"/>
      <c r="CB419" s="1242"/>
      <c r="CC419" s="1242"/>
      <c r="CD419" s="1242"/>
      <c r="CE419" s="1242"/>
      <c r="CF419" s="1242"/>
      <c r="CG419" s="1242"/>
      <c r="CH419" s="1242"/>
      <c r="CI419" s="1242"/>
      <c r="CJ419" s="1242"/>
      <c r="CK419" s="1242"/>
      <c r="CL419" s="1242"/>
      <c r="CM419" s="1242"/>
      <c r="CN419" s="1242"/>
      <c r="CO419" s="1242"/>
      <c r="CP419" s="1242"/>
      <c r="CQ419" s="1242"/>
      <c r="CR419" s="1242"/>
      <c r="CS419" s="1242"/>
      <c r="CT419" s="1242"/>
      <c r="CU419" s="1242"/>
      <c r="CV419" s="1242"/>
      <c r="CW419" s="1242"/>
      <c r="CX419" s="1242"/>
      <c r="CY419" s="1242"/>
      <c r="CZ419" s="1242"/>
      <c r="DA419" s="1242"/>
      <c r="DB419" s="1242"/>
      <c r="DC419" s="1242"/>
      <c r="DD419" s="1242"/>
      <c r="DE419" s="1242"/>
      <c r="DF419" s="1242"/>
      <c r="DG419" s="1242"/>
      <c r="DH419" s="1242"/>
      <c r="DI419" s="1242"/>
      <c r="DJ419" s="1242"/>
      <c r="DK419" s="1242"/>
      <c r="DL419" s="1242"/>
      <c r="DM419" s="1242"/>
      <c r="DN419" s="1242"/>
      <c r="DO419" s="1242"/>
      <c r="DP419" s="1242"/>
      <c r="DQ419" s="1242"/>
      <c r="DR419" s="1242"/>
      <c r="DS419" s="1242"/>
      <c r="DT419" s="1242"/>
      <c r="DU419" s="1242"/>
      <c r="DV419" s="1242"/>
      <c r="DW419" s="1242"/>
      <c r="DX419" s="1242"/>
      <c r="DY419" s="1242"/>
      <c r="DZ419" s="1242"/>
      <c r="EA419" s="1242"/>
      <c r="EB419" s="1242"/>
      <c r="EC419" s="1242"/>
      <c r="ED419" s="1242"/>
      <c r="EE419" s="1242"/>
      <c r="EF419" s="1242"/>
      <c r="EG419" s="1242"/>
      <c r="EH419" s="1242"/>
      <c r="EI419" s="1242"/>
      <c r="EJ419" s="1242"/>
      <c r="EK419" s="1242"/>
      <c r="EL419" s="1242"/>
      <c r="EM419" s="1242"/>
      <c r="EN419" s="1242"/>
      <c r="EO419" s="1242"/>
      <c r="EP419" s="1242"/>
      <c r="EQ419" s="1242"/>
      <c r="ER419" s="1242"/>
      <c r="ES419" s="1242"/>
      <c r="ET419" s="1242"/>
      <c r="EU419" s="1242"/>
      <c r="EV419" s="1242"/>
      <c r="EW419" s="1242"/>
      <c r="EX419" s="1242"/>
      <c r="EY419" s="1242"/>
      <c r="EZ419" s="1242"/>
      <c r="FA419" s="1242"/>
      <c r="FB419" s="1242"/>
    </row>
    <row r="420" spans="1:158" ht="32.1" customHeight="1">
      <c r="A420" s="1052"/>
      <c r="B420" s="1151" t="s">
        <v>5353</v>
      </c>
      <c r="C420" s="1487">
        <f>(J420-$Q420)/($P420-$Q420)</f>
        <v>0.75</v>
      </c>
      <c r="D420" s="1487">
        <v>0</v>
      </c>
      <c r="E420" s="1487">
        <v>0</v>
      </c>
      <c r="F420" s="1487">
        <f>(M420-$Q420)/($P420-$Q420)</f>
        <v>0.75</v>
      </c>
      <c r="G420" s="1487">
        <f>(N420-$Q420)/($P420-$Q420)</f>
        <v>0</v>
      </c>
      <c r="H420" s="1487">
        <v>0</v>
      </c>
      <c r="I420" s="1195" t="s">
        <v>525</v>
      </c>
      <c r="J420" s="1072">
        <v>6</v>
      </c>
      <c r="K420" s="1102" t="s">
        <v>6474</v>
      </c>
      <c r="L420" s="1278" t="s">
        <v>1060</v>
      </c>
      <c r="M420" s="1102">
        <v>6</v>
      </c>
      <c r="N420" s="1102">
        <v>0</v>
      </c>
      <c r="O420" s="1102" t="s">
        <v>6754</v>
      </c>
      <c r="P420" s="1073">
        <v>8</v>
      </c>
      <c r="Q420" s="1073">
        <v>0</v>
      </c>
    </row>
    <row r="421" spans="1:158" ht="32.1" customHeight="1">
      <c r="A421" s="1052"/>
      <c r="B421" s="1151" t="s">
        <v>589</v>
      </c>
      <c r="C421" s="1511">
        <v>0.5</v>
      </c>
      <c r="D421" s="1511">
        <v>0.5</v>
      </c>
      <c r="E421" s="1511">
        <v>0.5</v>
      </c>
      <c r="F421" s="1511">
        <v>0.5</v>
      </c>
      <c r="G421" s="1511">
        <v>0.5</v>
      </c>
      <c r="H421" s="1511">
        <v>0.5</v>
      </c>
      <c r="I421" s="1195" t="s">
        <v>5254</v>
      </c>
      <c r="J421" s="1072" t="s">
        <v>5354</v>
      </c>
      <c r="K421" s="1102" t="s">
        <v>6475</v>
      </c>
      <c r="L421" s="1278" t="s">
        <v>5977</v>
      </c>
      <c r="M421" s="1102" t="s">
        <v>5354</v>
      </c>
      <c r="N421" s="1102" t="s">
        <v>5514</v>
      </c>
      <c r="O421" s="1102" t="s">
        <v>5764</v>
      </c>
      <c r="P421" s="1073">
        <v>1</v>
      </c>
      <c r="Q421" s="1073">
        <v>0</v>
      </c>
    </row>
    <row r="422" spans="1:158" ht="32.1" customHeight="1">
      <c r="A422" s="1052"/>
      <c r="B422" s="1151" t="s">
        <v>590</v>
      </c>
      <c r="C422" s="1511">
        <v>0.5</v>
      </c>
      <c r="D422" s="1511">
        <v>0.5</v>
      </c>
      <c r="E422" s="1511">
        <v>0.5</v>
      </c>
      <c r="F422" s="1511">
        <v>0.5</v>
      </c>
      <c r="G422" s="1511">
        <v>0</v>
      </c>
      <c r="H422" s="1511">
        <v>0</v>
      </c>
      <c r="I422" s="1195" t="s">
        <v>5254</v>
      </c>
      <c r="J422" s="1072" t="s">
        <v>5355</v>
      </c>
      <c r="K422" s="1102" t="s">
        <v>6476</v>
      </c>
      <c r="L422" s="1278" t="s">
        <v>5977</v>
      </c>
      <c r="M422" s="1102" t="s">
        <v>5355</v>
      </c>
      <c r="N422" s="1102" t="s">
        <v>5515</v>
      </c>
      <c r="O422" s="1102" t="s">
        <v>5765</v>
      </c>
      <c r="P422" s="1073">
        <v>1</v>
      </c>
      <c r="Q422" s="1073">
        <v>0</v>
      </c>
    </row>
    <row r="423" spans="1:158" ht="32.1" customHeight="1">
      <c r="A423" s="1052"/>
      <c r="B423" s="1383" t="s">
        <v>591</v>
      </c>
      <c r="C423" s="1511">
        <v>1</v>
      </c>
      <c r="D423" s="1511">
        <v>1</v>
      </c>
      <c r="E423" s="1511">
        <v>0</v>
      </c>
      <c r="F423" s="1511">
        <v>1</v>
      </c>
      <c r="G423" s="1511">
        <v>0</v>
      </c>
      <c r="H423" s="1511">
        <v>1</v>
      </c>
      <c r="I423" s="1195" t="s">
        <v>5254</v>
      </c>
      <c r="J423" s="1072" t="s">
        <v>5356</v>
      </c>
      <c r="K423" s="1102" t="s">
        <v>6477</v>
      </c>
      <c r="L423" s="1278" t="s">
        <v>1060</v>
      </c>
      <c r="M423" s="1102">
        <v>1</v>
      </c>
      <c r="N423" s="1102">
        <v>0</v>
      </c>
      <c r="O423" s="1102" t="s">
        <v>5766</v>
      </c>
      <c r="P423" s="1073">
        <v>1</v>
      </c>
      <c r="Q423" s="1073">
        <v>0</v>
      </c>
    </row>
    <row r="424" spans="1:158" ht="32.1" customHeight="1">
      <c r="A424" s="1604" t="s">
        <v>6868</v>
      </c>
      <c r="B424" s="1067" t="s">
        <v>592</v>
      </c>
      <c r="C424" s="1513">
        <f t="shared" ref="C424:H424" si="102">AVERAGE(C425:C434)</f>
        <v>0.83756410256410252</v>
      </c>
      <c r="D424" s="1513">
        <f t="shared" si="102"/>
        <v>0.55538461538461537</v>
      </c>
      <c r="E424" s="1513">
        <f t="shared" si="102"/>
        <v>0.412051282051282</v>
      </c>
      <c r="F424" s="1513">
        <f t="shared" si="102"/>
        <v>0.58102564102564114</v>
      </c>
      <c r="G424" s="1513">
        <f t="shared" si="102"/>
        <v>0.46807692307692311</v>
      </c>
      <c r="H424" s="1513">
        <f t="shared" si="102"/>
        <v>0.05</v>
      </c>
      <c r="I424" s="1195"/>
      <c r="J424" s="1284"/>
      <c r="K424" s="1284"/>
      <c r="L424" s="1284"/>
      <c r="M424" s="1284"/>
      <c r="N424" s="1284"/>
      <c r="O424" s="1284"/>
      <c r="P424" s="1284"/>
      <c r="Q424" s="1284"/>
    </row>
    <row r="425" spans="1:158" ht="32.1" customHeight="1">
      <c r="A425" s="1086"/>
      <c r="B425" s="1159" t="s">
        <v>593</v>
      </c>
      <c r="C425" s="1727">
        <v>1</v>
      </c>
      <c r="D425" s="1727">
        <v>1</v>
      </c>
      <c r="E425" s="1727">
        <v>0.5</v>
      </c>
      <c r="F425" s="1727">
        <v>0.5</v>
      </c>
      <c r="G425" s="1727">
        <v>1</v>
      </c>
      <c r="H425" s="1727">
        <v>0.5</v>
      </c>
      <c r="I425" s="1195" t="s">
        <v>583</v>
      </c>
      <c r="J425" s="1106">
        <v>1</v>
      </c>
      <c r="K425" s="1106" t="s">
        <v>960</v>
      </c>
      <c r="L425" s="1133" t="s">
        <v>5978</v>
      </c>
      <c r="M425" s="1102">
        <v>0.5</v>
      </c>
      <c r="N425" s="1102">
        <v>1</v>
      </c>
      <c r="O425" s="1411" t="s">
        <v>5767</v>
      </c>
      <c r="P425" s="1073">
        <v>1</v>
      </c>
      <c r="Q425" s="1073">
        <v>0</v>
      </c>
    </row>
    <row r="426" spans="1:158" ht="32.1" customHeight="1">
      <c r="A426" s="1086"/>
      <c r="B426" s="1701" t="s">
        <v>594</v>
      </c>
      <c r="C426" s="1727">
        <v>1</v>
      </c>
      <c r="D426" s="1727">
        <v>1</v>
      </c>
      <c r="E426" s="1727">
        <v>1</v>
      </c>
      <c r="F426" s="1726">
        <v>1</v>
      </c>
      <c r="G426" s="1727">
        <v>1</v>
      </c>
      <c r="H426" s="1727">
        <v>0</v>
      </c>
      <c r="I426" s="1195" t="s">
        <v>154</v>
      </c>
      <c r="J426" s="1102">
        <v>1</v>
      </c>
      <c r="K426" s="1102" t="s">
        <v>960</v>
      </c>
      <c r="L426" s="1133" t="s">
        <v>5979</v>
      </c>
      <c r="M426" s="1102">
        <v>0.5</v>
      </c>
      <c r="N426" s="1102">
        <v>1</v>
      </c>
      <c r="O426" s="1102" t="s">
        <v>5768</v>
      </c>
      <c r="P426" s="1122">
        <v>1</v>
      </c>
      <c r="Q426" s="1122">
        <v>0</v>
      </c>
    </row>
    <row r="427" spans="1:158" ht="32.1" customHeight="1">
      <c r="A427" s="1086"/>
      <c r="B427" s="1159" t="s">
        <v>595</v>
      </c>
      <c r="C427" s="1727">
        <v>1</v>
      </c>
      <c r="D427" s="1727">
        <v>0</v>
      </c>
      <c r="E427" s="1727">
        <v>0</v>
      </c>
      <c r="F427" s="1727">
        <v>1</v>
      </c>
      <c r="G427" s="1727">
        <v>1</v>
      </c>
      <c r="H427" s="1727">
        <v>0</v>
      </c>
      <c r="I427" s="1195" t="s">
        <v>38</v>
      </c>
      <c r="J427" s="1072">
        <v>1</v>
      </c>
      <c r="K427" s="1401" t="s">
        <v>6478</v>
      </c>
      <c r="L427" s="1133" t="s">
        <v>811</v>
      </c>
      <c r="M427" s="1102">
        <v>1</v>
      </c>
      <c r="N427" s="1102">
        <v>1</v>
      </c>
      <c r="O427" s="1102" t="s">
        <v>5769</v>
      </c>
      <c r="P427" s="1073">
        <v>1</v>
      </c>
      <c r="Q427" s="1073">
        <v>0</v>
      </c>
    </row>
    <row r="428" spans="1:158" ht="32.1" customHeight="1">
      <c r="A428" s="1086"/>
      <c r="B428" s="1159" t="s">
        <v>9136</v>
      </c>
      <c r="C428" s="1727">
        <v>1</v>
      </c>
      <c r="D428" s="1727">
        <v>1</v>
      </c>
      <c r="E428" s="1727">
        <v>1</v>
      </c>
      <c r="F428" s="1727">
        <v>0.5</v>
      </c>
      <c r="G428" s="1727">
        <v>1</v>
      </c>
      <c r="H428" s="1727">
        <v>0</v>
      </c>
      <c r="I428" s="1195" t="s">
        <v>596</v>
      </c>
      <c r="J428" s="1102">
        <v>1</v>
      </c>
      <c r="K428" s="1072" t="s">
        <v>960</v>
      </c>
      <c r="L428" s="1133" t="s">
        <v>5980</v>
      </c>
      <c r="M428" s="1102">
        <v>0.5</v>
      </c>
      <c r="N428" s="1102"/>
      <c r="O428" s="1102" t="s">
        <v>5770</v>
      </c>
      <c r="P428" s="1073">
        <v>1</v>
      </c>
      <c r="Q428" s="1073">
        <v>0</v>
      </c>
    </row>
    <row r="429" spans="1:158" ht="32.1" customHeight="1">
      <c r="A429" s="1086"/>
      <c r="B429" s="1159" t="s">
        <v>597</v>
      </c>
      <c r="C429" s="1485">
        <f>(7-$Q429)/($P429-$Q429)</f>
        <v>0.58333333333333337</v>
      </c>
      <c r="D429" s="1485">
        <f>(4-$Q429)/($P429-$Q429)</f>
        <v>0.33333333333333331</v>
      </c>
      <c r="E429" s="1485">
        <f>(4-$Q429)/($P429-$Q429)</f>
        <v>0.33333333333333331</v>
      </c>
      <c r="F429" s="1485">
        <f>(2-$Q429)/($P429-$Q429)</f>
        <v>0.16666666666666666</v>
      </c>
      <c r="G429" s="1485">
        <f>(3-$Q429)/($P429-$Q429)</f>
        <v>0.25</v>
      </c>
      <c r="H429" s="1485">
        <f>(0-$Q429)/($P429-$Q429)</f>
        <v>0</v>
      </c>
      <c r="I429" s="1195" t="s">
        <v>525</v>
      </c>
      <c r="J429" s="1072">
        <v>7</v>
      </c>
      <c r="K429" s="1102" t="s">
        <v>6479</v>
      </c>
      <c r="L429" s="1133" t="s">
        <v>5981</v>
      </c>
      <c r="M429" s="1102">
        <v>2</v>
      </c>
      <c r="N429" s="1285" t="s">
        <v>5516</v>
      </c>
      <c r="O429" s="1102" t="s">
        <v>5771</v>
      </c>
      <c r="P429" s="1073">
        <v>12</v>
      </c>
      <c r="Q429" s="1073">
        <v>0</v>
      </c>
    </row>
    <row r="430" spans="1:158" ht="32.1" customHeight="1">
      <c r="A430" s="1086"/>
      <c r="B430" s="1717" t="s">
        <v>598</v>
      </c>
      <c r="C430" s="1456">
        <f>IF(J430&gt;$P430,1,IF(J430&lt;$Q430,0,(J430-$Q430)/($P430-$Q430)))</f>
        <v>0.6</v>
      </c>
      <c r="D430" s="1456">
        <f>IF(1&gt;$P430,1,IF(1&lt;$Q430,0,(1-$Q430)/($P430-$Q430)))</f>
        <v>6.6666666666666666E-2</v>
      </c>
      <c r="E430" s="1456">
        <f>IF(L430&gt;$P430,1,IF(L430&lt;$Q430,0,(L430-$Q430)/($P430-$Q430)))</f>
        <v>0.13333333333333333</v>
      </c>
      <c r="F430" s="1456">
        <f>IF(M430&gt;$P430,1,IF(M430&lt;$Q430,0,(M430-$Q430)/($P430-$Q430)))</f>
        <v>6.6666666666666666E-2</v>
      </c>
      <c r="G430" s="1456">
        <f>IF(N430&gt;$P430,1,IF(N430&lt;$Q430,0,(N430-$Q430)/($P430-$Q430)))</f>
        <v>0.2</v>
      </c>
      <c r="H430" s="1456">
        <v>0</v>
      </c>
      <c r="I430" s="1195" t="s">
        <v>525</v>
      </c>
      <c r="J430" s="1072">
        <v>9</v>
      </c>
      <c r="K430" s="1102" t="s">
        <v>6480</v>
      </c>
      <c r="L430" s="1133">
        <v>2</v>
      </c>
      <c r="M430" s="1102">
        <v>1</v>
      </c>
      <c r="N430" s="1102">
        <v>3</v>
      </c>
      <c r="O430" s="1102" t="s">
        <v>5772</v>
      </c>
      <c r="P430" s="1073">
        <v>15</v>
      </c>
      <c r="Q430" s="1073">
        <v>0</v>
      </c>
    </row>
    <row r="431" spans="1:158" ht="32.1" customHeight="1">
      <c r="A431" s="1086"/>
      <c r="B431" s="1159" t="s">
        <v>599</v>
      </c>
      <c r="C431" s="1456">
        <f>IF(J431&gt;$P431,1,IF(J431&lt;$Q431,0,(J431-$Q431)/($P431-$Q431)))</f>
        <v>0.69230769230769229</v>
      </c>
      <c r="D431" s="1456">
        <f>IF(2&gt;$P431,1,IF(2&lt;$Q431,0,(2-$Q431)/($P431-$Q431)))</f>
        <v>0.15384615384615385</v>
      </c>
      <c r="E431" s="1456">
        <f>IF(L431&gt;$P431,1,IF(L431&lt;$Q431,0,(L431-$Q431)/($P431-$Q431)))</f>
        <v>0.15384615384615385</v>
      </c>
      <c r="F431" s="1456">
        <f>IF(M431&gt;$P431,1,IF(M431&lt;$Q431,0,(M431-$Q431)/($P431-$Q431)))</f>
        <v>7.6923076923076927E-2</v>
      </c>
      <c r="G431" s="1456">
        <f>IF(3&gt;$P431,1,IF(3&lt;$Q431,0,(3-$Q431)/($P431-$Q431)))</f>
        <v>0.23076923076923078</v>
      </c>
      <c r="H431" s="1456">
        <v>0</v>
      </c>
      <c r="I431" s="1195" t="s">
        <v>525</v>
      </c>
      <c r="J431" s="1072">
        <v>9</v>
      </c>
      <c r="K431" s="1102" t="s">
        <v>6481</v>
      </c>
      <c r="L431" s="1133">
        <v>2</v>
      </c>
      <c r="M431" s="1102">
        <v>1</v>
      </c>
      <c r="N431" s="1102" t="s">
        <v>5517</v>
      </c>
      <c r="O431" s="1102" t="s">
        <v>5772</v>
      </c>
      <c r="P431" s="1073">
        <v>13</v>
      </c>
      <c r="Q431" s="1073">
        <v>0</v>
      </c>
    </row>
    <row r="432" spans="1:158" ht="32.1" customHeight="1">
      <c r="A432" s="1086"/>
      <c r="B432" s="1159" t="s">
        <v>600</v>
      </c>
      <c r="C432" s="1728">
        <v>1</v>
      </c>
      <c r="D432" s="1728">
        <v>1</v>
      </c>
      <c r="E432" s="1728">
        <v>1</v>
      </c>
      <c r="F432" s="1728">
        <v>1</v>
      </c>
      <c r="G432" s="1728">
        <v>0</v>
      </c>
      <c r="H432" s="1728">
        <v>0</v>
      </c>
      <c r="I432" s="1771" t="s">
        <v>38</v>
      </c>
      <c r="J432" s="1072">
        <v>1</v>
      </c>
      <c r="K432" s="1102" t="s">
        <v>960</v>
      </c>
      <c r="L432" s="1133" t="s">
        <v>5982</v>
      </c>
      <c r="M432" s="1102">
        <v>1</v>
      </c>
      <c r="N432" s="1102">
        <v>0</v>
      </c>
      <c r="O432" s="1102" t="s">
        <v>943</v>
      </c>
      <c r="P432" s="1073">
        <v>1</v>
      </c>
      <c r="Q432" s="1073">
        <v>0</v>
      </c>
    </row>
    <row r="433" spans="1:158" ht="32.1" customHeight="1">
      <c r="A433" s="1086"/>
      <c r="B433" s="1159" t="s">
        <v>601</v>
      </c>
      <c r="C433" s="1727">
        <v>0.5</v>
      </c>
      <c r="D433" s="1727">
        <v>0.5</v>
      </c>
      <c r="E433" s="1727">
        <v>0</v>
      </c>
      <c r="F433" s="1727">
        <v>0.5</v>
      </c>
      <c r="G433" s="1727">
        <v>0</v>
      </c>
      <c r="H433" s="1727">
        <v>0</v>
      </c>
      <c r="I433" s="1195" t="s">
        <v>596</v>
      </c>
      <c r="J433" s="1072">
        <v>0.5</v>
      </c>
      <c r="K433" s="1072" t="s">
        <v>6482</v>
      </c>
      <c r="L433" s="1133" t="s">
        <v>1060</v>
      </c>
      <c r="M433" s="1102">
        <v>0.5</v>
      </c>
      <c r="N433" s="1102">
        <v>0</v>
      </c>
      <c r="O433" s="1102" t="s">
        <v>943</v>
      </c>
      <c r="P433" s="1073">
        <v>1</v>
      </c>
      <c r="Q433" s="1073">
        <v>0</v>
      </c>
    </row>
    <row r="434" spans="1:158" ht="32.1" customHeight="1">
      <c r="A434" s="1086"/>
      <c r="B434" s="1101" t="s">
        <v>5255</v>
      </c>
      <c r="C434" s="1727">
        <v>1</v>
      </c>
      <c r="D434" s="1727">
        <v>0.5</v>
      </c>
      <c r="E434" s="1727">
        <v>0</v>
      </c>
      <c r="F434" s="1727">
        <v>1</v>
      </c>
      <c r="G434" s="1727">
        <v>0</v>
      </c>
      <c r="H434" s="1727">
        <v>0</v>
      </c>
      <c r="I434" s="1195" t="s">
        <v>596</v>
      </c>
      <c r="J434" s="1072">
        <v>1</v>
      </c>
      <c r="K434" s="1102" t="s">
        <v>6483</v>
      </c>
      <c r="L434" s="1133" t="s">
        <v>1060</v>
      </c>
      <c r="M434" s="1102">
        <v>1</v>
      </c>
      <c r="N434" s="1102">
        <v>0</v>
      </c>
      <c r="O434" s="1102" t="s">
        <v>943</v>
      </c>
      <c r="P434" s="1073">
        <v>1</v>
      </c>
      <c r="Q434" s="1073">
        <v>0</v>
      </c>
    </row>
    <row r="435" spans="1:158" ht="32.1" customHeight="1">
      <c r="A435" s="1604" t="s">
        <v>6869</v>
      </c>
      <c r="B435" s="1067" t="s">
        <v>602</v>
      </c>
      <c r="C435" s="1481">
        <f t="shared" ref="C435:H435" si="103">AVERAGE(C436:C453)</f>
        <v>0.55649929998339109</v>
      </c>
      <c r="D435" s="1481">
        <f t="shared" si="103"/>
        <v>0.54750426755904558</v>
      </c>
      <c r="E435" s="1481">
        <f t="shared" si="103"/>
        <v>0.33521627395849213</v>
      </c>
      <c r="F435" s="1481">
        <f t="shared" si="103"/>
        <v>0.80640500353088118</v>
      </c>
      <c r="G435" s="1481">
        <f t="shared" si="103"/>
        <v>0.60745359053396364</v>
      </c>
      <c r="H435" s="1481">
        <f t="shared" si="103"/>
        <v>0.61713950355113645</v>
      </c>
      <c r="I435" s="1195"/>
      <c r="J435" s="1284"/>
      <c r="K435" s="1284"/>
      <c r="L435" s="1284"/>
      <c r="M435" s="1284"/>
      <c r="N435" s="1284"/>
      <c r="O435" s="1284"/>
      <c r="P435" s="1284"/>
      <c r="Q435" s="1284"/>
    </row>
    <row r="436" spans="1:158" ht="32.1" customHeight="1">
      <c r="A436" s="1052"/>
      <c r="B436" s="1717" t="s">
        <v>603</v>
      </c>
      <c r="C436" s="1729">
        <v>1</v>
      </c>
      <c r="D436" s="1729">
        <v>0</v>
      </c>
      <c r="E436" s="1729">
        <v>1</v>
      </c>
      <c r="F436" s="1729">
        <v>0</v>
      </c>
      <c r="G436" s="1730">
        <v>1</v>
      </c>
      <c r="H436" s="1510">
        <v>1</v>
      </c>
      <c r="I436" s="1760" t="s">
        <v>38</v>
      </c>
      <c r="J436" s="1072">
        <v>1</v>
      </c>
      <c r="K436" s="1106" t="s">
        <v>960</v>
      </c>
      <c r="L436" s="1278" t="s">
        <v>811</v>
      </c>
      <c r="M436" s="1102">
        <v>1</v>
      </c>
      <c r="N436" s="1102">
        <v>1</v>
      </c>
      <c r="O436" s="1102" t="s">
        <v>5773</v>
      </c>
      <c r="P436" s="1073">
        <v>1</v>
      </c>
      <c r="Q436" s="1073">
        <v>0</v>
      </c>
    </row>
    <row r="437" spans="1:158" ht="32.1" customHeight="1">
      <c r="A437" s="1052"/>
      <c r="B437" s="1159" t="s">
        <v>604</v>
      </c>
      <c r="C437" s="1729">
        <v>1</v>
      </c>
      <c r="D437" s="1729">
        <v>1</v>
      </c>
      <c r="E437" s="1729">
        <v>0</v>
      </c>
      <c r="F437" s="1729">
        <v>1</v>
      </c>
      <c r="G437" s="1730">
        <v>1</v>
      </c>
      <c r="H437" s="1510">
        <v>1</v>
      </c>
      <c r="I437" s="1760" t="s">
        <v>38</v>
      </c>
      <c r="J437" s="1072">
        <v>1</v>
      </c>
      <c r="K437" s="1106" t="s">
        <v>960</v>
      </c>
      <c r="L437" s="1278" t="s">
        <v>748</v>
      </c>
      <c r="M437" s="1102" t="s">
        <v>6740</v>
      </c>
      <c r="N437" s="1102">
        <v>1</v>
      </c>
      <c r="O437" s="1102" t="s">
        <v>1068</v>
      </c>
      <c r="P437" s="1073">
        <v>1</v>
      </c>
      <c r="Q437" s="1073">
        <v>0</v>
      </c>
    </row>
    <row r="438" spans="1:158" ht="32.1" customHeight="1">
      <c r="A438" s="1052"/>
      <c r="B438" s="1159" t="s">
        <v>605</v>
      </c>
      <c r="C438" s="1728">
        <v>1</v>
      </c>
      <c r="D438" s="1728">
        <v>1</v>
      </c>
      <c r="E438" s="1728">
        <v>1</v>
      </c>
      <c r="F438" s="1728">
        <v>1</v>
      </c>
      <c r="G438" s="1485">
        <v>1</v>
      </c>
      <c r="H438" s="1487">
        <v>1</v>
      </c>
      <c r="I438" s="1760" t="s">
        <v>38</v>
      </c>
      <c r="J438" s="1072">
        <v>1</v>
      </c>
      <c r="K438" s="1106" t="s">
        <v>960</v>
      </c>
      <c r="L438" s="1278" t="s">
        <v>811</v>
      </c>
      <c r="M438" s="1102">
        <v>0</v>
      </c>
      <c r="N438" s="1102">
        <v>1</v>
      </c>
      <c r="O438" s="1102" t="s">
        <v>811</v>
      </c>
      <c r="P438" s="1073">
        <v>1</v>
      </c>
      <c r="Q438" s="1073">
        <v>0</v>
      </c>
    </row>
    <row r="439" spans="1:158" ht="32.1" customHeight="1">
      <c r="A439" s="1052"/>
      <c r="B439" s="1159" t="s">
        <v>606</v>
      </c>
      <c r="C439" s="1727">
        <v>0.5</v>
      </c>
      <c r="D439" s="1727">
        <v>1</v>
      </c>
      <c r="E439" s="1727">
        <v>1</v>
      </c>
      <c r="F439" s="1727">
        <v>1</v>
      </c>
      <c r="G439" s="1726">
        <v>1</v>
      </c>
      <c r="H439" s="1511">
        <v>0.5</v>
      </c>
      <c r="I439" s="1195" t="s">
        <v>596</v>
      </c>
      <c r="J439" s="1072">
        <v>0.5</v>
      </c>
      <c r="K439" s="1106" t="s">
        <v>960</v>
      </c>
      <c r="L439" s="1278" t="s">
        <v>811</v>
      </c>
      <c r="M439" s="1102">
        <v>1</v>
      </c>
      <c r="N439" s="1102">
        <v>1</v>
      </c>
      <c r="O439" s="1102" t="s">
        <v>5774</v>
      </c>
      <c r="P439" s="1073">
        <v>1</v>
      </c>
      <c r="Q439" s="1073">
        <v>0</v>
      </c>
    </row>
    <row r="440" spans="1:158" ht="32.1" customHeight="1">
      <c r="A440" s="1052"/>
      <c r="B440" s="1151" t="s">
        <v>607</v>
      </c>
      <c r="C440" s="1423">
        <v>0.5</v>
      </c>
      <c r="D440" s="1423">
        <v>1</v>
      </c>
      <c r="E440" s="1423">
        <v>1</v>
      </c>
      <c r="F440" s="1423">
        <v>0.5</v>
      </c>
      <c r="G440" s="1511">
        <v>1</v>
      </c>
      <c r="H440" s="1511">
        <v>0.5</v>
      </c>
      <c r="I440" s="1195" t="s">
        <v>596</v>
      </c>
      <c r="J440" s="1072">
        <v>0.5</v>
      </c>
      <c r="K440" s="1106" t="s">
        <v>960</v>
      </c>
      <c r="L440" s="1278" t="s">
        <v>811</v>
      </c>
      <c r="M440" s="1102">
        <v>0.5</v>
      </c>
      <c r="N440" s="1102">
        <v>1</v>
      </c>
      <c r="O440" s="1102" t="s">
        <v>2462</v>
      </c>
      <c r="P440" s="1073">
        <v>1</v>
      </c>
      <c r="Q440" s="1073">
        <v>0</v>
      </c>
    </row>
    <row r="441" spans="1:158" ht="32.1" customHeight="1">
      <c r="A441" s="1052"/>
      <c r="B441" s="1151" t="s">
        <v>608</v>
      </c>
      <c r="C441" s="1423">
        <v>1</v>
      </c>
      <c r="D441" s="1423">
        <v>1</v>
      </c>
      <c r="E441" s="1423">
        <v>1</v>
      </c>
      <c r="F441" s="1423">
        <v>1</v>
      </c>
      <c r="G441" s="1511">
        <v>1</v>
      </c>
      <c r="H441" s="1511">
        <v>1</v>
      </c>
      <c r="I441" s="1195" t="s">
        <v>596</v>
      </c>
      <c r="J441" s="1072">
        <v>1</v>
      </c>
      <c r="K441" s="1106" t="s">
        <v>960</v>
      </c>
      <c r="L441" s="1278" t="s">
        <v>811</v>
      </c>
      <c r="M441" s="1102">
        <v>1</v>
      </c>
      <c r="N441" s="1102">
        <v>1</v>
      </c>
      <c r="O441" s="1102" t="s">
        <v>5775</v>
      </c>
      <c r="P441" s="1073">
        <v>1</v>
      </c>
      <c r="Q441" s="1073">
        <v>0</v>
      </c>
    </row>
    <row r="442" spans="1:158" s="1099" customFormat="1" ht="32.1" customHeight="1">
      <c r="A442" s="1389" t="s">
        <v>6807</v>
      </c>
      <c r="B442" s="1282" t="s">
        <v>5256</v>
      </c>
      <c r="C442" s="1424">
        <f t="shared" ref="C442:H442" si="104">IF(J442&gt;$P442,1,IF(J442&lt;$Q442,0,(J442-$Q442)/($P442-$Q442)))</f>
        <v>0</v>
      </c>
      <c r="D442" s="1424">
        <f t="shared" si="104"/>
        <v>0.75000000000000289</v>
      </c>
      <c r="E442" s="1424">
        <f t="shared" si="104"/>
        <v>0.1607142857142822</v>
      </c>
      <c r="F442" s="1424">
        <f t="shared" si="104"/>
        <v>0.30681818181817844</v>
      </c>
      <c r="G442" s="1424">
        <f t="shared" si="104"/>
        <v>0.1607142857142822</v>
      </c>
      <c r="H442" s="1424">
        <f t="shared" si="104"/>
        <v>0.1607142857142822</v>
      </c>
      <c r="I442" s="1195" t="s">
        <v>5295</v>
      </c>
      <c r="J442" s="1387">
        <v>1</v>
      </c>
      <c r="K442" s="1387">
        <v>1.6666666666666701</v>
      </c>
      <c r="L442" s="1387">
        <v>1.1428571428571399</v>
      </c>
      <c r="M442" s="1387">
        <v>1.27272727272727</v>
      </c>
      <c r="N442" s="1387">
        <v>1.1428571428571399</v>
      </c>
      <c r="O442" s="1387">
        <v>1.1428571428571399</v>
      </c>
      <c r="P442" s="1387">
        <v>1.8888888888888899</v>
      </c>
      <c r="Q442" s="1388">
        <f>MIN(J442:O442)</f>
        <v>1</v>
      </c>
      <c r="R442" s="1081"/>
      <c r="S442" s="1082"/>
      <c r="T442" s="1082"/>
      <c r="U442" s="1082"/>
      <c r="V442" s="1082"/>
      <c r="W442" s="1082"/>
      <c r="X442" s="1082"/>
      <c r="Y442" s="1082"/>
      <c r="Z442" s="1082"/>
      <c r="AA442" s="1082"/>
      <c r="AB442" s="1082"/>
      <c r="AC442" s="1082"/>
      <c r="AD442" s="1082"/>
      <c r="AE442" s="1082"/>
      <c r="AF442" s="1082"/>
      <c r="AG442" s="1082"/>
      <c r="AH442" s="1082"/>
      <c r="AI442" s="1082"/>
      <c r="AJ442" s="1082"/>
      <c r="AK442" s="1082"/>
      <c r="AL442" s="1082"/>
      <c r="AM442" s="1082"/>
      <c r="AN442" s="1082"/>
      <c r="AO442" s="1082"/>
      <c r="AP442" s="1082"/>
      <c r="AQ442" s="1082"/>
      <c r="AR442" s="1082"/>
      <c r="AS442" s="1082"/>
      <c r="AT442" s="1082"/>
      <c r="AU442" s="1082"/>
      <c r="AV442" s="1082"/>
      <c r="AW442" s="1082"/>
      <c r="AX442" s="1082"/>
      <c r="AY442" s="1082"/>
      <c r="AZ442" s="1082"/>
      <c r="BA442" s="1082"/>
      <c r="BB442" s="1082"/>
      <c r="BC442" s="1082"/>
      <c r="BD442" s="1082"/>
      <c r="BE442" s="1082"/>
      <c r="BF442" s="1082"/>
      <c r="BG442" s="1082"/>
      <c r="BH442" s="1082"/>
      <c r="BI442" s="1082"/>
      <c r="BJ442" s="1082"/>
      <c r="BK442" s="1082"/>
      <c r="BL442" s="1082"/>
      <c r="BM442" s="1082"/>
      <c r="BN442" s="1082"/>
      <c r="BO442" s="1082"/>
      <c r="BP442" s="1082"/>
      <c r="BQ442" s="1082"/>
      <c r="BR442" s="1082"/>
      <c r="BS442" s="1082"/>
      <c r="BT442" s="1082"/>
      <c r="BU442" s="1082"/>
      <c r="BV442" s="1082"/>
      <c r="BW442" s="1082"/>
      <c r="BX442" s="1082"/>
      <c r="BY442" s="1082"/>
      <c r="BZ442" s="1082"/>
      <c r="CA442" s="1082"/>
      <c r="CB442" s="1082"/>
      <c r="CC442" s="1082"/>
      <c r="CD442" s="1082"/>
      <c r="CE442" s="1082"/>
      <c r="CF442" s="1082"/>
      <c r="CG442" s="1082"/>
      <c r="CH442" s="1082"/>
      <c r="CI442" s="1082"/>
      <c r="CJ442" s="1082"/>
      <c r="CK442" s="1082"/>
      <c r="CL442" s="1082"/>
      <c r="CM442" s="1082"/>
      <c r="CN442" s="1082"/>
      <c r="CO442" s="1082"/>
      <c r="CP442" s="1082"/>
      <c r="CQ442" s="1082"/>
      <c r="CR442" s="1082"/>
      <c r="CS442" s="1082"/>
      <c r="CT442" s="1082"/>
      <c r="CU442" s="1082"/>
      <c r="CV442" s="1082"/>
      <c r="CW442" s="1082"/>
      <c r="CX442" s="1082"/>
      <c r="CY442" s="1082"/>
      <c r="CZ442" s="1082"/>
      <c r="DA442" s="1082"/>
      <c r="DB442" s="1082"/>
      <c r="DC442" s="1082"/>
      <c r="DD442" s="1082"/>
      <c r="DE442" s="1082"/>
      <c r="DF442" s="1082"/>
      <c r="DG442" s="1082"/>
      <c r="DH442" s="1082"/>
      <c r="DI442" s="1082"/>
      <c r="DJ442" s="1082"/>
      <c r="DK442" s="1082"/>
      <c r="DL442" s="1082"/>
      <c r="DM442" s="1082"/>
      <c r="DN442" s="1082"/>
      <c r="DO442" s="1082"/>
      <c r="DP442" s="1082"/>
      <c r="DQ442" s="1082"/>
      <c r="DR442" s="1082"/>
      <c r="DS442" s="1082"/>
      <c r="DT442" s="1082"/>
      <c r="DU442" s="1082"/>
      <c r="DV442" s="1082"/>
      <c r="DW442" s="1082"/>
      <c r="DX442" s="1082"/>
      <c r="DY442" s="1082"/>
      <c r="DZ442" s="1082"/>
      <c r="EA442" s="1082"/>
      <c r="EB442" s="1082"/>
      <c r="EC442" s="1082"/>
      <c r="ED442" s="1082"/>
      <c r="EE442" s="1082"/>
      <c r="EF442" s="1082"/>
      <c r="EG442" s="1082"/>
      <c r="EH442" s="1082"/>
      <c r="EI442" s="1082"/>
      <c r="EJ442" s="1082"/>
      <c r="EK442" s="1082"/>
      <c r="EL442" s="1082"/>
      <c r="EM442" s="1082"/>
      <c r="EN442" s="1082"/>
      <c r="EO442" s="1082"/>
      <c r="EP442" s="1082"/>
      <c r="EQ442" s="1082"/>
      <c r="ER442" s="1082"/>
      <c r="ES442" s="1082"/>
      <c r="ET442" s="1082"/>
      <c r="EU442" s="1082"/>
      <c r="EV442" s="1082"/>
      <c r="EW442" s="1082"/>
      <c r="EX442" s="1082"/>
      <c r="EY442" s="1082"/>
      <c r="EZ442" s="1082"/>
      <c r="FA442" s="1082"/>
      <c r="FB442" s="1082"/>
    </row>
    <row r="443" spans="1:158" s="1099" customFormat="1" ht="32.1" customHeight="1">
      <c r="A443" s="1169"/>
      <c r="B443" s="1282" t="s">
        <v>5257</v>
      </c>
      <c r="C443" s="1424">
        <f t="shared" ref="C443:C452" si="105">IF(J443&gt;$P443,1,IF(J443&lt;$Q443,0,(J443-$Q443)/($P443-$Q443)))</f>
        <v>0.92857142857142305</v>
      </c>
      <c r="D443" s="1424">
        <f t="shared" ref="D443:D452" si="106">IF(K443&gt;$P443,1,IF(K443&lt;$Q443,0,(K443-$Q443)/($P443-$Q443)))</f>
        <v>0.78571428571428215</v>
      </c>
      <c r="E443" s="1424">
        <f t="shared" ref="E443:E452" si="107">IF(L443&gt;$P443,1,IF(L443&lt;$Q443,0,(L443-$Q443)/($P443-$Q443)))</f>
        <v>0</v>
      </c>
      <c r="F443" s="1424">
        <f t="shared" ref="F443:F452" si="108">IF(M443&gt;$P443,1,IF(M443&lt;$Q443,0,(M443-$Q443)/($P443-$Q443)))</f>
        <v>0.7912087912087884</v>
      </c>
      <c r="G443" s="1424">
        <f t="shared" ref="G443:G452" si="109">IF(N443&gt;$P443,1,IF(N443&lt;$Q443,0,(N443-$Q443)/($P443-$Q443)))</f>
        <v>0.71428571428571153</v>
      </c>
      <c r="H443" s="1424">
        <f t="shared" ref="H443:H452" si="110">IF(O443&gt;$P443,1,IF(O443&lt;$Q443,0,(O443-$Q443)/($P443-$Q443)))</f>
        <v>0.78571428571428215</v>
      </c>
      <c r="I443" s="1195" t="s">
        <v>5295</v>
      </c>
      <c r="J443" s="1387">
        <v>1.44444444444444</v>
      </c>
      <c r="K443" s="1387">
        <v>1.2222222222222201</v>
      </c>
      <c r="L443" s="1387">
        <v>0</v>
      </c>
      <c r="M443" s="1387">
        <v>1.2307692307692299</v>
      </c>
      <c r="N443" s="1387">
        <v>1.1111111111111101</v>
      </c>
      <c r="O443" s="1387">
        <v>1.2222222222222201</v>
      </c>
      <c r="P443" s="1387">
        <v>1.55555555555556</v>
      </c>
      <c r="Q443" s="1388">
        <f t="shared" ref="Q443:Q452" si="111">MIN(J443:O443)</f>
        <v>0</v>
      </c>
      <c r="R443" s="1081"/>
      <c r="S443" s="1082"/>
      <c r="T443" s="1082"/>
      <c r="U443" s="1082"/>
      <c r="V443" s="1082"/>
      <c r="W443" s="1082"/>
      <c r="X443" s="1082"/>
      <c r="Y443" s="1082"/>
      <c r="Z443" s="1082"/>
      <c r="AA443" s="1082"/>
      <c r="AB443" s="1082"/>
      <c r="AC443" s="1082"/>
      <c r="AD443" s="1082"/>
      <c r="AE443" s="1082"/>
      <c r="AF443" s="1082"/>
      <c r="AG443" s="1082"/>
      <c r="AH443" s="1082"/>
      <c r="AI443" s="1082"/>
      <c r="AJ443" s="1082"/>
      <c r="AK443" s="1082"/>
      <c r="AL443" s="1082"/>
      <c r="AM443" s="1082"/>
      <c r="AN443" s="1082"/>
      <c r="AO443" s="1082"/>
      <c r="AP443" s="1082"/>
      <c r="AQ443" s="1082"/>
      <c r="AR443" s="1082"/>
      <c r="AS443" s="1082"/>
      <c r="AT443" s="1082"/>
      <c r="AU443" s="1082"/>
      <c r="AV443" s="1082"/>
      <c r="AW443" s="1082"/>
      <c r="AX443" s="1082"/>
      <c r="AY443" s="1082"/>
      <c r="AZ443" s="1082"/>
      <c r="BA443" s="1082"/>
      <c r="BB443" s="1082"/>
      <c r="BC443" s="1082"/>
      <c r="BD443" s="1082"/>
      <c r="BE443" s="1082"/>
      <c r="BF443" s="1082"/>
      <c r="BG443" s="1082"/>
      <c r="BH443" s="1082"/>
      <c r="BI443" s="1082"/>
      <c r="BJ443" s="1082"/>
      <c r="BK443" s="1082"/>
      <c r="BL443" s="1082"/>
      <c r="BM443" s="1082"/>
      <c r="BN443" s="1082"/>
      <c r="BO443" s="1082"/>
      <c r="BP443" s="1082"/>
      <c r="BQ443" s="1082"/>
      <c r="BR443" s="1082"/>
      <c r="BS443" s="1082"/>
      <c r="BT443" s="1082"/>
      <c r="BU443" s="1082"/>
      <c r="BV443" s="1082"/>
      <c r="BW443" s="1082"/>
      <c r="BX443" s="1082"/>
      <c r="BY443" s="1082"/>
      <c r="BZ443" s="1082"/>
      <c r="CA443" s="1082"/>
      <c r="CB443" s="1082"/>
      <c r="CC443" s="1082"/>
      <c r="CD443" s="1082"/>
      <c r="CE443" s="1082"/>
      <c r="CF443" s="1082"/>
      <c r="CG443" s="1082"/>
      <c r="CH443" s="1082"/>
      <c r="CI443" s="1082"/>
      <c r="CJ443" s="1082"/>
      <c r="CK443" s="1082"/>
      <c r="CL443" s="1082"/>
      <c r="CM443" s="1082"/>
      <c r="CN443" s="1082"/>
      <c r="CO443" s="1082"/>
      <c r="CP443" s="1082"/>
      <c r="CQ443" s="1082"/>
      <c r="CR443" s="1082"/>
      <c r="CS443" s="1082"/>
      <c r="CT443" s="1082"/>
      <c r="CU443" s="1082"/>
      <c r="CV443" s="1082"/>
      <c r="CW443" s="1082"/>
      <c r="CX443" s="1082"/>
      <c r="CY443" s="1082"/>
      <c r="CZ443" s="1082"/>
      <c r="DA443" s="1082"/>
      <c r="DB443" s="1082"/>
      <c r="DC443" s="1082"/>
      <c r="DD443" s="1082"/>
      <c r="DE443" s="1082"/>
      <c r="DF443" s="1082"/>
      <c r="DG443" s="1082"/>
      <c r="DH443" s="1082"/>
      <c r="DI443" s="1082"/>
      <c r="DJ443" s="1082"/>
      <c r="DK443" s="1082"/>
      <c r="DL443" s="1082"/>
      <c r="DM443" s="1082"/>
      <c r="DN443" s="1082"/>
      <c r="DO443" s="1082"/>
      <c r="DP443" s="1082"/>
      <c r="DQ443" s="1082"/>
      <c r="DR443" s="1082"/>
      <c r="DS443" s="1082"/>
      <c r="DT443" s="1082"/>
      <c r="DU443" s="1082"/>
      <c r="DV443" s="1082"/>
      <c r="DW443" s="1082"/>
      <c r="DX443" s="1082"/>
      <c r="DY443" s="1082"/>
      <c r="DZ443" s="1082"/>
      <c r="EA443" s="1082"/>
      <c r="EB443" s="1082"/>
      <c r="EC443" s="1082"/>
      <c r="ED443" s="1082"/>
      <c r="EE443" s="1082"/>
      <c r="EF443" s="1082"/>
      <c r="EG443" s="1082"/>
      <c r="EH443" s="1082"/>
      <c r="EI443" s="1082"/>
      <c r="EJ443" s="1082"/>
      <c r="EK443" s="1082"/>
      <c r="EL443" s="1082"/>
      <c r="EM443" s="1082"/>
      <c r="EN443" s="1082"/>
      <c r="EO443" s="1082"/>
      <c r="EP443" s="1082"/>
      <c r="EQ443" s="1082"/>
      <c r="ER443" s="1082"/>
      <c r="ES443" s="1082"/>
      <c r="ET443" s="1082"/>
      <c r="EU443" s="1082"/>
      <c r="EV443" s="1082"/>
      <c r="EW443" s="1082"/>
      <c r="EX443" s="1082"/>
      <c r="EY443" s="1082"/>
      <c r="EZ443" s="1082"/>
      <c r="FA443" s="1082"/>
      <c r="FB443" s="1082"/>
    </row>
    <row r="444" spans="1:158" s="1099" customFormat="1" ht="32.1" customHeight="1">
      <c r="A444" s="1169"/>
      <c r="B444" s="1282" t="s">
        <v>5258</v>
      </c>
      <c r="C444" s="1424">
        <f t="shared" si="105"/>
        <v>0.249999999999999</v>
      </c>
      <c r="D444" s="1424">
        <f t="shared" si="106"/>
        <v>0</v>
      </c>
      <c r="E444" s="1424">
        <f t="shared" si="107"/>
        <v>0.21999999999999939</v>
      </c>
      <c r="F444" s="1424">
        <f t="shared" si="108"/>
        <v>0.4749999999999982</v>
      </c>
      <c r="G444" s="1424">
        <f t="shared" si="109"/>
        <v>0.30249999999999905</v>
      </c>
      <c r="H444" s="1424">
        <f t="shared" si="110"/>
        <v>0.38499999999999879</v>
      </c>
      <c r="I444" s="1195" t="s">
        <v>5295</v>
      </c>
      <c r="J444" s="1387">
        <v>0.63636363636363602</v>
      </c>
      <c r="K444" s="1387">
        <v>0.33333333333333298</v>
      </c>
      <c r="L444" s="1387">
        <v>0.6</v>
      </c>
      <c r="M444" s="1387">
        <v>0.90909090909090895</v>
      </c>
      <c r="N444" s="1387">
        <v>0.7</v>
      </c>
      <c r="O444" s="1387">
        <v>0.8</v>
      </c>
      <c r="P444" s="1387">
        <v>1.5454545454545501</v>
      </c>
      <c r="Q444" s="1388">
        <f t="shared" si="111"/>
        <v>0.33333333333333298</v>
      </c>
      <c r="R444" s="1081"/>
      <c r="S444" s="1082"/>
      <c r="T444" s="1082"/>
      <c r="U444" s="1082"/>
      <c r="V444" s="1082"/>
      <c r="W444" s="1082"/>
      <c r="X444" s="1082"/>
      <c r="Y444" s="1082"/>
      <c r="Z444" s="1082"/>
      <c r="AA444" s="1082"/>
      <c r="AB444" s="1082"/>
      <c r="AC444" s="1082"/>
      <c r="AD444" s="1082"/>
      <c r="AE444" s="1082"/>
      <c r="AF444" s="1082"/>
      <c r="AG444" s="1082"/>
      <c r="AH444" s="1082"/>
      <c r="AI444" s="1082"/>
      <c r="AJ444" s="1082"/>
      <c r="AK444" s="1082"/>
      <c r="AL444" s="1082"/>
      <c r="AM444" s="1082"/>
      <c r="AN444" s="1082"/>
      <c r="AO444" s="1082"/>
      <c r="AP444" s="1082"/>
      <c r="AQ444" s="1082"/>
      <c r="AR444" s="1082"/>
      <c r="AS444" s="1082"/>
      <c r="AT444" s="1082"/>
      <c r="AU444" s="1082"/>
      <c r="AV444" s="1082"/>
      <c r="AW444" s="1082"/>
      <c r="AX444" s="1082"/>
      <c r="AY444" s="1082"/>
      <c r="AZ444" s="1082"/>
      <c r="BA444" s="1082"/>
      <c r="BB444" s="1082"/>
      <c r="BC444" s="1082"/>
      <c r="BD444" s="1082"/>
      <c r="BE444" s="1082"/>
      <c r="BF444" s="1082"/>
      <c r="BG444" s="1082"/>
      <c r="BH444" s="1082"/>
      <c r="BI444" s="1082"/>
      <c r="BJ444" s="1082"/>
      <c r="BK444" s="1082"/>
      <c r="BL444" s="1082"/>
      <c r="BM444" s="1082"/>
      <c r="BN444" s="1082"/>
      <c r="BO444" s="1082"/>
      <c r="BP444" s="1082"/>
      <c r="BQ444" s="1082"/>
      <c r="BR444" s="1082"/>
      <c r="BS444" s="1082"/>
      <c r="BT444" s="1082"/>
      <c r="BU444" s="1082"/>
      <c r="BV444" s="1082"/>
      <c r="BW444" s="1082"/>
      <c r="BX444" s="1082"/>
      <c r="BY444" s="1082"/>
      <c r="BZ444" s="1082"/>
      <c r="CA444" s="1082"/>
      <c r="CB444" s="1082"/>
      <c r="CC444" s="1082"/>
      <c r="CD444" s="1082"/>
      <c r="CE444" s="1082"/>
      <c r="CF444" s="1082"/>
      <c r="CG444" s="1082"/>
      <c r="CH444" s="1082"/>
      <c r="CI444" s="1082"/>
      <c r="CJ444" s="1082"/>
      <c r="CK444" s="1082"/>
      <c r="CL444" s="1082"/>
      <c r="CM444" s="1082"/>
      <c r="CN444" s="1082"/>
      <c r="CO444" s="1082"/>
      <c r="CP444" s="1082"/>
      <c r="CQ444" s="1082"/>
      <c r="CR444" s="1082"/>
      <c r="CS444" s="1082"/>
      <c r="CT444" s="1082"/>
      <c r="CU444" s="1082"/>
      <c r="CV444" s="1082"/>
      <c r="CW444" s="1082"/>
      <c r="CX444" s="1082"/>
      <c r="CY444" s="1082"/>
      <c r="CZ444" s="1082"/>
      <c r="DA444" s="1082"/>
      <c r="DB444" s="1082"/>
      <c r="DC444" s="1082"/>
      <c r="DD444" s="1082"/>
      <c r="DE444" s="1082"/>
      <c r="DF444" s="1082"/>
      <c r="DG444" s="1082"/>
      <c r="DH444" s="1082"/>
      <c r="DI444" s="1082"/>
      <c r="DJ444" s="1082"/>
      <c r="DK444" s="1082"/>
      <c r="DL444" s="1082"/>
      <c r="DM444" s="1082"/>
      <c r="DN444" s="1082"/>
      <c r="DO444" s="1082"/>
      <c r="DP444" s="1082"/>
      <c r="DQ444" s="1082"/>
      <c r="DR444" s="1082"/>
      <c r="DS444" s="1082"/>
      <c r="DT444" s="1082"/>
      <c r="DU444" s="1082"/>
      <c r="DV444" s="1082"/>
      <c r="DW444" s="1082"/>
      <c r="DX444" s="1082"/>
      <c r="DY444" s="1082"/>
      <c r="DZ444" s="1082"/>
      <c r="EA444" s="1082"/>
      <c r="EB444" s="1082"/>
      <c r="EC444" s="1082"/>
      <c r="ED444" s="1082"/>
      <c r="EE444" s="1082"/>
      <c r="EF444" s="1082"/>
      <c r="EG444" s="1082"/>
      <c r="EH444" s="1082"/>
      <c r="EI444" s="1082"/>
      <c r="EJ444" s="1082"/>
      <c r="EK444" s="1082"/>
      <c r="EL444" s="1082"/>
      <c r="EM444" s="1082"/>
      <c r="EN444" s="1082"/>
      <c r="EO444" s="1082"/>
      <c r="EP444" s="1082"/>
      <c r="EQ444" s="1082"/>
      <c r="ER444" s="1082"/>
      <c r="ES444" s="1082"/>
      <c r="ET444" s="1082"/>
      <c r="EU444" s="1082"/>
      <c r="EV444" s="1082"/>
      <c r="EW444" s="1082"/>
      <c r="EX444" s="1082"/>
      <c r="EY444" s="1082"/>
      <c r="EZ444" s="1082"/>
      <c r="FA444" s="1082"/>
      <c r="FB444" s="1082"/>
    </row>
    <row r="445" spans="1:158" s="1099" customFormat="1" ht="32.1" customHeight="1">
      <c r="A445" s="1169"/>
      <c r="B445" s="1282" t="s">
        <v>5259</v>
      </c>
      <c r="C445" s="1424">
        <f t="shared" si="105"/>
        <v>0</v>
      </c>
      <c r="D445" s="1424">
        <f t="shared" si="106"/>
        <v>0.10752688172042908</v>
      </c>
      <c r="E445" s="1424">
        <f t="shared" si="107"/>
        <v>5.3763440860214576E-2</v>
      </c>
      <c r="F445" s="1424">
        <f t="shared" si="108"/>
        <v>1</v>
      </c>
      <c r="G445" s="1424">
        <f t="shared" si="109"/>
        <v>0</v>
      </c>
      <c r="H445" s="1424">
        <f t="shared" si="110"/>
        <v>0.40860215053763416</v>
      </c>
      <c r="I445" s="1195" t="s">
        <v>5295</v>
      </c>
      <c r="J445" s="1387">
        <v>0.45454545454545497</v>
      </c>
      <c r="K445" s="1387">
        <v>0.54545454545454497</v>
      </c>
      <c r="L445" s="1387">
        <v>0.5</v>
      </c>
      <c r="M445" s="1387">
        <v>1.63636363636364</v>
      </c>
      <c r="N445" s="1387">
        <v>0.45454545454545497</v>
      </c>
      <c r="O445" s="1387">
        <v>0.8</v>
      </c>
      <c r="P445" s="1387">
        <v>1.3</v>
      </c>
      <c r="Q445" s="1388">
        <f t="shared" si="111"/>
        <v>0.45454545454545497</v>
      </c>
      <c r="R445" s="1081"/>
      <c r="S445" s="1082"/>
      <c r="T445" s="1082"/>
      <c r="U445" s="1082"/>
      <c r="V445" s="1082"/>
      <c r="W445" s="1082"/>
      <c r="X445" s="1082"/>
      <c r="Y445" s="1082"/>
      <c r="Z445" s="1082"/>
      <c r="AA445" s="1082"/>
      <c r="AB445" s="1082"/>
      <c r="AC445" s="1082"/>
      <c r="AD445" s="1082"/>
      <c r="AE445" s="1082"/>
      <c r="AF445" s="1082"/>
      <c r="AG445" s="1082"/>
      <c r="AH445" s="1082"/>
      <c r="AI445" s="1082"/>
      <c r="AJ445" s="1082"/>
      <c r="AK445" s="1082"/>
      <c r="AL445" s="1082"/>
      <c r="AM445" s="1082"/>
      <c r="AN445" s="1082"/>
      <c r="AO445" s="1082"/>
      <c r="AP445" s="1082"/>
      <c r="AQ445" s="1082"/>
      <c r="AR445" s="1082"/>
      <c r="AS445" s="1082"/>
      <c r="AT445" s="1082"/>
      <c r="AU445" s="1082"/>
      <c r="AV445" s="1082"/>
      <c r="AW445" s="1082"/>
      <c r="AX445" s="1082"/>
      <c r="AY445" s="1082"/>
      <c r="AZ445" s="1082"/>
      <c r="BA445" s="1082"/>
      <c r="BB445" s="1082"/>
      <c r="BC445" s="1082"/>
      <c r="BD445" s="1082"/>
      <c r="BE445" s="1082"/>
      <c r="BF445" s="1082"/>
      <c r="BG445" s="1082"/>
      <c r="BH445" s="1082"/>
      <c r="BI445" s="1082"/>
      <c r="BJ445" s="1082"/>
      <c r="BK445" s="1082"/>
      <c r="BL445" s="1082"/>
      <c r="BM445" s="1082"/>
      <c r="BN445" s="1082"/>
      <c r="BO445" s="1082"/>
      <c r="BP445" s="1082"/>
      <c r="BQ445" s="1082"/>
      <c r="BR445" s="1082"/>
      <c r="BS445" s="1082"/>
      <c r="BT445" s="1082"/>
      <c r="BU445" s="1082"/>
      <c r="BV445" s="1082"/>
      <c r="BW445" s="1082"/>
      <c r="BX445" s="1082"/>
      <c r="BY445" s="1082"/>
      <c r="BZ445" s="1082"/>
      <c r="CA445" s="1082"/>
      <c r="CB445" s="1082"/>
      <c r="CC445" s="1082"/>
      <c r="CD445" s="1082"/>
      <c r="CE445" s="1082"/>
      <c r="CF445" s="1082"/>
      <c r="CG445" s="1082"/>
      <c r="CH445" s="1082"/>
      <c r="CI445" s="1082"/>
      <c r="CJ445" s="1082"/>
      <c r="CK445" s="1082"/>
      <c r="CL445" s="1082"/>
      <c r="CM445" s="1082"/>
      <c r="CN445" s="1082"/>
      <c r="CO445" s="1082"/>
      <c r="CP445" s="1082"/>
      <c r="CQ445" s="1082"/>
      <c r="CR445" s="1082"/>
      <c r="CS445" s="1082"/>
      <c r="CT445" s="1082"/>
      <c r="CU445" s="1082"/>
      <c r="CV445" s="1082"/>
      <c r="CW445" s="1082"/>
      <c r="CX445" s="1082"/>
      <c r="CY445" s="1082"/>
      <c r="CZ445" s="1082"/>
      <c r="DA445" s="1082"/>
      <c r="DB445" s="1082"/>
      <c r="DC445" s="1082"/>
      <c r="DD445" s="1082"/>
      <c r="DE445" s="1082"/>
      <c r="DF445" s="1082"/>
      <c r="DG445" s="1082"/>
      <c r="DH445" s="1082"/>
      <c r="DI445" s="1082"/>
      <c r="DJ445" s="1082"/>
      <c r="DK445" s="1082"/>
      <c r="DL445" s="1082"/>
      <c r="DM445" s="1082"/>
      <c r="DN445" s="1082"/>
      <c r="DO445" s="1082"/>
      <c r="DP445" s="1082"/>
      <c r="DQ445" s="1082"/>
      <c r="DR445" s="1082"/>
      <c r="DS445" s="1082"/>
      <c r="DT445" s="1082"/>
      <c r="DU445" s="1082"/>
      <c r="DV445" s="1082"/>
      <c r="DW445" s="1082"/>
      <c r="DX445" s="1082"/>
      <c r="DY445" s="1082"/>
      <c r="DZ445" s="1082"/>
      <c r="EA445" s="1082"/>
      <c r="EB445" s="1082"/>
      <c r="EC445" s="1082"/>
      <c r="ED445" s="1082"/>
      <c r="EE445" s="1082"/>
      <c r="EF445" s="1082"/>
      <c r="EG445" s="1082"/>
      <c r="EH445" s="1082"/>
      <c r="EI445" s="1082"/>
      <c r="EJ445" s="1082"/>
      <c r="EK445" s="1082"/>
      <c r="EL445" s="1082"/>
      <c r="EM445" s="1082"/>
      <c r="EN445" s="1082"/>
      <c r="EO445" s="1082"/>
      <c r="EP445" s="1082"/>
      <c r="EQ445" s="1082"/>
      <c r="ER445" s="1082"/>
      <c r="ES445" s="1082"/>
      <c r="ET445" s="1082"/>
      <c r="EU445" s="1082"/>
      <c r="EV445" s="1082"/>
      <c r="EW445" s="1082"/>
      <c r="EX445" s="1082"/>
      <c r="EY445" s="1082"/>
      <c r="EZ445" s="1082"/>
      <c r="FA445" s="1082"/>
      <c r="FB445" s="1082"/>
    </row>
    <row r="446" spans="1:158" s="1099" customFormat="1" ht="32.1" customHeight="1">
      <c r="A446" s="1169"/>
      <c r="B446" s="1282" t="s">
        <v>5260</v>
      </c>
      <c r="C446" s="1424">
        <f t="shared" si="105"/>
        <v>0.85294117647058887</v>
      </c>
      <c r="D446" s="1424">
        <f t="shared" si="106"/>
        <v>0.66911764705882315</v>
      </c>
      <c r="E446" s="1424">
        <f t="shared" si="107"/>
        <v>0</v>
      </c>
      <c r="F446" s="1424">
        <f t="shared" si="108"/>
        <v>0.91946778711484356</v>
      </c>
      <c r="G446" s="1424">
        <f t="shared" si="109"/>
        <v>0.90196078431372806</v>
      </c>
      <c r="H446" s="1424">
        <f t="shared" si="110"/>
        <v>0.65686274509803833</v>
      </c>
      <c r="I446" s="1195" t="s">
        <v>5295</v>
      </c>
      <c r="J446" s="1387">
        <v>1.5384615384615401</v>
      </c>
      <c r="K446" s="1387">
        <v>1.25</v>
      </c>
      <c r="L446" s="1387">
        <v>0.2</v>
      </c>
      <c r="M446" s="1387">
        <v>1.6428571428571399</v>
      </c>
      <c r="N446" s="1387">
        <v>1.6153846153846201</v>
      </c>
      <c r="O446" s="1387">
        <v>1.2307692307692299</v>
      </c>
      <c r="P446" s="1387">
        <v>1.7692307692307701</v>
      </c>
      <c r="Q446" s="1388">
        <f t="shared" si="111"/>
        <v>0.2</v>
      </c>
      <c r="R446" s="1081"/>
      <c r="S446" s="1082"/>
      <c r="T446" s="1082"/>
      <c r="U446" s="1082"/>
      <c r="V446" s="1082"/>
      <c r="W446" s="1082"/>
      <c r="X446" s="1082"/>
      <c r="Y446" s="1082"/>
      <c r="Z446" s="1082"/>
      <c r="AA446" s="1082"/>
      <c r="AB446" s="1082"/>
      <c r="AC446" s="1082"/>
      <c r="AD446" s="1082"/>
      <c r="AE446" s="1082"/>
      <c r="AF446" s="1082"/>
      <c r="AG446" s="1082"/>
      <c r="AH446" s="1082"/>
      <c r="AI446" s="1082"/>
      <c r="AJ446" s="1082"/>
      <c r="AK446" s="1082"/>
      <c r="AL446" s="1082"/>
      <c r="AM446" s="1082"/>
      <c r="AN446" s="1082"/>
      <c r="AO446" s="1082"/>
      <c r="AP446" s="1082"/>
      <c r="AQ446" s="1082"/>
      <c r="AR446" s="1082"/>
      <c r="AS446" s="1082"/>
      <c r="AT446" s="1082"/>
      <c r="AU446" s="1082"/>
      <c r="AV446" s="1082"/>
      <c r="AW446" s="1082"/>
      <c r="AX446" s="1082"/>
      <c r="AY446" s="1082"/>
      <c r="AZ446" s="1082"/>
      <c r="BA446" s="1082"/>
      <c r="BB446" s="1082"/>
      <c r="BC446" s="1082"/>
      <c r="BD446" s="1082"/>
      <c r="BE446" s="1082"/>
      <c r="BF446" s="1082"/>
      <c r="BG446" s="1082"/>
      <c r="BH446" s="1082"/>
      <c r="BI446" s="1082"/>
      <c r="BJ446" s="1082"/>
      <c r="BK446" s="1082"/>
      <c r="BL446" s="1082"/>
      <c r="BM446" s="1082"/>
      <c r="BN446" s="1082"/>
      <c r="BO446" s="1082"/>
      <c r="BP446" s="1082"/>
      <c r="BQ446" s="1082"/>
      <c r="BR446" s="1082"/>
      <c r="BS446" s="1082"/>
      <c r="BT446" s="1082"/>
      <c r="BU446" s="1082"/>
      <c r="BV446" s="1082"/>
      <c r="BW446" s="1082"/>
      <c r="BX446" s="1082"/>
      <c r="BY446" s="1082"/>
      <c r="BZ446" s="1082"/>
      <c r="CA446" s="1082"/>
      <c r="CB446" s="1082"/>
      <c r="CC446" s="1082"/>
      <c r="CD446" s="1082"/>
      <c r="CE446" s="1082"/>
      <c r="CF446" s="1082"/>
      <c r="CG446" s="1082"/>
      <c r="CH446" s="1082"/>
      <c r="CI446" s="1082"/>
      <c r="CJ446" s="1082"/>
      <c r="CK446" s="1082"/>
      <c r="CL446" s="1082"/>
      <c r="CM446" s="1082"/>
      <c r="CN446" s="1082"/>
      <c r="CO446" s="1082"/>
      <c r="CP446" s="1082"/>
      <c r="CQ446" s="1082"/>
      <c r="CR446" s="1082"/>
      <c r="CS446" s="1082"/>
      <c r="CT446" s="1082"/>
      <c r="CU446" s="1082"/>
      <c r="CV446" s="1082"/>
      <c r="CW446" s="1082"/>
      <c r="CX446" s="1082"/>
      <c r="CY446" s="1082"/>
      <c r="CZ446" s="1082"/>
      <c r="DA446" s="1082"/>
      <c r="DB446" s="1082"/>
      <c r="DC446" s="1082"/>
      <c r="DD446" s="1082"/>
      <c r="DE446" s="1082"/>
      <c r="DF446" s="1082"/>
      <c r="DG446" s="1082"/>
      <c r="DH446" s="1082"/>
      <c r="DI446" s="1082"/>
      <c r="DJ446" s="1082"/>
      <c r="DK446" s="1082"/>
      <c r="DL446" s="1082"/>
      <c r="DM446" s="1082"/>
      <c r="DN446" s="1082"/>
      <c r="DO446" s="1082"/>
      <c r="DP446" s="1082"/>
      <c r="DQ446" s="1082"/>
      <c r="DR446" s="1082"/>
      <c r="DS446" s="1082"/>
      <c r="DT446" s="1082"/>
      <c r="DU446" s="1082"/>
      <c r="DV446" s="1082"/>
      <c r="DW446" s="1082"/>
      <c r="DX446" s="1082"/>
      <c r="DY446" s="1082"/>
      <c r="DZ446" s="1082"/>
      <c r="EA446" s="1082"/>
      <c r="EB446" s="1082"/>
      <c r="EC446" s="1082"/>
      <c r="ED446" s="1082"/>
      <c r="EE446" s="1082"/>
      <c r="EF446" s="1082"/>
      <c r="EG446" s="1082"/>
      <c r="EH446" s="1082"/>
      <c r="EI446" s="1082"/>
      <c r="EJ446" s="1082"/>
      <c r="EK446" s="1082"/>
      <c r="EL446" s="1082"/>
      <c r="EM446" s="1082"/>
      <c r="EN446" s="1082"/>
      <c r="EO446" s="1082"/>
      <c r="EP446" s="1082"/>
      <c r="EQ446" s="1082"/>
      <c r="ER446" s="1082"/>
      <c r="ES446" s="1082"/>
      <c r="ET446" s="1082"/>
      <c r="EU446" s="1082"/>
      <c r="EV446" s="1082"/>
      <c r="EW446" s="1082"/>
      <c r="EX446" s="1082"/>
      <c r="EY446" s="1082"/>
      <c r="EZ446" s="1082"/>
      <c r="FA446" s="1082"/>
      <c r="FB446" s="1082"/>
    </row>
    <row r="447" spans="1:158" s="1099" customFormat="1" ht="32.1" customHeight="1">
      <c r="A447" s="1169"/>
      <c r="B447" s="1282" t="s">
        <v>5261</v>
      </c>
      <c r="C447" s="1424">
        <f t="shared" si="105"/>
        <v>3.2967032967032468E-2</v>
      </c>
      <c r="D447" s="1424">
        <f t="shared" si="106"/>
        <v>0.34285714285714186</v>
      </c>
      <c r="E447" s="1424">
        <f t="shared" si="107"/>
        <v>0</v>
      </c>
      <c r="F447" s="1424">
        <f t="shared" si="108"/>
        <v>1</v>
      </c>
      <c r="G447" s="1424">
        <f t="shared" si="109"/>
        <v>0.50649350649350422</v>
      </c>
      <c r="H447" s="1424">
        <f t="shared" si="110"/>
        <v>0.66233766233765812</v>
      </c>
      <c r="I447" s="1195" t="s">
        <v>5295</v>
      </c>
      <c r="J447" s="1387">
        <v>0.53846153846153799</v>
      </c>
      <c r="K447" s="1387">
        <v>0.9</v>
      </c>
      <c r="L447" s="1387">
        <v>0.5</v>
      </c>
      <c r="M447" s="1387">
        <v>1.84615384615385</v>
      </c>
      <c r="N447" s="1387">
        <v>1.0909090909090899</v>
      </c>
      <c r="O447" s="1387">
        <v>1.27272727272727</v>
      </c>
      <c r="P447" s="1387">
        <v>1.6666666666666701</v>
      </c>
      <c r="Q447" s="1388">
        <f t="shared" si="111"/>
        <v>0.5</v>
      </c>
      <c r="R447" s="1081"/>
      <c r="S447" s="1082"/>
      <c r="T447" s="1082"/>
      <c r="U447" s="1082"/>
      <c r="V447" s="1082"/>
      <c r="W447" s="1082"/>
      <c r="X447" s="1082"/>
      <c r="Y447" s="1082"/>
      <c r="Z447" s="1082"/>
      <c r="AA447" s="1082"/>
      <c r="AB447" s="1082"/>
      <c r="AC447" s="1082"/>
      <c r="AD447" s="1082"/>
      <c r="AE447" s="1082"/>
      <c r="AF447" s="1082"/>
      <c r="AG447" s="1082"/>
      <c r="AH447" s="1082"/>
      <c r="AI447" s="1082"/>
      <c r="AJ447" s="1082"/>
      <c r="AK447" s="1082"/>
      <c r="AL447" s="1082"/>
      <c r="AM447" s="1082"/>
      <c r="AN447" s="1082"/>
      <c r="AO447" s="1082"/>
      <c r="AP447" s="1082"/>
      <c r="AQ447" s="1082"/>
      <c r="AR447" s="1082"/>
      <c r="AS447" s="1082"/>
      <c r="AT447" s="1082"/>
      <c r="AU447" s="1082"/>
      <c r="AV447" s="1082"/>
      <c r="AW447" s="1082"/>
      <c r="AX447" s="1082"/>
      <c r="AY447" s="1082"/>
      <c r="AZ447" s="1082"/>
      <c r="BA447" s="1082"/>
      <c r="BB447" s="1082"/>
      <c r="BC447" s="1082"/>
      <c r="BD447" s="1082"/>
      <c r="BE447" s="1082"/>
      <c r="BF447" s="1082"/>
      <c r="BG447" s="1082"/>
      <c r="BH447" s="1082"/>
      <c r="BI447" s="1082"/>
      <c r="BJ447" s="1082"/>
      <c r="BK447" s="1082"/>
      <c r="BL447" s="1082"/>
      <c r="BM447" s="1082"/>
      <c r="BN447" s="1082"/>
      <c r="BO447" s="1082"/>
      <c r="BP447" s="1082"/>
      <c r="BQ447" s="1082"/>
      <c r="BR447" s="1082"/>
      <c r="BS447" s="1082"/>
      <c r="BT447" s="1082"/>
      <c r="BU447" s="1082"/>
      <c r="BV447" s="1082"/>
      <c r="BW447" s="1082"/>
      <c r="BX447" s="1082"/>
      <c r="BY447" s="1082"/>
      <c r="BZ447" s="1082"/>
      <c r="CA447" s="1082"/>
      <c r="CB447" s="1082"/>
      <c r="CC447" s="1082"/>
      <c r="CD447" s="1082"/>
      <c r="CE447" s="1082"/>
      <c r="CF447" s="1082"/>
      <c r="CG447" s="1082"/>
      <c r="CH447" s="1082"/>
      <c r="CI447" s="1082"/>
      <c r="CJ447" s="1082"/>
      <c r="CK447" s="1082"/>
      <c r="CL447" s="1082"/>
      <c r="CM447" s="1082"/>
      <c r="CN447" s="1082"/>
      <c r="CO447" s="1082"/>
      <c r="CP447" s="1082"/>
      <c r="CQ447" s="1082"/>
      <c r="CR447" s="1082"/>
      <c r="CS447" s="1082"/>
      <c r="CT447" s="1082"/>
      <c r="CU447" s="1082"/>
      <c r="CV447" s="1082"/>
      <c r="CW447" s="1082"/>
      <c r="CX447" s="1082"/>
      <c r="CY447" s="1082"/>
      <c r="CZ447" s="1082"/>
      <c r="DA447" s="1082"/>
      <c r="DB447" s="1082"/>
      <c r="DC447" s="1082"/>
      <c r="DD447" s="1082"/>
      <c r="DE447" s="1082"/>
      <c r="DF447" s="1082"/>
      <c r="DG447" s="1082"/>
      <c r="DH447" s="1082"/>
      <c r="DI447" s="1082"/>
      <c r="DJ447" s="1082"/>
      <c r="DK447" s="1082"/>
      <c r="DL447" s="1082"/>
      <c r="DM447" s="1082"/>
      <c r="DN447" s="1082"/>
      <c r="DO447" s="1082"/>
      <c r="DP447" s="1082"/>
      <c r="DQ447" s="1082"/>
      <c r="DR447" s="1082"/>
      <c r="DS447" s="1082"/>
      <c r="DT447" s="1082"/>
      <c r="DU447" s="1082"/>
      <c r="DV447" s="1082"/>
      <c r="DW447" s="1082"/>
      <c r="DX447" s="1082"/>
      <c r="DY447" s="1082"/>
      <c r="DZ447" s="1082"/>
      <c r="EA447" s="1082"/>
      <c r="EB447" s="1082"/>
      <c r="EC447" s="1082"/>
      <c r="ED447" s="1082"/>
      <c r="EE447" s="1082"/>
      <c r="EF447" s="1082"/>
      <c r="EG447" s="1082"/>
      <c r="EH447" s="1082"/>
      <c r="EI447" s="1082"/>
      <c r="EJ447" s="1082"/>
      <c r="EK447" s="1082"/>
      <c r="EL447" s="1082"/>
      <c r="EM447" s="1082"/>
      <c r="EN447" s="1082"/>
      <c r="EO447" s="1082"/>
      <c r="EP447" s="1082"/>
      <c r="EQ447" s="1082"/>
      <c r="ER447" s="1082"/>
      <c r="ES447" s="1082"/>
      <c r="ET447" s="1082"/>
      <c r="EU447" s="1082"/>
      <c r="EV447" s="1082"/>
      <c r="EW447" s="1082"/>
      <c r="EX447" s="1082"/>
      <c r="EY447" s="1082"/>
      <c r="EZ447" s="1082"/>
      <c r="FA447" s="1082"/>
      <c r="FB447" s="1082"/>
    </row>
    <row r="448" spans="1:158" s="1099" customFormat="1" ht="32.1" customHeight="1">
      <c r="A448" s="1169"/>
      <c r="B448" s="1282" t="s">
        <v>5262</v>
      </c>
      <c r="C448" s="1424">
        <f t="shared" si="105"/>
        <v>0.39215686274509831</v>
      </c>
      <c r="D448" s="1424">
        <f t="shared" si="106"/>
        <v>0.20588235294117668</v>
      </c>
      <c r="E448" s="1424">
        <f t="shared" si="107"/>
        <v>0</v>
      </c>
      <c r="F448" s="1424">
        <f t="shared" si="108"/>
        <v>1</v>
      </c>
      <c r="G448" s="1424">
        <f t="shared" si="109"/>
        <v>0.15686274509803977</v>
      </c>
      <c r="H448" s="1424">
        <f t="shared" si="110"/>
        <v>0.38235294117647073</v>
      </c>
      <c r="I448" s="1195" t="s">
        <v>5295</v>
      </c>
      <c r="J448" s="1387">
        <v>0.88888888888888895</v>
      </c>
      <c r="K448" s="1387">
        <v>0.625</v>
      </c>
      <c r="L448" s="1387">
        <v>0.33333333333333298</v>
      </c>
      <c r="M448" s="1387">
        <v>1.7777777777777799</v>
      </c>
      <c r="N448" s="1387">
        <v>0.55555555555555602</v>
      </c>
      <c r="O448" s="1387">
        <v>0.875</v>
      </c>
      <c r="P448" s="1387">
        <v>1.75</v>
      </c>
      <c r="Q448" s="1388">
        <f t="shared" si="111"/>
        <v>0.33333333333333298</v>
      </c>
      <c r="R448" s="1081"/>
      <c r="S448" s="1082"/>
      <c r="T448" s="1082"/>
      <c r="U448" s="1082"/>
      <c r="V448" s="1082"/>
      <c r="W448" s="1082"/>
      <c r="X448" s="1082"/>
      <c r="Y448" s="1082"/>
      <c r="Z448" s="1082"/>
      <c r="AA448" s="1082"/>
      <c r="AB448" s="1082"/>
      <c r="AC448" s="1082"/>
      <c r="AD448" s="1082"/>
      <c r="AE448" s="1082"/>
      <c r="AF448" s="1082"/>
      <c r="AG448" s="1082"/>
      <c r="AH448" s="1082"/>
      <c r="AI448" s="1082"/>
      <c r="AJ448" s="1082"/>
      <c r="AK448" s="1082"/>
      <c r="AL448" s="1082"/>
      <c r="AM448" s="1082"/>
      <c r="AN448" s="1082"/>
      <c r="AO448" s="1082"/>
      <c r="AP448" s="1082"/>
      <c r="AQ448" s="1082"/>
      <c r="AR448" s="1082"/>
      <c r="AS448" s="1082"/>
      <c r="AT448" s="1082"/>
      <c r="AU448" s="1082"/>
      <c r="AV448" s="1082"/>
      <c r="AW448" s="1082"/>
      <c r="AX448" s="1082"/>
      <c r="AY448" s="1082"/>
      <c r="AZ448" s="1082"/>
      <c r="BA448" s="1082"/>
      <c r="BB448" s="1082"/>
      <c r="BC448" s="1082"/>
      <c r="BD448" s="1082"/>
      <c r="BE448" s="1082"/>
      <c r="BF448" s="1082"/>
      <c r="BG448" s="1082"/>
      <c r="BH448" s="1082"/>
      <c r="BI448" s="1082"/>
      <c r="BJ448" s="1082"/>
      <c r="BK448" s="1082"/>
      <c r="BL448" s="1082"/>
      <c r="BM448" s="1082"/>
      <c r="BN448" s="1082"/>
      <c r="BO448" s="1082"/>
      <c r="BP448" s="1082"/>
      <c r="BQ448" s="1082"/>
      <c r="BR448" s="1082"/>
      <c r="BS448" s="1082"/>
      <c r="BT448" s="1082"/>
      <c r="BU448" s="1082"/>
      <c r="BV448" s="1082"/>
      <c r="BW448" s="1082"/>
      <c r="BX448" s="1082"/>
      <c r="BY448" s="1082"/>
      <c r="BZ448" s="1082"/>
      <c r="CA448" s="1082"/>
      <c r="CB448" s="1082"/>
      <c r="CC448" s="1082"/>
      <c r="CD448" s="1082"/>
      <c r="CE448" s="1082"/>
      <c r="CF448" s="1082"/>
      <c r="CG448" s="1082"/>
      <c r="CH448" s="1082"/>
      <c r="CI448" s="1082"/>
      <c r="CJ448" s="1082"/>
      <c r="CK448" s="1082"/>
      <c r="CL448" s="1082"/>
      <c r="CM448" s="1082"/>
      <c r="CN448" s="1082"/>
      <c r="CO448" s="1082"/>
      <c r="CP448" s="1082"/>
      <c r="CQ448" s="1082"/>
      <c r="CR448" s="1082"/>
      <c r="CS448" s="1082"/>
      <c r="CT448" s="1082"/>
      <c r="CU448" s="1082"/>
      <c r="CV448" s="1082"/>
      <c r="CW448" s="1082"/>
      <c r="CX448" s="1082"/>
      <c r="CY448" s="1082"/>
      <c r="CZ448" s="1082"/>
      <c r="DA448" s="1082"/>
      <c r="DB448" s="1082"/>
      <c r="DC448" s="1082"/>
      <c r="DD448" s="1082"/>
      <c r="DE448" s="1082"/>
      <c r="DF448" s="1082"/>
      <c r="DG448" s="1082"/>
      <c r="DH448" s="1082"/>
      <c r="DI448" s="1082"/>
      <c r="DJ448" s="1082"/>
      <c r="DK448" s="1082"/>
      <c r="DL448" s="1082"/>
      <c r="DM448" s="1082"/>
      <c r="DN448" s="1082"/>
      <c r="DO448" s="1082"/>
      <c r="DP448" s="1082"/>
      <c r="DQ448" s="1082"/>
      <c r="DR448" s="1082"/>
      <c r="DS448" s="1082"/>
      <c r="DT448" s="1082"/>
      <c r="DU448" s="1082"/>
      <c r="DV448" s="1082"/>
      <c r="DW448" s="1082"/>
      <c r="DX448" s="1082"/>
      <c r="DY448" s="1082"/>
      <c r="DZ448" s="1082"/>
      <c r="EA448" s="1082"/>
      <c r="EB448" s="1082"/>
      <c r="EC448" s="1082"/>
      <c r="ED448" s="1082"/>
      <c r="EE448" s="1082"/>
      <c r="EF448" s="1082"/>
      <c r="EG448" s="1082"/>
      <c r="EH448" s="1082"/>
      <c r="EI448" s="1082"/>
      <c r="EJ448" s="1082"/>
      <c r="EK448" s="1082"/>
      <c r="EL448" s="1082"/>
      <c r="EM448" s="1082"/>
      <c r="EN448" s="1082"/>
      <c r="EO448" s="1082"/>
      <c r="EP448" s="1082"/>
      <c r="EQ448" s="1082"/>
      <c r="ER448" s="1082"/>
      <c r="ES448" s="1082"/>
      <c r="ET448" s="1082"/>
      <c r="EU448" s="1082"/>
      <c r="EV448" s="1082"/>
      <c r="EW448" s="1082"/>
      <c r="EX448" s="1082"/>
      <c r="EY448" s="1082"/>
      <c r="EZ448" s="1082"/>
      <c r="FA448" s="1082"/>
      <c r="FB448" s="1082"/>
    </row>
    <row r="449" spans="1:158" s="1099" customFormat="1" ht="32.1" customHeight="1">
      <c r="A449" s="1169"/>
      <c r="B449" s="1282" t="s">
        <v>5263</v>
      </c>
      <c r="C449" s="1424">
        <f t="shared" si="105"/>
        <v>8.3667719627760675E-3</v>
      </c>
      <c r="D449" s="1424">
        <f t="shared" si="106"/>
        <v>0.40469279148524701</v>
      </c>
      <c r="E449" s="1424">
        <f t="shared" si="107"/>
        <v>0</v>
      </c>
      <c r="F449" s="1424">
        <f t="shared" si="108"/>
        <v>0.88807308119183259</v>
      </c>
      <c r="G449" s="1424">
        <f t="shared" si="109"/>
        <v>0.23222060957909973</v>
      </c>
      <c r="H449" s="1424">
        <f t="shared" si="110"/>
        <v>0.30343492985002352</v>
      </c>
      <c r="I449" s="1195" t="s">
        <v>5295</v>
      </c>
      <c r="J449" s="1387">
        <v>0.61764705882352899</v>
      </c>
      <c r="K449" s="1387">
        <v>1.0416666666666701</v>
      </c>
      <c r="L449" s="1387">
        <v>0.60869565217391297</v>
      </c>
      <c r="M449" s="1387">
        <v>1.5588235294117601</v>
      </c>
      <c r="N449" s="1387">
        <v>0.85714285714285698</v>
      </c>
      <c r="O449" s="1387">
        <v>0.93333333333333302</v>
      </c>
      <c r="P449" s="1387">
        <v>1.6785714285714299</v>
      </c>
      <c r="Q449" s="1388">
        <f t="shared" si="111"/>
        <v>0.60869565217391297</v>
      </c>
      <c r="R449" s="1081"/>
      <c r="S449" s="1082"/>
      <c r="T449" s="1082"/>
      <c r="U449" s="1082"/>
      <c r="V449" s="1082"/>
      <c r="W449" s="1082"/>
      <c r="X449" s="1082"/>
      <c r="Y449" s="1082"/>
      <c r="Z449" s="1082"/>
      <c r="AA449" s="1082"/>
      <c r="AB449" s="1082"/>
      <c r="AC449" s="1082"/>
      <c r="AD449" s="1082"/>
      <c r="AE449" s="1082"/>
      <c r="AF449" s="1082"/>
      <c r="AG449" s="1082"/>
      <c r="AH449" s="1082"/>
      <c r="AI449" s="1082"/>
      <c r="AJ449" s="1082"/>
      <c r="AK449" s="1082"/>
      <c r="AL449" s="1082"/>
      <c r="AM449" s="1082"/>
      <c r="AN449" s="1082"/>
      <c r="AO449" s="1082"/>
      <c r="AP449" s="1082"/>
      <c r="AQ449" s="1082"/>
      <c r="AR449" s="1082"/>
      <c r="AS449" s="1082"/>
      <c r="AT449" s="1082"/>
      <c r="AU449" s="1082"/>
      <c r="AV449" s="1082"/>
      <c r="AW449" s="1082"/>
      <c r="AX449" s="1082"/>
      <c r="AY449" s="1082"/>
      <c r="AZ449" s="1082"/>
      <c r="BA449" s="1082"/>
      <c r="BB449" s="1082"/>
      <c r="BC449" s="1082"/>
      <c r="BD449" s="1082"/>
      <c r="BE449" s="1082"/>
      <c r="BF449" s="1082"/>
      <c r="BG449" s="1082"/>
      <c r="BH449" s="1082"/>
      <c r="BI449" s="1082"/>
      <c r="BJ449" s="1082"/>
      <c r="BK449" s="1082"/>
      <c r="BL449" s="1082"/>
      <c r="BM449" s="1082"/>
      <c r="BN449" s="1082"/>
      <c r="BO449" s="1082"/>
      <c r="BP449" s="1082"/>
      <c r="BQ449" s="1082"/>
      <c r="BR449" s="1082"/>
      <c r="BS449" s="1082"/>
      <c r="BT449" s="1082"/>
      <c r="BU449" s="1082"/>
      <c r="BV449" s="1082"/>
      <c r="BW449" s="1082"/>
      <c r="BX449" s="1082"/>
      <c r="BY449" s="1082"/>
      <c r="BZ449" s="1082"/>
      <c r="CA449" s="1082"/>
      <c r="CB449" s="1082"/>
      <c r="CC449" s="1082"/>
      <c r="CD449" s="1082"/>
      <c r="CE449" s="1082"/>
      <c r="CF449" s="1082"/>
      <c r="CG449" s="1082"/>
      <c r="CH449" s="1082"/>
      <c r="CI449" s="1082"/>
      <c r="CJ449" s="1082"/>
      <c r="CK449" s="1082"/>
      <c r="CL449" s="1082"/>
      <c r="CM449" s="1082"/>
      <c r="CN449" s="1082"/>
      <c r="CO449" s="1082"/>
      <c r="CP449" s="1082"/>
      <c r="CQ449" s="1082"/>
      <c r="CR449" s="1082"/>
      <c r="CS449" s="1082"/>
      <c r="CT449" s="1082"/>
      <c r="CU449" s="1082"/>
      <c r="CV449" s="1082"/>
      <c r="CW449" s="1082"/>
      <c r="CX449" s="1082"/>
      <c r="CY449" s="1082"/>
      <c r="CZ449" s="1082"/>
      <c r="DA449" s="1082"/>
      <c r="DB449" s="1082"/>
      <c r="DC449" s="1082"/>
      <c r="DD449" s="1082"/>
      <c r="DE449" s="1082"/>
      <c r="DF449" s="1082"/>
      <c r="DG449" s="1082"/>
      <c r="DH449" s="1082"/>
      <c r="DI449" s="1082"/>
      <c r="DJ449" s="1082"/>
      <c r="DK449" s="1082"/>
      <c r="DL449" s="1082"/>
      <c r="DM449" s="1082"/>
      <c r="DN449" s="1082"/>
      <c r="DO449" s="1082"/>
      <c r="DP449" s="1082"/>
      <c r="DQ449" s="1082"/>
      <c r="DR449" s="1082"/>
      <c r="DS449" s="1082"/>
      <c r="DT449" s="1082"/>
      <c r="DU449" s="1082"/>
      <c r="DV449" s="1082"/>
      <c r="DW449" s="1082"/>
      <c r="DX449" s="1082"/>
      <c r="DY449" s="1082"/>
      <c r="DZ449" s="1082"/>
      <c r="EA449" s="1082"/>
      <c r="EB449" s="1082"/>
      <c r="EC449" s="1082"/>
      <c r="ED449" s="1082"/>
      <c r="EE449" s="1082"/>
      <c r="EF449" s="1082"/>
      <c r="EG449" s="1082"/>
      <c r="EH449" s="1082"/>
      <c r="EI449" s="1082"/>
      <c r="EJ449" s="1082"/>
      <c r="EK449" s="1082"/>
      <c r="EL449" s="1082"/>
      <c r="EM449" s="1082"/>
      <c r="EN449" s="1082"/>
      <c r="EO449" s="1082"/>
      <c r="EP449" s="1082"/>
      <c r="EQ449" s="1082"/>
      <c r="ER449" s="1082"/>
      <c r="ES449" s="1082"/>
      <c r="ET449" s="1082"/>
      <c r="EU449" s="1082"/>
      <c r="EV449" s="1082"/>
      <c r="EW449" s="1082"/>
      <c r="EX449" s="1082"/>
      <c r="EY449" s="1082"/>
      <c r="EZ449" s="1082"/>
      <c r="FA449" s="1082"/>
      <c r="FB449" s="1082"/>
    </row>
    <row r="450" spans="1:158" s="1099" customFormat="1" ht="32.1" customHeight="1">
      <c r="A450" s="1169"/>
      <c r="B450" s="1282" t="s">
        <v>5264</v>
      </c>
      <c r="C450" s="1424">
        <f t="shared" si="105"/>
        <v>0.57142857142856973</v>
      </c>
      <c r="D450" s="1424">
        <f t="shared" si="106"/>
        <v>0.58928571428571397</v>
      </c>
      <c r="E450" s="1424">
        <f t="shared" si="107"/>
        <v>0</v>
      </c>
      <c r="F450" s="1424">
        <f t="shared" si="108"/>
        <v>1</v>
      </c>
      <c r="G450" s="1424">
        <f t="shared" si="109"/>
        <v>0.42857142857142838</v>
      </c>
      <c r="H450" s="1424">
        <f t="shared" si="110"/>
        <v>0.78571428571428814</v>
      </c>
      <c r="I450" s="1195" t="s">
        <v>5295</v>
      </c>
      <c r="J450" s="1387">
        <v>1.2222222222222201</v>
      </c>
      <c r="K450" s="1387">
        <v>1.25</v>
      </c>
      <c r="L450" s="1387">
        <v>0.33333333333333298</v>
      </c>
      <c r="M450" s="1387">
        <v>1.8888888888888899</v>
      </c>
      <c r="N450" s="1387">
        <v>1</v>
      </c>
      <c r="O450" s="1387">
        <v>1.55555555555556</v>
      </c>
      <c r="P450" s="1387">
        <v>1.8888888888888899</v>
      </c>
      <c r="Q450" s="1388">
        <f t="shared" si="111"/>
        <v>0.33333333333333298</v>
      </c>
      <c r="R450" s="1081"/>
      <c r="S450" s="1082"/>
      <c r="T450" s="1082"/>
      <c r="U450" s="1082"/>
      <c r="V450" s="1082"/>
      <c r="W450" s="1082"/>
      <c r="X450" s="1082"/>
      <c r="Y450" s="1082"/>
      <c r="Z450" s="1082"/>
      <c r="AA450" s="1082"/>
      <c r="AB450" s="1082"/>
      <c r="AC450" s="1082"/>
      <c r="AD450" s="1082"/>
      <c r="AE450" s="1082"/>
      <c r="AF450" s="1082"/>
      <c r="AG450" s="1082"/>
      <c r="AH450" s="1082"/>
      <c r="AI450" s="1082"/>
      <c r="AJ450" s="1082"/>
      <c r="AK450" s="1082"/>
      <c r="AL450" s="1082"/>
      <c r="AM450" s="1082"/>
      <c r="AN450" s="1082"/>
      <c r="AO450" s="1082"/>
      <c r="AP450" s="1082"/>
      <c r="AQ450" s="1082"/>
      <c r="AR450" s="1082"/>
      <c r="AS450" s="1082"/>
      <c r="AT450" s="1082"/>
      <c r="AU450" s="1082"/>
      <c r="AV450" s="1082"/>
      <c r="AW450" s="1082"/>
      <c r="AX450" s="1082"/>
      <c r="AY450" s="1082"/>
      <c r="AZ450" s="1082"/>
      <c r="BA450" s="1082"/>
      <c r="BB450" s="1082"/>
      <c r="BC450" s="1082"/>
      <c r="BD450" s="1082"/>
      <c r="BE450" s="1082"/>
      <c r="BF450" s="1082"/>
      <c r="BG450" s="1082"/>
      <c r="BH450" s="1082"/>
      <c r="BI450" s="1082"/>
      <c r="BJ450" s="1082"/>
      <c r="BK450" s="1082"/>
      <c r="BL450" s="1082"/>
      <c r="BM450" s="1082"/>
      <c r="BN450" s="1082"/>
      <c r="BO450" s="1082"/>
      <c r="BP450" s="1082"/>
      <c r="BQ450" s="1082"/>
      <c r="BR450" s="1082"/>
      <c r="BS450" s="1082"/>
      <c r="BT450" s="1082"/>
      <c r="BU450" s="1082"/>
      <c r="BV450" s="1082"/>
      <c r="BW450" s="1082"/>
      <c r="BX450" s="1082"/>
      <c r="BY450" s="1082"/>
      <c r="BZ450" s="1082"/>
      <c r="CA450" s="1082"/>
      <c r="CB450" s="1082"/>
      <c r="CC450" s="1082"/>
      <c r="CD450" s="1082"/>
      <c r="CE450" s="1082"/>
      <c r="CF450" s="1082"/>
      <c r="CG450" s="1082"/>
      <c r="CH450" s="1082"/>
      <c r="CI450" s="1082"/>
      <c r="CJ450" s="1082"/>
      <c r="CK450" s="1082"/>
      <c r="CL450" s="1082"/>
      <c r="CM450" s="1082"/>
      <c r="CN450" s="1082"/>
      <c r="CO450" s="1082"/>
      <c r="CP450" s="1082"/>
      <c r="CQ450" s="1082"/>
      <c r="CR450" s="1082"/>
      <c r="CS450" s="1082"/>
      <c r="CT450" s="1082"/>
      <c r="CU450" s="1082"/>
      <c r="CV450" s="1082"/>
      <c r="CW450" s="1082"/>
      <c r="CX450" s="1082"/>
      <c r="CY450" s="1082"/>
      <c r="CZ450" s="1082"/>
      <c r="DA450" s="1082"/>
      <c r="DB450" s="1082"/>
      <c r="DC450" s="1082"/>
      <c r="DD450" s="1082"/>
      <c r="DE450" s="1082"/>
      <c r="DF450" s="1082"/>
      <c r="DG450" s="1082"/>
      <c r="DH450" s="1082"/>
      <c r="DI450" s="1082"/>
      <c r="DJ450" s="1082"/>
      <c r="DK450" s="1082"/>
      <c r="DL450" s="1082"/>
      <c r="DM450" s="1082"/>
      <c r="DN450" s="1082"/>
      <c r="DO450" s="1082"/>
      <c r="DP450" s="1082"/>
      <c r="DQ450" s="1082"/>
      <c r="DR450" s="1082"/>
      <c r="DS450" s="1082"/>
      <c r="DT450" s="1082"/>
      <c r="DU450" s="1082"/>
      <c r="DV450" s="1082"/>
      <c r="DW450" s="1082"/>
      <c r="DX450" s="1082"/>
      <c r="DY450" s="1082"/>
      <c r="DZ450" s="1082"/>
      <c r="EA450" s="1082"/>
      <c r="EB450" s="1082"/>
      <c r="EC450" s="1082"/>
      <c r="ED450" s="1082"/>
      <c r="EE450" s="1082"/>
      <c r="EF450" s="1082"/>
      <c r="EG450" s="1082"/>
      <c r="EH450" s="1082"/>
      <c r="EI450" s="1082"/>
      <c r="EJ450" s="1082"/>
      <c r="EK450" s="1082"/>
      <c r="EL450" s="1082"/>
      <c r="EM450" s="1082"/>
      <c r="EN450" s="1082"/>
      <c r="EO450" s="1082"/>
      <c r="EP450" s="1082"/>
      <c r="EQ450" s="1082"/>
      <c r="ER450" s="1082"/>
      <c r="ES450" s="1082"/>
      <c r="ET450" s="1082"/>
      <c r="EU450" s="1082"/>
      <c r="EV450" s="1082"/>
      <c r="EW450" s="1082"/>
      <c r="EX450" s="1082"/>
      <c r="EY450" s="1082"/>
      <c r="EZ450" s="1082"/>
      <c r="FA450" s="1082"/>
      <c r="FB450" s="1082"/>
    </row>
    <row r="451" spans="1:158" s="1099" customFormat="1" ht="32.1" customHeight="1">
      <c r="A451" s="1169"/>
      <c r="B451" s="1282" t="s">
        <v>5265</v>
      </c>
      <c r="C451" s="1424">
        <f t="shared" si="105"/>
        <v>0.28055555555555411</v>
      </c>
      <c r="D451" s="1424">
        <f t="shared" si="106"/>
        <v>0</v>
      </c>
      <c r="E451" s="1424">
        <f t="shared" si="107"/>
        <v>9.9415204678361582E-2</v>
      </c>
      <c r="F451" s="1424">
        <f t="shared" si="108"/>
        <v>0.72222222222222077</v>
      </c>
      <c r="G451" s="1424">
        <f t="shared" si="109"/>
        <v>0.63055555555555298</v>
      </c>
      <c r="H451" s="1424">
        <f t="shared" si="110"/>
        <v>0.77777777777777912</v>
      </c>
      <c r="I451" s="1195" t="s">
        <v>5295</v>
      </c>
      <c r="J451" s="1387">
        <v>1.05</v>
      </c>
      <c r="K451" s="1387">
        <v>0.80952380952380998</v>
      </c>
      <c r="L451" s="1387">
        <v>0.89473684210526305</v>
      </c>
      <c r="M451" s="1387">
        <v>1.4285714285714299</v>
      </c>
      <c r="N451" s="1387">
        <v>1.35</v>
      </c>
      <c r="O451" s="1387">
        <v>1.47619047619048</v>
      </c>
      <c r="P451" s="1387">
        <v>1.6666666666666701</v>
      </c>
      <c r="Q451" s="1388">
        <f t="shared" si="111"/>
        <v>0.80952380952380998</v>
      </c>
      <c r="R451" s="1081"/>
      <c r="S451" s="1082"/>
      <c r="T451" s="1082"/>
      <c r="U451" s="1082"/>
      <c r="V451" s="1082"/>
      <c r="W451" s="1082"/>
      <c r="X451" s="1082"/>
      <c r="Y451" s="1082"/>
      <c r="Z451" s="1082"/>
      <c r="AA451" s="1082"/>
      <c r="AB451" s="1082"/>
      <c r="AC451" s="1082"/>
      <c r="AD451" s="1082"/>
      <c r="AE451" s="1082"/>
      <c r="AF451" s="1082"/>
      <c r="AG451" s="1082"/>
      <c r="AH451" s="1082"/>
      <c r="AI451" s="1082"/>
      <c r="AJ451" s="1082"/>
      <c r="AK451" s="1082"/>
      <c r="AL451" s="1082"/>
      <c r="AM451" s="1082"/>
      <c r="AN451" s="1082"/>
      <c r="AO451" s="1082"/>
      <c r="AP451" s="1082"/>
      <c r="AQ451" s="1082"/>
      <c r="AR451" s="1082"/>
      <c r="AS451" s="1082"/>
      <c r="AT451" s="1082"/>
      <c r="AU451" s="1082"/>
      <c r="AV451" s="1082"/>
      <c r="AW451" s="1082"/>
      <c r="AX451" s="1082"/>
      <c r="AY451" s="1082"/>
      <c r="AZ451" s="1082"/>
      <c r="BA451" s="1082"/>
      <c r="BB451" s="1082"/>
      <c r="BC451" s="1082"/>
      <c r="BD451" s="1082"/>
      <c r="BE451" s="1082"/>
      <c r="BF451" s="1082"/>
      <c r="BG451" s="1082"/>
      <c r="BH451" s="1082"/>
      <c r="BI451" s="1082"/>
      <c r="BJ451" s="1082"/>
      <c r="BK451" s="1082"/>
      <c r="BL451" s="1082"/>
      <c r="BM451" s="1082"/>
      <c r="BN451" s="1082"/>
      <c r="BO451" s="1082"/>
      <c r="BP451" s="1082"/>
      <c r="BQ451" s="1082"/>
      <c r="BR451" s="1082"/>
      <c r="BS451" s="1082"/>
      <c r="BT451" s="1082"/>
      <c r="BU451" s="1082"/>
      <c r="BV451" s="1082"/>
      <c r="BW451" s="1082"/>
      <c r="BX451" s="1082"/>
      <c r="BY451" s="1082"/>
      <c r="BZ451" s="1082"/>
      <c r="CA451" s="1082"/>
      <c r="CB451" s="1082"/>
      <c r="CC451" s="1082"/>
      <c r="CD451" s="1082"/>
      <c r="CE451" s="1082"/>
      <c r="CF451" s="1082"/>
      <c r="CG451" s="1082"/>
      <c r="CH451" s="1082"/>
      <c r="CI451" s="1082"/>
      <c r="CJ451" s="1082"/>
      <c r="CK451" s="1082"/>
      <c r="CL451" s="1082"/>
      <c r="CM451" s="1082"/>
      <c r="CN451" s="1082"/>
      <c r="CO451" s="1082"/>
      <c r="CP451" s="1082"/>
      <c r="CQ451" s="1082"/>
      <c r="CR451" s="1082"/>
      <c r="CS451" s="1082"/>
      <c r="CT451" s="1082"/>
      <c r="CU451" s="1082"/>
      <c r="CV451" s="1082"/>
      <c r="CW451" s="1082"/>
      <c r="CX451" s="1082"/>
      <c r="CY451" s="1082"/>
      <c r="CZ451" s="1082"/>
      <c r="DA451" s="1082"/>
      <c r="DB451" s="1082"/>
      <c r="DC451" s="1082"/>
      <c r="DD451" s="1082"/>
      <c r="DE451" s="1082"/>
      <c r="DF451" s="1082"/>
      <c r="DG451" s="1082"/>
      <c r="DH451" s="1082"/>
      <c r="DI451" s="1082"/>
      <c r="DJ451" s="1082"/>
      <c r="DK451" s="1082"/>
      <c r="DL451" s="1082"/>
      <c r="DM451" s="1082"/>
      <c r="DN451" s="1082"/>
      <c r="DO451" s="1082"/>
      <c r="DP451" s="1082"/>
      <c r="DQ451" s="1082"/>
      <c r="DR451" s="1082"/>
      <c r="DS451" s="1082"/>
      <c r="DT451" s="1082"/>
      <c r="DU451" s="1082"/>
      <c r="DV451" s="1082"/>
      <c r="DW451" s="1082"/>
      <c r="DX451" s="1082"/>
      <c r="DY451" s="1082"/>
      <c r="DZ451" s="1082"/>
      <c r="EA451" s="1082"/>
      <c r="EB451" s="1082"/>
      <c r="EC451" s="1082"/>
      <c r="ED451" s="1082"/>
      <c r="EE451" s="1082"/>
      <c r="EF451" s="1082"/>
      <c r="EG451" s="1082"/>
      <c r="EH451" s="1082"/>
      <c r="EI451" s="1082"/>
      <c r="EJ451" s="1082"/>
      <c r="EK451" s="1082"/>
      <c r="EL451" s="1082"/>
      <c r="EM451" s="1082"/>
      <c r="EN451" s="1082"/>
      <c r="EO451" s="1082"/>
      <c r="EP451" s="1082"/>
      <c r="EQ451" s="1082"/>
      <c r="ER451" s="1082"/>
      <c r="ES451" s="1082"/>
      <c r="ET451" s="1082"/>
      <c r="EU451" s="1082"/>
      <c r="EV451" s="1082"/>
      <c r="EW451" s="1082"/>
      <c r="EX451" s="1082"/>
      <c r="EY451" s="1082"/>
      <c r="EZ451" s="1082"/>
      <c r="FA451" s="1082"/>
      <c r="FB451" s="1082"/>
    </row>
    <row r="452" spans="1:158" s="1099" customFormat="1" ht="32.1" customHeight="1">
      <c r="A452" s="1169"/>
      <c r="B452" s="1282" t="s">
        <v>5266</v>
      </c>
      <c r="C452" s="1424">
        <f t="shared" si="105"/>
        <v>0.69999999999999918</v>
      </c>
      <c r="D452" s="1424">
        <f t="shared" si="106"/>
        <v>0.50000000000000322</v>
      </c>
      <c r="E452" s="1424">
        <f t="shared" si="107"/>
        <v>0</v>
      </c>
      <c r="F452" s="1424">
        <f t="shared" si="108"/>
        <v>0.91249999999999998</v>
      </c>
      <c r="G452" s="1424">
        <f t="shared" si="109"/>
        <v>0.39999999999999813</v>
      </c>
      <c r="H452" s="1424">
        <f t="shared" si="110"/>
        <v>0.30000000000000021</v>
      </c>
      <c r="I452" s="1195" t="s">
        <v>5295</v>
      </c>
      <c r="J452" s="1387">
        <v>1.5714285714285701</v>
      </c>
      <c r="K452" s="1387">
        <v>1.28571428571429</v>
      </c>
      <c r="L452" s="1387">
        <v>0.57142857142857095</v>
      </c>
      <c r="M452" s="1387">
        <v>1.875</v>
      </c>
      <c r="N452" s="1387">
        <v>1.1428571428571399</v>
      </c>
      <c r="O452" s="1387">
        <v>1</v>
      </c>
      <c r="P452" s="1387">
        <v>2</v>
      </c>
      <c r="Q452" s="1388">
        <f t="shared" si="111"/>
        <v>0.57142857142857095</v>
      </c>
      <c r="R452" s="1081"/>
      <c r="S452" s="1082"/>
      <c r="T452" s="1082"/>
      <c r="U452" s="1082"/>
      <c r="V452" s="1082"/>
      <c r="W452" s="1082"/>
      <c r="X452" s="1082"/>
      <c r="Y452" s="1082"/>
      <c r="Z452" s="1082"/>
      <c r="AA452" s="1082"/>
      <c r="AB452" s="1082"/>
      <c r="AC452" s="1082"/>
      <c r="AD452" s="1082"/>
      <c r="AE452" s="1082"/>
      <c r="AF452" s="1082"/>
      <c r="AG452" s="1082"/>
      <c r="AH452" s="1082"/>
      <c r="AI452" s="1082"/>
      <c r="AJ452" s="1082"/>
      <c r="AK452" s="1082"/>
      <c r="AL452" s="1082"/>
      <c r="AM452" s="1082"/>
      <c r="AN452" s="1082"/>
      <c r="AO452" s="1082"/>
      <c r="AP452" s="1082"/>
      <c r="AQ452" s="1082"/>
      <c r="AR452" s="1082"/>
      <c r="AS452" s="1082"/>
      <c r="AT452" s="1082"/>
      <c r="AU452" s="1082"/>
      <c r="AV452" s="1082"/>
      <c r="AW452" s="1082"/>
      <c r="AX452" s="1082"/>
      <c r="AY452" s="1082"/>
      <c r="AZ452" s="1082"/>
      <c r="BA452" s="1082"/>
      <c r="BB452" s="1082"/>
      <c r="BC452" s="1082"/>
      <c r="BD452" s="1082"/>
      <c r="BE452" s="1082"/>
      <c r="BF452" s="1082"/>
      <c r="BG452" s="1082"/>
      <c r="BH452" s="1082"/>
      <c r="BI452" s="1082"/>
      <c r="BJ452" s="1082"/>
      <c r="BK452" s="1082"/>
      <c r="BL452" s="1082"/>
      <c r="BM452" s="1082"/>
      <c r="BN452" s="1082"/>
      <c r="BO452" s="1082"/>
      <c r="BP452" s="1082"/>
      <c r="BQ452" s="1082"/>
      <c r="BR452" s="1082"/>
      <c r="BS452" s="1082"/>
      <c r="BT452" s="1082"/>
      <c r="BU452" s="1082"/>
      <c r="BV452" s="1082"/>
      <c r="BW452" s="1082"/>
      <c r="BX452" s="1082"/>
      <c r="BY452" s="1082"/>
      <c r="BZ452" s="1082"/>
      <c r="CA452" s="1082"/>
      <c r="CB452" s="1082"/>
      <c r="CC452" s="1082"/>
      <c r="CD452" s="1082"/>
      <c r="CE452" s="1082"/>
      <c r="CF452" s="1082"/>
      <c r="CG452" s="1082"/>
      <c r="CH452" s="1082"/>
      <c r="CI452" s="1082"/>
      <c r="CJ452" s="1082"/>
      <c r="CK452" s="1082"/>
      <c r="CL452" s="1082"/>
      <c r="CM452" s="1082"/>
      <c r="CN452" s="1082"/>
      <c r="CO452" s="1082"/>
      <c r="CP452" s="1082"/>
      <c r="CQ452" s="1082"/>
      <c r="CR452" s="1082"/>
      <c r="CS452" s="1082"/>
      <c r="CT452" s="1082"/>
      <c r="CU452" s="1082"/>
      <c r="CV452" s="1082"/>
      <c r="CW452" s="1082"/>
      <c r="CX452" s="1082"/>
      <c r="CY452" s="1082"/>
      <c r="CZ452" s="1082"/>
      <c r="DA452" s="1082"/>
      <c r="DB452" s="1082"/>
      <c r="DC452" s="1082"/>
      <c r="DD452" s="1082"/>
      <c r="DE452" s="1082"/>
      <c r="DF452" s="1082"/>
      <c r="DG452" s="1082"/>
      <c r="DH452" s="1082"/>
      <c r="DI452" s="1082"/>
      <c r="DJ452" s="1082"/>
      <c r="DK452" s="1082"/>
      <c r="DL452" s="1082"/>
      <c r="DM452" s="1082"/>
      <c r="DN452" s="1082"/>
      <c r="DO452" s="1082"/>
      <c r="DP452" s="1082"/>
      <c r="DQ452" s="1082"/>
      <c r="DR452" s="1082"/>
      <c r="DS452" s="1082"/>
      <c r="DT452" s="1082"/>
      <c r="DU452" s="1082"/>
      <c r="DV452" s="1082"/>
      <c r="DW452" s="1082"/>
      <c r="DX452" s="1082"/>
      <c r="DY452" s="1082"/>
      <c r="DZ452" s="1082"/>
      <c r="EA452" s="1082"/>
      <c r="EB452" s="1082"/>
      <c r="EC452" s="1082"/>
      <c r="ED452" s="1082"/>
      <c r="EE452" s="1082"/>
      <c r="EF452" s="1082"/>
      <c r="EG452" s="1082"/>
      <c r="EH452" s="1082"/>
      <c r="EI452" s="1082"/>
      <c r="EJ452" s="1082"/>
      <c r="EK452" s="1082"/>
      <c r="EL452" s="1082"/>
      <c r="EM452" s="1082"/>
      <c r="EN452" s="1082"/>
      <c r="EO452" s="1082"/>
      <c r="EP452" s="1082"/>
      <c r="EQ452" s="1082"/>
      <c r="ER452" s="1082"/>
      <c r="ES452" s="1082"/>
      <c r="ET452" s="1082"/>
      <c r="EU452" s="1082"/>
      <c r="EV452" s="1082"/>
      <c r="EW452" s="1082"/>
      <c r="EX452" s="1082"/>
      <c r="EY452" s="1082"/>
      <c r="EZ452" s="1082"/>
      <c r="FA452" s="1082"/>
      <c r="FB452" s="1082"/>
    </row>
    <row r="453" spans="1:158" ht="32.1" customHeight="1">
      <c r="A453" s="1052"/>
      <c r="B453" s="1159" t="s">
        <v>6744</v>
      </c>
      <c r="C453" s="1438">
        <v>1</v>
      </c>
      <c r="D453" s="1438">
        <v>0.5</v>
      </c>
      <c r="E453" s="1438">
        <v>0.5</v>
      </c>
      <c r="F453" s="1438">
        <v>1</v>
      </c>
      <c r="G453" s="1487">
        <v>0.5</v>
      </c>
      <c r="H453" s="1487">
        <v>0.5</v>
      </c>
      <c r="I453" s="1195" t="s">
        <v>596</v>
      </c>
      <c r="J453" s="1104">
        <v>1</v>
      </c>
      <c r="K453" s="1122" t="s">
        <v>2411</v>
      </c>
      <c r="L453" s="1079" t="s">
        <v>2462</v>
      </c>
      <c r="M453" s="1102">
        <v>1</v>
      </c>
      <c r="N453" s="1073">
        <v>0.5</v>
      </c>
      <c r="O453" s="1073" t="s">
        <v>5776</v>
      </c>
      <c r="P453" s="1073">
        <v>1</v>
      </c>
      <c r="Q453" s="1073">
        <v>0</v>
      </c>
    </row>
    <row r="454" spans="1:158" ht="32.1" customHeight="1">
      <c r="A454" s="1609" t="s">
        <v>6870</v>
      </c>
      <c r="B454" s="1067" t="s">
        <v>5336</v>
      </c>
      <c r="C454" s="1513">
        <f t="shared" ref="C454:H454" si="112">AVERAGE(C455:C461,C464:C465,C466)</f>
        <v>1</v>
      </c>
      <c r="D454" s="1513">
        <f t="shared" si="112"/>
        <v>0.78666666666666674</v>
      </c>
      <c r="E454" s="1513">
        <f t="shared" si="112"/>
        <v>0.35</v>
      </c>
      <c r="F454" s="1513">
        <f t="shared" si="112"/>
        <v>0.53599999999999992</v>
      </c>
      <c r="G454" s="1513">
        <f t="shared" si="112"/>
        <v>0.74133333333333329</v>
      </c>
      <c r="H454" s="1513">
        <f t="shared" si="112"/>
        <v>0.6</v>
      </c>
      <c r="I454" s="1195"/>
      <c r="J454" s="1286"/>
      <c r="K454" s="1286"/>
      <c r="L454" s="1079"/>
      <c r="M454" s="1287"/>
      <c r="N454" s="1288"/>
      <c r="O454" s="1288"/>
      <c r="P454" s="1288"/>
      <c r="Q454" s="1288"/>
    </row>
    <row r="455" spans="1:158" s="1088" customFormat="1" ht="32.1" customHeight="1">
      <c r="A455" s="1140"/>
      <c r="B455" s="1384" t="s">
        <v>610</v>
      </c>
      <c r="C455" s="1456">
        <f>IF(J455&lt;$P455,1,IF(J455&gt;$Q455,0,(J455-$Q455)/($P455-$Q455)))</f>
        <v>1</v>
      </c>
      <c r="D455" s="1456">
        <f>IF(K455&lt;$P455,1,IF(K455&gt;$Q455,0,(K455-$Q455)/($P455-$Q455)))</f>
        <v>0.8666666666666667</v>
      </c>
      <c r="E455" s="1456">
        <f>IF(36&lt;$P455,1,IF(36&gt;$Q455,0,(36-$Q455)/($P455-$Q455)))</f>
        <v>1</v>
      </c>
      <c r="F455" s="1456">
        <f>IF(M455&lt;$P455,1,IF(M455&gt;$Q455,0,(M455-$Q455)/($P455-$Q455)))</f>
        <v>0.36</v>
      </c>
      <c r="G455" s="1456">
        <f>IF(N455&lt;$P455,1,IF(N455&gt;$Q455,0,(N455-$Q455)/($P455-$Q455)))</f>
        <v>0.41333333333333333</v>
      </c>
      <c r="H455" s="1456">
        <f>IF(O455&lt;$P455,1,IF(O455&gt;$Q455,0,(O455-$Q455)/($P455-$Q455)))</f>
        <v>1</v>
      </c>
      <c r="I455" s="1772" t="s">
        <v>611</v>
      </c>
      <c r="J455" s="1104">
        <v>32</v>
      </c>
      <c r="K455" s="1142">
        <v>50</v>
      </c>
      <c r="L455" s="1075" t="s">
        <v>5986</v>
      </c>
      <c r="M455" s="1289">
        <v>88</v>
      </c>
      <c r="N455" s="1142">
        <v>84</v>
      </c>
      <c r="O455" s="1142">
        <v>37</v>
      </c>
      <c r="P455" s="1289">
        <v>40</v>
      </c>
      <c r="Q455" s="1289">
        <v>115</v>
      </c>
      <c r="R455" s="1081"/>
      <c r="S455" s="1082"/>
      <c r="T455" s="1082"/>
      <c r="U455" s="1082"/>
      <c r="V455" s="1082"/>
      <c r="W455" s="1082"/>
      <c r="X455" s="1082"/>
      <c r="Y455" s="1082"/>
      <c r="Z455" s="1082"/>
      <c r="AA455" s="1082"/>
      <c r="AB455" s="1082"/>
      <c r="AC455" s="1082"/>
      <c r="AD455" s="1082"/>
      <c r="AE455" s="1082"/>
      <c r="AF455" s="1082"/>
      <c r="AG455" s="1082"/>
      <c r="AH455" s="1082"/>
      <c r="AI455" s="1082"/>
      <c r="AJ455" s="1082"/>
      <c r="AK455" s="1082"/>
      <c r="AL455" s="1082"/>
      <c r="AM455" s="1082"/>
      <c r="AN455" s="1082"/>
      <c r="AO455" s="1082"/>
      <c r="AP455" s="1082"/>
      <c r="AQ455" s="1082"/>
      <c r="AR455" s="1082"/>
      <c r="AS455" s="1082"/>
      <c r="AT455" s="1082"/>
      <c r="AU455" s="1082"/>
      <c r="AV455" s="1082"/>
      <c r="AW455" s="1082"/>
      <c r="AX455" s="1082"/>
      <c r="AY455" s="1082"/>
      <c r="AZ455" s="1082"/>
      <c r="BA455" s="1082"/>
      <c r="BB455" s="1082"/>
      <c r="BC455" s="1082"/>
      <c r="BD455" s="1082"/>
      <c r="BE455" s="1082"/>
      <c r="BF455" s="1082"/>
      <c r="BG455" s="1082"/>
      <c r="BH455" s="1082"/>
      <c r="BI455" s="1082"/>
      <c r="BJ455" s="1082"/>
      <c r="BK455" s="1082"/>
      <c r="BL455" s="1082"/>
      <c r="BM455" s="1082"/>
      <c r="BN455" s="1082"/>
      <c r="BO455" s="1082"/>
      <c r="BP455" s="1082"/>
      <c r="BQ455" s="1082"/>
      <c r="BR455" s="1082"/>
      <c r="BS455" s="1082"/>
      <c r="BT455" s="1082"/>
      <c r="BU455" s="1082"/>
      <c r="BV455" s="1082"/>
      <c r="BW455" s="1082"/>
      <c r="BX455" s="1082"/>
      <c r="BY455" s="1082"/>
      <c r="BZ455" s="1082"/>
      <c r="CA455" s="1082"/>
      <c r="CB455" s="1082"/>
      <c r="CC455" s="1082"/>
      <c r="CD455" s="1082"/>
      <c r="CE455" s="1082"/>
      <c r="CF455" s="1082"/>
      <c r="CG455" s="1082"/>
      <c r="CH455" s="1082"/>
      <c r="CI455" s="1082"/>
      <c r="CJ455" s="1082"/>
      <c r="CK455" s="1082"/>
      <c r="CL455" s="1082"/>
      <c r="CM455" s="1082"/>
      <c r="CN455" s="1082"/>
      <c r="CO455" s="1082"/>
      <c r="CP455" s="1082"/>
      <c r="CQ455" s="1082"/>
      <c r="CR455" s="1082"/>
      <c r="CS455" s="1082"/>
      <c r="CT455" s="1082"/>
      <c r="CU455" s="1082"/>
      <c r="CV455" s="1082"/>
      <c r="CW455" s="1082"/>
      <c r="CX455" s="1082"/>
      <c r="CY455" s="1082"/>
      <c r="CZ455" s="1082"/>
      <c r="DA455" s="1082"/>
      <c r="DB455" s="1082"/>
      <c r="DC455" s="1082"/>
      <c r="DD455" s="1082"/>
      <c r="DE455" s="1082"/>
      <c r="DF455" s="1082"/>
      <c r="DG455" s="1082"/>
      <c r="DH455" s="1082"/>
      <c r="DI455" s="1082"/>
      <c r="DJ455" s="1082"/>
      <c r="DK455" s="1082"/>
      <c r="DL455" s="1082"/>
      <c r="DM455" s="1082"/>
      <c r="DN455" s="1082"/>
      <c r="DO455" s="1082"/>
      <c r="DP455" s="1082"/>
      <c r="DQ455" s="1082"/>
      <c r="DR455" s="1082"/>
      <c r="DS455" s="1082"/>
      <c r="DT455" s="1082"/>
      <c r="DU455" s="1082"/>
      <c r="DV455" s="1082"/>
      <c r="DW455" s="1082"/>
      <c r="DX455" s="1082"/>
      <c r="DY455" s="1082"/>
      <c r="DZ455" s="1082"/>
      <c r="EA455" s="1082"/>
      <c r="EB455" s="1082"/>
      <c r="EC455" s="1082"/>
      <c r="ED455" s="1082"/>
      <c r="EE455" s="1082"/>
      <c r="EF455" s="1082"/>
      <c r="EG455" s="1082"/>
      <c r="EH455" s="1082"/>
      <c r="EI455" s="1082"/>
      <c r="EJ455" s="1082"/>
      <c r="EK455" s="1082"/>
      <c r="EL455" s="1082"/>
      <c r="EM455" s="1082"/>
      <c r="EN455" s="1082"/>
      <c r="EO455" s="1082"/>
      <c r="EP455" s="1082"/>
      <c r="EQ455" s="1082"/>
      <c r="ER455" s="1082"/>
      <c r="ES455" s="1082"/>
      <c r="ET455" s="1082"/>
      <c r="EU455" s="1082"/>
      <c r="EV455" s="1082"/>
      <c r="EW455" s="1082"/>
      <c r="EX455" s="1082"/>
      <c r="EY455" s="1082"/>
      <c r="EZ455" s="1082"/>
      <c r="FA455" s="1082"/>
      <c r="FB455" s="1082"/>
    </row>
    <row r="456" spans="1:158" ht="32.1" customHeight="1">
      <c r="A456" s="1086"/>
      <c r="B456" s="1717" t="s">
        <v>612</v>
      </c>
      <c r="C456" s="1727">
        <v>1</v>
      </c>
      <c r="D456" s="1727">
        <v>0.5</v>
      </c>
      <c r="E456" s="1727">
        <v>0.5</v>
      </c>
      <c r="F456" s="1727">
        <v>1</v>
      </c>
      <c r="G456" s="1727">
        <v>0</v>
      </c>
      <c r="H456" s="1727">
        <v>1</v>
      </c>
      <c r="I456" s="1195" t="s">
        <v>38</v>
      </c>
      <c r="J456" s="1104">
        <v>1</v>
      </c>
      <c r="K456" s="1411" t="s">
        <v>6894</v>
      </c>
      <c r="L456" s="1407" t="s">
        <v>5983</v>
      </c>
      <c r="M456" s="1102">
        <v>1</v>
      </c>
      <c r="N456" s="1073">
        <v>0</v>
      </c>
      <c r="O456" s="1073" t="s">
        <v>811</v>
      </c>
      <c r="P456" s="1073">
        <v>1</v>
      </c>
      <c r="Q456" s="1073">
        <v>0</v>
      </c>
    </row>
    <row r="457" spans="1:158" ht="32.1" customHeight="1">
      <c r="A457" s="1086"/>
      <c r="B457" s="1159" t="s">
        <v>613</v>
      </c>
      <c r="C457" s="1727">
        <v>1</v>
      </c>
      <c r="D457" s="1727">
        <v>1</v>
      </c>
      <c r="E457" s="1727">
        <v>0</v>
      </c>
      <c r="F457" s="1727">
        <v>1</v>
      </c>
      <c r="G457" s="1727">
        <v>0</v>
      </c>
      <c r="H457" s="1727">
        <v>0</v>
      </c>
      <c r="I457" s="1195" t="s">
        <v>38</v>
      </c>
      <c r="J457" s="1104">
        <v>1</v>
      </c>
      <c r="K457" s="1102" t="s">
        <v>960</v>
      </c>
      <c r="L457" s="1079" t="s">
        <v>748</v>
      </c>
      <c r="M457" s="1102">
        <v>1</v>
      </c>
      <c r="N457" s="1122">
        <v>0</v>
      </c>
      <c r="O457" s="1073" t="s">
        <v>5777</v>
      </c>
      <c r="P457" s="1073">
        <v>1</v>
      </c>
      <c r="Q457" s="1073">
        <v>0</v>
      </c>
    </row>
    <row r="458" spans="1:158" ht="32.1" customHeight="1">
      <c r="A458" s="1086"/>
      <c r="B458" s="1159" t="s">
        <v>614</v>
      </c>
      <c r="C458" s="1727">
        <v>1</v>
      </c>
      <c r="D458" s="1727">
        <v>1</v>
      </c>
      <c r="E458" s="1727">
        <v>1</v>
      </c>
      <c r="F458" s="1727">
        <v>0</v>
      </c>
      <c r="G458" s="1727">
        <v>1</v>
      </c>
      <c r="H458" s="1727">
        <v>1</v>
      </c>
      <c r="I458" s="1195" t="s">
        <v>38</v>
      </c>
      <c r="J458" s="1104">
        <v>1</v>
      </c>
      <c r="K458" s="1073" t="s">
        <v>960</v>
      </c>
      <c r="L458" s="1079" t="s">
        <v>811</v>
      </c>
      <c r="M458" s="1102">
        <v>0</v>
      </c>
      <c r="N458" s="1073">
        <v>1</v>
      </c>
      <c r="O458" s="1073" t="s">
        <v>5778</v>
      </c>
      <c r="P458" s="1073">
        <v>1</v>
      </c>
      <c r="Q458" s="1073">
        <v>0</v>
      </c>
    </row>
    <row r="459" spans="1:158" ht="32.1" customHeight="1">
      <c r="A459" s="1086"/>
      <c r="B459" s="1159" t="s">
        <v>615</v>
      </c>
      <c r="C459" s="1727">
        <v>1</v>
      </c>
      <c r="D459" s="1727">
        <v>1</v>
      </c>
      <c r="E459" s="1727">
        <v>1</v>
      </c>
      <c r="F459" s="1727">
        <v>1</v>
      </c>
      <c r="G459" s="1727">
        <v>1</v>
      </c>
      <c r="H459" s="1727">
        <v>1</v>
      </c>
      <c r="I459" s="1195" t="s">
        <v>596</v>
      </c>
      <c r="J459" s="1104">
        <v>1</v>
      </c>
      <c r="K459" s="1073" t="s">
        <v>960</v>
      </c>
      <c r="L459" s="1079" t="s">
        <v>5984</v>
      </c>
      <c r="M459" s="1102">
        <v>1</v>
      </c>
      <c r="N459" s="1073">
        <v>1</v>
      </c>
      <c r="O459" s="1073" t="s">
        <v>5779</v>
      </c>
      <c r="P459" s="1073">
        <v>1</v>
      </c>
      <c r="Q459" s="1073">
        <v>0</v>
      </c>
    </row>
    <row r="460" spans="1:158" ht="32.1" customHeight="1">
      <c r="A460" s="1086"/>
      <c r="B460" s="1159" t="s">
        <v>616</v>
      </c>
      <c r="C460" s="1727">
        <v>1</v>
      </c>
      <c r="D460" s="1727">
        <v>0.5</v>
      </c>
      <c r="E460" s="1727">
        <v>0</v>
      </c>
      <c r="F460" s="1727">
        <v>1</v>
      </c>
      <c r="G460" s="1727">
        <v>1</v>
      </c>
      <c r="H460" s="1727">
        <v>1</v>
      </c>
      <c r="I460" s="1195" t="s">
        <v>596</v>
      </c>
      <c r="J460" s="1104">
        <v>1</v>
      </c>
      <c r="K460" s="1102" t="s">
        <v>6743</v>
      </c>
      <c r="L460" s="1079" t="s">
        <v>748</v>
      </c>
      <c r="M460" s="1102">
        <v>1</v>
      </c>
      <c r="N460" s="1073">
        <v>1</v>
      </c>
      <c r="O460" s="1073" t="s">
        <v>811</v>
      </c>
      <c r="P460" s="1073">
        <v>1</v>
      </c>
      <c r="Q460" s="1073">
        <v>0</v>
      </c>
      <c r="R460" s="1290"/>
      <c r="S460" s="1055"/>
      <c r="T460" s="1055"/>
      <c r="U460" s="1055"/>
      <c r="V460" s="1055"/>
      <c r="W460" s="1055"/>
      <c r="X460" s="1055"/>
      <c r="Y460" s="1055"/>
      <c r="Z460" s="1055"/>
      <c r="AA460" s="1055"/>
      <c r="AB460" s="1055"/>
      <c r="AC460" s="1055"/>
      <c r="AD460" s="1055"/>
      <c r="AE460" s="1055"/>
      <c r="AF460" s="1055"/>
      <c r="AG460" s="1055"/>
      <c r="AH460" s="1055"/>
      <c r="AI460" s="1055"/>
      <c r="AJ460" s="1055"/>
      <c r="AK460" s="1055"/>
      <c r="AL460" s="1055"/>
      <c r="AM460" s="1055"/>
      <c r="AN460" s="1055"/>
      <c r="AO460" s="1055"/>
      <c r="AP460" s="1055"/>
      <c r="AQ460" s="1055"/>
      <c r="AR460" s="1055"/>
      <c r="AS460" s="1055"/>
      <c r="AT460" s="1055"/>
      <c r="AU460" s="1055"/>
      <c r="AV460" s="1055"/>
      <c r="AW460" s="1055"/>
      <c r="AX460" s="1055"/>
      <c r="AY460" s="1055"/>
      <c r="AZ460" s="1055"/>
      <c r="BA460" s="1055"/>
      <c r="BB460" s="1055"/>
      <c r="BC460" s="1055"/>
      <c r="BD460" s="1055"/>
      <c r="BE460" s="1055"/>
      <c r="BF460" s="1055"/>
      <c r="BG460" s="1055"/>
      <c r="BH460" s="1055"/>
      <c r="BI460" s="1055"/>
      <c r="BJ460" s="1055"/>
      <c r="BK460" s="1055"/>
      <c r="BL460" s="1055"/>
      <c r="BM460" s="1055"/>
      <c r="BN460" s="1055"/>
      <c r="BO460" s="1055"/>
      <c r="BP460" s="1055"/>
      <c r="BQ460" s="1055"/>
      <c r="BR460" s="1055"/>
      <c r="BS460" s="1055"/>
      <c r="BT460" s="1055"/>
      <c r="BU460" s="1055"/>
      <c r="BV460" s="1055"/>
      <c r="BW460" s="1055"/>
      <c r="BX460" s="1055"/>
      <c r="BY460" s="1055"/>
      <c r="BZ460" s="1055"/>
      <c r="CA460" s="1055"/>
      <c r="CB460" s="1055"/>
      <c r="CC460" s="1055"/>
      <c r="CD460" s="1055"/>
      <c r="CE460" s="1055"/>
      <c r="CF460" s="1055"/>
      <c r="CG460" s="1055"/>
      <c r="CH460" s="1055"/>
      <c r="CI460" s="1055"/>
      <c r="CJ460" s="1055"/>
      <c r="CK460" s="1055"/>
      <c r="CL460" s="1055"/>
      <c r="CM460" s="1055"/>
      <c r="CN460" s="1055"/>
      <c r="CO460" s="1055"/>
      <c r="CP460" s="1055"/>
      <c r="CQ460" s="1055"/>
      <c r="CR460" s="1055"/>
      <c r="CS460" s="1055"/>
      <c r="CT460" s="1055"/>
      <c r="CU460" s="1055"/>
      <c r="CV460" s="1055"/>
      <c r="CW460" s="1055"/>
      <c r="CX460" s="1055"/>
      <c r="CY460" s="1055"/>
      <c r="CZ460" s="1055"/>
      <c r="DA460" s="1055"/>
      <c r="DB460" s="1055"/>
      <c r="DC460" s="1055"/>
      <c r="DD460" s="1055"/>
      <c r="DE460" s="1055"/>
      <c r="DF460" s="1055"/>
      <c r="DG460" s="1055"/>
      <c r="DH460" s="1055"/>
      <c r="DI460" s="1055"/>
      <c r="DJ460" s="1055"/>
      <c r="DK460" s="1055"/>
      <c r="DL460" s="1055"/>
      <c r="DM460" s="1055"/>
      <c r="DN460" s="1055"/>
      <c r="DO460" s="1055"/>
      <c r="DP460" s="1055"/>
      <c r="DQ460" s="1055"/>
      <c r="DR460" s="1055"/>
      <c r="DS460" s="1055"/>
      <c r="DT460" s="1055"/>
      <c r="DU460" s="1055"/>
      <c r="DV460" s="1055"/>
      <c r="DW460" s="1055"/>
      <c r="DX460" s="1055"/>
      <c r="DY460" s="1055"/>
      <c r="DZ460" s="1055"/>
      <c r="EA460" s="1055"/>
      <c r="EB460" s="1055"/>
      <c r="EC460" s="1055"/>
      <c r="ED460" s="1055"/>
      <c r="EE460" s="1055"/>
      <c r="EF460" s="1055"/>
      <c r="EG460" s="1055"/>
      <c r="EH460" s="1055"/>
      <c r="EI460" s="1055"/>
      <c r="EJ460" s="1055"/>
      <c r="EK460" s="1055"/>
      <c r="EL460" s="1055"/>
      <c r="EM460" s="1055"/>
      <c r="EN460" s="1055"/>
      <c r="EO460" s="1055"/>
      <c r="EP460" s="1055"/>
      <c r="EQ460" s="1055"/>
      <c r="ER460" s="1055"/>
      <c r="ES460" s="1055"/>
      <c r="ET460" s="1055"/>
      <c r="EU460" s="1055"/>
      <c r="EV460" s="1055"/>
      <c r="EW460" s="1055"/>
      <c r="EX460" s="1055"/>
      <c r="EY460" s="1055"/>
      <c r="EZ460" s="1055"/>
      <c r="FA460" s="1055"/>
      <c r="FB460" s="1055"/>
    </row>
    <row r="461" spans="1:158" ht="32.1" customHeight="1">
      <c r="A461" s="1086"/>
      <c r="B461" s="1159" t="s">
        <v>617</v>
      </c>
      <c r="C461" s="1727">
        <f t="shared" ref="C461:H461" si="113">AVERAGE(C462:C463)</f>
        <v>1</v>
      </c>
      <c r="D461" s="1727">
        <f t="shared" si="113"/>
        <v>1</v>
      </c>
      <c r="E461" s="1727">
        <f t="shared" si="113"/>
        <v>0</v>
      </c>
      <c r="F461" s="1727">
        <f t="shared" si="113"/>
        <v>1</v>
      </c>
      <c r="G461" s="1727">
        <f t="shared" si="113"/>
        <v>1</v>
      </c>
      <c r="H461" s="1727">
        <f t="shared" si="113"/>
        <v>1</v>
      </c>
      <c r="I461" s="1195"/>
      <c r="J461" s="1104"/>
      <c r="K461" s="1073"/>
      <c r="L461" s="1079"/>
      <c r="M461" s="1102">
        <v>1</v>
      </c>
      <c r="N461" s="1073">
        <v>1</v>
      </c>
      <c r="O461" s="1394" t="s">
        <v>5780</v>
      </c>
      <c r="P461" s="1117">
        <v>1</v>
      </c>
      <c r="Q461" s="1117">
        <v>0</v>
      </c>
      <c r="R461" s="1290"/>
      <c r="S461" s="1055"/>
      <c r="T461" s="1055"/>
      <c r="U461" s="1055"/>
      <c r="V461" s="1055"/>
      <c r="W461" s="1055"/>
      <c r="X461" s="1055"/>
      <c r="Y461" s="1055"/>
      <c r="Z461" s="1055"/>
      <c r="AA461" s="1055"/>
      <c r="AB461" s="1055"/>
      <c r="AC461" s="1055"/>
      <c r="AD461" s="1055"/>
      <c r="AE461" s="1055"/>
      <c r="AF461" s="1055"/>
      <c r="AG461" s="1055"/>
      <c r="AH461" s="1055"/>
      <c r="AI461" s="1055"/>
      <c r="AJ461" s="1055"/>
      <c r="AK461" s="1055"/>
      <c r="AL461" s="1055"/>
      <c r="AM461" s="1055"/>
      <c r="AN461" s="1055"/>
      <c r="AO461" s="1055"/>
      <c r="AP461" s="1055"/>
      <c r="AQ461" s="1055"/>
      <c r="AR461" s="1055"/>
      <c r="AS461" s="1055"/>
      <c r="AT461" s="1055"/>
      <c r="AU461" s="1055"/>
      <c r="AV461" s="1055"/>
      <c r="AW461" s="1055"/>
      <c r="AX461" s="1055"/>
      <c r="AY461" s="1055"/>
      <c r="AZ461" s="1055"/>
      <c r="BA461" s="1055"/>
      <c r="BB461" s="1055"/>
      <c r="BC461" s="1055"/>
      <c r="BD461" s="1055"/>
      <c r="BE461" s="1055"/>
      <c r="BF461" s="1055"/>
      <c r="BG461" s="1055"/>
      <c r="BH461" s="1055"/>
      <c r="BI461" s="1055"/>
      <c r="BJ461" s="1055"/>
      <c r="BK461" s="1055"/>
      <c r="BL461" s="1055"/>
      <c r="BM461" s="1055"/>
      <c r="BN461" s="1055"/>
      <c r="BO461" s="1055"/>
      <c r="BP461" s="1055"/>
      <c r="BQ461" s="1055"/>
      <c r="BR461" s="1055"/>
      <c r="BS461" s="1055"/>
      <c r="BT461" s="1055"/>
      <c r="BU461" s="1055"/>
      <c r="BV461" s="1055"/>
      <c r="BW461" s="1055"/>
      <c r="BX461" s="1055"/>
      <c r="BY461" s="1055"/>
      <c r="BZ461" s="1055"/>
      <c r="CA461" s="1055"/>
      <c r="CB461" s="1055"/>
      <c r="CC461" s="1055"/>
      <c r="CD461" s="1055"/>
      <c r="CE461" s="1055"/>
      <c r="CF461" s="1055"/>
      <c r="CG461" s="1055"/>
      <c r="CH461" s="1055"/>
      <c r="CI461" s="1055"/>
      <c r="CJ461" s="1055"/>
      <c r="CK461" s="1055"/>
      <c r="CL461" s="1055"/>
      <c r="CM461" s="1055"/>
      <c r="CN461" s="1055"/>
      <c r="CO461" s="1055"/>
      <c r="CP461" s="1055"/>
      <c r="CQ461" s="1055"/>
      <c r="CR461" s="1055"/>
      <c r="CS461" s="1055"/>
      <c r="CT461" s="1055"/>
      <c r="CU461" s="1055"/>
      <c r="CV461" s="1055"/>
      <c r="CW461" s="1055"/>
      <c r="CX461" s="1055"/>
      <c r="CY461" s="1055"/>
      <c r="CZ461" s="1055"/>
      <c r="DA461" s="1055"/>
      <c r="DB461" s="1055"/>
      <c r="DC461" s="1055"/>
      <c r="DD461" s="1055"/>
      <c r="DE461" s="1055"/>
      <c r="DF461" s="1055"/>
      <c r="DG461" s="1055"/>
      <c r="DH461" s="1055"/>
      <c r="DI461" s="1055"/>
      <c r="DJ461" s="1055"/>
      <c r="DK461" s="1055"/>
      <c r="DL461" s="1055"/>
      <c r="DM461" s="1055"/>
      <c r="DN461" s="1055"/>
      <c r="DO461" s="1055"/>
      <c r="DP461" s="1055"/>
      <c r="DQ461" s="1055"/>
      <c r="DR461" s="1055"/>
      <c r="DS461" s="1055"/>
      <c r="DT461" s="1055"/>
      <c r="DU461" s="1055"/>
      <c r="DV461" s="1055"/>
      <c r="DW461" s="1055"/>
      <c r="DX461" s="1055"/>
      <c r="DY461" s="1055"/>
      <c r="DZ461" s="1055"/>
      <c r="EA461" s="1055"/>
      <c r="EB461" s="1055"/>
      <c r="EC461" s="1055"/>
      <c r="ED461" s="1055"/>
      <c r="EE461" s="1055"/>
      <c r="EF461" s="1055"/>
      <c r="EG461" s="1055"/>
      <c r="EH461" s="1055"/>
      <c r="EI461" s="1055"/>
      <c r="EJ461" s="1055"/>
      <c r="EK461" s="1055"/>
      <c r="EL461" s="1055"/>
      <c r="EM461" s="1055"/>
      <c r="EN461" s="1055"/>
      <c r="EO461" s="1055"/>
      <c r="EP461" s="1055"/>
      <c r="EQ461" s="1055"/>
      <c r="ER461" s="1055"/>
      <c r="ES461" s="1055"/>
      <c r="ET461" s="1055"/>
      <c r="EU461" s="1055"/>
      <c r="EV461" s="1055"/>
      <c r="EW461" s="1055"/>
      <c r="EX461" s="1055"/>
      <c r="EY461" s="1055"/>
      <c r="EZ461" s="1055"/>
      <c r="FA461" s="1055"/>
      <c r="FB461" s="1055"/>
    </row>
    <row r="462" spans="1:158" ht="32.1" customHeight="1">
      <c r="A462" s="1132"/>
      <c r="B462" s="1718" t="s">
        <v>618</v>
      </c>
      <c r="C462" s="1727">
        <v>1</v>
      </c>
      <c r="D462" s="1727">
        <v>1</v>
      </c>
      <c r="E462" s="1727">
        <v>0</v>
      </c>
      <c r="F462" s="1727">
        <v>1</v>
      </c>
      <c r="G462" s="1727">
        <v>1</v>
      </c>
      <c r="H462" s="1727">
        <v>1</v>
      </c>
      <c r="I462" s="1195" t="s">
        <v>38</v>
      </c>
      <c r="J462" s="1104">
        <v>1</v>
      </c>
      <c r="K462" s="1073" t="s">
        <v>6484</v>
      </c>
      <c r="L462" s="1079" t="s">
        <v>748</v>
      </c>
      <c r="M462" s="1106">
        <v>1</v>
      </c>
      <c r="N462" s="1073">
        <v>1</v>
      </c>
      <c r="O462" s="1073" t="s">
        <v>5781</v>
      </c>
      <c r="P462" s="1122">
        <v>1</v>
      </c>
      <c r="Q462" s="1122">
        <v>0</v>
      </c>
      <c r="R462" s="1290"/>
      <c r="S462" s="1055"/>
      <c r="T462" s="1055"/>
      <c r="U462" s="1055"/>
      <c r="V462" s="1055"/>
      <c r="W462" s="1055"/>
      <c r="X462" s="1055"/>
      <c r="Y462" s="1055"/>
      <c r="Z462" s="1055"/>
      <c r="AA462" s="1055"/>
      <c r="AB462" s="1055"/>
      <c r="AC462" s="1055"/>
      <c r="AD462" s="1055"/>
      <c r="AE462" s="1055"/>
      <c r="AF462" s="1055"/>
      <c r="AG462" s="1055"/>
      <c r="AH462" s="1055"/>
      <c r="AI462" s="1055"/>
      <c r="AJ462" s="1055"/>
      <c r="AK462" s="1055"/>
      <c r="AL462" s="1055"/>
      <c r="AM462" s="1055"/>
      <c r="AN462" s="1055"/>
      <c r="AO462" s="1055"/>
      <c r="AP462" s="1055"/>
      <c r="AQ462" s="1055"/>
      <c r="AR462" s="1055"/>
      <c r="AS462" s="1055"/>
      <c r="AT462" s="1055"/>
      <c r="AU462" s="1055"/>
      <c r="AV462" s="1055"/>
      <c r="AW462" s="1055"/>
      <c r="AX462" s="1055"/>
      <c r="AY462" s="1055"/>
      <c r="AZ462" s="1055"/>
      <c r="BA462" s="1055"/>
      <c r="BB462" s="1055"/>
      <c r="BC462" s="1055"/>
      <c r="BD462" s="1055"/>
      <c r="BE462" s="1055"/>
      <c r="BF462" s="1055"/>
      <c r="BG462" s="1055"/>
      <c r="BH462" s="1055"/>
      <c r="BI462" s="1055"/>
      <c r="BJ462" s="1055"/>
      <c r="BK462" s="1055"/>
      <c r="BL462" s="1055"/>
      <c r="BM462" s="1055"/>
      <c r="BN462" s="1055"/>
      <c r="BO462" s="1055"/>
      <c r="BP462" s="1055"/>
      <c r="BQ462" s="1055"/>
      <c r="BR462" s="1055"/>
      <c r="BS462" s="1055"/>
      <c r="BT462" s="1055"/>
      <c r="BU462" s="1055"/>
      <c r="BV462" s="1055"/>
      <c r="BW462" s="1055"/>
      <c r="BX462" s="1055"/>
      <c r="BY462" s="1055"/>
      <c r="BZ462" s="1055"/>
      <c r="CA462" s="1055"/>
      <c r="CB462" s="1055"/>
      <c r="CC462" s="1055"/>
      <c r="CD462" s="1055"/>
      <c r="CE462" s="1055"/>
      <c r="CF462" s="1055"/>
      <c r="CG462" s="1055"/>
      <c r="CH462" s="1055"/>
      <c r="CI462" s="1055"/>
      <c r="CJ462" s="1055"/>
      <c r="CK462" s="1055"/>
      <c r="CL462" s="1055"/>
      <c r="CM462" s="1055"/>
      <c r="CN462" s="1055"/>
      <c r="CO462" s="1055"/>
      <c r="CP462" s="1055"/>
      <c r="CQ462" s="1055"/>
      <c r="CR462" s="1055"/>
      <c r="CS462" s="1055"/>
      <c r="CT462" s="1055"/>
      <c r="CU462" s="1055"/>
      <c r="CV462" s="1055"/>
      <c r="CW462" s="1055"/>
      <c r="CX462" s="1055"/>
      <c r="CY462" s="1055"/>
      <c r="CZ462" s="1055"/>
      <c r="DA462" s="1055"/>
      <c r="DB462" s="1055"/>
      <c r="DC462" s="1055"/>
      <c r="DD462" s="1055"/>
      <c r="DE462" s="1055"/>
      <c r="DF462" s="1055"/>
      <c r="DG462" s="1055"/>
      <c r="DH462" s="1055"/>
      <c r="DI462" s="1055"/>
      <c r="DJ462" s="1055"/>
      <c r="DK462" s="1055"/>
      <c r="DL462" s="1055"/>
      <c r="DM462" s="1055"/>
      <c r="DN462" s="1055"/>
      <c r="DO462" s="1055"/>
      <c r="DP462" s="1055"/>
      <c r="DQ462" s="1055"/>
      <c r="DR462" s="1055"/>
      <c r="DS462" s="1055"/>
      <c r="DT462" s="1055"/>
      <c r="DU462" s="1055"/>
      <c r="DV462" s="1055"/>
      <c r="DW462" s="1055"/>
      <c r="DX462" s="1055"/>
      <c r="DY462" s="1055"/>
      <c r="DZ462" s="1055"/>
      <c r="EA462" s="1055"/>
      <c r="EB462" s="1055"/>
      <c r="EC462" s="1055"/>
      <c r="ED462" s="1055"/>
      <c r="EE462" s="1055"/>
      <c r="EF462" s="1055"/>
      <c r="EG462" s="1055"/>
      <c r="EH462" s="1055"/>
      <c r="EI462" s="1055"/>
      <c r="EJ462" s="1055"/>
      <c r="EK462" s="1055"/>
      <c r="EL462" s="1055"/>
      <c r="EM462" s="1055"/>
      <c r="EN462" s="1055"/>
      <c r="EO462" s="1055"/>
      <c r="EP462" s="1055"/>
      <c r="EQ462" s="1055"/>
      <c r="ER462" s="1055"/>
      <c r="ES462" s="1055"/>
      <c r="ET462" s="1055"/>
      <c r="EU462" s="1055"/>
      <c r="EV462" s="1055"/>
      <c r="EW462" s="1055"/>
      <c r="EX462" s="1055"/>
      <c r="EY462" s="1055"/>
      <c r="EZ462" s="1055"/>
      <c r="FA462" s="1055"/>
      <c r="FB462" s="1055"/>
    </row>
    <row r="463" spans="1:158" ht="32.1" customHeight="1">
      <c r="A463" s="1132"/>
      <c r="B463" s="1718" t="s">
        <v>619</v>
      </c>
      <c r="C463" s="1727">
        <v>1</v>
      </c>
      <c r="D463" s="1727">
        <v>1</v>
      </c>
      <c r="E463" s="1727">
        <v>0</v>
      </c>
      <c r="F463" s="1727">
        <v>1</v>
      </c>
      <c r="G463" s="1727">
        <v>1</v>
      </c>
      <c r="H463" s="1727">
        <v>1</v>
      </c>
      <c r="I463" s="1195" t="s">
        <v>38</v>
      </c>
      <c r="J463" s="1104">
        <v>1</v>
      </c>
      <c r="K463" s="1073" t="s">
        <v>6485</v>
      </c>
      <c r="L463" s="1079" t="s">
        <v>748</v>
      </c>
      <c r="M463" s="1106">
        <v>1</v>
      </c>
      <c r="N463" s="1073">
        <v>1</v>
      </c>
      <c r="O463" s="1073" t="s">
        <v>5781</v>
      </c>
      <c r="P463" s="1122">
        <v>1</v>
      </c>
      <c r="Q463" s="1122">
        <v>0</v>
      </c>
      <c r="R463" s="1290"/>
      <c r="S463" s="1055"/>
      <c r="T463" s="1055"/>
      <c r="U463" s="1055"/>
      <c r="V463" s="1055"/>
      <c r="W463" s="1055"/>
      <c r="X463" s="1055"/>
      <c r="Y463" s="1055"/>
      <c r="Z463" s="1055"/>
      <c r="AA463" s="1055"/>
      <c r="AB463" s="1055"/>
      <c r="AC463" s="1055"/>
      <c r="AD463" s="1055"/>
      <c r="AE463" s="1055"/>
      <c r="AF463" s="1055"/>
      <c r="AG463" s="1055"/>
      <c r="AH463" s="1055"/>
      <c r="AI463" s="1055"/>
      <c r="AJ463" s="1055"/>
      <c r="AK463" s="1055"/>
      <c r="AL463" s="1055"/>
      <c r="AM463" s="1055"/>
      <c r="AN463" s="1055"/>
      <c r="AO463" s="1055"/>
      <c r="AP463" s="1055"/>
      <c r="AQ463" s="1055"/>
      <c r="AR463" s="1055"/>
      <c r="AS463" s="1055"/>
      <c r="AT463" s="1055"/>
      <c r="AU463" s="1055"/>
      <c r="AV463" s="1055"/>
      <c r="AW463" s="1055"/>
      <c r="AX463" s="1055"/>
      <c r="AY463" s="1055"/>
      <c r="AZ463" s="1055"/>
      <c r="BA463" s="1055"/>
      <c r="BB463" s="1055"/>
      <c r="BC463" s="1055"/>
      <c r="BD463" s="1055"/>
      <c r="BE463" s="1055"/>
      <c r="BF463" s="1055"/>
      <c r="BG463" s="1055"/>
      <c r="BH463" s="1055"/>
      <c r="BI463" s="1055"/>
      <c r="BJ463" s="1055"/>
      <c r="BK463" s="1055"/>
      <c r="BL463" s="1055"/>
      <c r="BM463" s="1055"/>
      <c r="BN463" s="1055"/>
      <c r="BO463" s="1055"/>
      <c r="BP463" s="1055"/>
      <c r="BQ463" s="1055"/>
      <c r="BR463" s="1055"/>
      <c r="BS463" s="1055"/>
      <c r="BT463" s="1055"/>
      <c r="BU463" s="1055"/>
      <c r="BV463" s="1055"/>
      <c r="BW463" s="1055"/>
      <c r="BX463" s="1055"/>
      <c r="BY463" s="1055"/>
      <c r="BZ463" s="1055"/>
      <c r="CA463" s="1055"/>
      <c r="CB463" s="1055"/>
      <c r="CC463" s="1055"/>
      <c r="CD463" s="1055"/>
      <c r="CE463" s="1055"/>
      <c r="CF463" s="1055"/>
      <c r="CG463" s="1055"/>
      <c r="CH463" s="1055"/>
      <c r="CI463" s="1055"/>
      <c r="CJ463" s="1055"/>
      <c r="CK463" s="1055"/>
      <c r="CL463" s="1055"/>
      <c r="CM463" s="1055"/>
      <c r="CN463" s="1055"/>
      <c r="CO463" s="1055"/>
      <c r="CP463" s="1055"/>
      <c r="CQ463" s="1055"/>
      <c r="CR463" s="1055"/>
      <c r="CS463" s="1055"/>
      <c r="CT463" s="1055"/>
      <c r="CU463" s="1055"/>
      <c r="CV463" s="1055"/>
      <c r="CW463" s="1055"/>
      <c r="CX463" s="1055"/>
      <c r="CY463" s="1055"/>
      <c r="CZ463" s="1055"/>
      <c r="DA463" s="1055"/>
      <c r="DB463" s="1055"/>
      <c r="DC463" s="1055"/>
      <c r="DD463" s="1055"/>
      <c r="DE463" s="1055"/>
      <c r="DF463" s="1055"/>
      <c r="DG463" s="1055"/>
      <c r="DH463" s="1055"/>
      <c r="DI463" s="1055"/>
      <c r="DJ463" s="1055"/>
      <c r="DK463" s="1055"/>
      <c r="DL463" s="1055"/>
      <c r="DM463" s="1055"/>
      <c r="DN463" s="1055"/>
      <c r="DO463" s="1055"/>
      <c r="DP463" s="1055"/>
      <c r="DQ463" s="1055"/>
      <c r="DR463" s="1055"/>
      <c r="DS463" s="1055"/>
      <c r="DT463" s="1055"/>
      <c r="DU463" s="1055"/>
      <c r="DV463" s="1055"/>
      <c r="DW463" s="1055"/>
      <c r="DX463" s="1055"/>
      <c r="DY463" s="1055"/>
      <c r="DZ463" s="1055"/>
      <c r="EA463" s="1055"/>
      <c r="EB463" s="1055"/>
      <c r="EC463" s="1055"/>
      <c r="ED463" s="1055"/>
      <c r="EE463" s="1055"/>
      <c r="EF463" s="1055"/>
      <c r="EG463" s="1055"/>
      <c r="EH463" s="1055"/>
      <c r="EI463" s="1055"/>
      <c r="EJ463" s="1055"/>
      <c r="EK463" s="1055"/>
      <c r="EL463" s="1055"/>
      <c r="EM463" s="1055"/>
      <c r="EN463" s="1055"/>
      <c r="EO463" s="1055"/>
      <c r="EP463" s="1055"/>
      <c r="EQ463" s="1055"/>
      <c r="ER463" s="1055"/>
      <c r="ES463" s="1055"/>
      <c r="ET463" s="1055"/>
      <c r="EU463" s="1055"/>
      <c r="EV463" s="1055"/>
      <c r="EW463" s="1055"/>
      <c r="EX463" s="1055"/>
      <c r="EY463" s="1055"/>
      <c r="EZ463" s="1055"/>
      <c r="FA463" s="1055"/>
      <c r="FB463" s="1055"/>
    </row>
    <row r="464" spans="1:158" ht="51.75" customHeight="1">
      <c r="A464" s="1086"/>
      <c r="B464" s="1101" t="s">
        <v>620</v>
      </c>
      <c r="C464" s="1727">
        <v>1</v>
      </c>
      <c r="D464" s="1727">
        <v>1</v>
      </c>
      <c r="E464" s="1727">
        <v>0</v>
      </c>
      <c r="F464" s="1727">
        <v>0</v>
      </c>
      <c r="G464" s="1727">
        <v>1</v>
      </c>
      <c r="H464" s="1727">
        <v>0</v>
      </c>
      <c r="I464" s="1195" t="s">
        <v>38</v>
      </c>
      <c r="J464" s="1104">
        <v>1</v>
      </c>
      <c r="K464" s="1102" t="s">
        <v>6486</v>
      </c>
      <c r="L464" s="1079" t="s">
        <v>748</v>
      </c>
      <c r="M464" s="1102">
        <v>0</v>
      </c>
      <c r="N464" s="1073">
        <v>1</v>
      </c>
      <c r="O464" s="1073" t="s">
        <v>5782</v>
      </c>
      <c r="P464" s="1073">
        <v>1</v>
      </c>
      <c r="Q464" s="1073">
        <v>0</v>
      </c>
      <c r="R464" s="1290"/>
      <c r="S464" s="1055"/>
      <c r="T464" s="1055"/>
      <c r="U464" s="1055"/>
      <c r="V464" s="1055"/>
      <c r="W464" s="1055"/>
      <c r="X464" s="1055"/>
      <c r="Y464" s="1055"/>
      <c r="Z464" s="1055"/>
      <c r="AA464" s="1055"/>
      <c r="AB464" s="1055"/>
      <c r="AC464" s="1055"/>
      <c r="AD464" s="1055"/>
      <c r="AE464" s="1055"/>
      <c r="AF464" s="1055"/>
      <c r="AG464" s="1055"/>
      <c r="AH464" s="1055"/>
      <c r="AI464" s="1055"/>
      <c r="AJ464" s="1055"/>
      <c r="AK464" s="1055"/>
      <c r="AL464" s="1055"/>
      <c r="AM464" s="1055"/>
      <c r="AN464" s="1055"/>
      <c r="AO464" s="1055"/>
      <c r="AP464" s="1055"/>
      <c r="AQ464" s="1055"/>
      <c r="AR464" s="1055"/>
      <c r="AS464" s="1055"/>
      <c r="AT464" s="1055"/>
      <c r="AU464" s="1055"/>
      <c r="AV464" s="1055"/>
      <c r="AW464" s="1055"/>
      <c r="AX464" s="1055"/>
      <c r="AY464" s="1055"/>
      <c r="AZ464" s="1055"/>
      <c r="BA464" s="1055"/>
      <c r="BB464" s="1055"/>
      <c r="BC464" s="1055"/>
      <c r="BD464" s="1055"/>
      <c r="BE464" s="1055"/>
      <c r="BF464" s="1055"/>
      <c r="BG464" s="1055"/>
      <c r="BH464" s="1055"/>
      <c r="BI464" s="1055"/>
      <c r="BJ464" s="1055"/>
      <c r="BK464" s="1055"/>
      <c r="BL464" s="1055"/>
      <c r="BM464" s="1055"/>
      <c r="BN464" s="1055"/>
      <c r="BO464" s="1055"/>
      <c r="BP464" s="1055"/>
      <c r="BQ464" s="1055"/>
      <c r="BR464" s="1055"/>
      <c r="BS464" s="1055"/>
      <c r="BT464" s="1055"/>
      <c r="BU464" s="1055"/>
      <c r="BV464" s="1055"/>
      <c r="BW464" s="1055"/>
      <c r="BX464" s="1055"/>
      <c r="BY464" s="1055"/>
      <c r="BZ464" s="1055"/>
      <c r="CA464" s="1055"/>
      <c r="CB464" s="1055"/>
      <c r="CC464" s="1055"/>
      <c r="CD464" s="1055"/>
      <c r="CE464" s="1055"/>
      <c r="CF464" s="1055"/>
      <c r="CG464" s="1055"/>
      <c r="CH464" s="1055"/>
      <c r="CI464" s="1055"/>
      <c r="CJ464" s="1055"/>
      <c r="CK464" s="1055"/>
      <c r="CL464" s="1055"/>
      <c r="CM464" s="1055"/>
      <c r="CN464" s="1055"/>
      <c r="CO464" s="1055"/>
      <c r="CP464" s="1055"/>
      <c r="CQ464" s="1055"/>
      <c r="CR464" s="1055"/>
      <c r="CS464" s="1055"/>
      <c r="CT464" s="1055"/>
      <c r="CU464" s="1055"/>
      <c r="CV464" s="1055"/>
      <c r="CW464" s="1055"/>
      <c r="CX464" s="1055"/>
      <c r="CY464" s="1055"/>
      <c r="CZ464" s="1055"/>
      <c r="DA464" s="1055"/>
      <c r="DB464" s="1055"/>
      <c r="DC464" s="1055"/>
      <c r="DD464" s="1055"/>
      <c r="DE464" s="1055"/>
      <c r="DF464" s="1055"/>
      <c r="DG464" s="1055"/>
      <c r="DH464" s="1055"/>
      <c r="DI464" s="1055"/>
      <c r="DJ464" s="1055"/>
      <c r="DK464" s="1055"/>
      <c r="DL464" s="1055"/>
      <c r="DM464" s="1055"/>
      <c r="DN464" s="1055"/>
      <c r="DO464" s="1055"/>
      <c r="DP464" s="1055"/>
      <c r="DQ464" s="1055"/>
      <c r="DR464" s="1055"/>
      <c r="DS464" s="1055"/>
      <c r="DT464" s="1055"/>
      <c r="DU464" s="1055"/>
      <c r="DV464" s="1055"/>
      <c r="DW464" s="1055"/>
      <c r="DX464" s="1055"/>
      <c r="DY464" s="1055"/>
      <c r="DZ464" s="1055"/>
      <c r="EA464" s="1055"/>
      <c r="EB464" s="1055"/>
      <c r="EC464" s="1055"/>
      <c r="ED464" s="1055"/>
      <c r="EE464" s="1055"/>
      <c r="EF464" s="1055"/>
      <c r="EG464" s="1055"/>
      <c r="EH464" s="1055"/>
      <c r="EI464" s="1055"/>
      <c r="EJ464" s="1055"/>
      <c r="EK464" s="1055"/>
      <c r="EL464" s="1055"/>
      <c r="EM464" s="1055"/>
      <c r="EN464" s="1055"/>
      <c r="EO464" s="1055"/>
      <c r="EP464" s="1055"/>
      <c r="EQ464" s="1055"/>
      <c r="ER464" s="1055"/>
      <c r="ES464" s="1055"/>
      <c r="ET464" s="1055"/>
      <c r="EU464" s="1055"/>
      <c r="EV464" s="1055"/>
      <c r="EW464" s="1055"/>
      <c r="EX464" s="1055"/>
      <c r="EY464" s="1055"/>
      <c r="EZ464" s="1055"/>
      <c r="FA464" s="1055"/>
      <c r="FB464" s="1055"/>
    </row>
    <row r="465" spans="1:158" ht="32.1" customHeight="1">
      <c r="A465" s="1086"/>
      <c r="B465" s="1159" t="s">
        <v>621</v>
      </c>
      <c r="C465" s="1727">
        <v>1</v>
      </c>
      <c r="D465" s="1727">
        <v>1</v>
      </c>
      <c r="E465" s="1727">
        <v>0</v>
      </c>
      <c r="F465" s="1727">
        <v>0</v>
      </c>
      <c r="G465" s="1727">
        <v>1</v>
      </c>
      <c r="H465" s="1727">
        <v>0</v>
      </c>
      <c r="I465" s="1195" t="s">
        <v>38</v>
      </c>
      <c r="J465" s="1104">
        <v>1</v>
      </c>
      <c r="K465" s="1073" t="s">
        <v>960</v>
      </c>
      <c r="L465" s="1079" t="s">
        <v>748</v>
      </c>
      <c r="M465" s="1102">
        <v>0</v>
      </c>
      <c r="N465" s="1073">
        <v>1</v>
      </c>
      <c r="O465" s="1073" t="s">
        <v>763</v>
      </c>
      <c r="P465" s="1073">
        <v>1</v>
      </c>
      <c r="Q465" s="1073">
        <v>0</v>
      </c>
      <c r="R465" s="1290"/>
      <c r="S465" s="1055"/>
      <c r="T465" s="1055"/>
      <c r="U465" s="1055"/>
      <c r="V465" s="1055"/>
      <c r="W465" s="1055"/>
      <c r="X465" s="1055"/>
      <c r="Y465" s="1055"/>
      <c r="Z465" s="1055"/>
      <c r="AA465" s="1055"/>
      <c r="AB465" s="1055"/>
      <c r="AC465" s="1055"/>
      <c r="AD465" s="1055"/>
      <c r="AE465" s="1055"/>
      <c r="AF465" s="1055"/>
      <c r="AG465" s="1055"/>
      <c r="AH465" s="1055"/>
      <c r="AI465" s="1055"/>
      <c r="AJ465" s="1055"/>
      <c r="AK465" s="1055"/>
      <c r="AL465" s="1055"/>
      <c r="AM465" s="1055"/>
      <c r="AN465" s="1055"/>
      <c r="AO465" s="1055"/>
      <c r="AP465" s="1055"/>
      <c r="AQ465" s="1055"/>
      <c r="AR465" s="1055"/>
      <c r="AS465" s="1055"/>
      <c r="AT465" s="1055"/>
      <c r="AU465" s="1055"/>
      <c r="AV465" s="1055"/>
      <c r="AW465" s="1055"/>
      <c r="AX465" s="1055"/>
      <c r="AY465" s="1055"/>
      <c r="AZ465" s="1055"/>
      <c r="BA465" s="1055"/>
      <c r="BB465" s="1055"/>
      <c r="BC465" s="1055"/>
      <c r="BD465" s="1055"/>
      <c r="BE465" s="1055"/>
      <c r="BF465" s="1055"/>
      <c r="BG465" s="1055"/>
      <c r="BH465" s="1055"/>
      <c r="BI465" s="1055"/>
      <c r="BJ465" s="1055"/>
      <c r="BK465" s="1055"/>
      <c r="BL465" s="1055"/>
      <c r="BM465" s="1055"/>
      <c r="BN465" s="1055"/>
      <c r="BO465" s="1055"/>
      <c r="BP465" s="1055"/>
      <c r="BQ465" s="1055"/>
      <c r="BR465" s="1055"/>
      <c r="BS465" s="1055"/>
      <c r="BT465" s="1055"/>
      <c r="BU465" s="1055"/>
      <c r="BV465" s="1055"/>
      <c r="BW465" s="1055"/>
      <c r="BX465" s="1055"/>
      <c r="BY465" s="1055"/>
      <c r="BZ465" s="1055"/>
      <c r="CA465" s="1055"/>
      <c r="CB465" s="1055"/>
      <c r="CC465" s="1055"/>
      <c r="CD465" s="1055"/>
      <c r="CE465" s="1055"/>
      <c r="CF465" s="1055"/>
      <c r="CG465" s="1055"/>
      <c r="CH465" s="1055"/>
      <c r="CI465" s="1055"/>
      <c r="CJ465" s="1055"/>
      <c r="CK465" s="1055"/>
      <c r="CL465" s="1055"/>
      <c r="CM465" s="1055"/>
      <c r="CN465" s="1055"/>
      <c r="CO465" s="1055"/>
      <c r="CP465" s="1055"/>
      <c r="CQ465" s="1055"/>
      <c r="CR465" s="1055"/>
      <c r="CS465" s="1055"/>
      <c r="CT465" s="1055"/>
      <c r="CU465" s="1055"/>
      <c r="CV465" s="1055"/>
      <c r="CW465" s="1055"/>
      <c r="CX465" s="1055"/>
      <c r="CY465" s="1055"/>
      <c r="CZ465" s="1055"/>
      <c r="DA465" s="1055"/>
      <c r="DB465" s="1055"/>
      <c r="DC465" s="1055"/>
      <c r="DD465" s="1055"/>
      <c r="DE465" s="1055"/>
      <c r="DF465" s="1055"/>
      <c r="DG465" s="1055"/>
      <c r="DH465" s="1055"/>
      <c r="DI465" s="1055"/>
      <c r="DJ465" s="1055"/>
      <c r="DK465" s="1055"/>
      <c r="DL465" s="1055"/>
      <c r="DM465" s="1055"/>
      <c r="DN465" s="1055"/>
      <c r="DO465" s="1055"/>
      <c r="DP465" s="1055"/>
      <c r="DQ465" s="1055"/>
      <c r="DR465" s="1055"/>
      <c r="DS465" s="1055"/>
      <c r="DT465" s="1055"/>
      <c r="DU465" s="1055"/>
      <c r="DV465" s="1055"/>
      <c r="DW465" s="1055"/>
      <c r="DX465" s="1055"/>
      <c r="DY465" s="1055"/>
      <c r="DZ465" s="1055"/>
      <c r="EA465" s="1055"/>
      <c r="EB465" s="1055"/>
      <c r="EC465" s="1055"/>
      <c r="ED465" s="1055"/>
      <c r="EE465" s="1055"/>
      <c r="EF465" s="1055"/>
      <c r="EG465" s="1055"/>
      <c r="EH465" s="1055"/>
      <c r="EI465" s="1055"/>
      <c r="EJ465" s="1055"/>
      <c r="EK465" s="1055"/>
      <c r="EL465" s="1055"/>
      <c r="EM465" s="1055"/>
      <c r="EN465" s="1055"/>
      <c r="EO465" s="1055"/>
      <c r="EP465" s="1055"/>
      <c r="EQ465" s="1055"/>
      <c r="ER465" s="1055"/>
      <c r="ES465" s="1055"/>
      <c r="ET465" s="1055"/>
      <c r="EU465" s="1055"/>
      <c r="EV465" s="1055"/>
      <c r="EW465" s="1055"/>
      <c r="EX465" s="1055"/>
      <c r="EY465" s="1055"/>
      <c r="EZ465" s="1055"/>
      <c r="FA465" s="1055"/>
      <c r="FB465" s="1055"/>
    </row>
    <row r="466" spans="1:158" ht="32.1" customHeight="1">
      <c r="A466" s="1086"/>
      <c r="B466" s="1101" t="s">
        <v>622</v>
      </c>
      <c r="C466" s="1727">
        <v>1</v>
      </c>
      <c r="D466" s="1727">
        <v>0</v>
      </c>
      <c r="E466" s="1727">
        <v>0</v>
      </c>
      <c r="F466" s="1727">
        <v>0</v>
      </c>
      <c r="G466" s="1727">
        <v>1</v>
      </c>
      <c r="H466" s="1727">
        <v>0</v>
      </c>
      <c r="I466" s="1195" t="s">
        <v>38</v>
      </c>
      <c r="J466" s="1104">
        <v>1</v>
      </c>
      <c r="K466" s="1394" t="s">
        <v>6895</v>
      </c>
      <c r="L466" s="1079" t="s">
        <v>748</v>
      </c>
      <c r="M466" s="1102">
        <v>0</v>
      </c>
      <c r="N466" s="1073">
        <v>1</v>
      </c>
      <c r="O466" s="1073" t="s">
        <v>748</v>
      </c>
      <c r="P466" s="1073">
        <v>1</v>
      </c>
      <c r="Q466" s="1073">
        <v>0</v>
      </c>
      <c r="R466" s="1290"/>
      <c r="S466" s="1055"/>
      <c r="T466" s="1055"/>
      <c r="U466" s="1055"/>
      <c r="V466" s="1055"/>
      <c r="W466" s="1055"/>
      <c r="X466" s="1055"/>
      <c r="Y466" s="1055"/>
      <c r="Z466" s="1055"/>
      <c r="AA466" s="1055"/>
      <c r="AB466" s="1055"/>
      <c r="AC466" s="1055"/>
      <c r="AD466" s="1055"/>
      <c r="AE466" s="1055"/>
      <c r="AF466" s="1055"/>
      <c r="AG466" s="1055"/>
      <c r="AH466" s="1055"/>
      <c r="AI466" s="1055"/>
      <c r="AJ466" s="1055"/>
      <c r="AK466" s="1055"/>
      <c r="AL466" s="1055"/>
      <c r="AM466" s="1055"/>
      <c r="AN466" s="1055"/>
      <c r="AO466" s="1055"/>
      <c r="AP466" s="1055"/>
      <c r="AQ466" s="1055"/>
      <c r="AR466" s="1055"/>
      <c r="AS466" s="1055"/>
      <c r="AT466" s="1055"/>
      <c r="AU466" s="1055"/>
      <c r="AV466" s="1055"/>
      <c r="AW466" s="1055"/>
      <c r="AX466" s="1055"/>
      <c r="AY466" s="1055"/>
      <c r="AZ466" s="1055"/>
      <c r="BA466" s="1055"/>
      <c r="BB466" s="1055"/>
      <c r="BC466" s="1055"/>
      <c r="BD466" s="1055"/>
      <c r="BE466" s="1055"/>
      <c r="BF466" s="1055"/>
      <c r="BG466" s="1055"/>
      <c r="BH466" s="1055"/>
      <c r="BI466" s="1055"/>
      <c r="BJ466" s="1055"/>
      <c r="BK466" s="1055"/>
      <c r="BL466" s="1055"/>
      <c r="BM466" s="1055"/>
      <c r="BN466" s="1055"/>
      <c r="BO466" s="1055"/>
      <c r="BP466" s="1055"/>
      <c r="BQ466" s="1055"/>
      <c r="BR466" s="1055"/>
      <c r="BS466" s="1055"/>
      <c r="BT466" s="1055"/>
      <c r="BU466" s="1055"/>
      <c r="BV466" s="1055"/>
      <c r="BW466" s="1055"/>
      <c r="BX466" s="1055"/>
      <c r="BY466" s="1055"/>
      <c r="BZ466" s="1055"/>
      <c r="CA466" s="1055"/>
      <c r="CB466" s="1055"/>
      <c r="CC466" s="1055"/>
      <c r="CD466" s="1055"/>
      <c r="CE466" s="1055"/>
      <c r="CF466" s="1055"/>
      <c r="CG466" s="1055"/>
      <c r="CH466" s="1055"/>
      <c r="CI466" s="1055"/>
      <c r="CJ466" s="1055"/>
      <c r="CK466" s="1055"/>
      <c r="CL466" s="1055"/>
      <c r="CM466" s="1055"/>
      <c r="CN466" s="1055"/>
      <c r="CO466" s="1055"/>
      <c r="CP466" s="1055"/>
      <c r="CQ466" s="1055"/>
      <c r="CR466" s="1055"/>
      <c r="CS466" s="1055"/>
      <c r="CT466" s="1055"/>
      <c r="CU466" s="1055"/>
      <c r="CV466" s="1055"/>
      <c r="CW466" s="1055"/>
      <c r="CX466" s="1055"/>
      <c r="CY466" s="1055"/>
      <c r="CZ466" s="1055"/>
      <c r="DA466" s="1055"/>
      <c r="DB466" s="1055"/>
      <c r="DC466" s="1055"/>
      <c r="DD466" s="1055"/>
      <c r="DE466" s="1055"/>
      <c r="DF466" s="1055"/>
      <c r="DG466" s="1055"/>
      <c r="DH466" s="1055"/>
      <c r="DI466" s="1055"/>
      <c r="DJ466" s="1055"/>
      <c r="DK466" s="1055"/>
      <c r="DL466" s="1055"/>
      <c r="DM466" s="1055"/>
      <c r="DN466" s="1055"/>
      <c r="DO466" s="1055"/>
      <c r="DP466" s="1055"/>
      <c r="DQ466" s="1055"/>
      <c r="DR466" s="1055"/>
      <c r="DS466" s="1055"/>
      <c r="DT466" s="1055"/>
      <c r="DU466" s="1055"/>
      <c r="DV466" s="1055"/>
      <c r="DW466" s="1055"/>
      <c r="DX466" s="1055"/>
      <c r="DY466" s="1055"/>
      <c r="DZ466" s="1055"/>
      <c r="EA466" s="1055"/>
      <c r="EB466" s="1055"/>
      <c r="EC466" s="1055"/>
      <c r="ED466" s="1055"/>
      <c r="EE466" s="1055"/>
      <c r="EF466" s="1055"/>
      <c r="EG466" s="1055"/>
      <c r="EH466" s="1055"/>
      <c r="EI466" s="1055"/>
      <c r="EJ466" s="1055"/>
      <c r="EK466" s="1055"/>
      <c r="EL466" s="1055"/>
      <c r="EM466" s="1055"/>
      <c r="EN466" s="1055"/>
      <c r="EO466" s="1055"/>
      <c r="EP466" s="1055"/>
      <c r="EQ466" s="1055"/>
      <c r="ER466" s="1055"/>
      <c r="ES466" s="1055"/>
      <c r="ET466" s="1055"/>
      <c r="EU466" s="1055"/>
      <c r="EV466" s="1055"/>
      <c r="EW466" s="1055"/>
      <c r="EX466" s="1055"/>
      <c r="EY466" s="1055"/>
      <c r="EZ466" s="1055"/>
      <c r="FA466" s="1055"/>
      <c r="FB466" s="1055"/>
    </row>
    <row r="467" spans="1:158" ht="32.1" customHeight="1">
      <c r="A467" s="1609" t="s">
        <v>6871</v>
      </c>
      <c r="B467" s="1067" t="s">
        <v>623</v>
      </c>
      <c r="C467" s="1513">
        <f t="shared" ref="C467:H467" si="114">AVERAGE(C468,C471,C472)</f>
        <v>0.5</v>
      </c>
      <c r="D467" s="1513">
        <f t="shared" si="114"/>
        <v>0.5</v>
      </c>
      <c r="E467" s="1513">
        <f t="shared" si="114"/>
        <v>0.33333333333333331</v>
      </c>
      <c r="F467" s="1513">
        <f t="shared" si="114"/>
        <v>1</v>
      </c>
      <c r="G467" s="1513">
        <f t="shared" si="114"/>
        <v>0.83333333333333337</v>
      </c>
      <c r="H467" s="1513">
        <f t="shared" si="114"/>
        <v>0.5</v>
      </c>
      <c r="I467" s="1195"/>
      <c r="J467" s="1291"/>
      <c r="K467" s="1291"/>
      <c r="L467" s="1291"/>
      <c r="M467" s="1292"/>
      <c r="N467" s="1291"/>
      <c r="O467" s="1291"/>
      <c r="P467" s="1291"/>
      <c r="Q467" s="1291"/>
      <c r="R467" s="1290"/>
      <c r="S467" s="1055"/>
      <c r="T467" s="1055"/>
      <c r="U467" s="1055"/>
      <c r="V467" s="1055"/>
      <c r="W467" s="1055"/>
      <c r="X467" s="1055"/>
      <c r="Y467" s="1055"/>
      <c r="Z467" s="1055"/>
      <c r="AA467" s="1055"/>
      <c r="AB467" s="1055"/>
      <c r="AC467" s="1055"/>
      <c r="AD467" s="1055"/>
      <c r="AE467" s="1055"/>
      <c r="AF467" s="1055"/>
      <c r="AG467" s="1055"/>
      <c r="AH467" s="1055"/>
      <c r="AI467" s="1055"/>
      <c r="AJ467" s="1055"/>
      <c r="AK467" s="1055"/>
      <c r="AL467" s="1055"/>
      <c r="AM467" s="1055"/>
      <c r="AN467" s="1055"/>
      <c r="AO467" s="1055"/>
      <c r="AP467" s="1055"/>
      <c r="AQ467" s="1055"/>
      <c r="AR467" s="1055"/>
      <c r="AS467" s="1055"/>
      <c r="AT467" s="1055"/>
      <c r="AU467" s="1055"/>
      <c r="AV467" s="1055"/>
      <c r="AW467" s="1055"/>
      <c r="AX467" s="1055"/>
      <c r="AY467" s="1055"/>
      <c r="AZ467" s="1055"/>
      <c r="BA467" s="1055"/>
      <c r="BB467" s="1055"/>
      <c r="BC467" s="1055"/>
      <c r="BD467" s="1055"/>
      <c r="BE467" s="1055"/>
      <c r="BF467" s="1055"/>
      <c r="BG467" s="1055"/>
      <c r="BH467" s="1055"/>
      <c r="BI467" s="1055"/>
      <c r="BJ467" s="1055"/>
      <c r="BK467" s="1055"/>
      <c r="BL467" s="1055"/>
      <c r="BM467" s="1055"/>
      <c r="BN467" s="1055"/>
      <c r="BO467" s="1055"/>
      <c r="BP467" s="1055"/>
      <c r="BQ467" s="1055"/>
      <c r="BR467" s="1055"/>
      <c r="BS467" s="1055"/>
      <c r="BT467" s="1055"/>
      <c r="BU467" s="1055"/>
      <c r="BV467" s="1055"/>
      <c r="BW467" s="1055"/>
      <c r="BX467" s="1055"/>
      <c r="BY467" s="1055"/>
      <c r="BZ467" s="1055"/>
      <c r="CA467" s="1055"/>
      <c r="CB467" s="1055"/>
      <c r="CC467" s="1055"/>
      <c r="CD467" s="1055"/>
      <c r="CE467" s="1055"/>
      <c r="CF467" s="1055"/>
      <c r="CG467" s="1055"/>
      <c r="CH467" s="1055"/>
      <c r="CI467" s="1055"/>
      <c r="CJ467" s="1055"/>
      <c r="CK467" s="1055"/>
      <c r="CL467" s="1055"/>
      <c r="CM467" s="1055"/>
      <c r="CN467" s="1055"/>
      <c r="CO467" s="1055"/>
      <c r="CP467" s="1055"/>
      <c r="CQ467" s="1055"/>
      <c r="CR467" s="1055"/>
      <c r="CS467" s="1055"/>
      <c r="CT467" s="1055"/>
      <c r="CU467" s="1055"/>
      <c r="CV467" s="1055"/>
      <c r="CW467" s="1055"/>
      <c r="CX467" s="1055"/>
      <c r="CY467" s="1055"/>
      <c r="CZ467" s="1055"/>
      <c r="DA467" s="1055"/>
      <c r="DB467" s="1055"/>
      <c r="DC467" s="1055"/>
      <c r="DD467" s="1055"/>
      <c r="DE467" s="1055"/>
      <c r="DF467" s="1055"/>
      <c r="DG467" s="1055"/>
      <c r="DH467" s="1055"/>
      <c r="DI467" s="1055"/>
      <c r="DJ467" s="1055"/>
      <c r="DK467" s="1055"/>
      <c r="DL467" s="1055"/>
      <c r="DM467" s="1055"/>
      <c r="DN467" s="1055"/>
      <c r="DO467" s="1055"/>
      <c r="DP467" s="1055"/>
      <c r="DQ467" s="1055"/>
      <c r="DR467" s="1055"/>
      <c r="DS467" s="1055"/>
      <c r="DT467" s="1055"/>
      <c r="DU467" s="1055"/>
      <c r="DV467" s="1055"/>
      <c r="DW467" s="1055"/>
      <c r="DX467" s="1055"/>
      <c r="DY467" s="1055"/>
      <c r="DZ467" s="1055"/>
      <c r="EA467" s="1055"/>
      <c r="EB467" s="1055"/>
      <c r="EC467" s="1055"/>
      <c r="ED467" s="1055"/>
      <c r="EE467" s="1055"/>
      <c r="EF467" s="1055"/>
      <c r="EG467" s="1055"/>
      <c r="EH467" s="1055"/>
      <c r="EI467" s="1055"/>
      <c r="EJ467" s="1055"/>
      <c r="EK467" s="1055"/>
      <c r="EL467" s="1055"/>
      <c r="EM467" s="1055"/>
      <c r="EN467" s="1055"/>
      <c r="EO467" s="1055"/>
      <c r="EP467" s="1055"/>
      <c r="EQ467" s="1055"/>
      <c r="ER467" s="1055"/>
      <c r="ES467" s="1055"/>
      <c r="ET467" s="1055"/>
      <c r="EU467" s="1055"/>
      <c r="EV467" s="1055"/>
      <c r="EW467" s="1055"/>
      <c r="EX467" s="1055"/>
      <c r="EY467" s="1055"/>
      <c r="EZ467" s="1055"/>
      <c r="FA467" s="1055"/>
      <c r="FB467" s="1055"/>
    </row>
    <row r="468" spans="1:158" ht="32.1" customHeight="1">
      <c r="A468" s="1052"/>
      <c r="B468" s="1159" t="s">
        <v>624</v>
      </c>
      <c r="C468" s="1728">
        <f t="shared" ref="C468:H468" si="115">AVERAGE(C469:C470)</f>
        <v>0.5</v>
      </c>
      <c r="D468" s="1728">
        <f t="shared" si="115"/>
        <v>0.5</v>
      </c>
      <c r="E468" s="1728">
        <f t="shared" si="115"/>
        <v>0.5</v>
      </c>
      <c r="F468" s="1728">
        <f t="shared" si="115"/>
        <v>1</v>
      </c>
      <c r="G468" s="1728">
        <f t="shared" si="115"/>
        <v>0.5</v>
      </c>
      <c r="H468" s="1728">
        <f t="shared" si="115"/>
        <v>0.5</v>
      </c>
      <c r="I468" s="1195" t="s">
        <v>625</v>
      </c>
      <c r="J468" s="1104"/>
      <c r="K468" s="1122"/>
      <c r="L468" s="1079" t="s">
        <v>811</v>
      </c>
      <c r="M468" s="1106">
        <v>0</v>
      </c>
      <c r="N468" s="1122"/>
      <c r="O468" s="1122" t="s">
        <v>5783</v>
      </c>
      <c r="P468" s="1122">
        <v>1</v>
      </c>
      <c r="Q468" s="1122">
        <v>0</v>
      </c>
      <c r="R468" s="1290"/>
      <c r="S468" s="1055"/>
      <c r="T468" s="1055"/>
      <c r="U468" s="1055"/>
      <c r="V468" s="1055"/>
      <c r="W468" s="1055"/>
      <c r="X468" s="1055"/>
      <c r="Y468" s="1055"/>
      <c r="Z468" s="1055"/>
      <c r="AA468" s="1055"/>
      <c r="AB468" s="1055"/>
      <c r="AC468" s="1055"/>
      <c r="AD468" s="1055"/>
      <c r="AE468" s="1055"/>
      <c r="AF468" s="1055"/>
      <c r="AG468" s="1055"/>
      <c r="AH468" s="1055"/>
      <c r="AI468" s="1055"/>
      <c r="AJ468" s="1055"/>
      <c r="AK468" s="1055"/>
      <c r="AL468" s="1055"/>
      <c r="AM468" s="1055"/>
      <c r="AN468" s="1055"/>
      <c r="AO468" s="1055"/>
      <c r="AP468" s="1055"/>
      <c r="AQ468" s="1055"/>
      <c r="AR468" s="1055"/>
      <c r="AS468" s="1055"/>
      <c r="AT468" s="1055"/>
      <c r="AU468" s="1055"/>
      <c r="AV468" s="1055"/>
      <c r="AW468" s="1055"/>
      <c r="AX468" s="1055"/>
      <c r="AY468" s="1055"/>
      <c r="AZ468" s="1055"/>
      <c r="BA468" s="1055"/>
      <c r="BB468" s="1055"/>
      <c r="BC468" s="1055"/>
      <c r="BD468" s="1055"/>
      <c r="BE468" s="1055"/>
      <c r="BF468" s="1055"/>
      <c r="BG468" s="1055"/>
      <c r="BH468" s="1055"/>
      <c r="BI468" s="1055"/>
      <c r="BJ468" s="1055"/>
      <c r="BK468" s="1055"/>
      <c r="BL468" s="1055"/>
      <c r="BM468" s="1055"/>
      <c r="BN468" s="1055"/>
      <c r="BO468" s="1055"/>
      <c r="BP468" s="1055"/>
      <c r="BQ468" s="1055"/>
      <c r="BR468" s="1055"/>
      <c r="BS468" s="1055"/>
      <c r="BT468" s="1055"/>
      <c r="BU468" s="1055"/>
      <c r="BV468" s="1055"/>
      <c r="BW468" s="1055"/>
      <c r="BX468" s="1055"/>
      <c r="BY468" s="1055"/>
      <c r="BZ468" s="1055"/>
      <c r="CA468" s="1055"/>
      <c r="CB468" s="1055"/>
      <c r="CC468" s="1055"/>
      <c r="CD468" s="1055"/>
      <c r="CE468" s="1055"/>
      <c r="CF468" s="1055"/>
      <c r="CG468" s="1055"/>
      <c r="CH468" s="1055"/>
      <c r="CI468" s="1055"/>
      <c r="CJ468" s="1055"/>
      <c r="CK468" s="1055"/>
      <c r="CL468" s="1055"/>
      <c r="CM468" s="1055"/>
      <c r="CN468" s="1055"/>
      <c r="CO468" s="1055"/>
      <c r="CP468" s="1055"/>
      <c r="CQ468" s="1055"/>
      <c r="CR468" s="1055"/>
      <c r="CS468" s="1055"/>
      <c r="CT468" s="1055"/>
      <c r="CU468" s="1055"/>
      <c r="CV468" s="1055"/>
      <c r="CW468" s="1055"/>
      <c r="CX468" s="1055"/>
      <c r="CY468" s="1055"/>
      <c r="CZ468" s="1055"/>
      <c r="DA468" s="1055"/>
      <c r="DB468" s="1055"/>
      <c r="DC468" s="1055"/>
      <c r="DD468" s="1055"/>
      <c r="DE468" s="1055"/>
      <c r="DF468" s="1055"/>
      <c r="DG468" s="1055"/>
      <c r="DH468" s="1055"/>
      <c r="DI468" s="1055"/>
      <c r="DJ468" s="1055"/>
      <c r="DK468" s="1055"/>
      <c r="DL468" s="1055"/>
      <c r="DM468" s="1055"/>
      <c r="DN468" s="1055"/>
      <c r="DO468" s="1055"/>
      <c r="DP468" s="1055"/>
      <c r="DQ468" s="1055"/>
      <c r="DR468" s="1055"/>
      <c r="DS468" s="1055"/>
      <c r="DT468" s="1055"/>
      <c r="DU468" s="1055"/>
      <c r="DV468" s="1055"/>
      <c r="DW468" s="1055"/>
      <c r="DX468" s="1055"/>
      <c r="DY468" s="1055"/>
      <c r="DZ468" s="1055"/>
      <c r="EA468" s="1055"/>
      <c r="EB468" s="1055"/>
      <c r="EC468" s="1055"/>
      <c r="ED468" s="1055"/>
      <c r="EE468" s="1055"/>
      <c r="EF468" s="1055"/>
      <c r="EG468" s="1055"/>
      <c r="EH468" s="1055"/>
      <c r="EI468" s="1055"/>
      <c r="EJ468" s="1055"/>
      <c r="EK468" s="1055"/>
      <c r="EL468" s="1055"/>
      <c r="EM468" s="1055"/>
      <c r="EN468" s="1055"/>
      <c r="EO468" s="1055"/>
      <c r="EP468" s="1055"/>
      <c r="EQ468" s="1055"/>
      <c r="ER468" s="1055"/>
      <c r="ES468" s="1055"/>
      <c r="ET468" s="1055"/>
      <c r="EU468" s="1055"/>
      <c r="EV468" s="1055"/>
      <c r="EW468" s="1055"/>
      <c r="EX468" s="1055"/>
      <c r="EY468" s="1055"/>
      <c r="EZ468" s="1055"/>
      <c r="FA468" s="1055"/>
      <c r="FB468" s="1055"/>
    </row>
    <row r="469" spans="1:158" ht="32.1" customHeight="1">
      <c r="A469" s="1052"/>
      <c r="B469" s="1718" t="s">
        <v>626</v>
      </c>
      <c r="C469" s="1728">
        <v>0</v>
      </c>
      <c r="D469" s="1728">
        <v>0</v>
      </c>
      <c r="E469" s="1728">
        <v>0</v>
      </c>
      <c r="F469" s="1728">
        <v>1</v>
      </c>
      <c r="G469" s="1728">
        <v>0</v>
      </c>
      <c r="H469" s="1728">
        <v>0</v>
      </c>
      <c r="I469" s="1195"/>
      <c r="J469" s="1286">
        <v>0</v>
      </c>
      <c r="K469" s="1073" t="s">
        <v>811</v>
      </c>
      <c r="L469" s="1079" t="s">
        <v>811</v>
      </c>
      <c r="M469" s="1102">
        <v>0</v>
      </c>
      <c r="N469" s="1073">
        <v>0</v>
      </c>
      <c r="O469" s="1073" t="s">
        <v>811</v>
      </c>
      <c r="P469" s="1073">
        <v>1</v>
      </c>
      <c r="Q469" s="1073">
        <v>0</v>
      </c>
      <c r="R469" s="1290"/>
      <c r="S469" s="1055"/>
      <c r="T469" s="1055"/>
      <c r="U469" s="1055"/>
      <c r="V469" s="1055"/>
      <c r="W469" s="1055"/>
      <c r="X469" s="1055"/>
      <c r="Y469" s="1055"/>
      <c r="Z469" s="1055"/>
      <c r="AA469" s="1055"/>
      <c r="AB469" s="1055"/>
      <c r="AC469" s="1055"/>
      <c r="AD469" s="1055"/>
      <c r="AE469" s="1055"/>
      <c r="AF469" s="1055"/>
      <c r="AG469" s="1055"/>
      <c r="AH469" s="1055"/>
      <c r="AI469" s="1055"/>
      <c r="AJ469" s="1055"/>
      <c r="AK469" s="1055"/>
      <c r="AL469" s="1055"/>
      <c r="AM469" s="1055"/>
      <c r="AN469" s="1055"/>
      <c r="AO469" s="1055"/>
      <c r="AP469" s="1055"/>
      <c r="AQ469" s="1055"/>
      <c r="AR469" s="1055"/>
      <c r="AS469" s="1055"/>
      <c r="AT469" s="1055"/>
      <c r="AU469" s="1055"/>
      <c r="AV469" s="1055"/>
      <c r="AW469" s="1055"/>
      <c r="AX469" s="1055"/>
      <c r="AY469" s="1055"/>
      <c r="AZ469" s="1055"/>
      <c r="BA469" s="1055"/>
      <c r="BB469" s="1055"/>
      <c r="BC469" s="1055"/>
      <c r="BD469" s="1055"/>
      <c r="BE469" s="1055"/>
      <c r="BF469" s="1055"/>
      <c r="BG469" s="1055"/>
      <c r="BH469" s="1055"/>
      <c r="BI469" s="1055"/>
      <c r="BJ469" s="1055"/>
      <c r="BK469" s="1055"/>
      <c r="BL469" s="1055"/>
      <c r="BM469" s="1055"/>
      <c r="BN469" s="1055"/>
      <c r="BO469" s="1055"/>
      <c r="BP469" s="1055"/>
      <c r="BQ469" s="1055"/>
      <c r="BR469" s="1055"/>
      <c r="BS469" s="1055"/>
      <c r="BT469" s="1055"/>
      <c r="BU469" s="1055"/>
      <c r="BV469" s="1055"/>
      <c r="BW469" s="1055"/>
      <c r="BX469" s="1055"/>
      <c r="BY469" s="1055"/>
      <c r="BZ469" s="1055"/>
      <c r="CA469" s="1055"/>
      <c r="CB469" s="1055"/>
      <c r="CC469" s="1055"/>
      <c r="CD469" s="1055"/>
      <c r="CE469" s="1055"/>
      <c r="CF469" s="1055"/>
      <c r="CG469" s="1055"/>
      <c r="CH469" s="1055"/>
      <c r="CI469" s="1055"/>
      <c r="CJ469" s="1055"/>
      <c r="CK469" s="1055"/>
      <c r="CL469" s="1055"/>
      <c r="CM469" s="1055"/>
      <c r="CN469" s="1055"/>
      <c r="CO469" s="1055"/>
      <c r="CP469" s="1055"/>
      <c r="CQ469" s="1055"/>
      <c r="CR469" s="1055"/>
      <c r="CS469" s="1055"/>
      <c r="CT469" s="1055"/>
      <c r="CU469" s="1055"/>
      <c r="CV469" s="1055"/>
      <c r="CW469" s="1055"/>
      <c r="CX469" s="1055"/>
      <c r="CY469" s="1055"/>
      <c r="CZ469" s="1055"/>
      <c r="DA469" s="1055"/>
      <c r="DB469" s="1055"/>
      <c r="DC469" s="1055"/>
      <c r="DD469" s="1055"/>
      <c r="DE469" s="1055"/>
      <c r="DF469" s="1055"/>
      <c r="DG469" s="1055"/>
      <c r="DH469" s="1055"/>
      <c r="DI469" s="1055"/>
      <c r="DJ469" s="1055"/>
      <c r="DK469" s="1055"/>
      <c r="DL469" s="1055"/>
      <c r="DM469" s="1055"/>
      <c r="DN469" s="1055"/>
      <c r="DO469" s="1055"/>
      <c r="DP469" s="1055"/>
      <c r="DQ469" s="1055"/>
      <c r="DR469" s="1055"/>
      <c r="DS469" s="1055"/>
      <c r="DT469" s="1055"/>
      <c r="DU469" s="1055"/>
      <c r="DV469" s="1055"/>
      <c r="DW469" s="1055"/>
      <c r="DX469" s="1055"/>
      <c r="DY469" s="1055"/>
      <c r="DZ469" s="1055"/>
      <c r="EA469" s="1055"/>
      <c r="EB469" s="1055"/>
      <c r="EC469" s="1055"/>
      <c r="ED469" s="1055"/>
      <c r="EE469" s="1055"/>
      <c r="EF469" s="1055"/>
      <c r="EG469" s="1055"/>
      <c r="EH469" s="1055"/>
      <c r="EI469" s="1055"/>
      <c r="EJ469" s="1055"/>
      <c r="EK469" s="1055"/>
      <c r="EL469" s="1055"/>
      <c r="EM469" s="1055"/>
      <c r="EN469" s="1055"/>
      <c r="EO469" s="1055"/>
      <c r="EP469" s="1055"/>
      <c r="EQ469" s="1055"/>
      <c r="ER469" s="1055"/>
      <c r="ES469" s="1055"/>
      <c r="ET469" s="1055"/>
      <c r="EU469" s="1055"/>
      <c r="EV469" s="1055"/>
      <c r="EW469" s="1055"/>
      <c r="EX469" s="1055"/>
      <c r="EY469" s="1055"/>
      <c r="EZ469" s="1055"/>
      <c r="FA469" s="1055"/>
      <c r="FB469" s="1055"/>
    </row>
    <row r="470" spans="1:158" ht="32.1" customHeight="1">
      <c r="A470" s="1052"/>
      <c r="B470" s="1718" t="s">
        <v>627</v>
      </c>
      <c r="C470" s="1728">
        <v>1</v>
      </c>
      <c r="D470" s="1728">
        <v>1</v>
      </c>
      <c r="E470" s="1728">
        <v>1</v>
      </c>
      <c r="F470" s="1728">
        <v>1</v>
      </c>
      <c r="G470" s="1728">
        <v>1</v>
      </c>
      <c r="H470" s="1728">
        <v>1</v>
      </c>
      <c r="I470" s="1195"/>
      <c r="J470" s="1104">
        <v>1</v>
      </c>
      <c r="K470" s="1073" t="s">
        <v>748</v>
      </c>
      <c r="L470" s="1079" t="s">
        <v>748</v>
      </c>
      <c r="M470" s="1102">
        <v>1</v>
      </c>
      <c r="N470" s="1073">
        <v>1</v>
      </c>
      <c r="O470" s="1073" t="s">
        <v>748</v>
      </c>
      <c r="P470" s="1073">
        <v>1</v>
      </c>
      <c r="Q470" s="1073">
        <v>0</v>
      </c>
      <c r="R470" s="1290"/>
      <c r="S470" s="1055"/>
      <c r="T470" s="1055"/>
      <c r="U470" s="1055"/>
      <c r="V470" s="1055"/>
      <c r="W470" s="1055"/>
      <c r="X470" s="1055"/>
      <c r="Y470" s="1055"/>
      <c r="Z470" s="1055"/>
      <c r="AA470" s="1055"/>
      <c r="AB470" s="1055"/>
      <c r="AC470" s="1055"/>
      <c r="AD470" s="1055"/>
      <c r="AE470" s="1055"/>
      <c r="AF470" s="1055"/>
      <c r="AG470" s="1055"/>
      <c r="AH470" s="1055"/>
      <c r="AI470" s="1055"/>
      <c r="AJ470" s="1055"/>
      <c r="AK470" s="1055"/>
      <c r="AL470" s="1055"/>
      <c r="AM470" s="1055"/>
      <c r="AN470" s="1055"/>
      <c r="AO470" s="1055"/>
      <c r="AP470" s="1055"/>
      <c r="AQ470" s="1055"/>
      <c r="AR470" s="1055"/>
      <c r="AS470" s="1055"/>
      <c r="AT470" s="1055"/>
      <c r="AU470" s="1055"/>
      <c r="AV470" s="1055"/>
      <c r="AW470" s="1055"/>
      <c r="AX470" s="1055"/>
      <c r="AY470" s="1055"/>
      <c r="AZ470" s="1055"/>
      <c r="BA470" s="1055"/>
      <c r="BB470" s="1055"/>
      <c r="BC470" s="1055"/>
      <c r="BD470" s="1055"/>
      <c r="BE470" s="1055"/>
      <c r="BF470" s="1055"/>
      <c r="BG470" s="1055"/>
      <c r="BH470" s="1055"/>
      <c r="BI470" s="1055"/>
      <c r="BJ470" s="1055"/>
      <c r="BK470" s="1055"/>
      <c r="BL470" s="1055"/>
      <c r="BM470" s="1055"/>
      <c r="BN470" s="1055"/>
      <c r="BO470" s="1055"/>
      <c r="BP470" s="1055"/>
      <c r="BQ470" s="1055"/>
      <c r="BR470" s="1055"/>
      <c r="BS470" s="1055"/>
      <c r="BT470" s="1055"/>
      <c r="BU470" s="1055"/>
      <c r="BV470" s="1055"/>
      <c r="BW470" s="1055"/>
      <c r="BX470" s="1055"/>
      <c r="BY470" s="1055"/>
      <c r="BZ470" s="1055"/>
      <c r="CA470" s="1055"/>
      <c r="CB470" s="1055"/>
      <c r="CC470" s="1055"/>
      <c r="CD470" s="1055"/>
      <c r="CE470" s="1055"/>
      <c r="CF470" s="1055"/>
      <c r="CG470" s="1055"/>
      <c r="CH470" s="1055"/>
      <c r="CI470" s="1055"/>
      <c r="CJ470" s="1055"/>
      <c r="CK470" s="1055"/>
      <c r="CL470" s="1055"/>
      <c r="CM470" s="1055"/>
      <c r="CN470" s="1055"/>
      <c r="CO470" s="1055"/>
      <c r="CP470" s="1055"/>
      <c r="CQ470" s="1055"/>
      <c r="CR470" s="1055"/>
      <c r="CS470" s="1055"/>
      <c r="CT470" s="1055"/>
      <c r="CU470" s="1055"/>
      <c r="CV470" s="1055"/>
      <c r="CW470" s="1055"/>
      <c r="CX470" s="1055"/>
      <c r="CY470" s="1055"/>
      <c r="CZ470" s="1055"/>
      <c r="DA470" s="1055"/>
      <c r="DB470" s="1055"/>
      <c r="DC470" s="1055"/>
      <c r="DD470" s="1055"/>
      <c r="DE470" s="1055"/>
      <c r="DF470" s="1055"/>
      <c r="DG470" s="1055"/>
      <c r="DH470" s="1055"/>
      <c r="DI470" s="1055"/>
      <c r="DJ470" s="1055"/>
      <c r="DK470" s="1055"/>
      <c r="DL470" s="1055"/>
      <c r="DM470" s="1055"/>
      <c r="DN470" s="1055"/>
      <c r="DO470" s="1055"/>
      <c r="DP470" s="1055"/>
      <c r="DQ470" s="1055"/>
      <c r="DR470" s="1055"/>
      <c r="DS470" s="1055"/>
      <c r="DT470" s="1055"/>
      <c r="DU470" s="1055"/>
      <c r="DV470" s="1055"/>
      <c r="DW470" s="1055"/>
      <c r="DX470" s="1055"/>
      <c r="DY470" s="1055"/>
      <c r="DZ470" s="1055"/>
      <c r="EA470" s="1055"/>
      <c r="EB470" s="1055"/>
      <c r="EC470" s="1055"/>
      <c r="ED470" s="1055"/>
      <c r="EE470" s="1055"/>
      <c r="EF470" s="1055"/>
      <c r="EG470" s="1055"/>
      <c r="EH470" s="1055"/>
      <c r="EI470" s="1055"/>
      <c r="EJ470" s="1055"/>
      <c r="EK470" s="1055"/>
      <c r="EL470" s="1055"/>
      <c r="EM470" s="1055"/>
      <c r="EN470" s="1055"/>
      <c r="EO470" s="1055"/>
      <c r="EP470" s="1055"/>
      <c r="EQ470" s="1055"/>
      <c r="ER470" s="1055"/>
      <c r="ES470" s="1055"/>
      <c r="ET470" s="1055"/>
      <c r="EU470" s="1055"/>
      <c r="EV470" s="1055"/>
      <c r="EW470" s="1055"/>
      <c r="EX470" s="1055"/>
      <c r="EY470" s="1055"/>
      <c r="EZ470" s="1055"/>
      <c r="FA470" s="1055"/>
      <c r="FB470" s="1055"/>
    </row>
    <row r="471" spans="1:158" ht="32.1" customHeight="1">
      <c r="A471" s="1052"/>
      <c r="B471" s="1159" t="s">
        <v>628</v>
      </c>
      <c r="C471" s="1728">
        <v>0.5</v>
      </c>
      <c r="D471" s="1728">
        <v>0.5</v>
      </c>
      <c r="E471" s="1728">
        <v>0</v>
      </c>
      <c r="F471" s="1728">
        <v>1</v>
      </c>
      <c r="G471" s="1728">
        <v>1</v>
      </c>
      <c r="H471" s="1728">
        <v>0.5</v>
      </c>
      <c r="I471" s="1195" t="s">
        <v>38</v>
      </c>
      <c r="J471" s="1104" t="s">
        <v>5352</v>
      </c>
      <c r="K471" s="1411" t="s">
        <v>6487</v>
      </c>
      <c r="L471" s="1079" t="s">
        <v>811</v>
      </c>
      <c r="M471" s="1102">
        <v>0</v>
      </c>
      <c r="N471" s="1073">
        <v>0</v>
      </c>
      <c r="O471" s="1394" t="s">
        <v>5784</v>
      </c>
      <c r="P471" s="1073">
        <v>1</v>
      </c>
      <c r="Q471" s="1073">
        <v>0</v>
      </c>
      <c r="R471" s="1290"/>
      <c r="S471" s="1055"/>
      <c r="T471" s="1055"/>
      <c r="U471" s="1055"/>
      <c r="V471" s="1055"/>
      <c r="W471" s="1055"/>
      <c r="X471" s="1055"/>
      <c r="Y471" s="1055"/>
      <c r="Z471" s="1055"/>
      <c r="AA471" s="1055"/>
      <c r="AB471" s="1055"/>
      <c r="AC471" s="1055"/>
      <c r="AD471" s="1055"/>
      <c r="AE471" s="1055"/>
      <c r="AF471" s="1055"/>
      <c r="AG471" s="1055"/>
      <c r="AH471" s="1055"/>
      <c r="AI471" s="1055"/>
      <c r="AJ471" s="1055"/>
      <c r="AK471" s="1055"/>
      <c r="AL471" s="1055"/>
      <c r="AM471" s="1055"/>
      <c r="AN471" s="1055"/>
      <c r="AO471" s="1055"/>
      <c r="AP471" s="1055"/>
      <c r="AQ471" s="1055"/>
      <c r="AR471" s="1055"/>
      <c r="AS471" s="1055"/>
      <c r="AT471" s="1055"/>
      <c r="AU471" s="1055"/>
      <c r="AV471" s="1055"/>
      <c r="AW471" s="1055"/>
      <c r="AX471" s="1055"/>
      <c r="AY471" s="1055"/>
      <c r="AZ471" s="1055"/>
      <c r="BA471" s="1055"/>
      <c r="BB471" s="1055"/>
      <c r="BC471" s="1055"/>
      <c r="BD471" s="1055"/>
      <c r="BE471" s="1055"/>
      <c r="BF471" s="1055"/>
      <c r="BG471" s="1055"/>
      <c r="BH471" s="1055"/>
      <c r="BI471" s="1055"/>
      <c r="BJ471" s="1055"/>
      <c r="BK471" s="1055"/>
      <c r="BL471" s="1055"/>
      <c r="BM471" s="1055"/>
      <c r="BN471" s="1055"/>
      <c r="BO471" s="1055"/>
      <c r="BP471" s="1055"/>
      <c r="BQ471" s="1055"/>
      <c r="BR471" s="1055"/>
      <c r="BS471" s="1055"/>
      <c r="BT471" s="1055"/>
      <c r="BU471" s="1055"/>
      <c r="BV471" s="1055"/>
      <c r="BW471" s="1055"/>
      <c r="BX471" s="1055"/>
      <c r="BY471" s="1055"/>
      <c r="BZ471" s="1055"/>
      <c r="CA471" s="1055"/>
      <c r="CB471" s="1055"/>
      <c r="CC471" s="1055"/>
      <c r="CD471" s="1055"/>
      <c r="CE471" s="1055"/>
      <c r="CF471" s="1055"/>
      <c r="CG471" s="1055"/>
      <c r="CH471" s="1055"/>
      <c r="CI471" s="1055"/>
      <c r="CJ471" s="1055"/>
      <c r="CK471" s="1055"/>
      <c r="CL471" s="1055"/>
      <c r="CM471" s="1055"/>
      <c r="CN471" s="1055"/>
      <c r="CO471" s="1055"/>
      <c r="CP471" s="1055"/>
      <c r="CQ471" s="1055"/>
      <c r="CR471" s="1055"/>
      <c r="CS471" s="1055"/>
      <c r="CT471" s="1055"/>
      <c r="CU471" s="1055"/>
      <c r="CV471" s="1055"/>
      <c r="CW471" s="1055"/>
      <c r="CX471" s="1055"/>
      <c r="CY471" s="1055"/>
      <c r="CZ471" s="1055"/>
      <c r="DA471" s="1055"/>
      <c r="DB471" s="1055"/>
      <c r="DC471" s="1055"/>
      <c r="DD471" s="1055"/>
      <c r="DE471" s="1055"/>
      <c r="DF471" s="1055"/>
      <c r="DG471" s="1055"/>
      <c r="DH471" s="1055"/>
      <c r="DI471" s="1055"/>
      <c r="DJ471" s="1055"/>
      <c r="DK471" s="1055"/>
      <c r="DL471" s="1055"/>
      <c r="DM471" s="1055"/>
      <c r="DN471" s="1055"/>
      <c r="DO471" s="1055"/>
      <c r="DP471" s="1055"/>
      <c r="DQ471" s="1055"/>
      <c r="DR471" s="1055"/>
      <c r="DS471" s="1055"/>
      <c r="DT471" s="1055"/>
      <c r="DU471" s="1055"/>
      <c r="DV471" s="1055"/>
      <c r="DW471" s="1055"/>
      <c r="DX471" s="1055"/>
      <c r="DY471" s="1055"/>
      <c r="DZ471" s="1055"/>
      <c r="EA471" s="1055"/>
      <c r="EB471" s="1055"/>
      <c r="EC471" s="1055"/>
      <c r="ED471" s="1055"/>
      <c r="EE471" s="1055"/>
      <c r="EF471" s="1055"/>
      <c r="EG471" s="1055"/>
      <c r="EH471" s="1055"/>
      <c r="EI471" s="1055"/>
      <c r="EJ471" s="1055"/>
      <c r="EK471" s="1055"/>
      <c r="EL471" s="1055"/>
      <c r="EM471" s="1055"/>
      <c r="EN471" s="1055"/>
      <c r="EO471" s="1055"/>
      <c r="EP471" s="1055"/>
      <c r="EQ471" s="1055"/>
      <c r="ER471" s="1055"/>
      <c r="ES471" s="1055"/>
      <c r="ET471" s="1055"/>
      <c r="EU471" s="1055"/>
      <c r="EV471" s="1055"/>
      <c r="EW471" s="1055"/>
      <c r="EX471" s="1055"/>
      <c r="EY471" s="1055"/>
      <c r="EZ471" s="1055"/>
      <c r="FA471" s="1055"/>
      <c r="FB471" s="1055"/>
    </row>
    <row r="472" spans="1:158" ht="32.1" customHeight="1">
      <c r="A472" s="1052"/>
      <c r="B472" s="1159" t="s">
        <v>629</v>
      </c>
      <c r="C472" s="1728">
        <v>0.5</v>
      </c>
      <c r="D472" s="1728">
        <v>0.5</v>
      </c>
      <c r="E472" s="1728">
        <v>0.5</v>
      </c>
      <c r="F472" s="1728">
        <v>1</v>
      </c>
      <c r="G472" s="1728">
        <v>1</v>
      </c>
      <c r="H472" s="1728">
        <v>0.5</v>
      </c>
      <c r="I472" s="1195" t="s">
        <v>38</v>
      </c>
      <c r="J472" s="1412" t="s">
        <v>5352</v>
      </c>
      <c r="K472" s="1394" t="s">
        <v>6488</v>
      </c>
      <c r="L472" s="1071" t="s">
        <v>5985</v>
      </c>
      <c r="M472" s="1102">
        <v>0</v>
      </c>
      <c r="N472" s="1073">
        <v>0</v>
      </c>
      <c r="O472" s="1394" t="s">
        <v>5785</v>
      </c>
      <c r="P472" s="1073">
        <v>1</v>
      </c>
      <c r="Q472" s="1073">
        <v>0</v>
      </c>
      <c r="R472" s="1290"/>
      <c r="S472" s="1055"/>
      <c r="T472" s="1055"/>
      <c r="U472" s="1055"/>
      <c r="V472" s="1055"/>
      <c r="W472" s="1055"/>
      <c r="X472" s="1055"/>
      <c r="Y472" s="1055"/>
      <c r="Z472" s="1055"/>
      <c r="AA472" s="1055"/>
      <c r="AB472" s="1055"/>
      <c r="AC472" s="1055"/>
      <c r="AD472" s="1055"/>
      <c r="AE472" s="1055"/>
      <c r="AF472" s="1055"/>
      <c r="AG472" s="1055"/>
      <c r="AH472" s="1055"/>
      <c r="AI472" s="1055"/>
      <c r="AJ472" s="1055"/>
      <c r="AK472" s="1055"/>
      <c r="AL472" s="1055"/>
      <c r="AM472" s="1055"/>
      <c r="AN472" s="1055"/>
      <c r="AO472" s="1055"/>
      <c r="AP472" s="1055"/>
      <c r="AQ472" s="1055"/>
      <c r="AR472" s="1055"/>
      <c r="AS472" s="1055"/>
      <c r="AT472" s="1055"/>
      <c r="AU472" s="1055"/>
      <c r="AV472" s="1055"/>
      <c r="AW472" s="1055"/>
      <c r="AX472" s="1055"/>
      <c r="AY472" s="1055"/>
      <c r="AZ472" s="1055"/>
      <c r="BA472" s="1055"/>
      <c r="BB472" s="1055"/>
      <c r="BC472" s="1055"/>
      <c r="BD472" s="1055"/>
      <c r="BE472" s="1055"/>
      <c r="BF472" s="1055"/>
      <c r="BG472" s="1055"/>
      <c r="BH472" s="1055"/>
      <c r="BI472" s="1055"/>
      <c r="BJ472" s="1055"/>
      <c r="BK472" s="1055"/>
      <c r="BL472" s="1055"/>
      <c r="BM472" s="1055"/>
      <c r="BN472" s="1055"/>
      <c r="BO472" s="1055"/>
      <c r="BP472" s="1055"/>
      <c r="BQ472" s="1055"/>
      <c r="BR472" s="1055"/>
      <c r="BS472" s="1055"/>
      <c r="BT472" s="1055"/>
      <c r="BU472" s="1055"/>
      <c r="BV472" s="1055"/>
      <c r="BW472" s="1055"/>
      <c r="BX472" s="1055"/>
      <c r="BY472" s="1055"/>
      <c r="BZ472" s="1055"/>
      <c r="CA472" s="1055"/>
      <c r="CB472" s="1055"/>
      <c r="CC472" s="1055"/>
      <c r="CD472" s="1055"/>
      <c r="CE472" s="1055"/>
      <c r="CF472" s="1055"/>
      <c r="CG472" s="1055"/>
      <c r="CH472" s="1055"/>
      <c r="CI472" s="1055"/>
      <c r="CJ472" s="1055"/>
      <c r="CK472" s="1055"/>
      <c r="CL472" s="1055"/>
      <c r="CM472" s="1055"/>
      <c r="CN472" s="1055"/>
      <c r="CO472" s="1055"/>
      <c r="CP472" s="1055"/>
      <c r="CQ472" s="1055"/>
      <c r="CR472" s="1055"/>
      <c r="CS472" s="1055"/>
      <c r="CT472" s="1055"/>
      <c r="CU472" s="1055"/>
      <c r="CV472" s="1055"/>
      <c r="CW472" s="1055"/>
      <c r="CX472" s="1055"/>
      <c r="CY472" s="1055"/>
      <c r="CZ472" s="1055"/>
      <c r="DA472" s="1055"/>
      <c r="DB472" s="1055"/>
      <c r="DC472" s="1055"/>
      <c r="DD472" s="1055"/>
      <c r="DE472" s="1055"/>
      <c r="DF472" s="1055"/>
      <c r="DG472" s="1055"/>
      <c r="DH472" s="1055"/>
      <c r="DI472" s="1055"/>
      <c r="DJ472" s="1055"/>
      <c r="DK472" s="1055"/>
      <c r="DL472" s="1055"/>
      <c r="DM472" s="1055"/>
      <c r="DN472" s="1055"/>
      <c r="DO472" s="1055"/>
      <c r="DP472" s="1055"/>
      <c r="DQ472" s="1055"/>
      <c r="DR472" s="1055"/>
      <c r="DS472" s="1055"/>
      <c r="DT472" s="1055"/>
      <c r="DU472" s="1055"/>
      <c r="DV472" s="1055"/>
      <c r="DW472" s="1055"/>
      <c r="DX472" s="1055"/>
      <c r="DY472" s="1055"/>
      <c r="DZ472" s="1055"/>
      <c r="EA472" s="1055"/>
      <c r="EB472" s="1055"/>
      <c r="EC472" s="1055"/>
      <c r="ED472" s="1055"/>
      <c r="EE472" s="1055"/>
      <c r="EF472" s="1055"/>
      <c r="EG472" s="1055"/>
      <c r="EH472" s="1055"/>
      <c r="EI472" s="1055"/>
      <c r="EJ472" s="1055"/>
      <c r="EK472" s="1055"/>
      <c r="EL472" s="1055"/>
      <c r="EM472" s="1055"/>
      <c r="EN472" s="1055"/>
      <c r="EO472" s="1055"/>
      <c r="EP472" s="1055"/>
      <c r="EQ472" s="1055"/>
      <c r="ER472" s="1055"/>
      <c r="ES472" s="1055"/>
      <c r="ET472" s="1055"/>
      <c r="EU472" s="1055"/>
      <c r="EV472" s="1055"/>
      <c r="EW472" s="1055"/>
      <c r="EX472" s="1055"/>
      <c r="EY472" s="1055"/>
      <c r="EZ472" s="1055"/>
      <c r="FA472" s="1055"/>
      <c r="FB472" s="1055"/>
    </row>
    <row r="473" spans="1:158" ht="32.1" customHeight="1">
      <c r="A473" s="1609" t="s">
        <v>6872</v>
      </c>
      <c r="B473" s="1067" t="s">
        <v>630</v>
      </c>
      <c r="C473" s="1513">
        <f t="shared" ref="C473:H473" si="116">AVERAGE(C474:C479)</f>
        <v>0.77068447093074732</v>
      </c>
      <c r="D473" s="1513">
        <f t="shared" si="116"/>
        <v>0.87577556956048108</v>
      </c>
      <c r="E473" s="1513">
        <f t="shared" si="116"/>
        <v>0.56666666666666676</v>
      </c>
      <c r="F473" s="1513">
        <f t="shared" si="116"/>
        <v>0.91666666666666663</v>
      </c>
      <c r="G473" s="1513">
        <f t="shared" si="116"/>
        <v>0.78333333333333333</v>
      </c>
      <c r="H473" s="1513">
        <f t="shared" si="116"/>
        <v>0.16635596752166748</v>
      </c>
      <c r="I473" s="1195"/>
      <c r="J473" s="1291"/>
      <c r="K473" s="1291"/>
      <c r="L473" s="1291"/>
      <c r="M473" s="1291"/>
      <c r="N473" s="1291"/>
      <c r="O473" s="1291"/>
      <c r="P473" s="1291"/>
      <c r="Q473" s="1291"/>
      <c r="R473" s="1290"/>
      <c r="S473" s="1055"/>
      <c r="T473" s="1055"/>
      <c r="U473" s="1055"/>
      <c r="V473" s="1055"/>
      <c r="W473" s="1055"/>
      <c r="X473" s="1055"/>
      <c r="Y473" s="1055"/>
      <c r="Z473" s="1055"/>
      <c r="AA473" s="1055"/>
      <c r="AB473" s="1055"/>
      <c r="AC473" s="1055"/>
      <c r="AD473" s="1055"/>
      <c r="AE473" s="1055"/>
      <c r="AF473" s="1055"/>
      <c r="AG473" s="1055"/>
      <c r="AH473" s="1055"/>
      <c r="AI473" s="1055"/>
      <c r="AJ473" s="1055"/>
      <c r="AK473" s="1055"/>
      <c r="AL473" s="1055"/>
      <c r="AM473" s="1055"/>
      <c r="AN473" s="1055"/>
      <c r="AO473" s="1055"/>
      <c r="AP473" s="1055"/>
      <c r="AQ473" s="1055"/>
      <c r="AR473" s="1055"/>
      <c r="AS473" s="1055"/>
      <c r="AT473" s="1055"/>
      <c r="AU473" s="1055"/>
      <c r="AV473" s="1055"/>
      <c r="AW473" s="1055"/>
      <c r="AX473" s="1055"/>
      <c r="AY473" s="1055"/>
      <c r="AZ473" s="1055"/>
      <c r="BA473" s="1055"/>
      <c r="BB473" s="1055"/>
      <c r="BC473" s="1055"/>
      <c r="BD473" s="1055"/>
      <c r="BE473" s="1055"/>
      <c r="BF473" s="1055"/>
      <c r="BG473" s="1055"/>
      <c r="BH473" s="1055"/>
      <c r="BI473" s="1055"/>
      <c r="BJ473" s="1055"/>
      <c r="BK473" s="1055"/>
      <c r="BL473" s="1055"/>
      <c r="BM473" s="1055"/>
      <c r="BN473" s="1055"/>
      <c r="BO473" s="1055"/>
      <c r="BP473" s="1055"/>
      <c r="BQ473" s="1055"/>
      <c r="BR473" s="1055"/>
      <c r="BS473" s="1055"/>
      <c r="BT473" s="1055"/>
      <c r="BU473" s="1055"/>
      <c r="BV473" s="1055"/>
      <c r="BW473" s="1055"/>
      <c r="BX473" s="1055"/>
      <c r="BY473" s="1055"/>
      <c r="BZ473" s="1055"/>
      <c r="CA473" s="1055"/>
      <c r="CB473" s="1055"/>
      <c r="CC473" s="1055"/>
      <c r="CD473" s="1055"/>
      <c r="CE473" s="1055"/>
      <c r="CF473" s="1055"/>
      <c r="CG473" s="1055"/>
      <c r="CH473" s="1055"/>
      <c r="CI473" s="1055"/>
      <c r="CJ473" s="1055"/>
      <c r="CK473" s="1055"/>
      <c r="CL473" s="1055"/>
      <c r="CM473" s="1055"/>
      <c r="CN473" s="1055"/>
      <c r="CO473" s="1055"/>
      <c r="CP473" s="1055"/>
      <c r="CQ473" s="1055"/>
      <c r="CR473" s="1055"/>
      <c r="CS473" s="1055"/>
      <c r="CT473" s="1055"/>
      <c r="CU473" s="1055"/>
      <c r="CV473" s="1055"/>
      <c r="CW473" s="1055"/>
      <c r="CX473" s="1055"/>
      <c r="CY473" s="1055"/>
      <c r="CZ473" s="1055"/>
      <c r="DA473" s="1055"/>
      <c r="DB473" s="1055"/>
      <c r="DC473" s="1055"/>
      <c r="DD473" s="1055"/>
      <c r="DE473" s="1055"/>
      <c r="DF473" s="1055"/>
      <c r="DG473" s="1055"/>
      <c r="DH473" s="1055"/>
      <c r="DI473" s="1055"/>
      <c r="DJ473" s="1055"/>
      <c r="DK473" s="1055"/>
      <c r="DL473" s="1055"/>
      <c r="DM473" s="1055"/>
      <c r="DN473" s="1055"/>
      <c r="DO473" s="1055"/>
      <c r="DP473" s="1055"/>
      <c r="DQ473" s="1055"/>
      <c r="DR473" s="1055"/>
      <c r="DS473" s="1055"/>
      <c r="DT473" s="1055"/>
      <c r="DU473" s="1055"/>
      <c r="DV473" s="1055"/>
      <c r="DW473" s="1055"/>
      <c r="DX473" s="1055"/>
      <c r="DY473" s="1055"/>
      <c r="DZ473" s="1055"/>
      <c r="EA473" s="1055"/>
      <c r="EB473" s="1055"/>
      <c r="EC473" s="1055"/>
      <c r="ED473" s="1055"/>
      <c r="EE473" s="1055"/>
      <c r="EF473" s="1055"/>
      <c r="EG473" s="1055"/>
      <c r="EH473" s="1055"/>
      <c r="EI473" s="1055"/>
      <c r="EJ473" s="1055"/>
      <c r="EK473" s="1055"/>
      <c r="EL473" s="1055"/>
      <c r="EM473" s="1055"/>
      <c r="EN473" s="1055"/>
      <c r="EO473" s="1055"/>
      <c r="EP473" s="1055"/>
      <c r="EQ473" s="1055"/>
      <c r="ER473" s="1055"/>
      <c r="ES473" s="1055"/>
      <c r="ET473" s="1055"/>
      <c r="EU473" s="1055"/>
      <c r="EV473" s="1055"/>
      <c r="EW473" s="1055"/>
      <c r="EX473" s="1055"/>
      <c r="EY473" s="1055"/>
      <c r="EZ473" s="1055"/>
      <c r="FA473" s="1055"/>
      <c r="FB473" s="1055"/>
    </row>
    <row r="474" spans="1:158" s="1226" customFormat="1" ht="32.1" customHeight="1">
      <c r="A474" s="1293"/>
      <c r="B474" s="1683" t="s">
        <v>633</v>
      </c>
      <c r="C474" s="1422">
        <f t="shared" ref="C474:H474" si="117">IF(J474&gt;$P474,1,IF(J474&lt;$Q474,0,(J474-$Q474)/($P474-$Q474)))</f>
        <v>0.12410682558448377</v>
      </c>
      <c r="D474" s="1422">
        <f t="shared" si="117"/>
        <v>0.25465341736288638</v>
      </c>
      <c r="E474" s="1422">
        <f t="shared" si="117"/>
        <v>0.40000000000000008</v>
      </c>
      <c r="F474" s="1422">
        <f t="shared" si="117"/>
        <v>0.50000000000000022</v>
      </c>
      <c r="G474" s="1422">
        <f t="shared" si="117"/>
        <v>0.70000000000000007</v>
      </c>
      <c r="H474" s="1422">
        <f t="shared" si="117"/>
        <v>0.99813580513000488</v>
      </c>
      <c r="I474" s="1773" t="s">
        <v>525</v>
      </c>
      <c r="J474" s="1295">
        <v>3.2241068255844838</v>
      </c>
      <c r="K474" s="1295">
        <v>3.3546534173628864</v>
      </c>
      <c r="L474" s="1296">
        <v>3.5</v>
      </c>
      <c r="M474" s="1098">
        <v>3.6</v>
      </c>
      <c r="N474" s="1098">
        <v>3.8</v>
      </c>
      <c r="O474" s="1295">
        <v>4.0981358051300045</v>
      </c>
      <c r="P474" s="1134">
        <v>4.0999999999999996</v>
      </c>
      <c r="Q474" s="1102">
        <v>3.1</v>
      </c>
      <c r="R474" s="1297"/>
      <c r="S474" s="1298"/>
      <c r="T474" s="1298"/>
    </row>
    <row r="475" spans="1:158" s="1226" customFormat="1" ht="32.1" customHeight="1">
      <c r="A475" s="1293"/>
      <c r="B475" s="1294" t="s">
        <v>634</v>
      </c>
      <c r="C475" s="1422">
        <v>1</v>
      </c>
      <c r="D475" s="1422">
        <v>1</v>
      </c>
      <c r="E475" s="1422">
        <v>0</v>
      </c>
      <c r="F475" s="1422">
        <v>1</v>
      </c>
      <c r="G475" s="1422">
        <v>1</v>
      </c>
      <c r="H475" s="1422">
        <v>0</v>
      </c>
      <c r="I475" s="1773" t="s">
        <v>38</v>
      </c>
      <c r="J475" s="1232">
        <v>1</v>
      </c>
      <c r="K475" s="1098">
        <v>1</v>
      </c>
      <c r="L475" s="1180" t="s">
        <v>1073</v>
      </c>
      <c r="M475" s="1098">
        <v>0</v>
      </c>
      <c r="N475" s="1098">
        <v>1</v>
      </c>
      <c r="O475" s="1098" t="s">
        <v>1073</v>
      </c>
      <c r="P475" s="1102">
        <v>1</v>
      </c>
      <c r="Q475" s="1102">
        <v>0</v>
      </c>
      <c r="R475" s="1297"/>
      <c r="S475" s="1298"/>
      <c r="T475" s="1298"/>
    </row>
    <row r="476" spans="1:158" ht="32.1" customHeight="1">
      <c r="A476" s="1299"/>
      <c r="B476" s="1300" t="s">
        <v>635</v>
      </c>
      <c r="C476" s="1421">
        <v>1</v>
      </c>
      <c r="D476" s="1421">
        <v>1</v>
      </c>
      <c r="E476" s="1421">
        <v>1</v>
      </c>
      <c r="F476" s="1421">
        <v>1</v>
      </c>
      <c r="G476" s="1421">
        <v>1</v>
      </c>
      <c r="H476" s="1421">
        <v>0</v>
      </c>
      <c r="I476" s="1753" t="s">
        <v>38</v>
      </c>
      <c r="J476" s="1104">
        <v>1</v>
      </c>
      <c r="K476" s="1073" t="s">
        <v>960</v>
      </c>
      <c r="L476" s="1071" t="s">
        <v>5987</v>
      </c>
      <c r="M476" s="1102">
        <v>1</v>
      </c>
      <c r="N476" s="1073">
        <v>1</v>
      </c>
      <c r="O476" s="1073" t="s">
        <v>763</v>
      </c>
      <c r="P476" s="1102">
        <v>1</v>
      </c>
      <c r="Q476" s="1102">
        <v>0</v>
      </c>
      <c r="R476" s="1290"/>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1055"/>
      <c r="AV476" s="1055"/>
      <c r="AW476" s="1055"/>
      <c r="AX476" s="1055"/>
      <c r="AY476" s="1055"/>
      <c r="AZ476" s="1055"/>
      <c r="BA476" s="1055"/>
      <c r="BB476" s="1055"/>
      <c r="BC476" s="1055"/>
      <c r="BD476" s="1055"/>
      <c r="BE476" s="1055"/>
      <c r="BF476" s="1055"/>
      <c r="BG476" s="1055"/>
      <c r="BH476" s="1055"/>
      <c r="BI476" s="1055"/>
      <c r="BJ476" s="1055"/>
      <c r="BK476" s="1055"/>
      <c r="BL476" s="1055"/>
      <c r="BM476" s="1055"/>
      <c r="BN476" s="1055"/>
      <c r="BO476" s="1055"/>
      <c r="BP476" s="1055"/>
      <c r="BQ476" s="1055"/>
      <c r="BR476" s="1055"/>
      <c r="BS476" s="1055"/>
      <c r="BT476" s="1055"/>
      <c r="BU476" s="1055"/>
      <c r="BV476" s="1055"/>
      <c r="BW476" s="1055"/>
      <c r="BX476" s="1055"/>
      <c r="BY476" s="1055"/>
      <c r="BZ476" s="1055"/>
      <c r="CA476" s="1055"/>
      <c r="CB476" s="1055"/>
      <c r="CC476" s="1055"/>
      <c r="CD476" s="1055"/>
      <c r="CE476" s="1055"/>
      <c r="CF476" s="1055"/>
      <c r="CG476" s="1055"/>
      <c r="CH476" s="1055"/>
      <c r="CI476" s="1055"/>
      <c r="CJ476" s="1055"/>
      <c r="CK476" s="1055"/>
      <c r="CL476" s="1055"/>
      <c r="CM476" s="1055"/>
      <c r="CN476" s="1055"/>
      <c r="CO476" s="1055"/>
      <c r="CP476" s="1055"/>
      <c r="CQ476" s="1055"/>
      <c r="CR476" s="1055"/>
      <c r="CS476" s="1055"/>
      <c r="CT476" s="1055"/>
      <c r="CU476" s="1055"/>
      <c r="CV476" s="1055"/>
      <c r="CW476" s="1055"/>
      <c r="CX476" s="1055"/>
      <c r="CY476" s="1055"/>
      <c r="CZ476" s="1055"/>
      <c r="DA476" s="1055"/>
      <c r="DB476" s="1055"/>
      <c r="DC476" s="1055"/>
      <c r="DD476" s="1055"/>
      <c r="DE476" s="1055"/>
      <c r="DF476" s="1055"/>
      <c r="DG476" s="1055"/>
      <c r="DH476" s="1055"/>
      <c r="DI476" s="1055"/>
      <c r="DJ476" s="1055"/>
      <c r="DK476" s="1055"/>
      <c r="DL476" s="1055"/>
      <c r="DM476" s="1055"/>
      <c r="DN476" s="1055"/>
      <c r="DO476" s="1055"/>
      <c r="DP476" s="1055"/>
      <c r="DQ476" s="1055"/>
      <c r="DR476" s="1055"/>
      <c r="DS476" s="1055"/>
      <c r="DT476" s="1055"/>
      <c r="DU476" s="1055"/>
      <c r="DV476" s="1055"/>
      <c r="DW476" s="1055"/>
      <c r="DX476" s="1055"/>
      <c r="DY476" s="1055"/>
      <c r="DZ476" s="1055"/>
      <c r="EA476" s="1055"/>
      <c r="EB476" s="1055"/>
      <c r="EC476" s="1055"/>
      <c r="ED476" s="1055"/>
      <c r="EE476" s="1055"/>
      <c r="EF476" s="1055"/>
      <c r="EG476" s="1055"/>
      <c r="EH476" s="1055"/>
      <c r="EI476" s="1055"/>
      <c r="EJ476" s="1055"/>
      <c r="EK476" s="1055"/>
      <c r="EL476" s="1055"/>
      <c r="EM476" s="1055"/>
      <c r="EN476" s="1055"/>
      <c r="EO476" s="1055"/>
      <c r="EP476" s="1055"/>
      <c r="EQ476" s="1055"/>
      <c r="ER476" s="1055"/>
      <c r="ES476" s="1055"/>
      <c r="ET476" s="1055"/>
      <c r="EU476" s="1055"/>
      <c r="EV476" s="1055"/>
      <c r="EW476" s="1055"/>
      <c r="EX476" s="1055"/>
      <c r="EY476" s="1055"/>
      <c r="EZ476" s="1055"/>
      <c r="FA476" s="1055"/>
      <c r="FB476" s="1055"/>
    </row>
    <row r="477" spans="1:158" ht="32.1" customHeight="1">
      <c r="A477" s="1052"/>
      <c r="B477" s="1151" t="s">
        <v>636</v>
      </c>
      <c r="C477" s="1438">
        <v>1</v>
      </c>
      <c r="D477" s="1438">
        <v>1</v>
      </c>
      <c r="E477" s="1438">
        <v>1</v>
      </c>
      <c r="F477" s="1438">
        <v>1</v>
      </c>
      <c r="G477" s="1438">
        <v>1</v>
      </c>
      <c r="H477" s="1438">
        <v>0</v>
      </c>
      <c r="I477" s="1195" t="s">
        <v>38</v>
      </c>
      <c r="J477" s="1104">
        <v>1</v>
      </c>
      <c r="K477" s="1073" t="s">
        <v>960</v>
      </c>
      <c r="L477" s="1071" t="s">
        <v>1068</v>
      </c>
      <c r="M477" s="1102">
        <v>1</v>
      </c>
      <c r="N477" s="1073">
        <v>1</v>
      </c>
      <c r="O477" s="1073" t="s">
        <v>763</v>
      </c>
      <c r="P477" s="1102">
        <v>1</v>
      </c>
      <c r="Q477" s="1102">
        <v>0</v>
      </c>
      <c r="R477" s="1290"/>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1055"/>
      <c r="AV477" s="1055"/>
      <c r="AW477" s="1055"/>
      <c r="AX477" s="1055"/>
      <c r="AY477" s="1055"/>
      <c r="AZ477" s="1055"/>
      <c r="BA477" s="1055"/>
      <c r="BB477" s="1055"/>
      <c r="BC477" s="1055"/>
      <c r="BD477" s="1055"/>
      <c r="BE477" s="1055"/>
      <c r="BF477" s="1055"/>
      <c r="BG477" s="1055"/>
      <c r="BH477" s="1055"/>
      <c r="BI477" s="1055"/>
      <c r="BJ477" s="1055"/>
      <c r="BK477" s="1055"/>
      <c r="BL477" s="1055"/>
      <c r="BM477" s="1055"/>
      <c r="BN477" s="1055"/>
      <c r="BO477" s="1055"/>
      <c r="BP477" s="1055"/>
      <c r="BQ477" s="1055"/>
      <c r="BR477" s="1055"/>
      <c r="BS477" s="1055"/>
      <c r="BT477" s="1055"/>
      <c r="BU477" s="1055"/>
      <c r="BV477" s="1055"/>
      <c r="BW477" s="1055"/>
      <c r="BX477" s="1055"/>
      <c r="BY477" s="1055"/>
      <c r="BZ477" s="1055"/>
      <c r="CA477" s="1055"/>
      <c r="CB477" s="1055"/>
      <c r="CC477" s="1055"/>
      <c r="CD477" s="1055"/>
      <c r="CE477" s="1055"/>
      <c r="CF477" s="1055"/>
      <c r="CG477" s="1055"/>
      <c r="CH477" s="1055"/>
      <c r="CI477" s="1055"/>
      <c r="CJ477" s="1055"/>
      <c r="CK477" s="1055"/>
      <c r="CL477" s="1055"/>
      <c r="CM477" s="1055"/>
      <c r="CN477" s="1055"/>
      <c r="CO477" s="1055"/>
      <c r="CP477" s="1055"/>
      <c r="CQ477" s="1055"/>
      <c r="CR477" s="1055"/>
      <c r="CS477" s="1055"/>
      <c r="CT477" s="1055"/>
      <c r="CU477" s="1055"/>
      <c r="CV477" s="1055"/>
      <c r="CW477" s="1055"/>
      <c r="CX477" s="1055"/>
      <c r="CY477" s="1055"/>
      <c r="CZ477" s="1055"/>
      <c r="DA477" s="1055"/>
      <c r="DB477" s="1055"/>
      <c r="DC477" s="1055"/>
      <c r="DD477" s="1055"/>
      <c r="DE477" s="1055"/>
      <c r="DF477" s="1055"/>
      <c r="DG477" s="1055"/>
      <c r="DH477" s="1055"/>
      <c r="DI477" s="1055"/>
      <c r="DJ477" s="1055"/>
      <c r="DK477" s="1055"/>
      <c r="DL477" s="1055"/>
      <c r="DM477" s="1055"/>
      <c r="DN477" s="1055"/>
      <c r="DO477" s="1055"/>
      <c r="DP477" s="1055"/>
      <c r="DQ477" s="1055"/>
      <c r="DR477" s="1055"/>
      <c r="DS477" s="1055"/>
      <c r="DT477" s="1055"/>
      <c r="DU477" s="1055"/>
      <c r="DV477" s="1055"/>
      <c r="DW477" s="1055"/>
      <c r="DX477" s="1055"/>
      <c r="DY477" s="1055"/>
      <c r="DZ477" s="1055"/>
      <c r="EA477" s="1055"/>
      <c r="EB477" s="1055"/>
      <c r="EC477" s="1055"/>
      <c r="ED477" s="1055"/>
      <c r="EE477" s="1055"/>
      <c r="EF477" s="1055"/>
      <c r="EG477" s="1055"/>
      <c r="EH477" s="1055"/>
      <c r="EI477" s="1055"/>
      <c r="EJ477" s="1055"/>
      <c r="EK477" s="1055"/>
      <c r="EL477" s="1055"/>
      <c r="EM477" s="1055"/>
      <c r="EN477" s="1055"/>
      <c r="EO477" s="1055"/>
      <c r="EP477" s="1055"/>
      <c r="EQ477" s="1055"/>
      <c r="ER477" s="1055"/>
      <c r="ES477" s="1055"/>
      <c r="ET477" s="1055"/>
      <c r="EU477" s="1055"/>
      <c r="EV477" s="1055"/>
      <c r="EW477" s="1055"/>
      <c r="EX477" s="1055"/>
      <c r="EY477" s="1055"/>
      <c r="EZ477" s="1055"/>
      <c r="FA477" s="1055"/>
      <c r="FB477" s="1055"/>
    </row>
    <row r="478" spans="1:158" ht="32.1" customHeight="1">
      <c r="A478" s="1052"/>
      <c r="B478" s="1151" t="s">
        <v>637</v>
      </c>
      <c r="C478" s="1438">
        <v>1</v>
      </c>
      <c r="D478" s="1438">
        <v>1</v>
      </c>
      <c r="E478" s="1438">
        <v>0</v>
      </c>
      <c r="F478" s="1438">
        <v>1</v>
      </c>
      <c r="G478" s="1438">
        <v>1</v>
      </c>
      <c r="H478" s="1438">
        <v>0</v>
      </c>
      <c r="I478" s="1195" t="s">
        <v>38</v>
      </c>
      <c r="J478" s="1104">
        <v>1</v>
      </c>
      <c r="K478" s="1073" t="s">
        <v>960</v>
      </c>
      <c r="L478" s="1071" t="s">
        <v>748</v>
      </c>
      <c r="M478" s="1102">
        <v>1</v>
      </c>
      <c r="N478" s="1073">
        <v>1</v>
      </c>
      <c r="O478" s="1073" t="s">
        <v>763</v>
      </c>
      <c r="P478" s="1102">
        <v>1</v>
      </c>
      <c r="Q478" s="1102">
        <v>0</v>
      </c>
      <c r="R478" s="1290"/>
      <c r="S478" s="1055"/>
      <c r="T478" s="1055"/>
      <c r="U478" s="1055"/>
      <c r="V478" s="1055"/>
      <c r="W478" s="1055"/>
      <c r="X478" s="1055"/>
      <c r="Y478" s="1055"/>
      <c r="Z478" s="1055"/>
      <c r="AA478" s="1055"/>
      <c r="AB478" s="1055"/>
      <c r="AC478" s="1055"/>
      <c r="AD478" s="1055"/>
      <c r="AE478" s="1055"/>
      <c r="AF478" s="1055"/>
      <c r="AG478" s="1055"/>
      <c r="AH478" s="1055"/>
      <c r="AI478" s="1055"/>
      <c r="AJ478" s="1055"/>
      <c r="AK478" s="1055"/>
      <c r="AL478" s="1055"/>
      <c r="AM478" s="1055"/>
      <c r="AN478" s="1055"/>
      <c r="AO478" s="1055"/>
      <c r="AP478" s="1055"/>
      <c r="AQ478" s="1055"/>
      <c r="AR478" s="1055"/>
      <c r="AS478" s="1055"/>
      <c r="AT478" s="1055"/>
      <c r="AU478" s="1055"/>
      <c r="AV478" s="1055"/>
      <c r="AW478" s="1055"/>
      <c r="AX478" s="1055"/>
      <c r="AY478" s="1055"/>
      <c r="AZ478" s="1055"/>
      <c r="BA478" s="1055"/>
      <c r="BB478" s="1055"/>
      <c r="BC478" s="1055"/>
      <c r="BD478" s="1055"/>
      <c r="BE478" s="1055"/>
      <c r="BF478" s="1055"/>
      <c r="BG478" s="1055"/>
      <c r="BH478" s="1055"/>
      <c r="BI478" s="1055"/>
      <c r="BJ478" s="1055"/>
      <c r="BK478" s="1055"/>
      <c r="BL478" s="1055"/>
      <c r="BM478" s="1055"/>
      <c r="BN478" s="1055"/>
      <c r="BO478" s="1055"/>
      <c r="BP478" s="1055"/>
      <c r="BQ478" s="1055"/>
      <c r="BR478" s="1055"/>
      <c r="BS478" s="1055"/>
      <c r="BT478" s="1055"/>
      <c r="BU478" s="1055"/>
      <c r="BV478" s="1055"/>
      <c r="BW478" s="1055"/>
      <c r="BX478" s="1055"/>
      <c r="BY478" s="1055"/>
      <c r="BZ478" s="1055"/>
      <c r="CA478" s="1055"/>
      <c r="CB478" s="1055"/>
      <c r="CC478" s="1055"/>
      <c r="CD478" s="1055"/>
      <c r="CE478" s="1055"/>
      <c r="CF478" s="1055"/>
      <c r="CG478" s="1055"/>
      <c r="CH478" s="1055"/>
      <c r="CI478" s="1055"/>
      <c r="CJ478" s="1055"/>
      <c r="CK478" s="1055"/>
      <c r="CL478" s="1055"/>
      <c r="CM478" s="1055"/>
      <c r="CN478" s="1055"/>
      <c r="CO478" s="1055"/>
      <c r="CP478" s="1055"/>
      <c r="CQ478" s="1055"/>
      <c r="CR478" s="1055"/>
      <c r="CS478" s="1055"/>
      <c r="CT478" s="1055"/>
      <c r="CU478" s="1055"/>
      <c r="CV478" s="1055"/>
      <c r="CW478" s="1055"/>
      <c r="CX478" s="1055"/>
      <c r="CY478" s="1055"/>
      <c r="CZ478" s="1055"/>
      <c r="DA478" s="1055"/>
      <c r="DB478" s="1055"/>
      <c r="DC478" s="1055"/>
      <c r="DD478" s="1055"/>
      <c r="DE478" s="1055"/>
      <c r="DF478" s="1055"/>
      <c r="DG478" s="1055"/>
      <c r="DH478" s="1055"/>
      <c r="DI478" s="1055"/>
      <c r="DJ478" s="1055"/>
      <c r="DK478" s="1055"/>
      <c r="DL478" s="1055"/>
      <c r="DM478" s="1055"/>
      <c r="DN478" s="1055"/>
      <c r="DO478" s="1055"/>
      <c r="DP478" s="1055"/>
      <c r="DQ478" s="1055"/>
      <c r="DR478" s="1055"/>
      <c r="DS478" s="1055"/>
      <c r="DT478" s="1055"/>
      <c r="DU478" s="1055"/>
      <c r="DV478" s="1055"/>
      <c r="DW478" s="1055"/>
      <c r="DX478" s="1055"/>
      <c r="DY478" s="1055"/>
      <c r="DZ478" s="1055"/>
      <c r="EA478" s="1055"/>
      <c r="EB478" s="1055"/>
      <c r="EC478" s="1055"/>
      <c r="ED478" s="1055"/>
      <c r="EE478" s="1055"/>
      <c r="EF478" s="1055"/>
      <c r="EG478" s="1055"/>
      <c r="EH478" s="1055"/>
      <c r="EI478" s="1055"/>
      <c r="EJ478" s="1055"/>
      <c r="EK478" s="1055"/>
      <c r="EL478" s="1055"/>
      <c r="EM478" s="1055"/>
      <c r="EN478" s="1055"/>
      <c r="EO478" s="1055"/>
      <c r="EP478" s="1055"/>
      <c r="EQ478" s="1055"/>
      <c r="ER478" s="1055"/>
      <c r="ES478" s="1055"/>
      <c r="ET478" s="1055"/>
      <c r="EU478" s="1055"/>
      <c r="EV478" s="1055"/>
      <c r="EW478" s="1055"/>
      <c r="EX478" s="1055"/>
      <c r="EY478" s="1055"/>
      <c r="EZ478" s="1055"/>
      <c r="FA478" s="1055"/>
      <c r="FB478" s="1055"/>
    </row>
    <row r="479" spans="1:158" ht="32.1" customHeight="1">
      <c r="A479" s="1052"/>
      <c r="B479" s="1151" t="s">
        <v>638</v>
      </c>
      <c r="C479" s="1438">
        <v>0.5</v>
      </c>
      <c r="D479" s="1438">
        <v>1</v>
      </c>
      <c r="E479" s="1438">
        <v>1</v>
      </c>
      <c r="F479" s="1438">
        <v>1</v>
      </c>
      <c r="G479" s="1438">
        <v>0</v>
      </c>
      <c r="H479" s="1438">
        <v>0</v>
      </c>
      <c r="I479" s="1195" t="s">
        <v>38</v>
      </c>
      <c r="J479" s="1104">
        <v>0.5</v>
      </c>
      <c r="K479" s="1102" t="s">
        <v>960</v>
      </c>
      <c r="L479" s="1392" t="s">
        <v>5988</v>
      </c>
      <c r="M479" s="1102">
        <v>1</v>
      </c>
      <c r="N479" s="1073">
        <v>0</v>
      </c>
      <c r="O479" s="1073" t="s">
        <v>5786</v>
      </c>
      <c r="P479" s="1102">
        <v>1</v>
      </c>
      <c r="Q479" s="1102">
        <v>0</v>
      </c>
      <c r="R479" s="1290"/>
      <c r="S479" s="1055"/>
      <c r="T479" s="1055"/>
      <c r="U479" s="1055"/>
      <c r="V479" s="1055"/>
      <c r="W479" s="1055"/>
      <c r="X479" s="1055"/>
      <c r="Y479" s="1055"/>
      <c r="Z479" s="1055"/>
      <c r="AA479" s="1055"/>
      <c r="AB479" s="1055"/>
      <c r="AC479" s="1055"/>
      <c r="AD479" s="1055"/>
      <c r="AE479" s="1055"/>
      <c r="AF479" s="1055"/>
      <c r="AG479" s="1055"/>
      <c r="AH479" s="1055"/>
      <c r="AI479" s="1055"/>
      <c r="AJ479" s="1055"/>
      <c r="AK479" s="1055"/>
      <c r="AL479" s="1055"/>
      <c r="AM479" s="1055"/>
      <c r="AN479" s="1055"/>
      <c r="AO479" s="1055"/>
      <c r="AP479" s="1055"/>
      <c r="AQ479" s="1055"/>
      <c r="AR479" s="1055"/>
      <c r="AS479" s="1055"/>
      <c r="AT479" s="1055"/>
      <c r="AU479" s="1055"/>
      <c r="AV479" s="1055"/>
      <c r="AW479" s="1055"/>
      <c r="AX479" s="1055"/>
      <c r="AY479" s="1055"/>
      <c r="AZ479" s="1055"/>
      <c r="BA479" s="1055"/>
      <c r="BB479" s="1055"/>
      <c r="BC479" s="1055"/>
      <c r="BD479" s="1055"/>
      <c r="BE479" s="1055"/>
      <c r="BF479" s="1055"/>
      <c r="BG479" s="1055"/>
      <c r="BH479" s="1055"/>
      <c r="BI479" s="1055"/>
      <c r="BJ479" s="1055"/>
      <c r="BK479" s="1055"/>
      <c r="BL479" s="1055"/>
      <c r="BM479" s="1055"/>
      <c r="BN479" s="1055"/>
      <c r="BO479" s="1055"/>
      <c r="BP479" s="1055"/>
      <c r="BQ479" s="1055"/>
      <c r="BR479" s="1055"/>
      <c r="BS479" s="1055"/>
      <c r="BT479" s="1055"/>
      <c r="BU479" s="1055"/>
      <c r="BV479" s="1055"/>
      <c r="BW479" s="1055"/>
      <c r="BX479" s="1055"/>
      <c r="BY479" s="1055"/>
      <c r="BZ479" s="1055"/>
      <c r="CA479" s="1055"/>
      <c r="CB479" s="1055"/>
      <c r="CC479" s="1055"/>
      <c r="CD479" s="1055"/>
      <c r="CE479" s="1055"/>
      <c r="CF479" s="1055"/>
      <c r="CG479" s="1055"/>
      <c r="CH479" s="1055"/>
      <c r="CI479" s="1055"/>
      <c r="CJ479" s="1055"/>
      <c r="CK479" s="1055"/>
      <c r="CL479" s="1055"/>
      <c r="CM479" s="1055"/>
      <c r="CN479" s="1055"/>
      <c r="CO479" s="1055"/>
      <c r="CP479" s="1055"/>
      <c r="CQ479" s="1055"/>
      <c r="CR479" s="1055"/>
      <c r="CS479" s="1055"/>
      <c r="CT479" s="1055"/>
      <c r="CU479" s="1055"/>
      <c r="CV479" s="1055"/>
      <c r="CW479" s="1055"/>
      <c r="CX479" s="1055"/>
      <c r="CY479" s="1055"/>
      <c r="CZ479" s="1055"/>
      <c r="DA479" s="1055"/>
      <c r="DB479" s="1055"/>
      <c r="DC479" s="1055"/>
      <c r="DD479" s="1055"/>
      <c r="DE479" s="1055"/>
      <c r="DF479" s="1055"/>
      <c r="DG479" s="1055"/>
      <c r="DH479" s="1055"/>
      <c r="DI479" s="1055"/>
      <c r="DJ479" s="1055"/>
      <c r="DK479" s="1055"/>
      <c r="DL479" s="1055"/>
      <c r="DM479" s="1055"/>
      <c r="DN479" s="1055"/>
      <c r="DO479" s="1055"/>
      <c r="DP479" s="1055"/>
      <c r="DQ479" s="1055"/>
      <c r="DR479" s="1055"/>
      <c r="DS479" s="1055"/>
      <c r="DT479" s="1055"/>
      <c r="DU479" s="1055"/>
      <c r="DV479" s="1055"/>
      <c r="DW479" s="1055"/>
      <c r="DX479" s="1055"/>
      <c r="DY479" s="1055"/>
      <c r="DZ479" s="1055"/>
      <c r="EA479" s="1055"/>
      <c r="EB479" s="1055"/>
      <c r="EC479" s="1055"/>
      <c r="ED479" s="1055"/>
      <c r="EE479" s="1055"/>
      <c r="EF479" s="1055"/>
      <c r="EG479" s="1055"/>
      <c r="EH479" s="1055"/>
      <c r="EI479" s="1055"/>
      <c r="EJ479" s="1055"/>
      <c r="EK479" s="1055"/>
      <c r="EL479" s="1055"/>
      <c r="EM479" s="1055"/>
      <c r="EN479" s="1055"/>
      <c r="EO479" s="1055"/>
      <c r="EP479" s="1055"/>
      <c r="EQ479" s="1055"/>
      <c r="ER479" s="1055"/>
      <c r="ES479" s="1055"/>
      <c r="ET479" s="1055"/>
      <c r="EU479" s="1055"/>
      <c r="EV479" s="1055"/>
      <c r="EW479" s="1055"/>
      <c r="EX479" s="1055"/>
      <c r="EY479" s="1055"/>
      <c r="EZ479" s="1055"/>
      <c r="FA479" s="1055"/>
      <c r="FB479" s="1055"/>
    </row>
    <row r="480" spans="1:158" ht="32.1" customHeight="1">
      <c r="A480" s="1610" t="s">
        <v>6873</v>
      </c>
      <c r="B480" s="1611" t="s">
        <v>6874</v>
      </c>
      <c r="C480" s="1514">
        <f t="shared" ref="C480:H480" si="118">AVERAGE(C481:C491)</f>
        <v>0.71008157199784283</v>
      </c>
      <c r="D480" s="1514">
        <f t="shared" si="118"/>
        <v>0.55944055944055948</v>
      </c>
      <c r="E480" s="1514">
        <f t="shared" si="118"/>
        <v>0</v>
      </c>
      <c r="F480" s="1514">
        <f t="shared" si="118"/>
        <v>0.65484515484515482</v>
      </c>
      <c r="G480" s="1514">
        <f t="shared" si="118"/>
        <v>0.46153846153846151</v>
      </c>
      <c r="H480" s="1514">
        <f t="shared" si="118"/>
        <v>0.2007509781605317</v>
      </c>
      <c r="I480" s="1751"/>
      <c r="J480" s="1291"/>
      <c r="K480" s="1291"/>
      <c r="L480" s="1291"/>
      <c r="M480" s="1291"/>
      <c r="N480" s="1291"/>
      <c r="O480" s="1291"/>
      <c r="P480" s="1291"/>
      <c r="Q480" s="1291"/>
      <c r="R480" s="1290"/>
      <c r="S480" s="1055"/>
      <c r="T480" s="1055"/>
      <c r="U480" s="1055"/>
      <c r="V480" s="1055"/>
      <c r="W480" s="1055"/>
      <c r="X480" s="1055"/>
      <c r="Y480" s="1055"/>
      <c r="Z480" s="1055"/>
      <c r="AA480" s="1055"/>
      <c r="AB480" s="1055"/>
      <c r="AC480" s="1055"/>
      <c r="AD480" s="1055"/>
      <c r="AE480" s="1055"/>
      <c r="AF480" s="1055"/>
      <c r="AG480" s="1055"/>
      <c r="AH480" s="1055"/>
      <c r="AI480" s="1055"/>
      <c r="AJ480" s="1055"/>
      <c r="AK480" s="1055"/>
      <c r="AL480" s="1055"/>
      <c r="AM480" s="1055"/>
      <c r="AN480" s="1055"/>
      <c r="AO480" s="1055"/>
      <c r="AP480" s="1055"/>
      <c r="AQ480" s="1055"/>
      <c r="AR480" s="1055"/>
      <c r="AS480" s="1055"/>
      <c r="AT480" s="1055"/>
      <c r="AU480" s="1055"/>
      <c r="AV480" s="1055"/>
      <c r="AW480" s="1055"/>
      <c r="AX480" s="1055"/>
      <c r="AY480" s="1055"/>
      <c r="AZ480" s="1055"/>
      <c r="BA480" s="1055"/>
      <c r="BB480" s="1055"/>
      <c r="BC480" s="1055"/>
      <c r="BD480" s="1055"/>
      <c r="BE480" s="1055"/>
      <c r="BF480" s="1055"/>
      <c r="BG480" s="1055"/>
      <c r="BH480" s="1055"/>
      <c r="BI480" s="1055"/>
      <c r="BJ480" s="1055"/>
      <c r="BK480" s="1055"/>
      <c r="BL480" s="1055"/>
      <c r="BM480" s="1055"/>
      <c r="BN480" s="1055"/>
      <c r="BO480" s="1055"/>
      <c r="BP480" s="1055"/>
      <c r="BQ480" s="1055"/>
      <c r="BR480" s="1055"/>
      <c r="BS480" s="1055"/>
      <c r="BT480" s="1055"/>
      <c r="BU480" s="1055"/>
      <c r="BV480" s="1055"/>
      <c r="BW480" s="1055"/>
      <c r="BX480" s="1055"/>
      <c r="BY480" s="1055"/>
      <c r="BZ480" s="1055"/>
      <c r="CA480" s="1055"/>
      <c r="CB480" s="1055"/>
      <c r="CC480" s="1055"/>
      <c r="CD480" s="1055"/>
      <c r="CE480" s="1055"/>
      <c r="CF480" s="1055"/>
      <c r="CG480" s="1055"/>
      <c r="CH480" s="1055"/>
      <c r="CI480" s="1055"/>
      <c r="CJ480" s="1055"/>
      <c r="CK480" s="1055"/>
      <c r="CL480" s="1055"/>
      <c r="CM480" s="1055"/>
      <c r="CN480" s="1055"/>
      <c r="CO480" s="1055"/>
      <c r="CP480" s="1055"/>
      <c r="CQ480" s="1055"/>
      <c r="CR480" s="1055"/>
      <c r="CS480" s="1055"/>
      <c r="CT480" s="1055"/>
      <c r="CU480" s="1055"/>
      <c r="CV480" s="1055"/>
      <c r="CW480" s="1055"/>
      <c r="CX480" s="1055"/>
      <c r="CY480" s="1055"/>
      <c r="CZ480" s="1055"/>
      <c r="DA480" s="1055"/>
      <c r="DB480" s="1055"/>
      <c r="DC480" s="1055"/>
      <c r="DD480" s="1055"/>
      <c r="DE480" s="1055"/>
      <c r="DF480" s="1055"/>
      <c r="DG480" s="1055"/>
      <c r="DH480" s="1055"/>
      <c r="DI480" s="1055"/>
      <c r="DJ480" s="1055"/>
      <c r="DK480" s="1055"/>
      <c r="DL480" s="1055"/>
      <c r="DM480" s="1055"/>
      <c r="DN480" s="1055"/>
      <c r="DO480" s="1055"/>
      <c r="DP480" s="1055"/>
      <c r="DQ480" s="1055"/>
      <c r="DR480" s="1055"/>
      <c r="DS480" s="1055"/>
      <c r="DT480" s="1055"/>
      <c r="DU480" s="1055"/>
      <c r="DV480" s="1055"/>
      <c r="DW480" s="1055"/>
      <c r="DX480" s="1055"/>
      <c r="DY480" s="1055"/>
      <c r="DZ480" s="1055"/>
      <c r="EA480" s="1055"/>
      <c r="EB480" s="1055"/>
      <c r="EC480" s="1055"/>
      <c r="ED480" s="1055"/>
      <c r="EE480" s="1055"/>
      <c r="EF480" s="1055"/>
      <c r="EG480" s="1055"/>
      <c r="EH480" s="1055"/>
      <c r="EI480" s="1055"/>
      <c r="EJ480" s="1055"/>
      <c r="EK480" s="1055"/>
      <c r="EL480" s="1055"/>
      <c r="EM480" s="1055"/>
      <c r="EN480" s="1055"/>
      <c r="EO480" s="1055"/>
      <c r="EP480" s="1055"/>
      <c r="EQ480" s="1055"/>
      <c r="ER480" s="1055"/>
      <c r="ES480" s="1055"/>
      <c r="ET480" s="1055"/>
      <c r="EU480" s="1055"/>
      <c r="EV480" s="1055"/>
      <c r="EW480" s="1055"/>
      <c r="EX480" s="1055"/>
      <c r="EY480" s="1055"/>
      <c r="EZ480" s="1055"/>
      <c r="FA480" s="1055"/>
      <c r="FB480" s="1055"/>
    </row>
    <row r="481" spans="1:158" s="1226" customFormat="1" ht="32.1" customHeight="1">
      <c r="A481" s="1293"/>
      <c r="B481" s="1294" t="s">
        <v>6777</v>
      </c>
      <c r="C481" s="1422">
        <f t="shared" ref="C481:H482" si="119">IF(J481&gt;$P481,1,IF(J481&lt;$Q481,0,(J481-$Q481)/($P481-$Q481)))</f>
        <v>0</v>
      </c>
      <c r="D481" s="1422">
        <f t="shared" si="119"/>
        <v>0</v>
      </c>
      <c r="E481" s="1422"/>
      <c r="F481" s="1422">
        <f t="shared" si="119"/>
        <v>0.30769230769230765</v>
      </c>
      <c r="G481" s="1422">
        <f t="shared" si="119"/>
        <v>0.69230769230769229</v>
      </c>
      <c r="H481" s="1422">
        <f t="shared" si="119"/>
        <v>0.69230769230769229</v>
      </c>
      <c r="I481" s="1773" t="s">
        <v>525</v>
      </c>
      <c r="J481" s="1295">
        <v>2.504846038072595</v>
      </c>
      <c r="K481" s="1295">
        <v>2.5</v>
      </c>
      <c r="L481" s="1296" t="s">
        <v>1073</v>
      </c>
      <c r="M481" s="1098">
        <v>3.1</v>
      </c>
      <c r="N481" s="1098">
        <v>3.6</v>
      </c>
      <c r="O481" s="1295">
        <v>3.6</v>
      </c>
      <c r="P481" s="1295">
        <v>4</v>
      </c>
      <c r="Q481" s="1098">
        <v>2.7</v>
      </c>
      <c r="R481" s="1301"/>
    </row>
    <row r="482" spans="1:158" s="1226" customFormat="1" ht="32.1" customHeight="1">
      <c r="A482" s="1293"/>
      <c r="B482" s="1294" t="s">
        <v>6778</v>
      </c>
      <c r="C482" s="1422">
        <f>IF(J482&gt;$P482,1,IF(J482&lt;$Q482,0,(J482-$Q482)/($P482-$Q482)))</f>
        <v>0.50320498428396332</v>
      </c>
      <c r="D482" s="1422">
        <f t="shared" si="119"/>
        <v>0</v>
      </c>
      <c r="E482" s="1422"/>
      <c r="F482" s="1422">
        <f t="shared" si="119"/>
        <v>0.8571428571428571</v>
      </c>
      <c r="G482" s="1422">
        <f t="shared" si="119"/>
        <v>1</v>
      </c>
      <c r="H482" s="1422">
        <f t="shared" si="119"/>
        <v>0.86210691361200231</v>
      </c>
      <c r="I482" s="1773" t="s">
        <v>525</v>
      </c>
      <c r="J482" s="1295">
        <v>3.3522434889987744</v>
      </c>
      <c r="K482" s="1295">
        <v>2.9</v>
      </c>
      <c r="L482" s="1296" t="s">
        <v>1073</v>
      </c>
      <c r="M482" s="1098">
        <v>3.6</v>
      </c>
      <c r="N482" s="1098">
        <v>3.9</v>
      </c>
      <c r="O482" s="1295">
        <v>3.6034748395284018</v>
      </c>
      <c r="P482" s="1295">
        <v>3.7</v>
      </c>
      <c r="Q482" s="1098">
        <v>3</v>
      </c>
      <c r="R482" s="1301"/>
    </row>
    <row r="483" spans="1:158" s="1226" customFormat="1" ht="32.1" customHeight="1">
      <c r="A483" s="1293"/>
      <c r="B483" s="1294" t="s">
        <v>6779</v>
      </c>
      <c r="C483" s="1422">
        <f>(J483-$Q483)/($P483-$Q483)</f>
        <v>0.30769230769230799</v>
      </c>
      <c r="D483" s="1422">
        <f>(K483-$Q483)/($P483-$Q483)</f>
        <v>0.15384615384615399</v>
      </c>
      <c r="E483" s="1422"/>
      <c r="F483" s="1422">
        <f>(M483-$Q483)/($P483-$Q483)</f>
        <v>0.53846153846153866</v>
      </c>
      <c r="G483" s="1422">
        <f>(N483-$Q483)/($P483-$Q483)</f>
        <v>0.38461538461538469</v>
      </c>
      <c r="H483" s="1422">
        <f>(O483-$Q483)/($P483-$Q483)</f>
        <v>0.15384615384615399</v>
      </c>
      <c r="I483" s="1773" t="s">
        <v>525</v>
      </c>
      <c r="J483" s="1295">
        <v>4.7</v>
      </c>
      <c r="K483" s="1295">
        <v>4.5</v>
      </c>
      <c r="L483" s="1296" t="s">
        <v>1073</v>
      </c>
      <c r="M483" s="1098">
        <v>5</v>
      </c>
      <c r="N483" s="1098">
        <v>4.8</v>
      </c>
      <c r="O483" s="1295">
        <v>4.5</v>
      </c>
      <c r="P483" s="1295">
        <v>5.6</v>
      </c>
      <c r="Q483" s="1098">
        <v>4.3</v>
      </c>
      <c r="R483" s="1301"/>
    </row>
    <row r="484" spans="1:158" ht="32.1" customHeight="1">
      <c r="A484" s="1299"/>
      <c r="B484" s="1672" t="s">
        <v>640</v>
      </c>
      <c r="C484" s="1731">
        <v>1</v>
      </c>
      <c r="D484" s="1731">
        <v>1</v>
      </c>
      <c r="E484" s="1731">
        <v>0</v>
      </c>
      <c r="F484" s="1731">
        <v>1</v>
      </c>
      <c r="G484" s="1731">
        <v>1</v>
      </c>
      <c r="H484" s="1731">
        <v>0</v>
      </c>
      <c r="I484" s="1753" t="s">
        <v>38</v>
      </c>
      <c r="J484" s="1200">
        <v>1</v>
      </c>
      <c r="K484" s="1073" t="s">
        <v>960</v>
      </c>
      <c r="L484" s="1079" t="s">
        <v>748</v>
      </c>
      <c r="M484" s="1200">
        <v>0</v>
      </c>
      <c r="N484" s="1073">
        <v>1</v>
      </c>
      <c r="O484" s="1394" t="s">
        <v>5787</v>
      </c>
      <c r="P484" s="1073">
        <v>1</v>
      </c>
      <c r="Q484" s="1073">
        <v>0</v>
      </c>
      <c r="R484" s="1290"/>
      <c r="S484" s="1055"/>
      <c r="T484" s="1055"/>
      <c r="U484" s="1055"/>
      <c r="V484" s="1055"/>
      <c r="W484" s="1055"/>
      <c r="X484" s="1055"/>
      <c r="Y484" s="1055"/>
      <c r="Z484" s="1055"/>
      <c r="AA484" s="1055"/>
      <c r="AB484" s="1055"/>
      <c r="AC484" s="1055"/>
      <c r="AD484" s="1055"/>
      <c r="AE484" s="1055"/>
      <c r="AF484" s="1055"/>
      <c r="AG484" s="1055"/>
      <c r="AH484" s="1055"/>
      <c r="AI484" s="1055"/>
      <c r="AJ484" s="1055"/>
      <c r="AK484" s="1055"/>
      <c r="AL484" s="1055"/>
      <c r="AM484" s="1055"/>
      <c r="AN484" s="1055"/>
      <c r="AO484" s="1055"/>
      <c r="AP484" s="1055"/>
      <c r="AQ484" s="1055"/>
      <c r="AR484" s="1055"/>
      <c r="AS484" s="1055"/>
      <c r="AT484" s="1055"/>
      <c r="AU484" s="1055"/>
      <c r="AV484" s="1055"/>
      <c r="AW484" s="1055"/>
      <c r="AX484" s="1055"/>
      <c r="AY484" s="1055"/>
      <c r="AZ484" s="1055"/>
      <c r="BA484" s="1055"/>
      <c r="BB484" s="1055"/>
      <c r="BC484" s="1055"/>
      <c r="BD484" s="1055"/>
      <c r="BE484" s="1055"/>
      <c r="BF484" s="1055"/>
      <c r="BG484" s="1055"/>
      <c r="BH484" s="1055"/>
      <c r="BI484" s="1055"/>
      <c r="BJ484" s="1055"/>
      <c r="BK484" s="1055"/>
      <c r="BL484" s="1055"/>
      <c r="BM484" s="1055"/>
      <c r="BN484" s="1055"/>
      <c r="BO484" s="1055"/>
      <c r="BP484" s="1055"/>
      <c r="BQ484" s="1055"/>
      <c r="BR484" s="1055"/>
      <c r="BS484" s="1055"/>
      <c r="BT484" s="1055"/>
      <c r="BU484" s="1055"/>
      <c r="BV484" s="1055"/>
      <c r="BW484" s="1055"/>
      <c r="BX484" s="1055"/>
      <c r="BY484" s="1055"/>
      <c r="BZ484" s="1055"/>
      <c r="CA484" s="1055"/>
      <c r="CB484" s="1055"/>
      <c r="CC484" s="1055"/>
      <c r="CD484" s="1055"/>
      <c r="CE484" s="1055"/>
      <c r="CF484" s="1055"/>
      <c r="CG484" s="1055"/>
      <c r="CH484" s="1055"/>
      <c r="CI484" s="1055"/>
      <c r="CJ484" s="1055"/>
      <c r="CK484" s="1055"/>
      <c r="CL484" s="1055"/>
      <c r="CM484" s="1055"/>
      <c r="CN484" s="1055"/>
      <c r="CO484" s="1055"/>
      <c r="CP484" s="1055"/>
      <c r="CQ484" s="1055"/>
      <c r="CR484" s="1055"/>
      <c r="CS484" s="1055"/>
      <c r="CT484" s="1055"/>
      <c r="CU484" s="1055"/>
      <c r="CV484" s="1055"/>
      <c r="CW484" s="1055"/>
      <c r="CX484" s="1055"/>
      <c r="CY484" s="1055"/>
      <c r="CZ484" s="1055"/>
      <c r="DA484" s="1055"/>
      <c r="DB484" s="1055"/>
      <c r="DC484" s="1055"/>
      <c r="DD484" s="1055"/>
      <c r="DE484" s="1055"/>
      <c r="DF484" s="1055"/>
      <c r="DG484" s="1055"/>
      <c r="DH484" s="1055"/>
      <c r="DI484" s="1055"/>
      <c r="DJ484" s="1055"/>
      <c r="DK484" s="1055"/>
      <c r="DL484" s="1055"/>
      <c r="DM484" s="1055"/>
      <c r="DN484" s="1055"/>
      <c r="DO484" s="1055"/>
      <c r="DP484" s="1055"/>
      <c r="DQ484" s="1055"/>
      <c r="DR484" s="1055"/>
      <c r="DS484" s="1055"/>
      <c r="DT484" s="1055"/>
      <c r="DU484" s="1055"/>
      <c r="DV484" s="1055"/>
      <c r="DW484" s="1055"/>
      <c r="DX484" s="1055"/>
      <c r="DY484" s="1055"/>
      <c r="DZ484" s="1055"/>
      <c r="EA484" s="1055"/>
      <c r="EB484" s="1055"/>
      <c r="EC484" s="1055"/>
      <c r="ED484" s="1055"/>
      <c r="EE484" s="1055"/>
      <c r="EF484" s="1055"/>
      <c r="EG484" s="1055"/>
      <c r="EH484" s="1055"/>
      <c r="EI484" s="1055"/>
      <c r="EJ484" s="1055"/>
      <c r="EK484" s="1055"/>
      <c r="EL484" s="1055"/>
      <c r="EM484" s="1055"/>
      <c r="EN484" s="1055"/>
      <c r="EO484" s="1055"/>
      <c r="EP484" s="1055"/>
      <c r="EQ484" s="1055"/>
      <c r="ER484" s="1055"/>
      <c r="ES484" s="1055"/>
      <c r="ET484" s="1055"/>
      <c r="EU484" s="1055"/>
      <c r="EV484" s="1055"/>
      <c r="EW484" s="1055"/>
      <c r="EX484" s="1055"/>
      <c r="EY484" s="1055"/>
      <c r="EZ484" s="1055"/>
      <c r="FA484" s="1055"/>
      <c r="FB484" s="1055"/>
    </row>
    <row r="485" spans="1:158" ht="32.1" customHeight="1">
      <c r="A485" s="1052"/>
      <c r="B485" s="1383" t="s">
        <v>641</v>
      </c>
      <c r="C485" s="1728">
        <v>1</v>
      </c>
      <c r="D485" s="1728">
        <v>1</v>
      </c>
      <c r="E485" s="1728">
        <v>0</v>
      </c>
      <c r="F485" s="1728">
        <v>1</v>
      </c>
      <c r="G485" s="1728">
        <v>1</v>
      </c>
      <c r="H485" s="1728">
        <v>0</v>
      </c>
      <c r="I485" s="1195" t="s">
        <v>38</v>
      </c>
      <c r="J485" s="1073">
        <v>1</v>
      </c>
      <c r="K485" s="1073" t="s">
        <v>960</v>
      </c>
      <c r="L485" s="1079" t="s">
        <v>748</v>
      </c>
      <c r="M485" s="1200" t="s">
        <v>6759</v>
      </c>
      <c r="N485" s="1073">
        <v>0</v>
      </c>
      <c r="O485" s="1073" t="s">
        <v>5788</v>
      </c>
      <c r="P485" s="1073">
        <v>1</v>
      </c>
      <c r="Q485" s="1073">
        <v>0</v>
      </c>
      <c r="R485" s="1290"/>
      <c r="S485" s="1055"/>
      <c r="T485" s="1055"/>
      <c r="U485" s="1055"/>
      <c r="V485" s="1055"/>
      <c r="W485" s="1055"/>
      <c r="X485" s="1055"/>
      <c r="Y485" s="1055"/>
      <c r="Z485" s="1055"/>
      <c r="AA485" s="1055"/>
      <c r="AB485" s="1055"/>
      <c r="AC485" s="1055"/>
      <c r="AD485" s="1055"/>
      <c r="AE485" s="1055"/>
      <c r="AF485" s="1055"/>
      <c r="AG485" s="1055"/>
      <c r="AH485" s="1055"/>
      <c r="AI485" s="1055"/>
      <c r="AJ485" s="1055"/>
      <c r="AK485" s="1055"/>
      <c r="AL485" s="1055"/>
      <c r="AM485" s="1055"/>
      <c r="AN485" s="1055"/>
      <c r="AO485" s="1055"/>
      <c r="AP485" s="1055"/>
      <c r="AQ485" s="1055"/>
      <c r="AR485" s="1055"/>
      <c r="AS485" s="1055"/>
      <c r="AT485" s="1055"/>
      <c r="AU485" s="1055"/>
      <c r="AV485" s="1055"/>
      <c r="AW485" s="1055"/>
      <c r="AX485" s="1055"/>
      <c r="AY485" s="1055"/>
      <c r="AZ485" s="1055"/>
      <c r="BA485" s="1055"/>
      <c r="BB485" s="1055"/>
      <c r="BC485" s="1055"/>
      <c r="BD485" s="1055"/>
      <c r="BE485" s="1055"/>
      <c r="BF485" s="1055"/>
      <c r="BG485" s="1055"/>
      <c r="BH485" s="1055"/>
      <c r="BI485" s="1055"/>
      <c r="BJ485" s="1055"/>
      <c r="BK485" s="1055"/>
      <c r="BL485" s="1055"/>
      <c r="BM485" s="1055"/>
      <c r="BN485" s="1055"/>
      <c r="BO485" s="1055"/>
      <c r="BP485" s="1055"/>
      <c r="BQ485" s="1055"/>
      <c r="BR485" s="1055"/>
      <c r="BS485" s="1055"/>
      <c r="BT485" s="1055"/>
      <c r="BU485" s="1055"/>
      <c r="BV485" s="1055"/>
      <c r="BW485" s="1055"/>
      <c r="BX485" s="1055"/>
      <c r="BY485" s="1055"/>
      <c r="BZ485" s="1055"/>
      <c r="CA485" s="1055"/>
      <c r="CB485" s="1055"/>
      <c r="CC485" s="1055"/>
      <c r="CD485" s="1055"/>
      <c r="CE485" s="1055"/>
      <c r="CF485" s="1055"/>
      <c r="CG485" s="1055"/>
      <c r="CH485" s="1055"/>
      <c r="CI485" s="1055"/>
      <c r="CJ485" s="1055"/>
      <c r="CK485" s="1055"/>
      <c r="CL485" s="1055"/>
      <c r="CM485" s="1055"/>
      <c r="CN485" s="1055"/>
      <c r="CO485" s="1055"/>
      <c r="CP485" s="1055"/>
      <c r="CQ485" s="1055"/>
      <c r="CR485" s="1055"/>
      <c r="CS485" s="1055"/>
      <c r="CT485" s="1055"/>
      <c r="CU485" s="1055"/>
      <c r="CV485" s="1055"/>
      <c r="CW485" s="1055"/>
      <c r="CX485" s="1055"/>
      <c r="CY485" s="1055"/>
      <c r="CZ485" s="1055"/>
      <c r="DA485" s="1055"/>
      <c r="DB485" s="1055"/>
      <c r="DC485" s="1055"/>
      <c r="DD485" s="1055"/>
      <c r="DE485" s="1055"/>
      <c r="DF485" s="1055"/>
      <c r="DG485" s="1055"/>
      <c r="DH485" s="1055"/>
      <c r="DI485" s="1055"/>
      <c r="DJ485" s="1055"/>
      <c r="DK485" s="1055"/>
      <c r="DL485" s="1055"/>
      <c r="DM485" s="1055"/>
      <c r="DN485" s="1055"/>
      <c r="DO485" s="1055"/>
      <c r="DP485" s="1055"/>
      <c r="DQ485" s="1055"/>
      <c r="DR485" s="1055"/>
      <c r="DS485" s="1055"/>
      <c r="DT485" s="1055"/>
      <c r="DU485" s="1055"/>
      <c r="DV485" s="1055"/>
      <c r="DW485" s="1055"/>
      <c r="DX485" s="1055"/>
      <c r="DY485" s="1055"/>
      <c r="DZ485" s="1055"/>
      <c r="EA485" s="1055"/>
      <c r="EB485" s="1055"/>
      <c r="EC485" s="1055"/>
      <c r="ED485" s="1055"/>
      <c r="EE485" s="1055"/>
      <c r="EF485" s="1055"/>
      <c r="EG485" s="1055"/>
      <c r="EH485" s="1055"/>
      <c r="EI485" s="1055"/>
      <c r="EJ485" s="1055"/>
      <c r="EK485" s="1055"/>
      <c r="EL485" s="1055"/>
      <c r="EM485" s="1055"/>
      <c r="EN485" s="1055"/>
      <c r="EO485" s="1055"/>
      <c r="EP485" s="1055"/>
      <c r="EQ485" s="1055"/>
      <c r="ER485" s="1055"/>
      <c r="ES485" s="1055"/>
      <c r="ET485" s="1055"/>
      <c r="EU485" s="1055"/>
      <c r="EV485" s="1055"/>
      <c r="EW485" s="1055"/>
      <c r="EX485" s="1055"/>
      <c r="EY485" s="1055"/>
      <c r="EZ485" s="1055"/>
      <c r="FA485" s="1055"/>
      <c r="FB485" s="1055"/>
    </row>
    <row r="486" spans="1:158" ht="32.1" customHeight="1">
      <c r="A486" s="1052"/>
      <c r="B486" s="1151" t="s">
        <v>642</v>
      </c>
      <c r="C486" s="1728">
        <v>1</v>
      </c>
      <c r="D486" s="1728">
        <v>0</v>
      </c>
      <c r="E486" s="1728">
        <v>0</v>
      </c>
      <c r="F486" s="1485">
        <v>1</v>
      </c>
      <c r="G486" s="1728">
        <v>0</v>
      </c>
      <c r="H486" s="1728">
        <v>0</v>
      </c>
      <c r="I486" s="1195" t="s">
        <v>459</v>
      </c>
      <c r="J486" s="1073">
        <v>1</v>
      </c>
      <c r="K486" s="1073" t="s">
        <v>1060</v>
      </c>
      <c r="L486" s="1079" t="s">
        <v>748</v>
      </c>
      <c r="M486" s="1277">
        <v>0.5</v>
      </c>
      <c r="N486" s="1073">
        <v>0</v>
      </c>
      <c r="O486" s="1073" t="s">
        <v>5789</v>
      </c>
      <c r="P486" s="1073">
        <v>1</v>
      </c>
      <c r="Q486" s="1073">
        <v>0</v>
      </c>
      <c r="R486" s="1290"/>
      <c r="S486" s="1055"/>
      <c r="T486" s="1055"/>
      <c r="U486" s="1055"/>
      <c r="V486" s="1055"/>
      <c r="W486" s="1055"/>
      <c r="X486" s="1055"/>
      <c r="Y486" s="1055"/>
      <c r="Z486" s="1055"/>
      <c r="AA486" s="1055"/>
      <c r="AB486" s="1055"/>
      <c r="AC486" s="1055"/>
      <c r="AD486" s="1055"/>
      <c r="AE486" s="1055"/>
      <c r="AF486" s="1055"/>
      <c r="AG486" s="1055"/>
      <c r="AH486" s="1055"/>
      <c r="AI486" s="1055"/>
      <c r="AJ486" s="1055"/>
      <c r="AK486" s="1055"/>
      <c r="AL486" s="1055"/>
      <c r="AM486" s="1055"/>
      <c r="AN486" s="1055"/>
      <c r="AO486" s="1055"/>
      <c r="AP486" s="1055"/>
      <c r="AQ486" s="1055"/>
      <c r="AR486" s="1055"/>
      <c r="AS486" s="1055"/>
      <c r="AT486" s="1055"/>
      <c r="AU486" s="1055"/>
      <c r="AV486" s="1055"/>
      <c r="AW486" s="1055"/>
      <c r="AX486" s="1055"/>
      <c r="AY486" s="1055"/>
      <c r="AZ486" s="1055"/>
      <c r="BA486" s="1055"/>
      <c r="BB486" s="1055"/>
      <c r="BC486" s="1055"/>
      <c r="BD486" s="1055"/>
      <c r="BE486" s="1055"/>
      <c r="BF486" s="1055"/>
      <c r="BG486" s="1055"/>
      <c r="BH486" s="1055"/>
      <c r="BI486" s="1055"/>
      <c r="BJ486" s="1055"/>
      <c r="BK486" s="1055"/>
      <c r="BL486" s="1055"/>
      <c r="BM486" s="1055"/>
      <c r="BN486" s="1055"/>
      <c r="BO486" s="1055"/>
      <c r="BP486" s="1055"/>
      <c r="BQ486" s="1055"/>
      <c r="BR486" s="1055"/>
      <c r="BS486" s="1055"/>
      <c r="BT486" s="1055"/>
      <c r="BU486" s="1055"/>
      <c r="BV486" s="1055"/>
      <c r="BW486" s="1055"/>
      <c r="BX486" s="1055"/>
      <c r="BY486" s="1055"/>
      <c r="BZ486" s="1055"/>
      <c r="CA486" s="1055"/>
      <c r="CB486" s="1055"/>
      <c r="CC486" s="1055"/>
      <c r="CD486" s="1055"/>
      <c r="CE486" s="1055"/>
      <c r="CF486" s="1055"/>
      <c r="CG486" s="1055"/>
      <c r="CH486" s="1055"/>
      <c r="CI486" s="1055"/>
      <c r="CJ486" s="1055"/>
      <c r="CK486" s="1055"/>
      <c r="CL486" s="1055"/>
      <c r="CM486" s="1055"/>
      <c r="CN486" s="1055"/>
      <c r="CO486" s="1055"/>
      <c r="CP486" s="1055"/>
      <c r="CQ486" s="1055"/>
      <c r="CR486" s="1055"/>
      <c r="CS486" s="1055"/>
      <c r="CT486" s="1055"/>
      <c r="CU486" s="1055"/>
      <c r="CV486" s="1055"/>
      <c r="CW486" s="1055"/>
      <c r="CX486" s="1055"/>
      <c r="CY486" s="1055"/>
      <c r="CZ486" s="1055"/>
      <c r="DA486" s="1055"/>
      <c r="DB486" s="1055"/>
      <c r="DC486" s="1055"/>
      <c r="DD486" s="1055"/>
      <c r="DE486" s="1055"/>
      <c r="DF486" s="1055"/>
      <c r="DG486" s="1055"/>
      <c r="DH486" s="1055"/>
      <c r="DI486" s="1055"/>
      <c r="DJ486" s="1055"/>
      <c r="DK486" s="1055"/>
      <c r="DL486" s="1055"/>
      <c r="DM486" s="1055"/>
      <c r="DN486" s="1055"/>
      <c r="DO486" s="1055"/>
      <c r="DP486" s="1055"/>
      <c r="DQ486" s="1055"/>
      <c r="DR486" s="1055"/>
      <c r="DS486" s="1055"/>
      <c r="DT486" s="1055"/>
      <c r="DU486" s="1055"/>
      <c r="DV486" s="1055"/>
      <c r="DW486" s="1055"/>
      <c r="DX486" s="1055"/>
      <c r="DY486" s="1055"/>
      <c r="DZ486" s="1055"/>
      <c r="EA486" s="1055"/>
      <c r="EB486" s="1055"/>
      <c r="EC486" s="1055"/>
      <c r="ED486" s="1055"/>
      <c r="EE486" s="1055"/>
      <c r="EF486" s="1055"/>
      <c r="EG486" s="1055"/>
      <c r="EH486" s="1055"/>
      <c r="EI486" s="1055"/>
      <c r="EJ486" s="1055"/>
      <c r="EK486" s="1055"/>
      <c r="EL486" s="1055"/>
      <c r="EM486" s="1055"/>
      <c r="EN486" s="1055"/>
      <c r="EO486" s="1055"/>
      <c r="EP486" s="1055"/>
      <c r="EQ486" s="1055"/>
      <c r="ER486" s="1055"/>
      <c r="ES486" s="1055"/>
      <c r="ET486" s="1055"/>
      <c r="EU486" s="1055"/>
      <c r="EV486" s="1055"/>
      <c r="EW486" s="1055"/>
      <c r="EX486" s="1055"/>
      <c r="EY486" s="1055"/>
      <c r="EZ486" s="1055"/>
      <c r="FA486" s="1055"/>
      <c r="FB486" s="1055"/>
    </row>
    <row r="487" spans="1:158" ht="32.1" customHeight="1">
      <c r="A487" s="1052"/>
      <c r="B487" s="1151" t="s">
        <v>643</v>
      </c>
      <c r="C487" s="1728">
        <v>1</v>
      </c>
      <c r="D487" s="1728">
        <v>1</v>
      </c>
      <c r="E487" s="1728">
        <v>0</v>
      </c>
      <c r="F487" s="1728">
        <v>0.5</v>
      </c>
      <c r="G487" s="1728">
        <v>1</v>
      </c>
      <c r="H487" s="1728">
        <v>0.5</v>
      </c>
      <c r="I487" s="1195" t="s">
        <v>459</v>
      </c>
      <c r="J487" s="1104">
        <v>1</v>
      </c>
      <c r="K487" s="1073" t="s">
        <v>960</v>
      </c>
      <c r="L487" s="1079" t="s">
        <v>748</v>
      </c>
      <c r="M487" s="1277">
        <v>0.5</v>
      </c>
      <c r="N487" s="1073">
        <v>1</v>
      </c>
      <c r="O487" s="1394" t="s">
        <v>5790</v>
      </c>
      <c r="P487" s="1073">
        <v>1</v>
      </c>
      <c r="Q487" s="1073">
        <v>0</v>
      </c>
      <c r="R487" s="1290"/>
      <c r="S487" s="1055"/>
      <c r="T487" s="1055"/>
      <c r="U487" s="1055"/>
      <c r="V487" s="1055"/>
      <c r="W487" s="1055"/>
      <c r="X487" s="1055"/>
      <c r="Y487" s="1055"/>
      <c r="Z487" s="1055"/>
      <c r="AA487" s="1055"/>
      <c r="AB487" s="1055"/>
      <c r="AC487" s="1055"/>
      <c r="AD487" s="1055"/>
      <c r="AE487" s="1055"/>
      <c r="AF487" s="1055"/>
      <c r="AG487" s="1055"/>
      <c r="AH487" s="1055"/>
      <c r="AI487" s="1055"/>
      <c r="AJ487" s="1055"/>
      <c r="AK487" s="1055"/>
      <c r="AL487" s="1055"/>
      <c r="AM487" s="1055"/>
      <c r="AN487" s="1055"/>
      <c r="AO487" s="1055"/>
      <c r="AP487" s="1055"/>
      <c r="AQ487" s="1055"/>
      <c r="AR487" s="1055"/>
      <c r="AS487" s="1055"/>
      <c r="AT487" s="1055"/>
      <c r="AU487" s="1055"/>
      <c r="AV487" s="1055"/>
      <c r="AW487" s="1055"/>
      <c r="AX487" s="1055"/>
      <c r="AY487" s="1055"/>
      <c r="AZ487" s="1055"/>
      <c r="BA487" s="1055"/>
      <c r="BB487" s="1055"/>
      <c r="BC487" s="1055"/>
      <c r="BD487" s="1055"/>
      <c r="BE487" s="1055"/>
      <c r="BF487" s="1055"/>
      <c r="BG487" s="1055"/>
      <c r="BH487" s="1055"/>
      <c r="BI487" s="1055"/>
      <c r="BJ487" s="1055"/>
      <c r="BK487" s="1055"/>
      <c r="BL487" s="1055"/>
      <c r="BM487" s="1055"/>
      <c r="BN487" s="1055"/>
      <c r="BO487" s="1055"/>
      <c r="BP487" s="1055"/>
      <c r="BQ487" s="1055"/>
      <c r="BR487" s="1055"/>
      <c r="BS487" s="1055"/>
      <c r="BT487" s="1055"/>
      <c r="BU487" s="1055"/>
      <c r="BV487" s="1055"/>
      <c r="BW487" s="1055"/>
      <c r="BX487" s="1055"/>
      <c r="BY487" s="1055"/>
      <c r="BZ487" s="1055"/>
      <c r="CA487" s="1055"/>
      <c r="CB487" s="1055"/>
      <c r="CC487" s="1055"/>
      <c r="CD487" s="1055"/>
      <c r="CE487" s="1055"/>
      <c r="CF487" s="1055"/>
      <c r="CG487" s="1055"/>
      <c r="CH487" s="1055"/>
      <c r="CI487" s="1055"/>
      <c r="CJ487" s="1055"/>
      <c r="CK487" s="1055"/>
      <c r="CL487" s="1055"/>
      <c r="CM487" s="1055"/>
      <c r="CN487" s="1055"/>
      <c r="CO487" s="1055"/>
      <c r="CP487" s="1055"/>
      <c r="CQ487" s="1055"/>
      <c r="CR487" s="1055"/>
      <c r="CS487" s="1055"/>
      <c r="CT487" s="1055"/>
      <c r="CU487" s="1055"/>
      <c r="CV487" s="1055"/>
      <c r="CW487" s="1055"/>
      <c r="CX487" s="1055"/>
      <c r="CY487" s="1055"/>
      <c r="CZ487" s="1055"/>
      <c r="DA487" s="1055"/>
      <c r="DB487" s="1055"/>
      <c r="DC487" s="1055"/>
      <c r="DD487" s="1055"/>
      <c r="DE487" s="1055"/>
      <c r="DF487" s="1055"/>
      <c r="DG487" s="1055"/>
      <c r="DH487" s="1055"/>
      <c r="DI487" s="1055"/>
      <c r="DJ487" s="1055"/>
      <c r="DK487" s="1055"/>
      <c r="DL487" s="1055"/>
      <c r="DM487" s="1055"/>
      <c r="DN487" s="1055"/>
      <c r="DO487" s="1055"/>
      <c r="DP487" s="1055"/>
      <c r="DQ487" s="1055"/>
      <c r="DR487" s="1055"/>
      <c r="DS487" s="1055"/>
      <c r="DT487" s="1055"/>
      <c r="DU487" s="1055"/>
      <c r="DV487" s="1055"/>
      <c r="DW487" s="1055"/>
      <c r="DX487" s="1055"/>
      <c r="DY487" s="1055"/>
      <c r="DZ487" s="1055"/>
      <c r="EA487" s="1055"/>
      <c r="EB487" s="1055"/>
      <c r="EC487" s="1055"/>
      <c r="ED487" s="1055"/>
      <c r="EE487" s="1055"/>
      <c r="EF487" s="1055"/>
      <c r="EG487" s="1055"/>
      <c r="EH487" s="1055"/>
      <c r="EI487" s="1055"/>
      <c r="EJ487" s="1055"/>
      <c r="EK487" s="1055"/>
      <c r="EL487" s="1055"/>
      <c r="EM487" s="1055"/>
      <c r="EN487" s="1055"/>
      <c r="EO487" s="1055"/>
      <c r="EP487" s="1055"/>
      <c r="EQ487" s="1055"/>
      <c r="ER487" s="1055"/>
      <c r="ES487" s="1055"/>
      <c r="ET487" s="1055"/>
      <c r="EU487" s="1055"/>
      <c r="EV487" s="1055"/>
      <c r="EW487" s="1055"/>
      <c r="EX487" s="1055"/>
      <c r="EY487" s="1055"/>
      <c r="EZ487" s="1055"/>
      <c r="FA487" s="1055"/>
      <c r="FB487" s="1055"/>
    </row>
    <row r="488" spans="1:158" ht="32.1" customHeight="1">
      <c r="A488" s="1052"/>
      <c r="B488" s="1383" t="s">
        <v>644</v>
      </c>
      <c r="C488" s="1728">
        <v>0</v>
      </c>
      <c r="D488" s="1728">
        <v>1</v>
      </c>
      <c r="E488" s="1728">
        <v>0</v>
      </c>
      <c r="F488" s="1728">
        <v>0</v>
      </c>
      <c r="G488" s="1728">
        <v>0</v>
      </c>
      <c r="H488" s="1728">
        <v>0</v>
      </c>
      <c r="I488" s="1195" t="s">
        <v>38</v>
      </c>
      <c r="J488" s="1104">
        <v>0</v>
      </c>
      <c r="K488" s="1073" t="s">
        <v>960</v>
      </c>
      <c r="L488" s="1079" t="s">
        <v>748</v>
      </c>
      <c r="M488" s="1102">
        <v>0</v>
      </c>
      <c r="N488" s="1073">
        <v>0</v>
      </c>
      <c r="O488" s="1394" t="s">
        <v>5791</v>
      </c>
      <c r="P488" s="1073">
        <v>1</v>
      </c>
      <c r="Q488" s="1073">
        <v>0</v>
      </c>
      <c r="R488" s="1290"/>
      <c r="S488" s="1055"/>
      <c r="T488" s="1055"/>
      <c r="U488" s="1055"/>
      <c r="V488" s="1055"/>
      <c r="W488" s="1055"/>
      <c r="X488" s="1055"/>
      <c r="Y488" s="1055"/>
      <c r="Z488" s="1055"/>
      <c r="AA488" s="1055"/>
      <c r="AB488" s="1055"/>
      <c r="AC488" s="1055"/>
      <c r="AD488" s="1055"/>
      <c r="AE488" s="1055"/>
      <c r="AF488" s="1055"/>
      <c r="AG488" s="1055"/>
      <c r="AH488" s="1055"/>
      <c r="AI488" s="1055"/>
      <c r="AJ488" s="1055"/>
      <c r="AK488" s="1055"/>
      <c r="AL488" s="1055"/>
      <c r="AM488" s="1055"/>
      <c r="AN488" s="1055"/>
      <c r="AO488" s="1055"/>
      <c r="AP488" s="1055"/>
      <c r="AQ488" s="1055"/>
      <c r="AR488" s="1055"/>
      <c r="AS488" s="1055"/>
      <c r="AT488" s="1055"/>
      <c r="AU488" s="1055"/>
      <c r="AV488" s="1055"/>
      <c r="AW488" s="1055"/>
      <c r="AX488" s="1055"/>
      <c r="AY488" s="1055"/>
      <c r="AZ488" s="1055"/>
      <c r="BA488" s="1055"/>
      <c r="BB488" s="1055"/>
      <c r="BC488" s="1055"/>
      <c r="BD488" s="1055"/>
      <c r="BE488" s="1055"/>
      <c r="BF488" s="1055"/>
      <c r="BG488" s="1055"/>
      <c r="BH488" s="1055"/>
      <c r="BI488" s="1055"/>
      <c r="BJ488" s="1055"/>
      <c r="BK488" s="1055"/>
      <c r="BL488" s="1055"/>
      <c r="BM488" s="1055"/>
      <c r="BN488" s="1055"/>
      <c r="BO488" s="1055"/>
      <c r="BP488" s="1055"/>
      <c r="BQ488" s="1055"/>
      <c r="BR488" s="1055"/>
      <c r="BS488" s="1055"/>
      <c r="BT488" s="1055"/>
      <c r="BU488" s="1055"/>
      <c r="BV488" s="1055"/>
      <c r="BW488" s="1055"/>
      <c r="BX488" s="1055"/>
      <c r="BY488" s="1055"/>
      <c r="BZ488" s="1055"/>
      <c r="CA488" s="1055"/>
      <c r="CB488" s="1055"/>
      <c r="CC488" s="1055"/>
      <c r="CD488" s="1055"/>
      <c r="CE488" s="1055"/>
      <c r="CF488" s="1055"/>
      <c r="CG488" s="1055"/>
      <c r="CH488" s="1055"/>
      <c r="CI488" s="1055"/>
      <c r="CJ488" s="1055"/>
      <c r="CK488" s="1055"/>
      <c r="CL488" s="1055"/>
      <c r="CM488" s="1055"/>
      <c r="CN488" s="1055"/>
      <c r="CO488" s="1055"/>
      <c r="CP488" s="1055"/>
      <c r="CQ488" s="1055"/>
      <c r="CR488" s="1055"/>
      <c r="CS488" s="1055"/>
      <c r="CT488" s="1055"/>
      <c r="CU488" s="1055"/>
      <c r="CV488" s="1055"/>
      <c r="CW488" s="1055"/>
      <c r="CX488" s="1055"/>
      <c r="CY488" s="1055"/>
      <c r="CZ488" s="1055"/>
      <c r="DA488" s="1055"/>
      <c r="DB488" s="1055"/>
      <c r="DC488" s="1055"/>
      <c r="DD488" s="1055"/>
      <c r="DE488" s="1055"/>
      <c r="DF488" s="1055"/>
      <c r="DG488" s="1055"/>
      <c r="DH488" s="1055"/>
      <c r="DI488" s="1055"/>
      <c r="DJ488" s="1055"/>
      <c r="DK488" s="1055"/>
      <c r="DL488" s="1055"/>
      <c r="DM488" s="1055"/>
      <c r="DN488" s="1055"/>
      <c r="DO488" s="1055"/>
      <c r="DP488" s="1055"/>
      <c r="DQ488" s="1055"/>
      <c r="DR488" s="1055"/>
      <c r="DS488" s="1055"/>
      <c r="DT488" s="1055"/>
      <c r="DU488" s="1055"/>
      <c r="DV488" s="1055"/>
      <c r="DW488" s="1055"/>
      <c r="DX488" s="1055"/>
      <c r="DY488" s="1055"/>
      <c r="DZ488" s="1055"/>
      <c r="EA488" s="1055"/>
      <c r="EB488" s="1055"/>
      <c r="EC488" s="1055"/>
      <c r="ED488" s="1055"/>
      <c r="EE488" s="1055"/>
      <c r="EF488" s="1055"/>
      <c r="EG488" s="1055"/>
      <c r="EH488" s="1055"/>
      <c r="EI488" s="1055"/>
      <c r="EJ488" s="1055"/>
      <c r="EK488" s="1055"/>
      <c r="EL488" s="1055"/>
      <c r="EM488" s="1055"/>
      <c r="EN488" s="1055"/>
      <c r="EO488" s="1055"/>
      <c r="EP488" s="1055"/>
      <c r="EQ488" s="1055"/>
      <c r="ER488" s="1055"/>
      <c r="ES488" s="1055"/>
      <c r="ET488" s="1055"/>
      <c r="EU488" s="1055"/>
      <c r="EV488" s="1055"/>
      <c r="EW488" s="1055"/>
      <c r="EX488" s="1055"/>
      <c r="EY488" s="1055"/>
      <c r="EZ488" s="1055"/>
      <c r="FA488" s="1055"/>
      <c r="FB488" s="1055"/>
    </row>
    <row r="489" spans="1:158" ht="32.1" customHeight="1">
      <c r="A489" s="1052"/>
      <c r="B489" s="1151" t="s">
        <v>645</v>
      </c>
      <c r="C489" s="1728">
        <v>1</v>
      </c>
      <c r="D489" s="1728">
        <v>0</v>
      </c>
      <c r="E489" s="1728">
        <v>0</v>
      </c>
      <c r="F489" s="1728">
        <v>1</v>
      </c>
      <c r="G489" s="1728">
        <v>0</v>
      </c>
      <c r="H489" s="1728">
        <v>0</v>
      </c>
      <c r="I489" s="1195" t="s">
        <v>38</v>
      </c>
      <c r="J489" s="1104">
        <v>1</v>
      </c>
      <c r="K489" s="1073" t="s">
        <v>1060</v>
      </c>
      <c r="L489" s="1079" t="s">
        <v>748</v>
      </c>
      <c r="M489" s="1102">
        <v>1</v>
      </c>
      <c r="N489" s="1073">
        <v>0</v>
      </c>
      <c r="O489" s="1073" t="s">
        <v>5792</v>
      </c>
      <c r="P489" s="1073">
        <v>1</v>
      </c>
      <c r="Q489" s="1073">
        <v>0</v>
      </c>
      <c r="R489" s="1290"/>
      <c r="S489" s="1055"/>
      <c r="T489" s="1055"/>
      <c r="U489" s="1055"/>
      <c r="V489" s="1055"/>
      <c r="W489" s="1055"/>
      <c r="X489" s="1055"/>
      <c r="Y489" s="1055"/>
      <c r="Z489" s="1055"/>
      <c r="AA489" s="1055"/>
      <c r="AB489" s="1055"/>
      <c r="AC489" s="1055"/>
      <c r="AD489" s="1055"/>
      <c r="AE489" s="1055"/>
      <c r="AF489" s="1055"/>
      <c r="AG489" s="1055"/>
      <c r="AH489" s="1055"/>
      <c r="AI489" s="1055"/>
      <c r="AJ489" s="1055"/>
      <c r="AK489" s="1055"/>
      <c r="AL489" s="1055"/>
      <c r="AM489" s="1055"/>
      <c r="AN489" s="1055"/>
      <c r="AO489" s="1055"/>
      <c r="AP489" s="1055"/>
      <c r="AQ489" s="1055"/>
      <c r="AR489" s="1055"/>
      <c r="AS489" s="1055"/>
      <c r="AT489" s="1055"/>
      <c r="AU489" s="1055"/>
      <c r="AV489" s="1055"/>
      <c r="AW489" s="1055"/>
      <c r="AX489" s="1055"/>
      <c r="AY489" s="1055"/>
      <c r="AZ489" s="1055"/>
      <c r="BA489" s="1055"/>
      <c r="BB489" s="1055"/>
      <c r="BC489" s="1055"/>
      <c r="BD489" s="1055"/>
      <c r="BE489" s="1055"/>
      <c r="BF489" s="1055"/>
      <c r="BG489" s="1055"/>
      <c r="BH489" s="1055"/>
      <c r="BI489" s="1055"/>
      <c r="BJ489" s="1055"/>
      <c r="BK489" s="1055"/>
      <c r="BL489" s="1055"/>
      <c r="BM489" s="1055"/>
      <c r="BN489" s="1055"/>
      <c r="BO489" s="1055"/>
      <c r="BP489" s="1055"/>
      <c r="BQ489" s="1055"/>
      <c r="BR489" s="1055"/>
      <c r="BS489" s="1055"/>
      <c r="BT489" s="1055"/>
      <c r="BU489" s="1055"/>
      <c r="BV489" s="1055"/>
      <c r="BW489" s="1055"/>
      <c r="BX489" s="1055"/>
      <c r="BY489" s="1055"/>
      <c r="BZ489" s="1055"/>
      <c r="CA489" s="1055"/>
      <c r="CB489" s="1055"/>
      <c r="CC489" s="1055"/>
      <c r="CD489" s="1055"/>
      <c r="CE489" s="1055"/>
      <c r="CF489" s="1055"/>
      <c r="CG489" s="1055"/>
      <c r="CH489" s="1055"/>
      <c r="CI489" s="1055"/>
      <c r="CJ489" s="1055"/>
      <c r="CK489" s="1055"/>
      <c r="CL489" s="1055"/>
      <c r="CM489" s="1055"/>
      <c r="CN489" s="1055"/>
      <c r="CO489" s="1055"/>
      <c r="CP489" s="1055"/>
      <c r="CQ489" s="1055"/>
      <c r="CR489" s="1055"/>
      <c r="CS489" s="1055"/>
      <c r="CT489" s="1055"/>
      <c r="CU489" s="1055"/>
      <c r="CV489" s="1055"/>
      <c r="CW489" s="1055"/>
      <c r="CX489" s="1055"/>
      <c r="CY489" s="1055"/>
      <c r="CZ489" s="1055"/>
      <c r="DA489" s="1055"/>
      <c r="DB489" s="1055"/>
      <c r="DC489" s="1055"/>
      <c r="DD489" s="1055"/>
      <c r="DE489" s="1055"/>
      <c r="DF489" s="1055"/>
      <c r="DG489" s="1055"/>
      <c r="DH489" s="1055"/>
      <c r="DI489" s="1055"/>
      <c r="DJ489" s="1055"/>
      <c r="DK489" s="1055"/>
      <c r="DL489" s="1055"/>
      <c r="DM489" s="1055"/>
      <c r="DN489" s="1055"/>
      <c r="DO489" s="1055"/>
      <c r="DP489" s="1055"/>
      <c r="DQ489" s="1055"/>
      <c r="DR489" s="1055"/>
      <c r="DS489" s="1055"/>
      <c r="DT489" s="1055"/>
      <c r="DU489" s="1055"/>
      <c r="DV489" s="1055"/>
      <c r="DW489" s="1055"/>
      <c r="DX489" s="1055"/>
      <c r="DY489" s="1055"/>
      <c r="DZ489" s="1055"/>
      <c r="EA489" s="1055"/>
      <c r="EB489" s="1055"/>
      <c r="EC489" s="1055"/>
      <c r="ED489" s="1055"/>
      <c r="EE489" s="1055"/>
      <c r="EF489" s="1055"/>
      <c r="EG489" s="1055"/>
      <c r="EH489" s="1055"/>
      <c r="EI489" s="1055"/>
      <c r="EJ489" s="1055"/>
      <c r="EK489" s="1055"/>
      <c r="EL489" s="1055"/>
      <c r="EM489" s="1055"/>
      <c r="EN489" s="1055"/>
      <c r="EO489" s="1055"/>
      <c r="EP489" s="1055"/>
      <c r="EQ489" s="1055"/>
      <c r="ER489" s="1055"/>
      <c r="ES489" s="1055"/>
      <c r="ET489" s="1055"/>
      <c r="EU489" s="1055"/>
      <c r="EV489" s="1055"/>
      <c r="EW489" s="1055"/>
      <c r="EX489" s="1055"/>
      <c r="EY489" s="1055"/>
      <c r="EZ489" s="1055"/>
      <c r="FA489" s="1055"/>
      <c r="FB489" s="1055"/>
    </row>
    <row r="490" spans="1:158" ht="32.1" customHeight="1">
      <c r="A490" s="1052"/>
      <c r="B490" s="1151" t="s">
        <v>646</v>
      </c>
      <c r="C490" s="1728">
        <v>1</v>
      </c>
      <c r="D490" s="1728">
        <v>1</v>
      </c>
      <c r="E490" s="1728">
        <v>0</v>
      </c>
      <c r="F490" s="1728">
        <v>1</v>
      </c>
      <c r="G490" s="1728">
        <v>0</v>
      </c>
      <c r="H490" s="1728">
        <v>0</v>
      </c>
      <c r="I490" s="1195" t="s">
        <v>38</v>
      </c>
      <c r="J490" s="1104">
        <v>1</v>
      </c>
      <c r="K490" s="1073" t="s">
        <v>960</v>
      </c>
      <c r="L490" s="1079" t="s">
        <v>748</v>
      </c>
      <c r="M490" s="1102">
        <v>1</v>
      </c>
      <c r="N490" s="1073">
        <v>0</v>
      </c>
      <c r="O490" s="1073" t="s">
        <v>5793</v>
      </c>
      <c r="P490" s="1073">
        <v>1</v>
      </c>
      <c r="Q490" s="1073">
        <v>0</v>
      </c>
      <c r="R490" s="1290"/>
      <c r="S490" s="1055"/>
      <c r="T490" s="1055"/>
      <c r="U490" s="1055"/>
      <c r="V490" s="1055"/>
      <c r="W490" s="1055"/>
      <c r="X490" s="1055"/>
      <c r="Y490" s="1055"/>
      <c r="Z490" s="1055"/>
      <c r="AA490" s="1055"/>
      <c r="AB490" s="1055"/>
      <c r="AC490" s="1055"/>
      <c r="AD490" s="1055"/>
      <c r="AE490" s="1055"/>
      <c r="AF490" s="1055"/>
      <c r="AG490" s="1055"/>
      <c r="AH490" s="1055"/>
      <c r="AI490" s="1055"/>
      <c r="AJ490" s="1055"/>
      <c r="AK490" s="1055"/>
      <c r="AL490" s="1055"/>
      <c r="AM490" s="1055"/>
      <c r="AN490" s="1055"/>
      <c r="AO490" s="1055"/>
      <c r="AP490" s="1055"/>
      <c r="AQ490" s="1055"/>
      <c r="AR490" s="1055"/>
      <c r="AS490" s="1055"/>
      <c r="AT490" s="1055"/>
      <c r="AU490" s="1055"/>
      <c r="AV490" s="1055"/>
      <c r="AW490" s="1055"/>
      <c r="AX490" s="1055"/>
      <c r="AY490" s="1055"/>
      <c r="AZ490" s="1055"/>
      <c r="BA490" s="1055"/>
      <c r="BB490" s="1055"/>
      <c r="BC490" s="1055"/>
      <c r="BD490" s="1055"/>
      <c r="BE490" s="1055"/>
      <c r="BF490" s="1055"/>
      <c r="BG490" s="1055"/>
      <c r="BH490" s="1055"/>
      <c r="BI490" s="1055"/>
      <c r="BJ490" s="1055"/>
      <c r="BK490" s="1055"/>
      <c r="BL490" s="1055"/>
      <c r="BM490" s="1055"/>
      <c r="BN490" s="1055"/>
      <c r="BO490" s="1055"/>
      <c r="BP490" s="1055"/>
      <c r="BQ490" s="1055"/>
      <c r="BR490" s="1055"/>
      <c r="BS490" s="1055"/>
      <c r="BT490" s="1055"/>
      <c r="BU490" s="1055"/>
      <c r="BV490" s="1055"/>
      <c r="BW490" s="1055"/>
      <c r="BX490" s="1055"/>
      <c r="BY490" s="1055"/>
      <c r="BZ490" s="1055"/>
      <c r="CA490" s="1055"/>
      <c r="CB490" s="1055"/>
      <c r="CC490" s="1055"/>
      <c r="CD490" s="1055"/>
      <c r="CE490" s="1055"/>
      <c r="CF490" s="1055"/>
      <c r="CG490" s="1055"/>
      <c r="CH490" s="1055"/>
      <c r="CI490" s="1055"/>
      <c r="CJ490" s="1055"/>
      <c r="CK490" s="1055"/>
      <c r="CL490" s="1055"/>
      <c r="CM490" s="1055"/>
      <c r="CN490" s="1055"/>
      <c r="CO490" s="1055"/>
      <c r="CP490" s="1055"/>
      <c r="CQ490" s="1055"/>
      <c r="CR490" s="1055"/>
      <c r="CS490" s="1055"/>
      <c r="CT490" s="1055"/>
      <c r="CU490" s="1055"/>
      <c r="CV490" s="1055"/>
      <c r="CW490" s="1055"/>
      <c r="CX490" s="1055"/>
      <c r="CY490" s="1055"/>
      <c r="CZ490" s="1055"/>
      <c r="DA490" s="1055"/>
      <c r="DB490" s="1055"/>
      <c r="DC490" s="1055"/>
      <c r="DD490" s="1055"/>
      <c r="DE490" s="1055"/>
      <c r="DF490" s="1055"/>
      <c r="DG490" s="1055"/>
      <c r="DH490" s="1055"/>
      <c r="DI490" s="1055"/>
      <c r="DJ490" s="1055"/>
      <c r="DK490" s="1055"/>
      <c r="DL490" s="1055"/>
      <c r="DM490" s="1055"/>
      <c r="DN490" s="1055"/>
      <c r="DO490" s="1055"/>
      <c r="DP490" s="1055"/>
      <c r="DQ490" s="1055"/>
      <c r="DR490" s="1055"/>
      <c r="DS490" s="1055"/>
      <c r="DT490" s="1055"/>
      <c r="DU490" s="1055"/>
      <c r="DV490" s="1055"/>
      <c r="DW490" s="1055"/>
      <c r="DX490" s="1055"/>
      <c r="DY490" s="1055"/>
      <c r="DZ490" s="1055"/>
      <c r="EA490" s="1055"/>
      <c r="EB490" s="1055"/>
      <c r="EC490" s="1055"/>
      <c r="ED490" s="1055"/>
      <c r="EE490" s="1055"/>
      <c r="EF490" s="1055"/>
      <c r="EG490" s="1055"/>
      <c r="EH490" s="1055"/>
      <c r="EI490" s="1055"/>
      <c r="EJ490" s="1055"/>
      <c r="EK490" s="1055"/>
      <c r="EL490" s="1055"/>
      <c r="EM490" s="1055"/>
      <c r="EN490" s="1055"/>
      <c r="EO490" s="1055"/>
      <c r="EP490" s="1055"/>
      <c r="EQ490" s="1055"/>
      <c r="ER490" s="1055"/>
      <c r="ES490" s="1055"/>
      <c r="ET490" s="1055"/>
      <c r="EU490" s="1055"/>
      <c r="EV490" s="1055"/>
      <c r="EW490" s="1055"/>
      <c r="EX490" s="1055"/>
      <c r="EY490" s="1055"/>
      <c r="EZ490" s="1055"/>
      <c r="FA490" s="1055"/>
      <c r="FB490" s="1055"/>
    </row>
    <row r="491" spans="1:158" ht="32.1" customHeight="1">
      <c r="A491" s="1052"/>
      <c r="B491" s="1151" t="s">
        <v>647</v>
      </c>
      <c r="C491" s="1728">
        <v>1</v>
      </c>
      <c r="D491" s="1728">
        <v>1</v>
      </c>
      <c r="E491" s="1728">
        <v>0</v>
      </c>
      <c r="F491" s="1728">
        <v>0</v>
      </c>
      <c r="G491" s="1728">
        <v>0</v>
      </c>
      <c r="H491" s="1728">
        <v>0</v>
      </c>
      <c r="I491" s="1195" t="s">
        <v>38</v>
      </c>
      <c r="J491" s="1104">
        <v>1</v>
      </c>
      <c r="K491" s="1073" t="s">
        <v>960</v>
      </c>
      <c r="L491" s="1079" t="s">
        <v>748</v>
      </c>
      <c r="M491" s="1102">
        <v>0</v>
      </c>
      <c r="N491" s="1073">
        <v>0</v>
      </c>
      <c r="O491" s="1073" t="s">
        <v>943</v>
      </c>
      <c r="P491" s="1073">
        <v>1</v>
      </c>
      <c r="Q491" s="1073">
        <v>0</v>
      </c>
    </row>
    <row r="492" spans="1:158" ht="32.1" customHeight="1">
      <c r="A492" s="1062">
        <v>2.2000000000000002</v>
      </c>
      <c r="B492" s="1168" t="s">
        <v>5347</v>
      </c>
      <c r="C492" s="1479">
        <f t="shared" ref="C492:H492" si="120">AVERAGE(C493,C502,C512,C518)</f>
        <v>0.96550000000000002</v>
      </c>
      <c r="D492" s="1479">
        <f t="shared" si="120"/>
        <v>0.97450000000000003</v>
      </c>
      <c r="E492" s="1479">
        <f t="shared" si="120"/>
        <v>0.43369047619047618</v>
      </c>
      <c r="F492" s="1479">
        <f t="shared" si="120"/>
        <v>0.88349999999999995</v>
      </c>
      <c r="G492" s="1479">
        <f t="shared" si="120"/>
        <v>0.74523809523809526</v>
      </c>
      <c r="H492" s="1479">
        <f t="shared" si="120"/>
        <v>0.68268571428571434</v>
      </c>
      <c r="I492" s="1755"/>
      <c r="J492" s="1061"/>
      <c r="K492" s="1061"/>
      <c r="L492" s="1061"/>
      <c r="M492" s="1061"/>
      <c r="N492" s="1061"/>
      <c r="O492" s="1061"/>
      <c r="P492" s="1061"/>
      <c r="Q492" s="1061"/>
    </row>
    <row r="493" spans="1:158" ht="32.1" customHeight="1">
      <c r="A493" s="1604" t="s">
        <v>6875</v>
      </c>
      <c r="B493" s="1067" t="s">
        <v>650</v>
      </c>
      <c r="C493" s="1478">
        <f t="shared" ref="C493:H493" si="121">AVERAGE(C494,C497,C498,C499,C500,C501)</f>
        <v>1</v>
      </c>
      <c r="D493" s="1478">
        <f t="shared" si="121"/>
        <v>1</v>
      </c>
      <c r="E493" s="1478">
        <f t="shared" si="121"/>
        <v>0.33333333333333331</v>
      </c>
      <c r="F493" s="1478">
        <f t="shared" si="121"/>
        <v>1</v>
      </c>
      <c r="G493" s="1478">
        <f t="shared" si="121"/>
        <v>0.66666666666666663</v>
      </c>
      <c r="H493" s="1478">
        <f t="shared" si="121"/>
        <v>0.5</v>
      </c>
      <c r="I493" s="1195"/>
      <c r="J493" s="1130"/>
      <c r="K493" s="1130"/>
      <c r="L493" s="1130"/>
      <c r="M493" s="1130"/>
      <c r="N493" s="1130"/>
      <c r="O493" s="1130"/>
      <c r="P493" s="1130"/>
      <c r="Q493" s="1130"/>
    </row>
    <row r="494" spans="1:158" ht="32.1" customHeight="1">
      <c r="A494" s="1052"/>
      <c r="B494" s="1404" t="s">
        <v>6936</v>
      </c>
      <c r="C494" s="1480">
        <f t="shared" ref="C494:H494" si="122">AVERAGE(C495:C496)</f>
        <v>1</v>
      </c>
      <c r="D494" s="1480">
        <f t="shared" si="122"/>
        <v>1</v>
      </c>
      <c r="E494" s="1480">
        <f t="shared" si="122"/>
        <v>0</v>
      </c>
      <c r="F494" s="1480">
        <f t="shared" si="122"/>
        <v>1</v>
      </c>
      <c r="G494" s="1480">
        <f t="shared" si="122"/>
        <v>0</v>
      </c>
      <c r="H494" s="1480">
        <f t="shared" si="122"/>
        <v>0</v>
      </c>
      <c r="I494" s="1195" t="s">
        <v>38</v>
      </c>
      <c r="J494" s="1161"/>
      <c r="K494" s="1161"/>
      <c r="L494" s="1073"/>
      <c r="M494" s="1161"/>
      <c r="N494" s="1161"/>
      <c r="O494" s="1079" t="s">
        <v>748</v>
      </c>
    </row>
    <row r="495" spans="1:158" ht="32.1" customHeight="1">
      <c r="A495" s="1052"/>
      <c r="B495" s="1627" t="s">
        <v>652</v>
      </c>
      <c r="C495" s="1459">
        <v>1</v>
      </c>
      <c r="D495" s="1459">
        <v>1</v>
      </c>
      <c r="E495" s="1459">
        <v>0</v>
      </c>
      <c r="F495" s="1459">
        <v>1</v>
      </c>
      <c r="G495" s="1459">
        <v>0</v>
      </c>
      <c r="H495" s="1459">
        <v>0</v>
      </c>
      <c r="I495" s="1195"/>
      <c r="J495" s="1161" t="s">
        <v>6703</v>
      </c>
      <c r="K495" s="1070" t="s">
        <v>6489</v>
      </c>
      <c r="L495" s="1071" t="s">
        <v>5989</v>
      </c>
      <c r="M495" s="1161">
        <v>1</v>
      </c>
      <c r="N495" s="1161" t="s">
        <v>968</v>
      </c>
      <c r="O495" s="1079" t="s">
        <v>748</v>
      </c>
    </row>
    <row r="496" spans="1:158" ht="32.1" customHeight="1">
      <c r="A496" s="1052"/>
      <c r="B496" s="1627" t="s">
        <v>6937</v>
      </c>
      <c r="C496" s="1459">
        <v>1</v>
      </c>
      <c r="D496" s="1456">
        <v>1</v>
      </c>
      <c r="E496" s="1459">
        <v>0</v>
      </c>
      <c r="F496" s="1459">
        <v>1</v>
      </c>
      <c r="G496" s="1459">
        <v>0</v>
      </c>
      <c r="H496" s="1459">
        <v>0</v>
      </c>
      <c r="I496" s="1195" t="s">
        <v>38</v>
      </c>
      <c r="J496" s="1070" t="s">
        <v>6704</v>
      </c>
      <c r="K496" s="1398" t="s">
        <v>6490</v>
      </c>
      <c r="L496" s="1070" t="s">
        <v>877</v>
      </c>
      <c r="M496" s="1070">
        <v>1</v>
      </c>
      <c r="N496" s="1070" t="s">
        <v>877</v>
      </c>
      <c r="O496" s="1079" t="s">
        <v>877</v>
      </c>
    </row>
    <row r="497" spans="1:158" ht="32.1" customHeight="1">
      <c r="A497" s="1086"/>
      <c r="B497" s="1101" t="s">
        <v>5270</v>
      </c>
      <c r="C497" s="1459">
        <v>1</v>
      </c>
      <c r="D497" s="1459">
        <v>1</v>
      </c>
      <c r="E497" s="1459">
        <v>0</v>
      </c>
      <c r="F497" s="1459">
        <v>1</v>
      </c>
      <c r="G497" s="1459">
        <v>1</v>
      </c>
      <c r="H497" s="1459">
        <v>0</v>
      </c>
      <c r="I497" s="1195" t="s">
        <v>481</v>
      </c>
      <c r="J497" s="1070" t="s">
        <v>960</v>
      </c>
      <c r="K497" s="1077" t="s">
        <v>6491</v>
      </c>
      <c r="L497" s="1071" t="s">
        <v>748</v>
      </c>
      <c r="M497" s="1070">
        <v>1</v>
      </c>
      <c r="N497" s="1070" t="s">
        <v>5518</v>
      </c>
      <c r="O497" s="1071" t="s">
        <v>5794</v>
      </c>
    </row>
    <row r="498" spans="1:158" ht="32.1" customHeight="1">
      <c r="A498" s="1052"/>
      <c r="B498" s="1053" t="s">
        <v>654</v>
      </c>
      <c r="C498" s="1459">
        <v>1</v>
      </c>
      <c r="D498" s="1459">
        <v>1</v>
      </c>
      <c r="E498" s="1480">
        <v>1</v>
      </c>
      <c r="F498" s="1480">
        <v>1</v>
      </c>
      <c r="G498" s="1480">
        <v>1</v>
      </c>
      <c r="H498" s="1480">
        <v>1</v>
      </c>
      <c r="I498" s="1195" t="s">
        <v>38</v>
      </c>
      <c r="J498" s="1070" t="s">
        <v>960</v>
      </c>
      <c r="K498" s="1070" t="s">
        <v>6492</v>
      </c>
      <c r="L498" s="1071" t="s">
        <v>5990</v>
      </c>
      <c r="M498" s="1084">
        <v>1</v>
      </c>
      <c r="N498" s="1070" t="s">
        <v>5519</v>
      </c>
      <c r="O498" s="1071" t="s">
        <v>5795</v>
      </c>
    </row>
    <row r="499" spans="1:158" ht="32.1" customHeight="1">
      <c r="A499" s="1052"/>
      <c r="B499" s="1053" t="s">
        <v>655</v>
      </c>
      <c r="C499" s="1459">
        <v>1</v>
      </c>
      <c r="D499" s="1459">
        <v>1</v>
      </c>
      <c r="E499" s="1459">
        <v>0</v>
      </c>
      <c r="F499" s="1480">
        <v>1</v>
      </c>
      <c r="G499" s="1459">
        <v>0</v>
      </c>
      <c r="H499" s="1459">
        <v>0</v>
      </c>
      <c r="I499" s="1195" t="s">
        <v>38</v>
      </c>
      <c r="J499" s="1070" t="s">
        <v>960</v>
      </c>
      <c r="K499" s="1154" t="s">
        <v>6493</v>
      </c>
      <c r="L499" s="1071" t="s">
        <v>748</v>
      </c>
      <c r="M499" s="1084">
        <v>1</v>
      </c>
      <c r="N499" s="1070" t="s">
        <v>5520</v>
      </c>
      <c r="O499" s="1079" t="s">
        <v>748</v>
      </c>
    </row>
    <row r="500" spans="1:158" ht="32.1" customHeight="1">
      <c r="A500" s="1052"/>
      <c r="B500" s="1053" t="s">
        <v>656</v>
      </c>
      <c r="C500" s="1480">
        <v>1</v>
      </c>
      <c r="D500" s="1459">
        <v>1</v>
      </c>
      <c r="E500" s="1459">
        <v>1</v>
      </c>
      <c r="F500" s="1459">
        <v>1</v>
      </c>
      <c r="G500" s="1480">
        <v>1</v>
      </c>
      <c r="H500" s="1459">
        <v>1</v>
      </c>
      <c r="I500" s="1195" t="s">
        <v>38</v>
      </c>
      <c r="J500" s="1070" t="s">
        <v>960</v>
      </c>
      <c r="K500" s="1154" t="s">
        <v>6494</v>
      </c>
      <c r="L500" s="1071" t="s">
        <v>5991</v>
      </c>
      <c r="M500" s="1077">
        <v>1</v>
      </c>
      <c r="N500" s="1070" t="s">
        <v>5521</v>
      </c>
      <c r="O500" s="1079" t="s">
        <v>811</v>
      </c>
    </row>
    <row r="501" spans="1:158" ht="32.1" customHeight="1">
      <c r="A501" s="1052"/>
      <c r="B501" s="1053" t="s">
        <v>657</v>
      </c>
      <c r="C501" s="1449">
        <v>1</v>
      </c>
      <c r="D501" s="1449">
        <v>1</v>
      </c>
      <c r="E501" s="1449">
        <v>0</v>
      </c>
      <c r="F501" s="1449">
        <v>1</v>
      </c>
      <c r="G501" s="1449">
        <v>1</v>
      </c>
      <c r="H501" s="1498">
        <v>1</v>
      </c>
      <c r="I501" s="1195" t="s">
        <v>38</v>
      </c>
      <c r="J501" s="1070" t="s">
        <v>960</v>
      </c>
      <c r="K501" s="1154" t="s">
        <v>6495</v>
      </c>
      <c r="L501" s="1071" t="s">
        <v>748</v>
      </c>
      <c r="M501" s="1070">
        <v>1</v>
      </c>
      <c r="N501" s="1070" t="s">
        <v>5522</v>
      </c>
      <c r="O501" s="1071" t="s">
        <v>5796</v>
      </c>
      <c r="P501" s="1070"/>
      <c r="Q501" s="1070"/>
      <c r="R501" s="1302"/>
    </row>
    <row r="502" spans="1:158" ht="32.1" customHeight="1">
      <c r="A502" s="1612" t="s">
        <v>6876</v>
      </c>
      <c r="B502" s="1067" t="s">
        <v>658</v>
      </c>
      <c r="C502" s="1478">
        <f t="shared" ref="C502:H502" si="123">AVERAGE(C503,C504,C505,C506,C507,C510,C511)</f>
        <v>1</v>
      </c>
      <c r="D502" s="1478">
        <f t="shared" si="123"/>
        <v>1</v>
      </c>
      <c r="E502" s="1478">
        <f t="shared" si="123"/>
        <v>0.5714285714285714</v>
      </c>
      <c r="F502" s="1478">
        <f t="shared" si="123"/>
        <v>1</v>
      </c>
      <c r="G502" s="1478">
        <f t="shared" si="123"/>
        <v>0.7142857142857143</v>
      </c>
      <c r="H502" s="1478">
        <f t="shared" si="123"/>
        <v>0.8571428571428571</v>
      </c>
      <c r="I502" s="1195"/>
      <c r="J502" s="1067"/>
      <c r="K502" s="1067"/>
      <c r="L502" s="1067"/>
      <c r="M502" s="1067"/>
      <c r="N502" s="1067"/>
      <c r="O502" s="1067"/>
      <c r="P502" s="1067"/>
      <c r="Q502" s="1067"/>
    </row>
    <row r="503" spans="1:158" s="1306" customFormat="1" ht="32.1" customHeight="1">
      <c r="A503" s="1304"/>
      <c r="B503" s="1101" t="s">
        <v>659</v>
      </c>
      <c r="C503" s="1515">
        <v>1</v>
      </c>
      <c r="D503" s="1515">
        <v>1</v>
      </c>
      <c r="E503" s="1515">
        <v>0</v>
      </c>
      <c r="F503" s="1515">
        <v>1</v>
      </c>
      <c r="G503" s="1515">
        <v>1</v>
      </c>
      <c r="H503" s="1515">
        <v>1</v>
      </c>
      <c r="I503" s="1195" t="s">
        <v>38</v>
      </c>
      <c r="J503" s="1104" t="s">
        <v>960</v>
      </c>
      <c r="K503" s="1104" t="s">
        <v>6496</v>
      </c>
      <c r="L503" s="1071" t="s">
        <v>5992</v>
      </c>
      <c r="M503" s="1104">
        <v>1</v>
      </c>
      <c r="N503" s="1104" t="s">
        <v>5523</v>
      </c>
      <c r="O503" s="1071" t="s">
        <v>5797</v>
      </c>
      <c r="P503" s="1070"/>
      <c r="Q503" s="1070"/>
      <c r="R503" s="1305"/>
      <c r="S503" s="1082"/>
      <c r="T503" s="1082"/>
      <c r="U503" s="1082"/>
      <c r="V503" s="1082"/>
      <c r="W503" s="1082"/>
      <c r="X503" s="1082"/>
      <c r="Y503" s="1082"/>
      <c r="Z503" s="1082"/>
      <c r="AA503" s="1082"/>
      <c r="AB503" s="1082"/>
      <c r="AC503" s="1082"/>
      <c r="AD503" s="1082"/>
      <c r="AE503" s="1082"/>
      <c r="AF503" s="1082"/>
      <c r="AG503" s="1082"/>
      <c r="AH503" s="1082"/>
      <c r="AI503" s="1082"/>
      <c r="AJ503" s="1082"/>
      <c r="AK503" s="1082"/>
      <c r="AL503" s="1082"/>
      <c r="AM503" s="1082"/>
      <c r="AN503" s="1082"/>
      <c r="AO503" s="1082"/>
      <c r="AP503" s="1082"/>
      <c r="AQ503" s="1082"/>
      <c r="AR503" s="1082"/>
      <c r="AS503" s="1082"/>
      <c r="AT503" s="1082"/>
      <c r="AU503" s="1082"/>
      <c r="AV503" s="1082"/>
      <c r="AW503" s="1082"/>
      <c r="AX503" s="1082"/>
      <c r="AY503" s="1082"/>
      <c r="AZ503" s="1082"/>
      <c r="BA503" s="1082"/>
      <c r="BB503" s="1082"/>
      <c r="BC503" s="1082"/>
      <c r="BD503" s="1082"/>
      <c r="BE503" s="1082"/>
      <c r="BF503" s="1082"/>
      <c r="BG503" s="1082"/>
      <c r="BH503" s="1082"/>
      <c r="BI503" s="1082"/>
      <c r="BJ503" s="1082"/>
      <c r="BK503" s="1082"/>
      <c r="BL503" s="1082"/>
      <c r="BM503" s="1082"/>
      <c r="BN503" s="1082"/>
      <c r="BO503" s="1082"/>
      <c r="BP503" s="1082"/>
      <c r="BQ503" s="1082"/>
      <c r="BR503" s="1082"/>
      <c r="BS503" s="1082"/>
      <c r="BT503" s="1082"/>
      <c r="BU503" s="1082"/>
      <c r="BV503" s="1082"/>
      <c r="BW503" s="1082"/>
      <c r="BX503" s="1082"/>
      <c r="BY503" s="1082"/>
      <c r="BZ503" s="1082"/>
      <c r="CA503" s="1082"/>
      <c r="CB503" s="1082"/>
      <c r="CC503" s="1082"/>
      <c r="CD503" s="1082"/>
      <c r="CE503" s="1082"/>
      <c r="CF503" s="1082"/>
      <c r="CG503" s="1082"/>
      <c r="CH503" s="1082"/>
      <c r="CI503" s="1082"/>
      <c r="CJ503" s="1082"/>
      <c r="CK503" s="1082"/>
      <c r="CL503" s="1082"/>
      <c r="CM503" s="1082"/>
      <c r="CN503" s="1082"/>
      <c r="CO503" s="1082"/>
      <c r="CP503" s="1082"/>
      <c r="CQ503" s="1082"/>
      <c r="CR503" s="1082"/>
      <c r="CS503" s="1082"/>
      <c r="CT503" s="1082"/>
      <c r="CU503" s="1082"/>
      <c r="CV503" s="1082"/>
      <c r="CW503" s="1082"/>
      <c r="CX503" s="1082"/>
      <c r="CY503" s="1082"/>
      <c r="CZ503" s="1082"/>
      <c r="DA503" s="1082"/>
      <c r="DB503" s="1082"/>
      <c r="DC503" s="1082"/>
      <c r="DD503" s="1082"/>
      <c r="DE503" s="1082"/>
      <c r="DF503" s="1082"/>
      <c r="DG503" s="1082"/>
      <c r="DH503" s="1082"/>
      <c r="DI503" s="1082"/>
      <c r="DJ503" s="1082"/>
      <c r="DK503" s="1082"/>
      <c r="DL503" s="1082"/>
      <c r="DM503" s="1082"/>
      <c r="DN503" s="1082"/>
      <c r="DO503" s="1082"/>
      <c r="DP503" s="1082"/>
      <c r="DQ503" s="1082"/>
      <c r="DR503" s="1082"/>
      <c r="DS503" s="1082"/>
      <c r="DT503" s="1082"/>
      <c r="DU503" s="1082"/>
      <c r="DV503" s="1082"/>
      <c r="DW503" s="1082"/>
      <c r="DX503" s="1082"/>
      <c r="DY503" s="1082"/>
      <c r="DZ503" s="1082"/>
      <c r="EA503" s="1082"/>
      <c r="EB503" s="1082"/>
      <c r="EC503" s="1082"/>
      <c r="ED503" s="1082"/>
      <c r="EE503" s="1082"/>
      <c r="EF503" s="1082"/>
      <c r="EG503" s="1082"/>
      <c r="EH503" s="1082"/>
      <c r="EI503" s="1082"/>
      <c r="EJ503" s="1082"/>
      <c r="EK503" s="1082"/>
      <c r="EL503" s="1082"/>
      <c r="EM503" s="1082"/>
      <c r="EN503" s="1082"/>
      <c r="EO503" s="1082"/>
      <c r="EP503" s="1082"/>
      <c r="EQ503" s="1082"/>
      <c r="ER503" s="1082"/>
      <c r="ES503" s="1082"/>
      <c r="ET503" s="1082"/>
      <c r="EU503" s="1082"/>
      <c r="EV503" s="1082"/>
      <c r="EW503" s="1082"/>
      <c r="EX503" s="1082"/>
      <c r="EY503" s="1082"/>
      <c r="EZ503" s="1082"/>
      <c r="FA503" s="1082"/>
      <c r="FB503" s="1082"/>
    </row>
    <row r="504" spans="1:158" ht="32.1" customHeight="1">
      <c r="A504" s="1052"/>
      <c r="B504" s="1053" t="s">
        <v>660</v>
      </c>
      <c r="C504" s="1449">
        <v>1</v>
      </c>
      <c r="D504" s="1449">
        <v>1</v>
      </c>
      <c r="E504" s="1449">
        <v>1</v>
      </c>
      <c r="F504" s="1449">
        <v>1</v>
      </c>
      <c r="G504" s="1449">
        <v>1</v>
      </c>
      <c r="H504" s="1449">
        <v>1</v>
      </c>
      <c r="I504" s="1195" t="s">
        <v>38</v>
      </c>
      <c r="J504" s="1070" t="s">
        <v>960</v>
      </c>
      <c r="K504" s="1393" t="s">
        <v>6497</v>
      </c>
      <c r="L504" s="1071" t="s">
        <v>2144</v>
      </c>
      <c r="M504" s="1070">
        <v>1</v>
      </c>
      <c r="N504" s="1070" t="s">
        <v>5524</v>
      </c>
      <c r="O504" s="1079" t="s">
        <v>5798</v>
      </c>
    </row>
    <row r="505" spans="1:158" ht="32.1" customHeight="1">
      <c r="A505" s="1052"/>
      <c r="B505" s="1053" t="s">
        <v>661</v>
      </c>
      <c r="C505" s="1459">
        <v>1</v>
      </c>
      <c r="D505" s="1459">
        <v>1</v>
      </c>
      <c r="E505" s="1459">
        <v>0</v>
      </c>
      <c r="F505" s="1480">
        <v>1</v>
      </c>
      <c r="G505" s="1459">
        <v>1</v>
      </c>
      <c r="H505" s="1480">
        <v>1</v>
      </c>
      <c r="I505" s="1195" t="s">
        <v>38</v>
      </c>
      <c r="J505" s="1070" t="s">
        <v>960</v>
      </c>
      <c r="K505" s="1393" t="s">
        <v>6896</v>
      </c>
      <c r="L505" s="1071" t="s">
        <v>5993</v>
      </c>
      <c r="M505" s="1070">
        <v>1</v>
      </c>
      <c r="N505" s="1070" t="s">
        <v>5525</v>
      </c>
      <c r="O505" s="1070" t="s">
        <v>5799</v>
      </c>
      <c r="P505" s="1070"/>
      <c r="Q505" s="1079"/>
    </row>
    <row r="506" spans="1:158" ht="32.1" customHeight="1">
      <c r="A506" s="1052"/>
      <c r="B506" s="1053" t="s">
        <v>662</v>
      </c>
      <c r="C506" s="1459">
        <v>1</v>
      </c>
      <c r="D506" s="1459">
        <v>1</v>
      </c>
      <c r="E506" s="1459">
        <v>1</v>
      </c>
      <c r="F506" s="1459">
        <v>1</v>
      </c>
      <c r="G506" s="1459">
        <v>1</v>
      </c>
      <c r="H506" s="1459">
        <v>1</v>
      </c>
      <c r="I506" s="1195" t="s">
        <v>38</v>
      </c>
      <c r="J506" s="1070" t="s">
        <v>960</v>
      </c>
      <c r="K506" s="1070" t="s">
        <v>6498</v>
      </c>
      <c r="L506" s="1071" t="s">
        <v>2152</v>
      </c>
      <c r="M506" s="1070">
        <v>1</v>
      </c>
      <c r="N506" s="1393" t="s">
        <v>948</v>
      </c>
      <c r="O506" s="1071" t="s">
        <v>5800</v>
      </c>
    </row>
    <row r="507" spans="1:158" ht="32.1" customHeight="1">
      <c r="A507" s="1574"/>
      <c r="B507" s="1575" t="s">
        <v>663</v>
      </c>
      <c r="C507" s="1719">
        <f t="shared" ref="C507:H507" si="124">AVERAGE(C508:C509)</f>
        <v>1</v>
      </c>
      <c r="D507" s="1719">
        <f t="shared" si="124"/>
        <v>1</v>
      </c>
      <c r="E507" s="1719">
        <f t="shared" si="124"/>
        <v>1</v>
      </c>
      <c r="F507" s="1719">
        <f t="shared" si="124"/>
        <v>1</v>
      </c>
      <c r="G507" s="1719">
        <f t="shared" si="124"/>
        <v>1</v>
      </c>
      <c r="H507" s="1719">
        <f t="shared" si="124"/>
        <v>1</v>
      </c>
      <c r="I507" s="1195"/>
      <c r="J507" s="1574"/>
      <c r="K507" s="1574"/>
      <c r="L507" s="1574"/>
      <c r="M507" s="1574"/>
      <c r="N507" s="1574"/>
      <c r="O507" s="1574"/>
      <c r="P507" s="1574"/>
      <c r="Q507" s="1574"/>
      <c r="R507" s="1290"/>
      <c r="S507" s="1055"/>
      <c r="T507" s="1055"/>
      <c r="U507" s="1055"/>
      <c r="V507" s="1055"/>
      <c r="W507" s="1055"/>
      <c r="X507" s="1055"/>
      <c r="Y507" s="1055"/>
      <c r="Z507" s="1055"/>
      <c r="AA507" s="1055"/>
      <c r="AB507" s="1055"/>
      <c r="AC507" s="1055"/>
      <c r="AD507" s="1055"/>
      <c r="AE507" s="1055"/>
      <c r="AF507" s="1055"/>
      <c r="AG507" s="1055"/>
      <c r="AH507" s="1055"/>
      <c r="AI507" s="1055"/>
      <c r="AJ507" s="1055"/>
      <c r="AK507" s="1055"/>
      <c r="AL507" s="1055"/>
      <c r="AM507" s="1055"/>
      <c r="AN507" s="1055"/>
      <c r="AO507" s="1055"/>
      <c r="AP507" s="1055"/>
      <c r="AQ507" s="1055"/>
      <c r="AR507" s="1055"/>
      <c r="AS507" s="1055"/>
      <c r="AT507" s="1055"/>
      <c r="AU507" s="1055"/>
      <c r="AV507" s="1055"/>
      <c r="AW507" s="1055"/>
      <c r="AX507" s="1055"/>
      <c r="AY507" s="1055"/>
      <c r="AZ507" s="1055"/>
      <c r="BA507" s="1055"/>
      <c r="BB507" s="1055"/>
      <c r="BC507" s="1055"/>
      <c r="BD507" s="1055"/>
      <c r="BE507" s="1055"/>
      <c r="BF507" s="1055"/>
      <c r="BG507" s="1055"/>
      <c r="BH507" s="1055"/>
      <c r="BI507" s="1055"/>
      <c r="BJ507" s="1055"/>
      <c r="BK507" s="1055"/>
      <c r="BL507" s="1055"/>
      <c r="BM507" s="1055"/>
      <c r="BN507" s="1055"/>
      <c r="BO507" s="1055"/>
      <c r="BP507" s="1055"/>
      <c r="BQ507" s="1055"/>
      <c r="BR507" s="1055"/>
      <c r="BS507" s="1055"/>
      <c r="BT507" s="1055"/>
      <c r="BU507" s="1055"/>
      <c r="BV507" s="1055"/>
      <c r="BW507" s="1055"/>
      <c r="BX507" s="1055"/>
      <c r="BY507" s="1055"/>
      <c r="BZ507" s="1055"/>
      <c r="CA507" s="1055"/>
      <c r="CB507" s="1055"/>
      <c r="CC507" s="1055"/>
      <c r="CD507" s="1055"/>
      <c r="CE507" s="1055"/>
      <c r="CF507" s="1055"/>
      <c r="CG507" s="1055"/>
      <c r="CH507" s="1055"/>
      <c r="CI507" s="1055"/>
      <c r="CJ507" s="1055"/>
      <c r="CK507" s="1055"/>
      <c r="CL507" s="1055"/>
      <c r="CM507" s="1055"/>
      <c r="CN507" s="1055"/>
      <c r="CO507" s="1055"/>
      <c r="CP507" s="1055"/>
      <c r="CQ507" s="1055"/>
      <c r="CR507" s="1055"/>
      <c r="CS507" s="1055"/>
      <c r="CT507" s="1055"/>
      <c r="CU507" s="1055"/>
      <c r="CV507" s="1055"/>
      <c r="CW507" s="1055"/>
      <c r="CX507" s="1055"/>
      <c r="CY507" s="1055"/>
      <c r="CZ507" s="1055"/>
      <c r="DA507" s="1055"/>
      <c r="DB507" s="1055"/>
      <c r="DC507" s="1055"/>
      <c r="DD507" s="1055"/>
      <c r="DE507" s="1055"/>
      <c r="DF507" s="1055"/>
      <c r="DG507" s="1055"/>
      <c r="DH507" s="1055"/>
      <c r="DI507" s="1055"/>
      <c r="DJ507" s="1055"/>
      <c r="DK507" s="1055"/>
      <c r="DL507" s="1055"/>
      <c r="DM507" s="1055"/>
      <c r="DN507" s="1055"/>
      <c r="DO507" s="1055"/>
      <c r="DP507" s="1055"/>
      <c r="DQ507" s="1055"/>
      <c r="DR507" s="1055"/>
      <c r="DS507" s="1055"/>
      <c r="DT507" s="1055"/>
      <c r="DU507" s="1055"/>
      <c r="DV507" s="1055"/>
      <c r="DW507" s="1055"/>
      <c r="DX507" s="1055"/>
      <c r="DY507" s="1055"/>
      <c r="DZ507" s="1055"/>
      <c r="EA507" s="1055"/>
      <c r="EB507" s="1055"/>
      <c r="EC507" s="1055"/>
      <c r="ED507" s="1055"/>
      <c r="EE507" s="1055"/>
      <c r="EF507" s="1055"/>
      <c r="EG507" s="1055"/>
      <c r="EH507" s="1055"/>
      <c r="EI507" s="1055"/>
      <c r="EJ507" s="1055"/>
      <c r="EK507" s="1055"/>
      <c r="EL507" s="1055"/>
      <c r="EM507" s="1055"/>
      <c r="EN507" s="1055"/>
      <c r="EO507" s="1055"/>
      <c r="EP507" s="1055"/>
      <c r="EQ507" s="1055"/>
      <c r="ER507" s="1055"/>
      <c r="ES507" s="1055"/>
      <c r="ET507" s="1055"/>
      <c r="EU507" s="1055"/>
      <c r="EV507" s="1055"/>
      <c r="EW507" s="1055"/>
      <c r="EX507" s="1055"/>
      <c r="EY507" s="1055"/>
      <c r="EZ507" s="1055"/>
      <c r="FA507" s="1055"/>
      <c r="FB507" s="1055"/>
    </row>
    <row r="508" spans="1:158" ht="32.1" customHeight="1">
      <c r="A508" s="1052"/>
      <c r="B508" s="1145" t="s">
        <v>664</v>
      </c>
      <c r="C508" s="1459">
        <v>1</v>
      </c>
      <c r="D508" s="1459">
        <v>1</v>
      </c>
      <c r="E508" s="1459">
        <v>1</v>
      </c>
      <c r="F508" s="1459">
        <v>1</v>
      </c>
      <c r="G508" s="1459">
        <v>1</v>
      </c>
      <c r="H508" s="1459">
        <v>1</v>
      </c>
      <c r="I508" s="1195" t="s">
        <v>38</v>
      </c>
      <c r="J508" s="1070" t="s">
        <v>960</v>
      </c>
      <c r="K508" s="1070" t="s">
        <v>6808</v>
      </c>
      <c r="L508" s="1071" t="s">
        <v>811</v>
      </c>
      <c r="M508" s="1307">
        <v>1</v>
      </c>
      <c r="N508" s="1069" t="s">
        <v>5526</v>
      </c>
      <c r="O508" s="1071" t="s">
        <v>5801</v>
      </c>
      <c r="R508" s="1290"/>
      <c r="S508" s="1055"/>
      <c r="T508" s="1055"/>
      <c r="U508" s="1055"/>
      <c r="V508" s="1055"/>
      <c r="W508" s="1055"/>
      <c r="X508" s="1055"/>
      <c r="Y508" s="1055"/>
      <c r="Z508" s="1055"/>
      <c r="AA508" s="1055"/>
      <c r="AB508" s="1055"/>
      <c r="AC508" s="1055"/>
      <c r="AD508" s="1055"/>
      <c r="AE508" s="1055"/>
      <c r="AF508" s="1055"/>
      <c r="AG508" s="1055"/>
      <c r="AH508" s="1055"/>
      <c r="AI508" s="1055"/>
      <c r="AJ508" s="1055"/>
      <c r="AK508" s="1055"/>
      <c r="AL508" s="1055"/>
      <c r="AM508" s="1055"/>
      <c r="AN508" s="1055"/>
      <c r="AO508" s="1055"/>
      <c r="AP508" s="1055"/>
      <c r="AQ508" s="1055"/>
      <c r="AR508" s="1055"/>
      <c r="AS508" s="1055"/>
      <c r="AT508" s="1055"/>
      <c r="AU508" s="1055"/>
      <c r="AV508" s="1055"/>
      <c r="AW508" s="1055"/>
      <c r="AX508" s="1055"/>
      <c r="AY508" s="1055"/>
      <c r="AZ508" s="1055"/>
      <c r="BA508" s="1055"/>
      <c r="BB508" s="1055"/>
      <c r="BC508" s="1055"/>
      <c r="BD508" s="1055"/>
      <c r="BE508" s="1055"/>
      <c r="BF508" s="1055"/>
      <c r="BG508" s="1055"/>
      <c r="BH508" s="1055"/>
      <c r="BI508" s="1055"/>
      <c r="BJ508" s="1055"/>
      <c r="BK508" s="1055"/>
      <c r="BL508" s="1055"/>
      <c r="BM508" s="1055"/>
      <c r="BN508" s="1055"/>
      <c r="BO508" s="1055"/>
      <c r="BP508" s="1055"/>
      <c r="BQ508" s="1055"/>
      <c r="BR508" s="1055"/>
      <c r="BS508" s="1055"/>
      <c r="BT508" s="1055"/>
      <c r="BU508" s="1055"/>
      <c r="BV508" s="1055"/>
      <c r="BW508" s="1055"/>
      <c r="BX508" s="1055"/>
      <c r="BY508" s="1055"/>
      <c r="BZ508" s="1055"/>
      <c r="CA508" s="1055"/>
      <c r="CB508" s="1055"/>
      <c r="CC508" s="1055"/>
      <c r="CD508" s="1055"/>
      <c r="CE508" s="1055"/>
      <c r="CF508" s="1055"/>
      <c r="CG508" s="1055"/>
      <c r="CH508" s="1055"/>
      <c r="CI508" s="1055"/>
      <c r="CJ508" s="1055"/>
      <c r="CK508" s="1055"/>
      <c r="CL508" s="1055"/>
      <c r="CM508" s="1055"/>
      <c r="CN508" s="1055"/>
      <c r="CO508" s="1055"/>
      <c r="CP508" s="1055"/>
      <c r="CQ508" s="1055"/>
      <c r="CR508" s="1055"/>
      <c r="CS508" s="1055"/>
      <c r="CT508" s="1055"/>
      <c r="CU508" s="1055"/>
      <c r="CV508" s="1055"/>
      <c r="CW508" s="1055"/>
      <c r="CX508" s="1055"/>
      <c r="CY508" s="1055"/>
      <c r="CZ508" s="1055"/>
      <c r="DA508" s="1055"/>
      <c r="DB508" s="1055"/>
      <c r="DC508" s="1055"/>
      <c r="DD508" s="1055"/>
      <c r="DE508" s="1055"/>
      <c r="DF508" s="1055"/>
      <c r="DG508" s="1055"/>
      <c r="DH508" s="1055"/>
      <c r="DI508" s="1055"/>
      <c r="DJ508" s="1055"/>
      <c r="DK508" s="1055"/>
      <c r="DL508" s="1055"/>
      <c r="DM508" s="1055"/>
      <c r="DN508" s="1055"/>
      <c r="DO508" s="1055"/>
      <c r="DP508" s="1055"/>
      <c r="DQ508" s="1055"/>
      <c r="DR508" s="1055"/>
      <c r="DS508" s="1055"/>
      <c r="DT508" s="1055"/>
      <c r="DU508" s="1055"/>
      <c r="DV508" s="1055"/>
      <c r="DW508" s="1055"/>
      <c r="DX508" s="1055"/>
      <c r="DY508" s="1055"/>
      <c r="DZ508" s="1055"/>
      <c r="EA508" s="1055"/>
      <c r="EB508" s="1055"/>
      <c r="EC508" s="1055"/>
      <c r="ED508" s="1055"/>
      <c r="EE508" s="1055"/>
      <c r="EF508" s="1055"/>
      <c r="EG508" s="1055"/>
      <c r="EH508" s="1055"/>
      <c r="EI508" s="1055"/>
      <c r="EJ508" s="1055"/>
      <c r="EK508" s="1055"/>
      <c r="EL508" s="1055"/>
      <c r="EM508" s="1055"/>
      <c r="EN508" s="1055"/>
      <c r="EO508" s="1055"/>
      <c r="EP508" s="1055"/>
      <c r="EQ508" s="1055"/>
      <c r="ER508" s="1055"/>
      <c r="ES508" s="1055"/>
      <c r="ET508" s="1055"/>
      <c r="EU508" s="1055"/>
      <c r="EV508" s="1055"/>
      <c r="EW508" s="1055"/>
      <c r="EX508" s="1055"/>
      <c r="EY508" s="1055"/>
      <c r="EZ508" s="1055"/>
      <c r="FA508" s="1055"/>
      <c r="FB508" s="1055"/>
    </row>
    <row r="509" spans="1:158" ht="32.1" customHeight="1">
      <c r="A509" s="1052"/>
      <c r="B509" s="1145" t="s">
        <v>665</v>
      </c>
      <c r="C509" s="1459">
        <v>1</v>
      </c>
      <c r="D509" s="1459">
        <v>1</v>
      </c>
      <c r="E509" s="1459">
        <v>1</v>
      </c>
      <c r="F509" s="1459">
        <v>1</v>
      </c>
      <c r="G509" s="1459">
        <v>1</v>
      </c>
      <c r="H509" s="1459">
        <v>1</v>
      </c>
      <c r="I509" s="1195" t="s">
        <v>38</v>
      </c>
      <c r="J509" s="1070" t="s">
        <v>960</v>
      </c>
      <c r="K509" s="1154" t="s">
        <v>6499</v>
      </c>
      <c r="L509" s="1071" t="s">
        <v>2152</v>
      </c>
      <c r="M509" s="1070">
        <v>1</v>
      </c>
      <c r="N509" s="1069" t="s">
        <v>5527</v>
      </c>
      <c r="O509" s="1071" t="s">
        <v>5802</v>
      </c>
      <c r="R509" s="1290"/>
      <c r="S509" s="1055"/>
      <c r="T509" s="1055"/>
      <c r="U509" s="1055"/>
      <c r="V509" s="1055"/>
      <c r="W509" s="1055"/>
      <c r="X509" s="1055"/>
      <c r="Y509" s="1055"/>
      <c r="Z509" s="1055"/>
      <c r="AA509" s="1055"/>
      <c r="AB509" s="1055"/>
      <c r="AC509" s="1055"/>
      <c r="AD509" s="1055"/>
      <c r="AE509" s="1055"/>
      <c r="AF509" s="1055"/>
      <c r="AG509" s="1055"/>
      <c r="AH509" s="1055"/>
      <c r="AI509" s="1055"/>
      <c r="AJ509" s="1055"/>
      <c r="AK509" s="1055"/>
      <c r="AL509" s="1055"/>
      <c r="AM509" s="1055"/>
      <c r="AN509" s="1055"/>
      <c r="AO509" s="1055"/>
      <c r="AP509" s="1055"/>
      <c r="AQ509" s="1055"/>
      <c r="AR509" s="1055"/>
      <c r="AS509" s="1055"/>
      <c r="AT509" s="1055"/>
      <c r="AU509" s="1055"/>
      <c r="AV509" s="1055"/>
      <c r="AW509" s="1055"/>
      <c r="AX509" s="1055"/>
      <c r="AY509" s="1055"/>
      <c r="AZ509" s="1055"/>
      <c r="BA509" s="1055"/>
      <c r="BB509" s="1055"/>
      <c r="BC509" s="1055"/>
      <c r="BD509" s="1055"/>
      <c r="BE509" s="1055"/>
      <c r="BF509" s="1055"/>
      <c r="BG509" s="1055"/>
      <c r="BH509" s="1055"/>
      <c r="BI509" s="1055"/>
      <c r="BJ509" s="1055"/>
      <c r="BK509" s="1055"/>
      <c r="BL509" s="1055"/>
      <c r="BM509" s="1055"/>
      <c r="BN509" s="1055"/>
      <c r="BO509" s="1055"/>
      <c r="BP509" s="1055"/>
      <c r="BQ509" s="1055"/>
      <c r="BR509" s="1055"/>
      <c r="BS509" s="1055"/>
      <c r="BT509" s="1055"/>
      <c r="BU509" s="1055"/>
      <c r="BV509" s="1055"/>
      <c r="BW509" s="1055"/>
      <c r="BX509" s="1055"/>
      <c r="BY509" s="1055"/>
      <c r="BZ509" s="1055"/>
      <c r="CA509" s="1055"/>
      <c r="CB509" s="1055"/>
      <c r="CC509" s="1055"/>
      <c r="CD509" s="1055"/>
      <c r="CE509" s="1055"/>
      <c r="CF509" s="1055"/>
      <c r="CG509" s="1055"/>
      <c r="CH509" s="1055"/>
      <c r="CI509" s="1055"/>
      <c r="CJ509" s="1055"/>
      <c r="CK509" s="1055"/>
      <c r="CL509" s="1055"/>
      <c r="CM509" s="1055"/>
      <c r="CN509" s="1055"/>
      <c r="CO509" s="1055"/>
      <c r="CP509" s="1055"/>
      <c r="CQ509" s="1055"/>
      <c r="CR509" s="1055"/>
      <c r="CS509" s="1055"/>
      <c r="CT509" s="1055"/>
      <c r="CU509" s="1055"/>
      <c r="CV509" s="1055"/>
      <c r="CW509" s="1055"/>
      <c r="CX509" s="1055"/>
      <c r="CY509" s="1055"/>
      <c r="CZ509" s="1055"/>
      <c r="DA509" s="1055"/>
      <c r="DB509" s="1055"/>
      <c r="DC509" s="1055"/>
      <c r="DD509" s="1055"/>
      <c r="DE509" s="1055"/>
      <c r="DF509" s="1055"/>
      <c r="DG509" s="1055"/>
      <c r="DH509" s="1055"/>
      <c r="DI509" s="1055"/>
      <c r="DJ509" s="1055"/>
      <c r="DK509" s="1055"/>
      <c r="DL509" s="1055"/>
      <c r="DM509" s="1055"/>
      <c r="DN509" s="1055"/>
      <c r="DO509" s="1055"/>
      <c r="DP509" s="1055"/>
      <c r="DQ509" s="1055"/>
      <c r="DR509" s="1055"/>
      <c r="DS509" s="1055"/>
      <c r="DT509" s="1055"/>
      <c r="DU509" s="1055"/>
      <c r="DV509" s="1055"/>
      <c r="DW509" s="1055"/>
      <c r="DX509" s="1055"/>
      <c r="DY509" s="1055"/>
      <c r="DZ509" s="1055"/>
      <c r="EA509" s="1055"/>
      <c r="EB509" s="1055"/>
      <c r="EC509" s="1055"/>
      <c r="ED509" s="1055"/>
      <c r="EE509" s="1055"/>
      <c r="EF509" s="1055"/>
      <c r="EG509" s="1055"/>
      <c r="EH509" s="1055"/>
      <c r="EI509" s="1055"/>
      <c r="EJ509" s="1055"/>
      <c r="EK509" s="1055"/>
      <c r="EL509" s="1055"/>
      <c r="EM509" s="1055"/>
      <c r="EN509" s="1055"/>
      <c r="EO509" s="1055"/>
      <c r="EP509" s="1055"/>
      <c r="EQ509" s="1055"/>
      <c r="ER509" s="1055"/>
      <c r="ES509" s="1055"/>
      <c r="ET509" s="1055"/>
      <c r="EU509" s="1055"/>
      <c r="EV509" s="1055"/>
      <c r="EW509" s="1055"/>
      <c r="EX509" s="1055"/>
      <c r="EY509" s="1055"/>
      <c r="EZ509" s="1055"/>
      <c r="FA509" s="1055"/>
      <c r="FB509" s="1055"/>
    </row>
    <row r="510" spans="1:158" ht="32.1" customHeight="1">
      <c r="A510" s="1052"/>
      <c r="B510" s="1053" t="s">
        <v>666</v>
      </c>
      <c r="C510" s="1459">
        <v>1</v>
      </c>
      <c r="D510" s="1459">
        <v>1</v>
      </c>
      <c r="E510" s="1459">
        <v>0.5</v>
      </c>
      <c r="F510" s="1480">
        <v>1</v>
      </c>
      <c r="G510" s="1480">
        <v>0</v>
      </c>
      <c r="H510" s="1480">
        <v>1</v>
      </c>
      <c r="I510" s="1195" t="s">
        <v>459</v>
      </c>
      <c r="J510" s="1070" t="s">
        <v>960</v>
      </c>
      <c r="K510" s="1154" t="s">
        <v>6802</v>
      </c>
      <c r="L510" s="1071" t="s">
        <v>5994</v>
      </c>
      <c r="M510" s="1070">
        <v>1</v>
      </c>
      <c r="N510" s="1073" t="s">
        <v>943</v>
      </c>
      <c r="O510" s="1071" t="s">
        <v>5803</v>
      </c>
      <c r="R510" s="1290"/>
      <c r="S510" s="1055"/>
      <c r="T510" s="1055"/>
      <c r="U510" s="1055"/>
      <c r="V510" s="1055"/>
      <c r="W510" s="1055"/>
      <c r="X510" s="1055"/>
      <c r="Y510" s="1055"/>
      <c r="Z510" s="1055"/>
      <c r="AA510" s="1055"/>
      <c r="AB510" s="1055"/>
      <c r="AC510" s="1055"/>
      <c r="AD510" s="1055"/>
      <c r="AE510" s="1055"/>
      <c r="AF510" s="1055"/>
      <c r="AG510" s="1055"/>
      <c r="AH510" s="1055"/>
      <c r="AI510" s="1055"/>
      <c r="AJ510" s="1055"/>
      <c r="AK510" s="1055"/>
      <c r="AL510" s="1055"/>
      <c r="AM510" s="1055"/>
      <c r="AN510" s="1055"/>
      <c r="AO510" s="1055"/>
      <c r="AP510" s="1055"/>
      <c r="AQ510" s="1055"/>
      <c r="AR510" s="1055"/>
      <c r="AS510" s="1055"/>
      <c r="AT510" s="1055"/>
      <c r="AU510" s="1055"/>
      <c r="AV510" s="1055"/>
      <c r="AW510" s="1055"/>
      <c r="AX510" s="1055"/>
      <c r="AY510" s="1055"/>
      <c r="AZ510" s="1055"/>
      <c r="BA510" s="1055"/>
      <c r="BB510" s="1055"/>
      <c r="BC510" s="1055"/>
      <c r="BD510" s="1055"/>
      <c r="BE510" s="1055"/>
      <c r="BF510" s="1055"/>
      <c r="BG510" s="1055"/>
      <c r="BH510" s="1055"/>
      <c r="BI510" s="1055"/>
      <c r="BJ510" s="1055"/>
      <c r="BK510" s="1055"/>
      <c r="BL510" s="1055"/>
      <c r="BM510" s="1055"/>
      <c r="BN510" s="1055"/>
      <c r="BO510" s="1055"/>
      <c r="BP510" s="1055"/>
      <c r="BQ510" s="1055"/>
      <c r="BR510" s="1055"/>
      <c r="BS510" s="1055"/>
      <c r="BT510" s="1055"/>
      <c r="BU510" s="1055"/>
      <c r="BV510" s="1055"/>
      <c r="BW510" s="1055"/>
      <c r="BX510" s="1055"/>
      <c r="BY510" s="1055"/>
      <c r="BZ510" s="1055"/>
      <c r="CA510" s="1055"/>
      <c r="CB510" s="1055"/>
      <c r="CC510" s="1055"/>
      <c r="CD510" s="1055"/>
      <c r="CE510" s="1055"/>
      <c r="CF510" s="1055"/>
      <c r="CG510" s="1055"/>
      <c r="CH510" s="1055"/>
      <c r="CI510" s="1055"/>
      <c r="CJ510" s="1055"/>
      <c r="CK510" s="1055"/>
      <c r="CL510" s="1055"/>
      <c r="CM510" s="1055"/>
      <c r="CN510" s="1055"/>
      <c r="CO510" s="1055"/>
      <c r="CP510" s="1055"/>
      <c r="CQ510" s="1055"/>
      <c r="CR510" s="1055"/>
      <c r="CS510" s="1055"/>
      <c r="CT510" s="1055"/>
      <c r="CU510" s="1055"/>
      <c r="CV510" s="1055"/>
      <c r="CW510" s="1055"/>
      <c r="CX510" s="1055"/>
      <c r="CY510" s="1055"/>
      <c r="CZ510" s="1055"/>
      <c r="DA510" s="1055"/>
      <c r="DB510" s="1055"/>
      <c r="DC510" s="1055"/>
      <c r="DD510" s="1055"/>
      <c r="DE510" s="1055"/>
      <c r="DF510" s="1055"/>
      <c r="DG510" s="1055"/>
      <c r="DH510" s="1055"/>
      <c r="DI510" s="1055"/>
      <c r="DJ510" s="1055"/>
      <c r="DK510" s="1055"/>
      <c r="DL510" s="1055"/>
      <c r="DM510" s="1055"/>
      <c r="DN510" s="1055"/>
      <c r="DO510" s="1055"/>
      <c r="DP510" s="1055"/>
      <c r="DQ510" s="1055"/>
      <c r="DR510" s="1055"/>
      <c r="DS510" s="1055"/>
      <c r="DT510" s="1055"/>
      <c r="DU510" s="1055"/>
      <c r="DV510" s="1055"/>
      <c r="DW510" s="1055"/>
      <c r="DX510" s="1055"/>
      <c r="DY510" s="1055"/>
      <c r="DZ510" s="1055"/>
      <c r="EA510" s="1055"/>
      <c r="EB510" s="1055"/>
      <c r="EC510" s="1055"/>
      <c r="ED510" s="1055"/>
      <c r="EE510" s="1055"/>
      <c r="EF510" s="1055"/>
      <c r="EG510" s="1055"/>
      <c r="EH510" s="1055"/>
      <c r="EI510" s="1055"/>
      <c r="EJ510" s="1055"/>
      <c r="EK510" s="1055"/>
      <c r="EL510" s="1055"/>
      <c r="EM510" s="1055"/>
      <c r="EN510" s="1055"/>
      <c r="EO510" s="1055"/>
      <c r="EP510" s="1055"/>
      <c r="EQ510" s="1055"/>
      <c r="ER510" s="1055"/>
      <c r="ES510" s="1055"/>
      <c r="ET510" s="1055"/>
      <c r="EU510" s="1055"/>
      <c r="EV510" s="1055"/>
      <c r="EW510" s="1055"/>
      <c r="EX510" s="1055"/>
      <c r="EY510" s="1055"/>
      <c r="EZ510" s="1055"/>
      <c r="FA510" s="1055"/>
      <c r="FB510" s="1055"/>
    </row>
    <row r="511" spans="1:158" ht="32.1" customHeight="1">
      <c r="A511" s="1052"/>
      <c r="B511" s="1053" t="s">
        <v>667</v>
      </c>
      <c r="C511" s="1459">
        <v>1</v>
      </c>
      <c r="D511" s="1459">
        <v>1</v>
      </c>
      <c r="E511" s="1459">
        <v>0.5</v>
      </c>
      <c r="F511" s="1480">
        <v>1</v>
      </c>
      <c r="G511" s="1459">
        <v>0</v>
      </c>
      <c r="H511" s="1480">
        <v>0</v>
      </c>
      <c r="I511" s="1195"/>
      <c r="J511" s="1070" t="s">
        <v>960</v>
      </c>
      <c r="K511" s="1154" t="s">
        <v>6500</v>
      </c>
      <c r="L511" s="1071" t="s">
        <v>5995</v>
      </c>
      <c r="M511" s="1164">
        <v>1</v>
      </c>
      <c r="N511" s="1070" t="s">
        <v>968</v>
      </c>
      <c r="O511" s="1071" t="s">
        <v>748</v>
      </c>
      <c r="R511" s="1290"/>
      <c r="S511" s="1055"/>
      <c r="T511" s="1055"/>
      <c r="U511" s="1055"/>
      <c r="V511" s="1055"/>
      <c r="W511" s="1055"/>
      <c r="X511" s="1055"/>
      <c r="Y511" s="1055"/>
      <c r="Z511" s="1055"/>
      <c r="AA511" s="1055"/>
      <c r="AB511" s="1055"/>
      <c r="AC511" s="1055"/>
      <c r="AD511" s="1055"/>
      <c r="AE511" s="1055"/>
      <c r="AF511" s="1055"/>
      <c r="AG511" s="1055"/>
      <c r="AH511" s="1055"/>
      <c r="AI511" s="1055"/>
      <c r="AJ511" s="1055"/>
      <c r="AK511" s="1055"/>
      <c r="AL511" s="1055"/>
      <c r="AM511" s="1055"/>
      <c r="AN511" s="1055"/>
      <c r="AO511" s="1055"/>
      <c r="AP511" s="1055"/>
      <c r="AQ511" s="1055"/>
      <c r="AR511" s="1055"/>
      <c r="AS511" s="1055"/>
      <c r="AT511" s="1055"/>
      <c r="AU511" s="1055"/>
      <c r="AV511" s="1055"/>
      <c r="AW511" s="1055"/>
      <c r="AX511" s="1055"/>
      <c r="AY511" s="1055"/>
      <c r="AZ511" s="1055"/>
      <c r="BA511" s="1055"/>
      <c r="BB511" s="1055"/>
      <c r="BC511" s="1055"/>
      <c r="BD511" s="1055"/>
      <c r="BE511" s="1055"/>
      <c r="BF511" s="1055"/>
      <c r="BG511" s="1055"/>
      <c r="BH511" s="1055"/>
      <c r="BI511" s="1055"/>
      <c r="BJ511" s="1055"/>
      <c r="BK511" s="1055"/>
      <c r="BL511" s="1055"/>
      <c r="BM511" s="1055"/>
      <c r="BN511" s="1055"/>
      <c r="BO511" s="1055"/>
      <c r="BP511" s="1055"/>
      <c r="BQ511" s="1055"/>
      <c r="BR511" s="1055"/>
      <c r="BS511" s="1055"/>
      <c r="BT511" s="1055"/>
      <c r="BU511" s="1055"/>
      <c r="BV511" s="1055"/>
      <c r="BW511" s="1055"/>
      <c r="BX511" s="1055"/>
      <c r="BY511" s="1055"/>
      <c r="BZ511" s="1055"/>
      <c r="CA511" s="1055"/>
      <c r="CB511" s="1055"/>
      <c r="CC511" s="1055"/>
      <c r="CD511" s="1055"/>
      <c r="CE511" s="1055"/>
      <c r="CF511" s="1055"/>
      <c r="CG511" s="1055"/>
      <c r="CH511" s="1055"/>
      <c r="CI511" s="1055"/>
      <c r="CJ511" s="1055"/>
      <c r="CK511" s="1055"/>
      <c r="CL511" s="1055"/>
      <c r="CM511" s="1055"/>
      <c r="CN511" s="1055"/>
      <c r="CO511" s="1055"/>
      <c r="CP511" s="1055"/>
      <c r="CQ511" s="1055"/>
      <c r="CR511" s="1055"/>
      <c r="CS511" s="1055"/>
      <c r="CT511" s="1055"/>
      <c r="CU511" s="1055"/>
      <c r="CV511" s="1055"/>
      <c r="CW511" s="1055"/>
      <c r="CX511" s="1055"/>
      <c r="CY511" s="1055"/>
      <c r="CZ511" s="1055"/>
      <c r="DA511" s="1055"/>
      <c r="DB511" s="1055"/>
      <c r="DC511" s="1055"/>
      <c r="DD511" s="1055"/>
      <c r="DE511" s="1055"/>
      <c r="DF511" s="1055"/>
      <c r="DG511" s="1055"/>
      <c r="DH511" s="1055"/>
      <c r="DI511" s="1055"/>
      <c r="DJ511" s="1055"/>
      <c r="DK511" s="1055"/>
      <c r="DL511" s="1055"/>
      <c r="DM511" s="1055"/>
      <c r="DN511" s="1055"/>
      <c r="DO511" s="1055"/>
      <c r="DP511" s="1055"/>
      <c r="DQ511" s="1055"/>
      <c r="DR511" s="1055"/>
      <c r="DS511" s="1055"/>
      <c r="DT511" s="1055"/>
      <c r="DU511" s="1055"/>
      <c r="DV511" s="1055"/>
      <c r="DW511" s="1055"/>
      <c r="DX511" s="1055"/>
      <c r="DY511" s="1055"/>
      <c r="DZ511" s="1055"/>
      <c r="EA511" s="1055"/>
      <c r="EB511" s="1055"/>
      <c r="EC511" s="1055"/>
      <c r="ED511" s="1055"/>
      <c r="EE511" s="1055"/>
      <c r="EF511" s="1055"/>
      <c r="EG511" s="1055"/>
      <c r="EH511" s="1055"/>
      <c r="EI511" s="1055"/>
      <c r="EJ511" s="1055"/>
      <c r="EK511" s="1055"/>
      <c r="EL511" s="1055"/>
      <c r="EM511" s="1055"/>
      <c r="EN511" s="1055"/>
      <c r="EO511" s="1055"/>
      <c r="EP511" s="1055"/>
      <c r="EQ511" s="1055"/>
      <c r="ER511" s="1055"/>
      <c r="ES511" s="1055"/>
      <c r="ET511" s="1055"/>
      <c r="EU511" s="1055"/>
      <c r="EV511" s="1055"/>
      <c r="EW511" s="1055"/>
      <c r="EX511" s="1055"/>
      <c r="EY511" s="1055"/>
      <c r="EZ511" s="1055"/>
      <c r="FA511" s="1055"/>
      <c r="FB511" s="1055"/>
    </row>
    <row r="512" spans="1:158" ht="32.1" customHeight="1">
      <c r="A512" s="1612" t="s">
        <v>6877</v>
      </c>
      <c r="B512" s="1067" t="s">
        <v>669</v>
      </c>
      <c r="C512" s="1478">
        <f t="shared" ref="C512:H512" si="125">AVERAGE(C513,C514,C515,C516,C517)</f>
        <v>0.93200000000000005</v>
      </c>
      <c r="D512" s="1478">
        <f t="shared" si="125"/>
        <v>0.998</v>
      </c>
      <c r="E512" s="1478">
        <f t="shared" si="125"/>
        <v>0.03</v>
      </c>
      <c r="F512" s="1478">
        <f t="shared" si="125"/>
        <v>0.63400000000000001</v>
      </c>
      <c r="G512" s="1478">
        <f t="shared" si="125"/>
        <v>0.6</v>
      </c>
      <c r="H512" s="1478">
        <f t="shared" si="125"/>
        <v>0.62359999999999993</v>
      </c>
      <c r="I512" s="1195"/>
      <c r="J512" s="1130"/>
      <c r="K512" s="1130"/>
      <c r="L512" s="1130"/>
      <c r="M512" s="1130"/>
      <c r="N512" s="1130"/>
      <c r="O512" s="1130"/>
      <c r="P512" s="1303"/>
      <c r="Q512" s="1303"/>
      <c r="R512" s="1290"/>
      <c r="S512" s="1055"/>
      <c r="T512" s="1055"/>
      <c r="U512" s="1055"/>
      <c r="V512" s="1055"/>
      <c r="W512" s="1055"/>
      <c r="X512" s="1055"/>
      <c r="Y512" s="1055"/>
      <c r="Z512" s="1055"/>
      <c r="AA512" s="1055"/>
      <c r="AB512" s="1055"/>
      <c r="AC512" s="1055"/>
      <c r="AD512" s="1055"/>
      <c r="AE512" s="1055"/>
      <c r="AF512" s="1055"/>
      <c r="AG512" s="1055"/>
      <c r="AH512" s="1055"/>
      <c r="AI512" s="1055"/>
      <c r="AJ512" s="1055"/>
      <c r="AK512" s="1055"/>
      <c r="AL512" s="1055"/>
      <c r="AM512" s="1055"/>
      <c r="AN512" s="1055"/>
      <c r="AO512" s="1055"/>
      <c r="AP512" s="1055"/>
      <c r="AQ512" s="1055"/>
      <c r="AR512" s="1055"/>
      <c r="AS512" s="1055"/>
      <c r="AT512" s="1055"/>
      <c r="AU512" s="1055"/>
      <c r="AV512" s="1055"/>
      <c r="AW512" s="1055"/>
      <c r="AX512" s="1055"/>
      <c r="AY512" s="1055"/>
      <c r="AZ512" s="1055"/>
      <c r="BA512" s="1055"/>
      <c r="BB512" s="1055"/>
      <c r="BC512" s="1055"/>
      <c r="BD512" s="1055"/>
      <c r="BE512" s="1055"/>
      <c r="BF512" s="1055"/>
      <c r="BG512" s="1055"/>
      <c r="BH512" s="1055"/>
      <c r="BI512" s="1055"/>
      <c r="BJ512" s="1055"/>
      <c r="BK512" s="1055"/>
      <c r="BL512" s="1055"/>
      <c r="BM512" s="1055"/>
      <c r="BN512" s="1055"/>
      <c r="BO512" s="1055"/>
      <c r="BP512" s="1055"/>
      <c r="BQ512" s="1055"/>
      <c r="BR512" s="1055"/>
      <c r="BS512" s="1055"/>
      <c r="BT512" s="1055"/>
      <c r="BU512" s="1055"/>
      <c r="BV512" s="1055"/>
      <c r="BW512" s="1055"/>
      <c r="BX512" s="1055"/>
      <c r="BY512" s="1055"/>
      <c r="BZ512" s="1055"/>
      <c r="CA512" s="1055"/>
      <c r="CB512" s="1055"/>
      <c r="CC512" s="1055"/>
      <c r="CD512" s="1055"/>
      <c r="CE512" s="1055"/>
      <c r="CF512" s="1055"/>
      <c r="CG512" s="1055"/>
      <c r="CH512" s="1055"/>
      <c r="CI512" s="1055"/>
      <c r="CJ512" s="1055"/>
      <c r="CK512" s="1055"/>
      <c r="CL512" s="1055"/>
      <c r="CM512" s="1055"/>
      <c r="CN512" s="1055"/>
      <c r="CO512" s="1055"/>
      <c r="CP512" s="1055"/>
      <c r="CQ512" s="1055"/>
      <c r="CR512" s="1055"/>
      <c r="CS512" s="1055"/>
      <c r="CT512" s="1055"/>
      <c r="CU512" s="1055"/>
      <c r="CV512" s="1055"/>
      <c r="CW512" s="1055"/>
      <c r="CX512" s="1055"/>
      <c r="CY512" s="1055"/>
      <c r="CZ512" s="1055"/>
      <c r="DA512" s="1055"/>
      <c r="DB512" s="1055"/>
      <c r="DC512" s="1055"/>
      <c r="DD512" s="1055"/>
      <c r="DE512" s="1055"/>
      <c r="DF512" s="1055"/>
      <c r="DG512" s="1055"/>
      <c r="DH512" s="1055"/>
      <c r="DI512" s="1055"/>
      <c r="DJ512" s="1055"/>
      <c r="DK512" s="1055"/>
      <c r="DL512" s="1055"/>
      <c r="DM512" s="1055"/>
      <c r="DN512" s="1055"/>
      <c r="DO512" s="1055"/>
      <c r="DP512" s="1055"/>
      <c r="DQ512" s="1055"/>
      <c r="DR512" s="1055"/>
      <c r="DS512" s="1055"/>
      <c r="DT512" s="1055"/>
      <c r="DU512" s="1055"/>
      <c r="DV512" s="1055"/>
      <c r="DW512" s="1055"/>
      <c r="DX512" s="1055"/>
      <c r="DY512" s="1055"/>
      <c r="DZ512" s="1055"/>
      <c r="EA512" s="1055"/>
      <c r="EB512" s="1055"/>
      <c r="EC512" s="1055"/>
      <c r="ED512" s="1055"/>
      <c r="EE512" s="1055"/>
      <c r="EF512" s="1055"/>
      <c r="EG512" s="1055"/>
      <c r="EH512" s="1055"/>
      <c r="EI512" s="1055"/>
      <c r="EJ512" s="1055"/>
      <c r="EK512" s="1055"/>
      <c r="EL512" s="1055"/>
      <c r="EM512" s="1055"/>
      <c r="EN512" s="1055"/>
      <c r="EO512" s="1055"/>
      <c r="EP512" s="1055"/>
      <c r="EQ512" s="1055"/>
      <c r="ER512" s="1055"/>
      <c r="ES512" s="1055"/>
      <c r="ET512" s="1055"/>
      <c r="EU512" s="1055"/>
      <c r="EV512" s="1055"/>
      <c r="EW512" s="1055"/>
      <c r="EX512" s="1055"/>
      <c r="EY512" s="1055"/>
      <c r="EZ512" s="1055"/>
      <c r="FA512" s="1055"/>
      <c r="FB512" s="1055"/>
    </row>
    <row r="513" spans="1:158" ht="32.1" customHeight="1">
      <c r="A513" s="1052"/>
      <c r="B513" s="1053" t="s">
        <v>670</v>
      </c>
      <c r="C513" s="1449">
        <v>1</v>
      </c>
      <c r="D513" s="1449">
        <v>1</v>
      </c>
      <c r="E513" s="1449">
        <v>0</v>
      </c>
      <c r="F513" s="1449">
        <v>1</v>
      </c>
      <c r="G513" s="1449">
        <v>1</v>
      </c>
      <c r="H513" s="1498">
        <v>1</v>
      </c>
      <c r="I513" s="1195" t="s">
        <v>38</v>
      </c>
      <c r="J513" s="1070" t="s">
        <v>960</v>
      </c>
      <c r="K513" s="1154" t="s">
        <v>6501</v>
      </c>
      <c r="L513" s="1071" t="s">
        <v>5996</v>
      </c>
      <c r="M513" s="1070">
        <v>1</v>
      </c>
      <c r="N513" s="1070" t="s">
        <v>1068</v>
      </c>
      <c r="O513" s="1071" t="s">
        <v>5804</v>
      </c>
      <c r="R513" s="1290"/>
      <c r="S513" s="1055"/>
      <c r="T513" s="1055"/>
      <c r="U513" s="1055"/>
      <c r="V513" s="1055"/>
      <c r="W513" s="1055"/>
      <c r="X513" s="1055"/>
      <c r="Y513" s="1055"/>
      <c r="Z513" s="1055"/>
      <c r="AA513" s="1055"/>
      <c r="AB513" s="1055"/>
      <c r="AC513" s="1055"/>
      <c r="AD513" s="1055"/>
      <c r="AE513" s="1055"/>
      <c r="AF513" s="1055"/>
      <c r="AG513" s="1055"/>
      <c r="AH513" s="1055"/>
      <c r="AI513" s="1055"/>
      <c r="AJ513" s="1055"/>
      <c r="AK513" s="1055"/>
      <c r="AL513" s="1055"/>
      <c r="AM513" s="1055"/>
      <c r="AN513" s="1055"/>
      <c r="AO513" s="1055"/>
      <c r="AP513" s="1055"/>
      <c r="AQ513" s="1055"/>
      <c r="AR513" s="1055"/>
      <c r="AS513" s="1055"/>
      <c r="AT513" s="1055"/>
      <c r="AU513" s="1055"/>
      <c r="AV513" s="1055"/>
      <c r="AW513" s="1055"/>
      <c r="AX513" s="1055"/>
      <c r="AY513" s="1055"/>
      <c r="AZ513" s="1055"/>
      <c r="BA513" s="1055"/>
      <c r="BB513" s="1055"/>
      <c r="BC513" s="1055"/>
      <c r="BD513" s="1055"/>
      <c r="BE513" s="1055"/>
      <c r="BF513" s="1055"/>
      <c r="BG513" s="1055"/>
      <c r="BH513" s="1055"/>
      <c r="BI513" s="1055"/>
      <c r="BJ513" s="1055"/>
      <c r="BK513" s="1055"/>
      <c r="BL513" s="1055"/>
      <c r="BM513" s="1055"/>
      <c r="BN513" s="1055"/>
      <c r="BO513" s="1055"/>
      <c r="BP513" s="1055"/>
      <c r="BQ513" s="1055"/>
      <c r="BR513" s="1055"/>
      <c r="BS513" s="1055"/>
      <c r="BT513" s="1055"/>
      <c r="BU513" s="1055"/>
      <c r="BV513" s="1055"/>
      <c r="BW513" s="1055"/>
      <c r="BX513" s="1055"/>
      <c r="BY513" s="1055"/>
      <c r="BZ513" s="1055"/>
      <c r="CA513" s="1055"/>
      <c r="CB513" s="1055"/>
      <c r="CC513" s="1055"/>
      <c r="CD513" s="1055"/>
      <c r="CE513" s="1055"/>
      <c r="CF513" s="1055"/>
      <c r="CG513" s="1055"/>
      <c r="CH513" s="1055"/>
      <c r="CI513" s="1055"/>
      <c r="CJ513" s="1055"/>
      <c r="CK513" s="1055"/>
      <c r="CL513" s="1055"/>
      <c r="CM513" s="1055"/>
      <c r="CN513" s="1055"/>
      <c r="CO513" s="1055"/>
      <c r="CP513" s="1055"/>
      <c r="CQ513" s="1055"/>
      <c r="CR513" s="1055"/>
      <c r="CS513" s="1055"/>
      <c r="CT513" s="1055"/>
      <c r="CU513" s="1055"/>
      <c r="CV513" s="1055"/>
      <c r="CW513" s="1055"/>
      <c r="CX513" s="1055"/>
      <c r="CY513" s="1055"/>
      <c r="CZ513" s="1055"/>
      <c r="DA513" s="1055"/>
      <c r="DB513" s="1055"/>
      <c r="DC513" s="1055"/>
      <c r="DD513" s="1055"/>
      <c r="DE513" s="1055"/>
      <c r="DF513" s="1055"/>
      <c r="DG513" s="1055"/>
      <c r="DH513" s="1055"/>
      <c r="DI513" s="1055"/>
      <c r="DJ513" s="1055"/>
      <c r="DK513" s="1055"/>
      <c r="DL513" s="1055"/>
      <c r="DM513" s="1055"/>
      <c r="DN513" s="1055"/>
      <c r="DO513" s="1055"/>
      <c r="DP513" s="1055"/>
      <c r="DQ513" s="1055"/>
      <c r="DR513" s="1055"/>
      <c r="DS513" s="1055"/>
      <c r="DT513" s="1055"/>
      <c r="DU513" s="1055"/>
      <c r="DV513" s="1055"/>
      <c r="DW513" s="1055"/>
      <c r="DX513" s="1055"/>
      <c r="DY513" s="1055"/>
      <c r="DZ513" s="1055"/>
      <c r="EA513" s="1055"/>
      <c r="EB513" s="1055"/>
      <c r="EC513" s="1055"/>
      <c r="ED513" s="1055"/>
      <c r="EE513" s="1055"/>
      <c r="EF513" s="1055"/>
      <c r="EG513" s="1055"/>
      <c r="EH513" s="1055"/>
      <c r="EI513" s="1055"/>
      <c r="EJ513" s="1055"/>
      <c r="EK513" s="1055"/>
      <c r="EL513" s="1055"/>
      <c r="EM513" s="1055"/>
      <c r="EN513" s="1055"/>
      <c r="EO513" s="1055"/>
      <c r="EP513" s="1055"/>
      <c r="EQ513" s="1055"/>
      <c r="ER513" s="1055"/>
      <c r="ES513" s="1055"/>
      <c r="ET513" s="1055"/>
      <c r="EU513" s="1055"/>
      <c r="EV513" s="1055"/>
      <c r="EW513" s="1055"/>
      <c r="EX513" s="1055"/>
      <c r="EY513" s="1055"/>
      <c r="EZ513" s="1055"/>
      <c r="FA513" s="1055"/>
      <c r="FB513" s="1055"/>
    </row>
    <row r="514" spans="1:158" ht="32.1" customHeight="1">
      <c r="A514" s="1052"/>
      <c r="B514" s="1053" t="s">
        <v>671</v>
      </c>
      <c r="C514" s="1449">
        <v>1</v>
      </c>
      <c r="D514" s="1449">
        <v>1</v>
      </c>
      <c r="E514" s="1449">
        <v>0</v>
      </c>
      <c r="F514" s="1449">
        <v>1</v>
      </c>
      <c r="G514" s="1449">
        <v>1</v>
      </c>
      <c r="H514" s="1449">
        <v>1</v>
      </c>
      <c r="I514" s="1195" t="s">
        <v>38</v>
      </c>
      <c r="J514" s="1070" t="s">
        <v>960</v>
      </c>
      <c r="K514" s="1070" t="s">
        <v>6502</v>
      </c>
      <c r="L514" s="1071" t="s">
        <v>748</v>
      </c>
      <c r="M514" s="1070">
        <v>1</v>
      </c>
      <c r="N514" s="1070" t="s">
        <v>1068</v>
      </c>
      <c r="O514" s="1071" t="s">
        <v>2173</v>
      </c>
      <c r="R514" s="1290"/>
      <c r="S514" s="1055"/>
      <c r="T514" s="1055"/>
      <c r="U514" s="1055"/>
      <c r="V514" s="1055"/>
      <c r="W514" s="1055"/>
      <c r="X514" s="1055"/>
      <c r="Y514" s="1055"/>
      <c r="Z514" s="1055"/>
      <c r="AA514" s="1055"/>
      <c r="AB514" s="1055"/>
      <c r="AC514" s="1055"/>
      <c r="AD514" s="1055"/>
      <c r="AE514" s="1055"/>
      <c r="AF514" s="1055"/>
      <c r="AG514" s="1055"/>
      <c r="AH514" s="1055"/>
      <c r="AI514" s="1055"/>
      <c r="AJ514" s="1055"/>
      <c r="AK514" s="1055"/>
      <c r="AL514" s="1055"/>
      <c r="AM514" s="1055"/>
      <c r="AN514" s="1055"/>
      <c r="AO514" s="1055"/>
      <c r="AP514" s="1055"/>
      <c r="AQ514" s="1055"/>
      <c r="AR514" s="1055"/>
      <c r="AS514" s="1055"/>
      <c r="AT514" s="1055"/>
      <c r="AU514" s="1055"/>
      <c r="AV514" s="1055"/>
      <c r="AW514" s="1055"/>
      <c r="AX514" s="1055"/>
      <c r="AY514" s="1055"/>
      <c r="AZ514" s="1055"/>
      <c r="BA514" s="1055"/>
      <c r="BB514" s="1055"/>
      <c r="BC514" s="1055"/>
      <c r="BD514" s="1055"/>
      <c r="BE514" s="1055"/>
      <c r="BF514" s="1055"/>
      <c r="BG514" s="1055"/>
      <c r="BH514" s="1055"/>
      <c r="BI514" s="1055"/>
      <c r="BJ514" s="1055"/>
      <c r="BK514" s="1055"/>
      <c r="BL514" s="1055"/>
      <c r="BM514" s="1055"/>
      <c r="BN514" s="1055"/>
      <c r="BO514" s="1055"/>
      <c r="BP514" s="1055"/>
      <c r="BQ514" s="1055"/>
      <c r="BR514" s="1055"/>
      <c r="BS514" s="1055"/>
      <c r="BT514" s="1055"/>
      <c r="BU514" s="1055"/>
      <c r="BV514" s="1055"/>
      <c r="BW514" s="1055"/>
      <c r="BX514" s="1055"/>
      <c r="BY514" s="1055"/>
      <c r="BZ514" s="1055"/>
      <c r="CA514" s="1055"/>
      <c r="CB514" s="1055"/>
      <c r="CC514" s="1055"/>
      <c r="CD514" s="1055"/>
      <c r="CE514" s="1055"/>
      <c r="CF514" s="1055"/>
      <c r="CG514" s="1055"/>
      <c r="CH514" s="1055"/>
      <c r="CI514" s="1055"/>
      <c r="CJ514" s="1055"/>
      <c r="CK514" s="1055"/>
      <c r="CL514" s="1055"/>
      <c r="CM514" s="1055"/>
      <c r="CN514" s="1055"/>
      <c r="CO514" s="1055"/>
      <c r="CP514" s="1055"/>
      <c r="CQ514" s="1055"/>
      <c r="CR514" s="1055"/>
      <c r="CS514" s="1055"/>
      <c r="CT514" s="1055"/>
      <c r="CU514" s="1055"/>
      <c r="CV514" s="1055"/>
      <c r="CW514" s="1055"/>
      <c r="CX514" s="1055"/>
      <c r="CY514" s="1055"/>
      <c r="CZ514" s="1055"/>
      <c r="DA514" s="1055"/>
      <c r="DB514" s="1055"/>
      <c r="DC514" s="1055"/>
      <c r="DD514" s="1055"/>
      <c r="DE514" s="1055"/>
      <c r="DF514" s="1055"/>
      <c r="DG514" s="1055"/>
      <c r="DH514" s="1055"/>
      <c r="DI514" s="1055"/>
      <c r="DJ514" s="1055"/>
      <c r="DK514" s="1055"/>
      <c r="DL514" s="1055"/>
      <c r="DM514" s="1055"/>
      <c r="DN514" s="1055"/>
      <c r="DO514" s="1055"/>
      <c r="DP514" s="1055"/>
      <c r="DQ514" s="1055"/>
      <c r="DR514" s="1055"/>
      <c r="DS514" s="1055"/>
      <c r="DT514" s="1055"/>
      <c r="DU514" s="1055"/>
      <c r="DV514" s="1055"/>
      <c r="DW514" s="1055"/>
      <c r="DX514" s="1055"/>
      <c r="DY514" s="1055"/>
      <c r="DZ514" s="1055"/>
      <c r="EA514" s="1055"/>
      <c r="EB514" s="1055"/>
      <c r="EC514" s="1055"/>
      <c r="ED514" s="1055"/>
      <c r="EE514" s="1055"/>
      <c r="EF514" s="1055"/>
      <c r="EG514" s="1055"/>
      <c r="EH514" s="1055"/>
      <c r="EI514" s="1055"/>
      <c r="EJ514" s="1055"/>
      <c r="EK514" s="1055"/>
      <c r="EL514" s="1055"/>
      <c r="EM514" s="1055"/>
      <c r="EN514" s="1055"/>
      <c r="EO514" s="1055"/>
      <c r="EP514" s="1055"/>
      <c r="EQ514" s="1055"/>
      <c r="ER514" s="1055"/>
      <c r="ES514" s="1055"/>
      <c r="ET514" s="1055"/>
      <c r="EU514" s="1055"/>
      <c r="EV514" s="1055"/>
      <c r="EW514" s="1055"/>
      <c r="EX514" s="1055"/>
      <c r="EY514" s="1055"/>
      <c r="EZ514" s="1055"/>
      <c r="FA514" s="1055"/>
      <c r="FB514" s="1055"/>
    </row>
    <row r="515" spans="1:158" ht="32.1" customHeight="1">
      <c r="A515" s="1086"/>
      <c r="B515" s="1101" t="s">
        <v>672</v>
      </c>
      <c r="C515" s="1459">
        <v>1</v>
      </c>
      <c r="D515" s="1459">
        <v>1</v>
      </c>
      <c r="E515" s="1459">
        <v>0</v>
      </c>
      <c r="F515" s="1459">
        <v>1</v>
      </c>
      <c r="G515" s="1459">
        <v>1</v>
      </c>
      <c r="H515" s="1459">
        <v>1</v>
      </c>
      <c r="I515" s="1195" t="s">
        <v>38</v>
      </c>
      <c r="J515" s="1070" t="s">
        <v>960</v>
      </c>
      <c r="K515" s="1070" t="s">
        <v>6503</v>
      </c>
      <c r="L515" s="1071" t="s">
        <v>748</v>
      </c>
      <c r="M515" s="1070">
        <v>1</v>
      </c>
      <c r="N515" s="1070" t="s">
        <v>1068</v>
      </c>
      <c r="O515" s="1071" t="s">
        <v>5805</v>
      </c>
      <c r="R515" s="1290"/>
      <c r="S515" s="1055"/>
      <c r="T515" s="1055"/>
      <c r="U515" s="1055"/>
      <c r="V515" s="1055"/>
      <c r="W515" s="1055"/>
      <c r="X515" s="1055"/>
      <c r="Y515" s="1055"/>
      <c r="Z515" s="1055"/>
      <c r="AA515" s="1055"/>
      <c r="AB515" s="1055"/>
      <c r="AC515" s="1055"/>
      <c r="AD515" s="1055"/>
      <c r="AE515" s="1055"/>
      <c r="AF515" s="1055"/>
      <c r="AG515" s="1055"/>
      <c r="AH515" s="1055"/>
      <c r="AI515" s="1055"/>
      <c r="AJ515" s="1055"/>
      <c r="AK515" s="1055"/>
      <c r="AL515" s="1055"/>
      <c r="AM515" s="1055"/>
      <c r="AN515" s="1055"/>
      <c r="AO515" s="1055"/>
      <c r="AP515" s="1055"/>
      <c r="AQ515" s="1055"/>
      <c r="AR515" s="1055"/>
      <c r="AS515" s="1055"/>
      <c r="AT515" s="1055"/>
      <c r="AU515" s="1055"/>
      <c r="AV515" s="1055"/>
      <c r="AW515" s="1055"/>
      <c r="AX515" s="1055"/>
      <c r="AY515" s="1055"/>
      <c r="AZ515" s="1055"/>
      <c r="BA515" s="1055"/>
      <c r="BB515" s="1055"/>
      <c r="BC515" s="1055"/>
      <c r="BD515" s="1055"/>
      <c r="BE515" s="1055"/>
      <c r="BF515" s="1055"/>
      <c r="BG515" s="1055"/>
      <c r="BH515" s="1055"/>
      <c r="BI515" s="1055"/>
      <c r="BJ515" s="1055"/>
      <c r="BK515" s="1055"/>
      <c r="BL515" s="1055"/>
      <c r="BM515" s="1055"/>
      <c r="BN515" s="1055"/>
      <c r="BO515" s="1055"/>
      <c r="BP515" s="1055"/>
      <c r="BQ515" s="1055"/>
      <c r="BR515" s="1055"/>
      <c r="BS515" s="1055"/>
      <c r="BT515" s="1055"/>
      <c r="BU515" s="1055"/>
      <c r="BV515" s="1055"/>
      <c r="BW515" s="1055"/>
      <c r="BX515" s="1055"/>
      <c r="BY515" s="1055"/>
      <c r="BZ515" s="1055"/>
      <c r="CA515" s="1055"/>
      <c r="CB515" s="1055"/>
      <c r="CC515" s="1055"/>
      <c r="CD515" s="1055"/>
      <c r="CE515" s="1055"/>
      <c r="CF515" s="1055"/>
      <c r="CG515" s="1055"/>
      <c r="CH515" s="1055"/>
      <c r="CI515" s="1055"/>
      <c r="CJ515" s="1055"/>
      <c r="CK515" s="1055"/>
      <c r="CL515" s="1055"/>
      <c r="CM515" s="1055"/>
      <c r="CN515" s="1055"/>
      <c r="CO515" s="1055"/>
      <c r="CP515" s="1055"/>
      <c r="CQ515" s="1055"/>
      <c r="CR515" s="1055"/>
      <c r="CS515" s="1055"/>
      <c r="CT515" s="1055"/>
      <c r="CU515" s="1055"/>
      <c r="CV515" s="1055"/>
      <c r="CW515" s="1055"/>
      <c r="CX515" s="1055"/>
      <c r="CY515" s="1055"/>
      <c r="CZ515" s="1055"/>
      <c r="DA515" s="1055"/>
      <c r="DB515" s="1055"/>
      <c r="DC515" s="1055"/>
      <c r="DD515" s="1055"/>
      <c r="DE515" s="1055"/>
      <c r="DF515" s="1055"/>
      <c r="DG515" s="1055"/>
      <c r="DH515" s="1055"/>
      <c r="DI515" s="1055"/>
      <c r="DJ515" s="1055"/>
      <c r="DK515" s="1055"/>
      <c r="DL515" s="1055"/>
      <c r="DM515" s="1055"/>
      <c r="DN515" s="1055"/>
      <c r="DO515" s="1055"/>
      <c r="DP515" s="1055"/>
      <c r="DQ515" s="1055"/>
      <c r="DR515" s="1055"/>
      <c r="DS515" s="1055"/>
      <c r="DT515" s="1055"/>
      <c r="DU515" s="1055"/>
      <c r="DV515" s="1055"/>
      <c r="DW515" s="1055"/>
      <c r="DX515" s="1055"/>
      <c r="DY515" s="1055"/>
      <c r="DZ515" s="1055"/>
      <c r="EA515" s="1055"/>
      <c r="EB515" s="1055"/>
      <c r="EC515" s="1055"/>
      <c r="ED515" s="1055"/>
      <c r="EE515" s="1055"/>
      <c r="EF515" s="1055"/>
      <c r="EG515" s="1055"/>
      <c r="EH515" s="1055"/>
      <c r="EI515" s="1055"/>
      <c r="EJ515" s="1055"/>
      <c r="EK515" s="1055"/>
      <c r="EL515" s="1055"/>
      <c r="EM515" s="1055"/>
      <c r="EN515" s="1055"/>
      <c r="EO515" s="1055"/>
      <c r="EP515" s="1055"/>
      <c r="EQ515" s="1055"/>
      <c r="ER515" s="1055"/>
      <c r="ES515" s="1055"/>
      <c r="ET515" s="1055"/>
      <c r="EU515" s="1055"/>
      <c r="EV515" s="1055"/>
      <c r="EW515" s="1055"/>
      <c r="EX515" s="1055"/>
      <c r="EY515" s="1055"/>
      <c r="EZ515" s="1055"/>
      <c r="FA515" s="1055"/>
      <c r="FB515" s="1055"/>
    </row>
    <row r="516" spans="1:158" ht="32.1" customHeight="1">
      <c r="A516" s="1086"/>
      <c r="B516" s="1101" t="s">
        <v>673</v>
      </c>
      <c r="C516" s="1459">
        <f>(66-$Q516)/($P516-$Q516)</f>
        <v>0.66</v>
      </c>
      <c r="D516" s="1459">
        <f>(99-$Q516)/($P516-$Q516)</f>
        <v>0.99</v>
      </c>
      <c r="E516" s="1459">
        <f>(15-$Q516)/($P516-$Q516)</f>
        <v>0.15</v>
      </c>
      <c r="F516" s="1459">
        <f>(17-$Q516)/($P516-$Q516)</f>
        <v>0.17</v>
      </c>
      <c r="G516" s="1459">
        <v>0</v>
      </c>
      <c r="H516" s="1459">
        <v>0.11799999999999999</v>
      </c>
      <c r="I516" s="1774" t="s">
        <v>5337</v>
      </c>
      <c r="J516" s="1308">
        <v>0.66</v>
      </c>
      <c r="K516" s="1393" t="s">
        <v>6504</v>
      </c>
      <c r="L516" s="1392" t="s">
        <v>5997</v>
      </c>
      <c r="M516" s="1070">
        <v>17</v>
      </c>
      <c r="N516" s="1070" t="s">
        <v>877</v>
      </c>
      <c r="O516" s="1582" t="s">
        <v>6809</v>
      </c>
      <c r="P516" s="1190">
        <v>100</v>
      </c>
      <c r="Q516" s="1190">
        <v>0</v>
      </c>
      <c r="R516" s="1290"/>
      <c r="S516" s="1055"/>
      <c r="T516" s="1055"/>
      <c r="U516" s="1055"/>
      <c r="V516" s="1055"/>
      <c r="W516" s="1055"/>
      <c r="X516" s="1055"/>
      <c r="Y516" s="1055"/>
      <c r="Z516" s="1055"/>
      <c r="AA516" s="1055"/>
      <c r="AB516" s="1055"/>
      <c r="AC516" s="1055"/>
      <c r="AD516" s="1055"/>
      <c r="AE516" s="1055"/>
      <c r="AF516" s="1055"/>
      <c r="AG516" s="1055"/>
      <c r="AH516" s="1055"/>
      <c r="AI516" s="1055"/>
      <c r="AJ516" s="1055"/>
      <c r="AK516" s="1055"/>
      <c r="AL516" s="1055"/>
      <c r="AM516" s="1055"/>
      <c r="AN516" s="1055"/>
      <c r="AO516" s="1055"/>
      <c r="AP516" s="1055"/>
      <c r="AQ516" s="1055"/>
      <c r="AR516" s="1055"/>
      <c r="AS516" s="1055"/>
      <c r="AT516" s="1055"/>
      <c r="AU516" s="1055"/>
      <c r="AV516" s="1055"/>
      <c r="AW516" s="1055"/>
      <c r="AX516" s="1055"/>
      <c r="AY516" s="1055"/>
      <c r="AZ516" s="1055"/>
      <c r="BA516" s="1055"/>
      <c r="BB516" s="1055"/>
      <c r="BC516" s="1055"/>
      <c r="BD516" s="1055"/>
      <c r="BE516" s="1055"/>
      <c r="BF516" s="1055"/>
      <c r="BG516" s="1055"/>
      <c r="BH516" s="1055"/>
      <c r="BI516" s="1055"/>
      <c r="BJ516" s="1055"/>
      <c r="BK516" s="1055"/>
      <c r="BL516" s="1055"/>
      <c r="BM516" s="1055"/>
      <c r="BN516" s="1055"/>
      <c r="BO516" s="1055"/>
      <c r="BP516" s="1055"/>
      <c r="BQ516" s="1055"/>
      <c r="BR516" s="1055"/>
      <c r="BS516" s="1055"/>
      <c r="BT516" s="1055"/>
      <c r="BU516" s="1055"/>
      <c r="BV516" s="1055"/>
      <c r="BW516" s="1055"/>
      <c r="BX516" s="1055"/>
      <c r="BY516" s="1055"/>
      <c r="BZ516" s="1055"/>
      <c r="CA516" s="1055"/>
      <c r="CB516" s="1055"/>
      <c r="CC516" s="1055"/>
      <c r="CD516" s="1055"/>
      <c r="CE516" s="1055"/>
      <c r="CF516" s="1055"/>
      <c r="CG516" s="1055"/>
      <c r="CH516" s="1055"/>
      <c r="CI516" s="1055"/>
      <c r="CJ516" s="1055"/>
      <c r="CK516" s="1055"/>
      <c r="CL516" s="1055"/>
      <c r="CM516" s="1055"/>
      <c r="CN516" s="1055"/>
      <c r="CO516" s="1055"/>
      <c r="CP516" s="1055"/>
      <c r="CQ516" s="1055"/>
      <c r="CR516" s="1055"/>
      <c r="CS516" s="1055"/>
      <c r="CT516" s="1055"/>
      <c r="CU516" s="1055"/>
      <c r="CV516" s="1055"/>
      <c r="CW516" s="1055"/>
      <c r="CX516" s="1055"/>
      <c r="CY516" s="1055"/>
      <c r="CZ516" s="1055"/>
      <c r="DA516" s="1055"/>
      <c r="DB516" s="1055"/>
      <c r="DC516" s="1055"/>
      <c r="DD516" s="1055"/>
      <c r="DE516" s="1055"/>
      <c r="DF516" s="1055"/>
      <c r="DG516" s="1055"/>
      <c r="DH516" s="1055"/>
      <c r="DI516" s="1055"/>
      <c r="DJ516" s="1055"/>
      <c r="DK516" s="1055"/>
      <c r="DL516" s="1055"/>
      <c r="DM516" s="1055"/>
      <c r="DN516" s="1055"/>
      <c r="DO516" s="1055"/>
      <c r="DP516" s="1055"/>
      <c r="DQ516" s="1055"/>
      <c r="DR516" s="1055"/>
      <c r="DS516" s="1055"/>
      <c r="DT516" s="1055"/>
      <c r="DU516" s="1055"/>
      <c r="DV516" s="1055"/>
      <c r="DW516" s="1055"/>
      <c r="DX516" s="1055"/>
      <c r="DY516" s="1055"/>
      <c r="DZ516" s="1055"/>
      <c r="EA516" s="1055"/>
      <c r="EB516" s="1055"/>
      <c r="EC516" s="1055"/>
      <c r="ED516" s="1055"/>
      <c r="EE516" s="1055"/>
      <c r="EF516" s="1055"/>
      <c r="EG516" s="1055"/>
      <c r="EH516" s="1055"/>
      <c r="EI516" s="1055"/>
      <c r="EJ516" s="1055"/>
      <c r="EK516" s="1055"/>
      <c r="EL516" s="1055"/>
      <c r="EM516" s="1055"/>
      <c r="EN516" s="1055"/>
      <c r="EO516" s="1055"/>
      <c r="EP516" s="1055"/>
      <c r="EQ516" s="1055"/>
      <c r="ER516" s="1055"/>
      <c r="ES516" s="1055"/>
      <c r="ET516" s="1055"/>
      <c r="EU516" s="1055"/>
      <c r="EV516" s="1055"/>
      <c r="EW516" s="1055"/>
      <c r="EX516" s="1055"/>
      <c r="EY516" s="1055"/>
      <c r="EZ516" s="1055"/>
      <c r="FA516" s="1055"/>
      <c r="FB516" s="1055"/>
    </row>
    <row r="517" spans="1:158" ht="32.1" customHeight="1">
      <c r="A517" s="1086"/>
      <c r="B517" s="1101" t="s">
        <v>675</v>
      </c>
      <c r="C517" s="1732">
        <v>1</v>
      </c>
      <c r="D517" s="1459">
        <v>1</v>
      </c>
      <c r="E517" s="1480">
        <v>0</v>
      </c>
      <c r="F517" s="1459">
        <v>0</v>
      </c>
      <c r="G517" s="1459">
        <v>0</v>
      </c>
      <c r="H517" s="1459">
        <v>0</v>
      </c>
      <c r="I517" s="1751" t="s">
        <v>38</v>
      </c>
      <c r="J517" s="1070" t="s">
        <v>960</v>
      </c>
      <c r="K517" s="1393" t="s">
        <v>6737</v>
      </c>
      <c r="L517" s="1071" t="s">
        <v>748</v>
      </c>
      <c r="M517" s="1070">
        <v>0</v>
      </c>
      <c r="N517" s="1070">
        <v>0</v>
      </c>
      <c r="O517" s="1071" t="s">
        <v>748</v>
      </c>
      <c r="R517" s="1290"/>
      <c r="S517" s="1055"/>
      <c r="T517" s="1055"/>
      <c r="U517" s="1055"/>
      <c r="V517" s="1055"/>
      <c r="W517" s="1055"/>
      <c r="X517" s="1055"/>
      <c r="Y517" s="1055"/>
      <c r="Z517" s="1055"/>
      <c r="AA517" s="1055"/>
      <c r="AB517" s="1055"/>
      <c r="AC517" s="1055"/>
      <c r="AD517" s="1055"/>
      <c r="AE517" s="1055"/>
      <c r="AF517" s="1055"/>
      <c r="AG517" s="1055"/>
      <c r="AH517" s="1055"/>
      <c r="AI517" s="1055"/>
      <c r="AJ517" s="1055"/>
      <c r="AK517" s="1055"/>
      <c r="AL517" s="1055"/>
      <c r="AM517" s="1055"/>
      <c r="AN517" s="1055"/>
      <c r="AO517" s="1055"/>
      <c r="AP517" s="1055"/>
      <c r="AQ517" s="1055"/>
      <c r="AR517" s="1055"/>
      <c r="AS517" s="1055"/>
      <c r="AT517" s="1055"/>
      <c r="AU517" s="1055"/>
      <c r="AV517" s="1055"/>
      <c r="AW517" s="1055"/>
      <c r="AX517" s="1055"/>
      <c r="AY517" s="1055"/>
      <c r="AZ517" s="1055"/>
      <c r="BA517" s="1055"/>
      <c r="BB517" s="1055"/>
      <c r="BC517" s="1055"/>
      <c r="BD517" s="1055"/>
      <c r="BE517" s="1055"/>
      <c r="BF517" s="1055"/>
      <c r="BG517" s="1055"/>
      <c r="BH517" s="1055"/>
      <c r="BI517" s="1055"/>
      <c r="BJ517" s="1055"/>
      <c r="BK517" s="1055"/>
      <c r="BL517" s="1055"/>
      <c r="BM517" s="1055"/>
      <c r="BN517" s="1055"/>
      <c r="BO517" s="1055"/>
      <c r="BP517" s="1055"/>
      <c r="BQ517" s="1055"/>
      <c r="BR517" s="1055"/>
      <c r="BS517" s="1055"/>
      <c r="BT517" s="1055"/>
      <c r="BU517" s="1055"/>
      <c r="BV517" s="1055"/>
      <c r="BW517" s="1055"/>
      <c r="BX517" s="1055"/>
      <c r="BY517" s="1055"/>
      <c r="BZ517" s="1055"/>
      <c r="CA517" s="1055"/>
      <c r="CB517" s="1055"/>
      <c r="CC517" s="1055"/>
      <c r="CD517" s="1055"/>
      <c r="CE517" s="1055"/>
      <c r="CF517" s="1055"/>
      <c r="CG517" s="1055"/>
      <c r="CH517" s="1055"/>
      <c r="CI517" s="1055"/>
      <c r="CJ517" s="1055"/>
      <c r="CK517" s="1055"/>
      <c r="CL517" s="1055"/>
      <c r="CM517" s="1055"/>
      <c r="CN517" s="1055"/>
      <c r="CO517" s="1055"/>
      <c r="CP517" s="1055"/>
      <c r="CQ517" s="1055"/>
      <c r="CR517" s="1055"/>
      <c r="CS517" s="1055"/>
      <c r="CT517" s="1055"/>
      <c r="CU517" s="1055"/>
      <c r="CV517" s="1055"/>
      <c r="CW517" s="1055"/>
      <c r="CX517" s="1055"/>
      <c r="CY517" s="1055"/>
      <c r="CZ517" s="1055"/>
      <c r="DA517" s="1055"/>
      <c r="DB517" s="1055"/>
      <c r="DC517" s="1055"/>
      <c r="DD517" s="1055"/>
      <c r="DE517" s="1055"/>
      <c r="DF517" s="1055"/>
      <c r="DG517" s="1055"/>
      <c r="DH517" s="1055"/>
      <c r="DI517" s="1055"/>
      <c r="DJ517" s="1055"/>
      <c r="DK517" s="1055"/>
      <c r="DL517" s="1055"/>
      <c r="DM517" s="1055"/>
      <c r="DN517" s="1055"/>
      <c r="DO517" s="1055"/>
      <c r="DP517" s="1055"/>
      <c r="DQ517" s="1055"/>
      <c r="DR517" s="1055"/>
      <c r="DS517" s="1055"/>
      <c r="DT517" s="1055"/>
      <c r="DU517" s="1055"/>
      <c r="DV517" s="1055"/>
      <c r="DW517" s="1055"/>
      <c r="DX517" s="1055"/>
      <c r="DY517" s="1055"/>
      <c r="DZ517" s="1055"/>
      <c r="EA517" s="1055"/>
      <c r="EB517" s="1055"/>
      <c r="EC517" s="1055"/>
      <c r="ED517" s="1055"/>
      <c r="EE517" s="1055"/>
      <c r="EF517" s="1055"/>
      <c r="EG517" s="1055"/>
      <c r="EH517" s="1055"/>
      <c r="EI517" s="1055"/>
      <c r="EJ517" s="1055"/>
      <c r="EK517" s="1055"/>
      <c r="EL517" s="1055"/>
      <c r="EM517" s="1055"/>
      <c r="EN517" s="1055"/>
      <c r="EO517" s="1055"/>
      <c r="EP517" s="1055"/>
      <c r="EQ517" s="1055"/>
      <c r="ER517" s="1055"/>
      <c r="ES517" s="1055"/>
      <c r="ET517" s="1055"/>
      <c r="EU517" s="1055"/>
      <c r="EV517" s="1055"/>
      <c r="EW517" s="1055"/>
      <c r="EX517" s="1055"/>
      <c r="EY517" s="1055"/>
      <c r="EZ517" s="1055"/>
      <c r="FA517" s="1055"/>
      <c r="FB517" s="1055"/>
    </row>
    <row r="518" spans="1:158" ht="32.1" customHeight="1">
      <c r="A518" s="1604" t="s">
        <v>6878</v>
      </c>
      <c r="B518" s="1067" t="s">
        <v>676</v>
      </c>
      <c r="C518" s="1478">
        <f t="shared" ref="C518:H518" si="126">AVERAGE(C519:C528)</f>
        <v>0.93</v>
      </c>
      <c r="D518" s="1478">
        <f t="shared" si="126"/>
        <v>0.9</v>
      </c>
      <c r="E518" s="1478">
        <f t="shared" si="126"/>
        <v>0.8</v>
      </c>
      <c r="F518" s="1478">
        <f t="shared" si="126"/>
        <v>0.9</v>
      </c>
      <c r="G518" s="1478">
        <f t="shared" si="126"/>
        <v>1</v>
      </c>
      <c r="H518" s="1516">
        <f t="shared" si="126"/>
        <v>0.75</v>
      </c>
      <c r="I518" s="1752"/>
      <c r="J518" s="1309"/>
      <c r="K518" s="1309"/>
      <c r="L518" s="1309"/>
      <c r="M518" s="1309"/>
      <c r="N518" s="1309"/>
      <c r="O518" s="1309"/>
      <c r="P518" s="1309"/>
      <c r="Q518" s="1309"/>
      <c r="R518" s="1290"/>
      <c r="S518" s="1055"/>
      <c r="T518" s="1055"/>
      <c r="U518" s="1055"/>
      <c r="V518" s="1055"/>
      <c r="W518" s="1055"/>
      <c r="X518" s="1055"/>
      <c r="Y518" s="1055"/>
      <c r="Z518" s="1055"/>
      <c r="AA518" s="1055"/>
      <c r="AB518" s="1055"/>
      <c r="AC518" s="1055"/>
      <c r="AD518" s="1055"/>
      <c r="AE518" s="1055"/>
      <c r="AF518" s="1055"/>
      <c r="AG518" s="1055"/>
      <c r="AH518" s="1055"/>
      <c r="AI518" s="1055"/>
      <c r="AJ518" s="1055"/>
      <c r="AK518" s="1055"/>
      <c r="AL518" s="1055"/>
      <c r="AM518" s="1055"/>
      <c r="AN518" s="1055"/>
      <c r="AO518" s="1055"/>
      <c r="AP518" s="1055"/>
      <c r="AQ518" s="1055"/>
      <c r="AR518" s="1055"/>
      <c r="AS518" s="1055"/>
      <c r="AT518" s="1055"/>
      <c r="AU518" s="1055"/>
      <c r="AV518" s="1055"/>
      <c r="AW518" s="1055"/>
      <c r="AX518" s="1055"/>
      <c r="AY518" s="1055"/>
      <c r="AZ518" s="1055"/>
      <c r="BA518" s="1055"/>
      <c r="BB518" s="1055"/>
      <c r="BC518" s="1055"/>
      <c r="BD518" s="1055"/>
      <c r="BE518" s="1055"/>
      <c r="BF518" s="1055"/>
      <c r="BG518" s="1055"/>
      <c r="BH518" s="1055"/>
      <c r="BI518" s="1055"/>
      <c r="BJ518" s="1055"/>
      <c r="BK518" s="1055"/>
      <c r="BL518" s="1055"/>
      <c r="BM518" s="1055"/>
      <c r="BN518" s="1055"/>
      <c r="BO518" s="1055"/>
      <c r="BP518" s="1055"/>
      <c r="BQ518" s="1055"/>
      <c r="BR518" s="1055"/>
      <c r="BS518" s="1055"/>
      <c r="BT518" s="1055"/>
      <c r="BU518" s="1055"/>
      <c r="BV518" s="1055"/>
      <c r="BW518" s="1055"/>
      <c r="BX518" s="1055"/>
      <c r="BY518" s="1055"/>
      <c r="BZ518" s="1055"/>
      <c r="CA518" s="1055"/>
      <c r="CB518" s="1055"/>
      <c r="CC518" s="1055"/>
      <c r="CD518" s="1055"/>
      <c r="CE518" s="1055"/>
      <c r="CF518" s="1055"/>
      <c r="CG518" s="1055"/>
      <c r="CH518" s="1055"/>
      <c r="CI518" s="1055"/>
      <c r="CJ518" s="1055"/>
      <c r="CK518" s="1055"/>
      <c r="CL518" s="1055"/>
      <c r="CM518" s="1055"/>
      <c r="CN518" s="1055"/>
      <c r="CO518" s="1055"/>
      <c r="CP518" s="1055"/>
      <c r="CQ518" s="1055"/>
      <c r="CR518" s="1055"/>
      <c r="CS518" s="1055"/>
      <c r="CT518" s="1055"/>
      <c r="CU518" s="1055"/>
      <c r="CV518" s="1055"/>
      <c r="CW518" s="1055"/>
      <c r="CX518" s="1055"/>
      <c r="CY518" s="1055"/>
      <c r="CZ518" s="1055"/>
      <c r="DA518" s="1055"/>
      <c r="DB518" s="1055"/>
      <c r="DC518" s="1055"/>
      <c r="DD518" s="1055"/>
      <c r="DE518" s="1055"/>
      <c r="DF518" s="1055"/>
      <c r="DG518" s="1055"/>
      <c r="DH518" s="1055"/>
      <c r="DI518" s="1055"/>
      <c r="DJ518" s="1055"/>
      <c r="DK518" s="1055"/>
      <c r="DL518" s="1055"/>
      <c r="DM518" s="1055"/>
      <c r="DN518" s="1055"/>
      <c r="DO518" s="1055"/>
      <c r="DP518" s="1055"/>
      <c r="DQ518" s="1055"/>
      <c r="DR518" s="1055"/>
      <c r="DS518" s="1055"/>
      <c r="DT518" s="1055"/>
      <c r="DU518" s="1055"/>
      <c r="DV518" s="1055"/>
      <c r="DW518" s="1055"/>
      <c r="DX518" s="1055"/>
      <c r="DY518" s="1055"/>
      <c r="DZ518" s="1055"/>
      <c r="EA518" s="1055"/>
      <c r="EB518" s="1055"/>
      <c r="EC518" s="1055"/>
      <c r="ED518" s="1055"/>
      <c r="EE518" s="1055"/>
      <c r="EF518" s="1055"/>
      <c r="EG518" s="1055"/>
      <c r="EH518" s="1055"/>
      <c r="EI518" s="1055"/>
      <c r="EJ518" s="1055"/>
      <c r="EK518" s="1055"/>
      <c r="EL518" s="1055"/>
      <c r="EM518" s="1055"/>
      <c r="EN518" s="1055"/>
      <c r="EO518" s="1055"/>
      <c r="EP518" s="1055"/>
      <c r="EQ518" s="1055"/>
      <c r="ER518" s="1055"/>
      <c r="ES518" s="1055"/>
      <c r="ET518" s="1055"/>
      <c r="EU518" s="1055"/>
      <c r="EV518" s="1055"/>
      <c r="EW518" s="1055"/>
      <c r="EX518" s="1055"/>
      <c r="EY518" s="1055"/>
      <c r="EZ518" s="1055"/>
      <c r="FA518" s="1055"/>
      <c r="FB518" s="1055"/>
    </row>
    <row r="519" spans="1:158" ht="32.1" customHeight="1">
      <c r="A519" s="1052"/>
      <c r="B519" s="1053" t="s">
        <v>677</v>
      </c>
      <c r="C519" s="1449">
        <v>1</v>
      </c>
      <c r="D519" s="1449">
        <v>1</v>
      </c>
      <c r="E519" s="1449">
        <v>1</v>
      </c>
      <c r="F519" s="1449">
        <v>1</v>
      </c>
      <c r="G519" s="1449">
        <v>1</v>
      </c>
      <c r="H519" s="1448">
        <v>1</v>
      </c>
      <c r="I519" s="1752" t="s">
        <v>38</v>
      </c>
      <c r="J519" s="1070" t="s">
        <v>960</v>
      </c>
      <c r="K519" s="1070" t="s">
        <v>6505</v>
      </c>
      <c r="L519" s="1079" t="s">
        <v>811</v>
      </c>
      <c r="M519" s="1070">
        <v>1</v>
      </c>
      <c r="N519" s="1069" t="s">
        <v>2185</v>
      </c>
      <c r="O519" s="1071" t="s">
        <v>5806</v>
      </c>
      <c r="R519" s="1290"/>
      <c r="S519" s="1055"/>
      <c r="T519" s="1055"/>
      <c r="U519" s="1055"/>
      <c r="V519" s="1055"/>
      <c r="W519" s="1055"/>
      <c r="X519" s="1055"/>
      <c r="Y519" s="1055"/>
      <c r="Z519" s="1055"/>
      <c r="AA519" s="1055"/>
      <c r="AB519" s="1055"/>
      <c r="AC519" s="1055"/>
      <c r="AD519" s="1055"/>
      <c r="AE519" s="1055"/>
      <c r="AF519" s="1055"/>
      <c r="AG519" s="1055"/>
      <c r="AH519" s="1055"/>
      <c r="AI519" s="1055"/>
      <c r="AJ519" s="1055"/>
      <c r="AK519" s="1055"/>
      <c r="AL519" s="1055"/>
      <c r="AM519" s="1055"/>
      <c r="AN519" s="1055"/>
      <c r="AO519" s="1055"/>
      <c r="AP519" s="1055"/>
      <c r="AQ519" s="1055"/>
      <c r="AR519" s="1055"/>
      <c r="AS519" s="1055"/>
      <c r="AT519" s="1055"/>
      <c r="AU519" s="1055"/>
      <c r="AV519" s="1055"/>
      <c r="AW519" s="1055"/>
      <c r="AX519" s="1055"/>
      <c r="AY519" s="1055"/>
      <c r="AZ519" s="1055"/>
      <c r="BA519" s="1055"/>
      <c r="BB519" s="1055"/>
      <c r="BC519" s="1055"/>
      <c r="BD519" s="1055"/>
      <c r="BE519" s="1055"/>
      <c r="BF519" s="1055"/>
      <c r="BG519" s="1055"/>
      <c r="BH519" s="1055"/>
      <c r="BI519" s="1055"/>
      <c r="BJ519" s="1055"/>
      <c r="BK519" s="1055"/>
      <c r="BL519" s="1055"/>
      <c r="BM519" s="1055"/>
      <c r="BN519" s="1055"/>
      <c r="BO519" s="1055"/>
      <c r="BP519" s="1055"/>
      <c r="BQ519" s="1055"/>
      <c r="BR519" s="1055"/>
      <c r="BS519" s="1055"/>
      <c r="BT519" s="1055"/>
      <c r="BU519" s="1055"/>
      <c r="BV519" s="1055"/>
      <c r="BW519" s="1055"/>
      <c r="BX519" s="1055"/>
      <c r="BY519" s="1055"/>
      <c r="BZ519" s="1055"/>
      <c r="CA519" s="1055"/>
      <c r="CB519" s="1055"/>
      <c r="CC519" s="1055"/>
      <c r="CD519" s="1055"/>
      <c r="CE519" s="1055"/>
      <c r="CF519" s="1055"/>
      <c r="CG519" s="1055"/>
      <c r="CH519" s="1055"/>
      <c r="CI519" s="1055"/>
      <c r="CJ519" s="1055"/>
      <c r="CK519" s="1055"/>
      <c r="CL519" s="1055"/>
      <c r="CM519" s="1055"/>
      <c r="CN519" s="1055"/>
      <c r="CO519" s="1055"/>
      <c r="CP519" s="1055"/>
      <c r="CQ519" s="1055"/>
      <c r="CR519" s="1055"/>
      <c r="CS519" s="1055"/>
      <c r="CT519" s="1055"/>
      <c r="CU519" s="1055"/>
      <c r="CV519" s="1055"/>
      <c r="CW519" s="1055"/>
      <c r="CX519" s="1055"/>
      <c r="CY519" s="1055"/>
      <c r="CZ519" s="1055"/>
      <c r="DA519" s="1055"/>
      <c r="DB519" s="1055"/>
      <c r="DC519" s="1055"/>
      <c r="DD519" s="1055"/>
      <c r="DE519" s="1055"/>
      <c r="DF519" s="1055"/>
      <c r="DG519" s="1055"/>
      <c r="DH519" s="1055"/>
      <c r="DI519" s="1055"/>
      <c r="DJ519" s="1055"/>
      <c r="DK519" s="1055"/>
      <c r="DL519" s="1055"/>
      <c r="DM519" s="1055"/>
      <c r="DN519" s="1055"/>
      <c r="DO519" s="1055"/>
      <c r="DP519" s="1055"/>
      <c r="DQ519" s="1055"/>
      <c r="DR519" s="1055"/>
      <c r="DS519" s="1055"/>
      <c r="DT519" s="1055"/>
      <c r="DU519" s="1055"/>
      <c r="DV519" s="1055"/>
      <c r="DW519" s="1055"/>
      <c r="DX519" s="1055"/>
      <c r="DY519" s="1055"/>
      <c r="DZ519" s="1055"/>
      <c r="EA519" s="1055"/>
      <c r="EB519" s="1055"/>
      <c r="EC519" s="1055"/>
      <c r="ED519" s="1055"/>
      <c r="EE519" s="1055"/>
      <c r="EF519" s="1055"/>
      <c r="EG519" s="1055"/>
      <c r="EH519" s="1055"/>
      <c r="EI519" s="1055"/>
      <c r="EJ519" s="1055"/>
      <c r="EK519" s="1055"/>
      <c r="EL519" s="1055"/>
      <c r="EM519" s="1055"/>
      <c r="EN519" s="1055"/>
      <c r="EO519" s="1055"/>
      <c r="EP519" s="1055"/>
      <c r="EQ519" s="1055"/>
      <c r="ER519" s="1055"/>
      <c r="ES519" s="1055"/>
      <c r="ET519" s="1055"/>
      <c r="EU519" s="1055"/>
      <c r="EV519" s="1055"/>
      <c r="EW519" s="1055"/>
      <c r="EX519" s="1055"/>
      <c r="EY519" s="1055"/>
      <c r="EZ519" s="1055"/>
      <c r="FA519" s="1055"/>
      <c r="FB519" s="1055"/>
    </row>
    <row r="520" spans="1:158" ht="32.1" customHeight="1">
      <c r="A520" s="1052"/>
      <c r="B520" s="1053" t="s">
        <v>678</v>
      </c>
      <c r="C520" s="1449">
        <v>1</v>
      </c>
      <c r="D520" s="1449">
        <v>1</v>
      </c>
      <c r="E520" s="1449">
        <v>1</v>
      </c>
      <c r="F520" s="1449">
        <v>1</v>
      </c>
      <c r="G520" s="1449">
        <v>1</v>
      </c>
      <c r="H520" s="1448">
        <v>1</v>
      </c>
      <c r="I520" s="1752" t="s">
        <v>38</v>
      </c>
      <c r="J520" s="1070" t="s">
        <v>960</v>
      </c>
      <c r="K520" s="1070" t="s">
        <v>6506</v>
      </c>
      <c r="L520" s="1079" t="s">
        <v>811</v>
      </c>
      <c r="M520" s="1070">
        <v>1</v>
      </c>
      <c r="N520" s="1069" t="s">
        <v>5528</v>
      </c>
      <c r="O520" s="1071" t="s">
        <v>5806</v>
      </c>
      <c r="R520" s="1290"/>
      <c r="S520" s="1055"/>
      <c r="T520" s="1055"/>
      <c r="U520" s="1055"/>
      <c r="V520" s="1055"/>
      <c r="W520" s="1055"/>
      <c r="X520" s="1055"/>
      <c r="Y520" s="1055"/>
      <c r="Z520" s="1055"/>
      <c r="AA520" s="1055"/>
      <c r="AB520" s="1055"/>
      <c r="AC520" s="1055"/>
      <c r="AD520" s="1055"/>
      <c r="AE520" s="1055"/>
      <c r="AF520" s="1055"/>
      <c r="AG520" s="1055"/>
      <c r="AH520" s="1055"/>
      <c r="AI520" s="1055"/>
      <c r="AJ520" s="1055"/>
      <c r="AK520" s="1055"/>
      <c r="AL520" s="1055"/>
      <c r="AM520" s="1055"/>
      <c r="AN520" s="1055"/>
      <c r="AO520" s="1055"/>
      <c r="AP520" s="1055"/>
      <c r="AQ520" s="1055"/>
      <c r="AR520" s="1055"/>
      <c r="AS520" s="1055"/>
      <c r="AT520" s="1055"/>
      <c r="AU520" s="1055"/>
      <c r="AV520" s="1055"/>
      <c r="AW520" s="1055"/>
      <c r="AX520" s="1055"/>
      <c r="AY520" s="1055"/>
      <c r="AZ520" s="1055"/>
      <c r="BA520" s="1055"/>
      <c r="BB520" s="1055"/>
      <c r="BC520" s="1055"/>
      <c r="BD520" s="1055"/>
      <c r="BE520" s="1055"/>
      <c r="BF520" s="1055"/>
      <c r="BG520" s="1055"/>
      <c r="BH520" s="1055"/>
      <c r="BI520" s="1055"/>
      <c r="BJ520" s="1055"/>
      <c r="BK520" s="1055"/>
      <c r="BL520" s="1055"/>
      <c r="BM520" s="1055"/>
      <c r="BN520" s="1055"/>
      <c r="BO520" s="1055"/>
      <c r="BP520" s="1055"/>
      <c r="BQ520" s="1055"/>
      <c r="BR520" s="1055"/>
      <c r="BS520" s="1055"/>
      <c r="BT520" s="1055"/>
      <c r="BU520" s="1055"/>
      <c r="BV520" s="1055"/>
      <c r="BW520" s="1055"/>
      <c r="BX520" s="1055"/>
      <c r="BY520" s="1055"/>
      <c r="BZ520" s="1055"/>
      <c r="CA520" s="1055"/>
      <c r="CB520" s="1055"/>
      <c r="CC520" s="1055"/>
      <c r="CD520" s="1055"/>
      <c r="CE520" s="1055"/>
      <c r="CF520" s="1055"/>
      <c r="CG520" s="1055"/>
      <c r="CH520" s="1055"/>
      <c r="CI520" s="1055"/>
      <c r="CJ520" s="1055"/>
      <c r="CK520" s="1055"/>
      <c r="CL520" s="1055"/>
      <c r="CM520" s="1055"/>
      <c r="CN520" s="1055"/>
      <c r="CO520" s="1055"/>
      <c r="CP520" s="1055"/>
      <c r="CQ520" s="1055"/>
      <c r="CR520" s="1055"/>
      <c r="CS520" s="1055"/>
      <c r="CT520" s="1055"/>
      <c r="CU520" s="1055"/>
      <c r="CV520" s="1055"/>
      <c r="CW520" s="1055"/>
      <c r="CX520" s="1055"/>
      <c r="CY520" s="1055"/>
      <c r="CZ520" s="1055"/>
      <c r="DA520" s="1055"/>
      <c r="DB520" s="1055"/>
      <c r="DC520" s="1055"/>
      <c r="DD520" s="1055"/>
      <c r="DE520" s="1055"/>
      <c r="DF520" s="1055"/>
      <c r="DG520" s="1055"/>
      <c r="DH520" s="1055"/>
      <c r="DI520" s="1055"/>
      <c r="DJ520" s="1055"/>
      <c r="DK520" s="1055"/>
      <c r="DL520" s="1055"/>
      <c r="DM520" s="1055"/>
      <c r="DN520" s="1055"/>
      <c r="DO520" s="1055"/>
      <c r="DP520" s="1055"/>
      <c r="DQ520" s="1055"/>
      <c r="DR520" s="1055"/>
      <c r="DS520" s="1055"/>
      <c r="DT520" s="1055"/>
      <c r="DU520" s="1055"/>
      <c r="DV520" s="1055"/>
      <c r="DW520" s="1055"/>
      <c r="DX520" s="1055"/>
      <c r="DY520" s="1055"/>
      <c r="DZ520" s="1055"/>
      <c r="EA520" s="1055"/>
      <c r="EB520" s="1055"/>
      <c r="EC520" s="1055"/>
      <c r="ED520" s="1055"/>
      <c r="EE520" s="1055"/>
      <c r="EF520" s="1055"/>
      <c r="EG520" s="1055"/>
      <c r="EH520" s="1055"/>
      <c r="EI520" s="1055"/>
      <c r="EJ520" s="1055"/>
      <c r="EK520" s="1055"/>
      <c r="EL520" s="1055"/>
      <c r="EM520" s="1055"/>
      <c r="EN520" s="1055"/>
      <c r="EO520" s="1055"/>
      <c r="EP520" s="1055"/>
      <c r="EQ520" s="1055"/>
      <c r="ER520" s="1055"/>
      <c r="ES520" s="1055"/>
      <c r="ET520" s="1055"/>
      <c r="EU520" s="1055"/>
      <c r="EV520" s="1055"/>
      <c r="EW520" s="1055"/>
      <c r="EX520" s="1055"/>
      <c r="EY520" s="1055"/>
      <c r="EZ520" s="1055"/>
      <c r="FA520" s="1055"/>
      <c r="FB520" s="1055"/>
    </row>
    <row r="521" spans="1:158" ht="32.1" customHeight="1">
      <c r="A521" s="1052"/>
      <c r="B521" s="1053" t="s">
        <v>679</v>
      </c>
      <c r="C521" s="1449">
        <v>1</v>
      </c>
      <c r="D521" s="1449">
        <v>1</v>
      </c>
      <c r="E521" s="1449">
        <v>1</v>
      </c>
      <c r="F521" s="1498">
        <v>1</v>
      </c>
      <c r="G521" s="1449">
        <v>1</v>
      </c>
      <c r="H521" s="1448">
        <v>0</v>
      </c>
      <c r="I521" s="1752" t="s">
        <v>38</v>
      </c>
      <c r="J521" s="1070" t="s">
        <v>960</v>
      </c>
      <c r="K521" s="1070" t="s">
        <v>6507</v>
      </c>
      <c r="L521" s="1071" t="s">
        <v>5998</v>
      </c>
      <c r="M521" s="1070">
        <v>1</v>
      </c>
      <c r="N521" s="1310" t="s">
        <v>2190</v>
      </c>
      <c r="O521" s="1071" t="s">
        <v>748</v>
      </c>
      <c r="R521" s="1290"/>
      <c r="S521" s="1055"/>
      <c r="T521" s="1055"/>
      <c r="U521" s="1055"/>
      <c r="V521" s="1055"/>
      <c r="W521" s="1055"/>
      <c r="X521" s="1055"/>
      <c r="Y521" s="1055"/>
      <c r="Z521" s="1055"/>
      <c r="AA521" s="1055"/>
      <c r="AB521" s="1055"/>
      <c r="AC521" s="1055"/>
      <c r="AD521" s="1055"/>
      <c r="AE521" s="1055"/>
      <c r="AF521" s="1055"/>
      <c r="AG521" s="1055"/>
      <c r="AH521" s="1055"/>
      <c r="AI521" s="1055"/>
      <c r="AJ521" s="1055"/>
      <c r="AK521" s="1055"/>
      <c r="AL521" s="1055"/>
      <c r="AM521" s="1055"/>
      <c r="AN521" s="1055"/>
      <c r="AO521" s="1055"/>
      <c r="AP521" s="1055"/>
      <c r="AQ521" s="1055"/>
      <c r="AR521" s="1055"/>
      <c r="AS521" s="1055"/>
      <c r="AT521" s="1055"/>
      <c r="AU521" s="1055"/>
      <c r="AV521" s="1055"/>
      <c r="AW521" s="1055"/>
      <c r="AX521" s="1055"/>
      <c r="AY521" s="1055"/>
      <c r="AZ521" s="1055"/>
      <c r="BA521" s="1055"/>
      <c r="BB521" s="1055"/>
      <c r="BC521" s="1055"/>
      <c r="BD521" s="1055"/>
      <c r="BE521" s="1055"/>
      <c r="BF521" s="1055"/>
      <c r="BG521" s="1055"/>
      <c r="BH521" s="1055"/>
      <c r="BI521" s="1055"/>
      <c r="BJ521" s="1055"/>
      <c r="BK521" s="1055"/>
      <c r="BL521" s="1055"/>
      <c r="BM521" s="1055"/>
      <c r="BN521" s="1055"/>
      <c r="BO521" s="1055"/>
      <c r="BP521" s="1055"/>
      <c r="BQ521" s="1055"/>
      <c r="BR521" s="1055"/>
      <c r="BS521" s="1055"/>
      <c r="BT521" s="1055"/>
      <c r="BU521" s="1055"/>
      <c r="BV521" s="1055"/>
      <c r="BW521" s="1055"/>
      <c r="BX521" s="1055"/>
      <c r="BY521" s="1055"/>
      <c r="BZ521" s="1055"/>
      <c r="CA521" s="1055"/>
      <c r="CB521" s="1055"/>
      <c r="CC521" s="1055"/>
      <c r="CD521" s="1055"/>
      <c r="CE521" s="1055"/>
      <c r="CF521" s="1055"/>
      <c r="CG521" s="1055"/>
      <c r="CH521" s="1055"/>
      <c r="CI521" s="1055"/>
      <c r="CJ521" s="1055"/>
      <c r="CK521" s="1055"/>
      <c r="CL521" s="1055"/>
      <c r="CM521" s="1055"/>
      <c r="CN521" s="1055"/>
      <c r="CO521" s="1055"/>
      <c r="CP521" s="1055"/>
      <c r="CQ521" s="1055"/>
      <c r="CR521" s="1055"/>
      <c r="CS521" s="1055"/>
      <c r="CT521" s="1055"/>
      <c r="CU521" s="1055"/>
      <c r="CV521" s="1055"/>
      <c r="CW521" s="1055"/>
      <c r="CX521" s="1055"/>
      <c r="CY521" s="1055"/>
      <c r="CZ521" s="1055"/>
      <c r="DA521" s="1055"/>
      <c r="DB521" s="1055"/>
      <c r="DC521" s="1055"/>
      <c r="DD521" s="1055"/>
      <c r="DE521" s="1055"/>
      <c r="DF521" s="1055"/>
      <c r="DG521" s="1055"/>
      <c r="DH521" s="1055"/>
      <c r="DI521" s="1055"/>
      <c r="DJ521" s="1055"/>
      <c r="DK521" s="1055"/>
      <c r="DL521" s="1055"/>
      <c r="DM521" s="1055"/>
      <c r="DN521" s="1055"/>
      <c r="DO521" s="1055"/>
      <c r="DP521" s="1055"/>
      <c r="DQ521" s="1055"/>
      <c r="DR521" s="1055"/>
      <c r="DS521" s="1055"/>
      <c r="DT521" s="1055"/>
      <c r="DU521" s="1055"/>
      <c r="DV521" s="1055"/>
      <c r="DW521" s="1055"/>
      <c r="DX521" s="1055"/>
      <c r="DY521" s="1055"/>
      <c r="DZ521" s="1055"/>
      <c r="EA521" s="1055"/>
      <c r="EB521" s="1055"/>
      <c r="EC521" s="1055"/>
      <c r="ED521" s="1055"/>
      <c r="EE521" s="1055"/>
      <c r="EF521" s="1055"/>
      <c r="EG521" s="1055"/>
      <c r="EH521" s="1055"/>
      <c r="EI521" s="1055"/>
      <c r="EJ521" s="1055"/>
      <c r="EK521" s="1055"/>
      <c r="EL521" s="1055"/>
      <c r="EM521" s="1055"/>
      <c r="EN521" s="1055"/>
      <c r="EO521" s="1055"/>
      <c r="EP521" s="1055"/>
      <c r="EQ521" s="1055"/>
      <c r="ER521" s="1055"/>
      <c r="ES521" s="1055"/>
      <c r="ET521" s="1055"/>
      <c r="EU521" s="1055"/>
      <c r="EV521" s="1055"/>
      <c r="EW521" s="1055"/>
      <c r="EX521" s="1055"/>
      <c r="EY521" s="1055"/>
      <c r="EZ521" s="1055"/>
      <c r="FA521" s="1055"/>
      <c r="FB521" s="1055"/>
    </row>
    <row r="522" spans="1:158" ht="32.1" customHeight="1">
      <c r="A522" s="1052"/>
      <c r="B522" s="1053" t="s">
        <v>680</v>
      </c>
      <c r="C522" s="1449">
        <v>1</v>
      </c>
      <c r="D522" s="1449">
        <v>1</v>
      </c>
      <c r="E522" s="1449">
        <v>1</v>
      </c>
      <c r="F522" s="1449">
        <v>1</v>
      </c>
      <c r="G522" s="1449">
        <v>1</v>
      </c>
      <c r="H522" s="1448">
        <v>1</v>
      </c>
      <c r="I522" s="1752" t="s">
        <v>459</v>
      </c>
      <c r="J522" s="1070" t="s">
        <v>960</v>
      </c>
      <c r="K522" s="1070" t="s">
        <v>6508</v>
      </c>
      <c r="L522" s="1071" t="s">
        <v>5999</v>
      </c>
      <c r="M522" s="1070">
        <v>1</v>
      </c>
      <c r="N522" s="1310" t="s">
        <v>2194</v>
      </c>
      <c r="O522" s="1071" t="s">
        <v>5807</v>
      </c>
      <c r="R522" s="1290"/>
      <c r="S522" s="1055"/>
      <c r="T522" s="1055"/>
      <c r="U522" s="1055"/>
      <c r="V522" s="1055"/>
      <c r="W522" s="1055"/>
      <c r="X522" s="1055"/>
      <c r="Y522" s="1055"/>
      <c r="Z522" s="1055"/>
      <c r="AA522" s="1055"/>
      <c r="AB522" s="1055"/>
      <c r="AC522" s="1055"/>
      <c r="AD522" s="1055"/>
      <c r="AE522" s="1055"/>
      <c r="AF522" s="1055"/>
      <c r="AG522" s="1055"/>
      <c r="AH522" s="1055"/>
      <c r="AI522" s="1055"/>
      <c r="AJ522" s="1055"/>
      <c r="AK522" s="1055"/>
      <c r="AL522" s="1055"/>
      <c r="AM522" s="1055"/>
      <c r="AN522" s="1055"/>
      <c r="AO522" s="1055"/>
      <c r="AP522" s="1055"/>
      <c r="AQ522" s="1055"/>
      <c r="AR522" s="1055"/>
      <c r="AS522" s="1055"/>
      <c r="AT522" s="1055"/>
      <c r="AU522" s="1055"/>
      <c r="AV522" s="1055"/>
      <c r="AW522" s="1055"/>
      <c r="AX522" s="1055"/>
      <c r="AY522" s="1055"/>
      <c r="AZ522" s="1055"/>
      <c r="BA522" s="1055"/>
      <c r="BB522" s="1055"/>
      <c r="BC522" s="1055"/>
      <c r="BD522" s="1055"/>
      <c r="BE522" s="1055"/>
      <c r="BF522" s="1055"/>
      <c r="BG522" s="1055"/>
      <c r="BH522" s="1055"/>
      <c r="BI522" s="1055"/>
      <c r="BJ522" s="1055"/>
      <c r="BK522" s="1055"/>
      <c r="BL522" s="1055"/>
      <c r="BM522" s="1055"/>
      <c r="BN522" s="1055"/>
      <c r="BO522" s="1055"/>
      <c r="BP522" s="1055"/>
      <c r="BQ522" s="1055"/>
      <c r="BR522" s="1055"/>
      <c r="BS522" s="1055"/>
      <c r="BT522" s="1055"/>
      <c r="BU522" s="1055"/>
      <c r="BV522" s="1055"/>
      <c r="BW522" s="1055"/>
      <c r="BX522" s="1055"/>
      <c r="BY522" s="1055"/>
      <c r="BZ522" s="1055"/>
      <c r="CA522" s="1055"/>
      <c r="CB522" s="1055"/>
      <c r="CC522" s="1055"/>
      <c r="CD522" s="1055"/>
      <c r="CE522" s="1055"/>
      <c r="CF522" s="1055"/>
      <c r="CG522" s="1055"/>
      <c r="CH522" s="1055"/>
      <c r="CI522" s="1055"/>
      <c r="CJ522" s="1055"/>
      <c r="CK522" s="1055"/>
      <c r="CL522" s="1055"/>
      <c r="CM522" s="1055"/>
      <c r="CN522" s="1055"/>
      <c r="CO522" s="1055"/>
      <c r="CP522" s="1055"/>
      <c r="CQ522" s="1055"/>
      <c r="CR522" s="1055"/>
      <c r="CS522" s="1055"/>
      <c r="CT522" s="1055"/>
      <c r="CU522" s="1055"/>
      <c r="CV522" s="1055"/>
      <c r="CW522" s="1055"/>
      <c r="CX522" s="1055"/>
      <c r="CY522" s="1055"/>
      <c r="CZ522" s="1055"/>
      <c r="DA522" s="1055"/>
      <c r="DB522" s="1055"/>
      <c r="DC522" s="1055"/>
      <c r="DD522" s="1055"/>
      <c r="DE522" s="1055"/>
      <c r="DF522" s="1055"/>
      <c r="DG522" s="1055"/>
      <c r="DH522" s="1055"/>
      <c r="DI522" s="1055"/>
      <c r="DJ522" s="1055"/>
      <c r="DK522" s="1055"/>
      <c r="DL522" s="1055"/>
      <c r="DM522" s="1055"/>
      <c r="DN522" s="1055"/>
      <c r="DO522" s="1055"/>
      <c r="DP522" s="1055"/>
      <c r="DQ522" s="1055"/>
      <c r="DR522" s="1055"/>
      <c r="DS522" s="1055"/>
      <c r="DT522" s="1055"/>
      <c r="DU522" s="1055"/>
      <c r="DV522" s="1055"/>
      <c r="DW522" s="1055"/>
      <c r="DX522" s="1055"/>
      <c r="DY522" s="1055"/>
      <c r="DZ522" s="1055"/>
      <c r="EA522" s="1055"/>
      <c r="EB522" s="1055"/>
      <c r="EC522" s="1055"/>
      <c r="ED522" s="1055"/>
      <c r="EE522" s="1055"/>
      <c r="EF522" s="1055"/>
      <c r="EG522" s="1055"/>
      <c r="EH522" s="1055"/>
      <c r="EI522" s="1055"/>
      <c r="EJ522" s="1055"/>
      <c r="EK522" s="1055"/>
      <c r="EL522" s="1055"/>
      <c r="EM522" s="1055"/>
      <c r="EN522" s="1055"/>
      <c r="EO522" s="1055"/>
      <c r="EP522" s="1055"/>
      <c r="EQ522" s="1055"/>
      <c r="ER522" s="1055"/>
      <c r="ES522" s="1055"/>
      <c r="ET522" s="1055"/>
      <c r="EU522" s="1055"/>
      <c r="EV522" s="1055"/>
      <c r="EW522" s="1055"/>
      <c r="EX522" s="1055"/>
      <c r="EY522" s="1055"/>
      <c r="EZ522" s="1055"/>
      <c r="FA522" s="1055"/>
      <c r="FB522" s="1055"/>
    </row>
    <row r="523" spans="1:158" ht="32.1" customHeight="1">
      <c r="A523" s="1052"/>
      <c r="B523" s="1404" t="s">
        <v>681</v>
      </c>
      <c r="C523" s="1449">
        <v>1</v>
      </c>
      <c r="D523" s="1449">
        <v>1</v>
      </c>
      <c r="E523" s="1449">
        <v>0</v>
      </c>
      <c r="F523" s="1449">
        <v>1</v>
      </c>
      <c r="G523" s="1449">
        <v>1</v>
      </c>
      <c r="H523" s="1448">
        <v>0</v>
      </c>
      <c r="I523" s="1752" t="s">
        <v>38</v>
      </c>
      <c r="J523" s="1308" t="s">
        <v>960</v>
      </c>
      <c r="K523" s="1070" t="s">
        <v>6509</v>
      </c>
      <c r="L523" s="1071" t="s">
        <v>748</v>
      </c>
      <c r="M523" s="1070">
        <v>1</v>
      </c>
      <c r="N523" s="1069" t="s">
        <v>2197</v>
      </c>
      <c r="O523" s="1071" t="s">
        <v>5808</v>
      </c>
    </row>
    <row r="524" spans="1:158" ht="32.1" customHeight="1">
      <c r="A524" s="1052"/>
      <c r="B524" s="1053" t="s">
        <v>682</v>
      </c>
      <c r="C524" s="1449">
        <v>1</v>
      </c>
      <c r="D524" s="1449">
        <v>1</v>
      </c>
      <c r="E524" s="1449">
        <v>1</v>
      </c>
      <c r="F524" s="1449">
        <v>1</v>
      </c>
      <c r="G524" s="1449">
        <v>1</v>
      </c>
      <c r="H524" s="1448">
        <v>1</v>
      </c>
      <c r="I524" s="1752" t="s">
        <v>38</v>
      </c>
      <c r="J524" s="1070" t="s">
        <v>960</v>
      </c>
      <c r="K524" s="1070" t="s">
        <v>6510</v>
      </c>
      <c r="L524" s="1071" t="s">
        <v>811</v>
      </c>
      <c r="M524" s="1070">
        <v>1</v>
      </c>
      <c r="N524" s="1069" t="s">
        <v>2200</v>
      </c>
      <c r="O524" s="1071" t="s">
        <v>2201</v>
      </c>
    </row>
    <row r="525" spans="1:158" ht="32.1" customHeight="1">
      <c r="A525" s="1052"/>
      <c r="B525" s="1053" t="s">
        <v>683</v>
      </c>
      <c r="C525" s="1449">
        <v>1</v>
      </c>
      <c r="D525" s="1459">
        <v>0</v>
      </c>
      <c r="E525" s="1449">
        <v>1</v>
      </c>
      <c r="F525" s="1449">
        <v>1</v>
      </c>
      <c r="G525" s="1449">
        <v>1</v>
      </c>
      <c r="H525" s="1448">
        <v>1</v>
      </c>
      <c r="I525" s="1752" t="s">
        <v>38</v>
      </c>
      <c r="J525" s="1070" t="s">
        <v>960</v>
      </c>
      <c r="K525" s="1393" t="s">
        <v>6511</v>
      </c>
      <c r="L525" s="1071" t="s">
        <v>6000</v>
      </c>
      <c r="M525" s="1070">
        <v>1</v>
      </c>
      <c r="N525" s="1310" t="s">
        <v>2205</v>
      </c>
      <c r="O525" s="1071" t="s">
        <v>5809</v>
      </c>
    </row>
    <row r="526" spans="1:158" ht="32.1" customHeight="1">
      <c r="A526" s="1052"/>
      <c r="B526" s="1151" t="s">
        <v>684</v>
      </c>
      <c r="C526" s="1449">
        <v>1</v>
      </c>
      <c r="D526" s="1449">
        <v>1</v>
      </c>
      <c r="E526" s="1449">
        <v>1</v>
      </c>
      <c r="F526" s="1449">
        <v>1</v>
      </c>
      <c r="G526" s="1498">
        <v>1</v>
      </c>
      <c r="H526" s="1448">
        <v>1</v>
      </c>
      <c r="I526" s="1752" t="s">
        <v>457</v>
      </c>
      <c r="J526" s="1070" t="s">
        <v>960</v>
      </c>
      <c r="K526" s="1070" t="s">
        <v>6512</v>
      </c>
      <c r="L526" s="1071" t="s">
        <v>811</v>
      </c>
      <c r="M526" s="1311">
        <v>1</v>
      </c>
      <c r="N526" s="1310" t="s">
        <v>5529</v>
      </c>
      <c r="O526" s="1071" t="s">
        <v>2210</v>
      </c>
    </row>
    <row r="527" spans="1:158" s="1099" customFormat="1" ht="32.1" customHeight="1">
      <c r="A527" s="1733"/>
      <c r="B527" s="1282" t="s">
        <v>6742</v>
      </c>
      <c r="C527" s="1517">
        <v>0.3</v>
      </c>
      <c r="D527" s="1517">
        <v>1</v>
      </c>
      <c r="E527" s="1517">
        <v>0</v>
      </c>
      <c r="F527" s="1517">
        <v>1</v>
      </c>
      <c r="G527" s="1517">
        <v>1</v>
      </c>
      <c r="H527" s="1518">
        <v>0.5</v>
      </c>
      <c r="I527" s="1773" t="s">
        <v>686</v>
      </c>
      <c r="J527" s="1232" t="s">
        <v>6760</v>
      </c>
      <c r="K527" s="1232">
        <v>1</v>
      </c>
      <c r="L527" s="1232" t="s">
        <v>6745</v>
      </c>
      <c r="M527" s="1232">
        <v>1</v>
      </c>
      <c r="N527" s="1232">
        <v>1</v>
      </c>
      <c r="O527" s="1232">
        <v>0.5</v>
      </c>
      <c r="P527" s="1312">
        <v>1</v>
      </c>
      <c r="Q527" s="1312">
        <v>0</v>
      </c>
      <c r="R527" s="1283"/>
      <c r="S527" s="1242"/>
      <c r="T527" s="1242"/>
      <c r="U527" s="1242"/>
      <c r="V527" s="1242"/>
      <c r="W527" s="1242"/>
      <c r="X527" s="1242"/>
      <c r="Y527" s="1242"/>
      <c r="Z527" s="1242"/>
      <c r="AA527" s="1242"/>
      <c r="AB527" s="1242"/>
      <c r="AC527" s="1242"/>
      <c r="AD527" s="1242"/>
      <c r="AE527" s="1242"/>
      <c r="AF527" s="1242"/>
      <c r="AG527" s="1242"/>
      <c r="AH527" s="1242"/>
      <c r="AI527" s="1242"/>
      <c r="AJ527" s="1242"/>
      <c r="AK527" s="1242"/>
      <c r="AL527" s="1242"/>
      <c r="AM527" s="1242"/>
      <c r="AN527" s="1242"/>
      <c r="AO527" s="1242"/>
      <c r="AP527" s="1242"/>
      <c r="AQ527" s="1242"/>
      <c r="AR527" s="1242"/>
      <c r="AS527" s="1242"/>
      <c r="AT527" s="1242"/>
      <c r="AU527" s="1242"/>
      <c r="AV527" s="1242"/>
      <c r="AW527" s="1242"/>
      <c r="AX527" s="1242"/>
      <c r="AY527" s="1242"/>
      <c r="AZ527" s="1242"/>
      <c r="BA527" s="1242"/>
      <c r="BB527" s="1242"/>
      <c r="BC527" s="1242"/>
      <c r="BD527" s="1242"/>
      <c r="BE527" s="1242"/>
      <c r="BF527" s="1242"/>
      <c r="BG527" s="1242"/>
      <c r="BH527" s="1242"/>
      <c r="BI527" s="1242"/>
      <c r="BJ527" s="1242"/>
      <c r="BK527" s="1242"/>
      <c r="BL527" s="1242"/>
      <c r="BM527" s="1242"/>
      <c r="BN527" s="1242"/>
      <c r="BO527" s="1242"/>
      <c r="BP527" s="1242"/>
      <c r="BQ527" s="1242"/>
      <c r="BR527" s="1242"/>
      <c r="BS527" s="1242"/>
      <c r="BT527" s="1242"/>
      <c r="BU527" s="1242"/>
      <c r="BV527" s="1242"/>
      <c r="BW527" s="1242"/>
      <c r="BX527" s="1242"/>
      <c r="BY527" s="1242"/>
      <c r="BZ527" s="1242"/>
      <c r="CA527" s="1242"/>
      <c r="CB527" s="1242"/>
      <c r="CC527" s="1242"/>
      <c r="CD527" s="1242"/>
      <c r="CE527" s="1242"/>
      <c r="CF527" s="1242"/>
      <c r="CG527" s="1242"/>
      <c r="CH527" s="1242"/>
      <c r="CI527" s="1242"/>
      <c r="CJ527" s="1242"/>
      <c r="CK527" s="1242"/>
      <c r="CL527" s="1242"/>
      <c r="CM527" s="1242"/>
      <c r="CN527" s="1242"/>
      <c r="CO527" s="1242"/>
      <c r="CP527" s="1242"/>
      <c r="CQ527" s="1242"/>
      <c r="CR527" s="1242"/>
      <c r="CS527" s="1242"/>
      <c r="CT527" s="1242"/>
      <c r="CU527" s="1242"/>
      <c r="CV527" s="1242"/>
      <c r="CW527" s="1242"/>
      <c r="CX527" s="1242"/>
      <c r="CY527" s="1242"/>
      <c r="CZ527" s="1242"/>
      <c r="DA527" s="1242"/>
      <c r="DB527" s="1242"/>
      <c r="DC527" s="1242"/>
      <c r="DD527" s="1242"/>
      <c r="DE527" s="1242"/>
      <c r="DF527" s="1242"/>
      <c r="DG527" s="1242"/>
      <c r="DH527" s="1242"/>
      <c r="DI527" s="1242"/>
      <c r="DJ527" s="1242"/>
      <c r="DK527" s="1242"/>
      <c r="DL527" s="1242"/>
      <c r="DM527" s="1242"/>
      <c r="DN527" s="1242"/>
      <c r="DO527" s="1242"/>
      <c r="DP527" s="1242"/>
      <c r="DQ527" s="1242"/>
      <c r="DR527" s="1242"/>
      <c r="DS527" s="1242"/>
      <c r="DT527" s="1242"/>
      <c r="DU527" s="1242"/>
      <c r="DV527" s="1242"/>
      <c r="DW527" s="1242"/>
      <c r="DX527" s="1242"/>
      <c r="DY527" s="1242"/>
      <c r="DZ527" s="1242"/>
      <c r="EA527" s="1242"/>
      <c r="EB527" s="1242"/>
      <c r="EC527" s="1242"/>
      <c r="ED527" s="1242"/>
      <c r="EE527" s="1242"/>
      <c r="EF527" s="1242"/>
      <c r="EG527" s="1242"/>
      <c r="EH527" s="1242"/>
      <c r="EI527" s="1242"/>
      <c r="EJ527" s="1242"/>
      <c r="EK527" s="1242"/>
      <c r="EL527" s="1242"/>
      <c r="EM527" s="1242"/>
      <c r="EN527" s="1242"/>
      <c r="EO527" s="1242"/>
      <c r="EP527" s="1242"/>
      <c r="EQ527" s="1242"/>
      <c r="ER527" s="1242"/>
      <c r="ES527" s="1242"/>
      <c r="ET527" s="1242"/>
      <c r="EU527" s="1242"/>
      <c r="EV527" s="1242"/>
      <c r="EW527" s="1242"/>
      <c r="EX527" s="1242"/>
      <c r="EY527" s="1242"/>
      <c r="EZ527" s="1242"/>
      <c r="FA527" s="1242"/>
      <c r="FB527" s="1242"/>
    </row>
    <row r="528" spans="1:158" ht="32.1" customHeight="1">
      <c r="A528" s="1052"/>
      <c r="B528" s="1053" t="s">
        <v>687</v>
      </c>
      <c r="C528" s="1449">
        <v>1</v>
      </c>
      <c r="D528" s="1449">
        <v>1</v>
      </c>
      <c r="E528" s="1449">
        <v>1</v>
      </c>
      <c r="F528" s="1459">
        <v>0</v>
      </c>
      <c r="G528" s="1449">
        <v>1</v>
      </c>
      <c r="H528" s="1449">
        <v>1</v>
      </c>
      <c r="I528" s="1753" t="s">
        <v>38</v>
      </c>
      <c r="J528" s="1070" t="s">
        <v>960</v>
      </c>
      <c r="K528" s="1070" t="s">
        <v>6769</v>
      </c>
      <c r="L528" s="1071" t="s">
        <v>6001</v>
      </c>
      <c r="M528" s="1565" t="s">
        <v>6830</v>
      </c>
      <c r="N528" s="1075" t="s">
        <v>5530</v>
      </c>
      <c r="O528" s="1313" t="s">
        <v>2217</v>
      </c>
    </row>
    <row r="529" spans="1:159" ht="32.1" customHeight="1" thickBot="1">
      <c r="A529" s="1062">
        <v>2.2999999999999998</v>
      </c>
      <c r="B529" s="1063" t="s">
        <v>688</v>
      </c>
      <c r="C529" s="1479">
        <f t="shared" ref="C529:H529" si="127">AVERAGE(C530,C543)</f>
        <v>0.59166666666666656</v>
      </c>
      <c r="D529" s="1479">
        <f t="shared" si="127"/>
        <v>0.4913448703279939</v>
      </c>
      <c r="E529" s="1479">
        <f t="shared" si="127"/>
        <v>0.41869279176201368</v>
      </c>
      <c r="F529" s="1479">
        <f t="shared" si="127"/>
        <v>0.3299437452326468</v>
      </c>
      <c r="G529" s="1479">
        <f t="shared" si="127"/>
        <v>0.66908371472158645</v>
      </c>
      <c r="H529" s="1479">
        <f t="shared" si="127"/>
        <v>0.60570652173913042</v>
      </c>
      <c r="I529" s="1195"/>
      <c r="J529" s="1064"/>
      <c r="K529" s="1064"/>
      <c r="L529" s="1314"/>
      <c r="M529" s="1064"/>
      <c r="N529" s="1064"/>
      <c r="O529" s="1064"/>
      <c r="P529" s="1064"/>
      <c r="Q529" s="1064"/>
    </row>
    <row r="530" spans="1:159" ht="32.1" customHeight="1" thickTop="1">
      <c r="A530" s="1315" t="s">
        <v>5326</v>
      </c>
      <c r="B530" s="1316" t="s">
        <v>690</v>
      </c>
      <c r="C530" s="1519">
        <f t="shared" ref="C530:H530" si="128">AVERAGE(C531,C535,C539,C540)</f>
        <v>0.58333333333333326</v>
      </c>
      <c r="D530" s="1519">
        <f t="shared" si="128"/>
        <v>0.42708333333333331</v>
      </c>
      <c r="E530" s="1519">
        <f t="shared" si="128"/>
        <v>0.1875</v>
      </c>
      <c r="F530" s="1519">
        <f t="shared" si="128"/>
        <v>0.35416666666666663</v>
      </c>
      <c r="G530" s="1519">
        <f t="shared" si="128"/>
        <v>0.39583333333333331</v>
      </c>
      <c r="H530" s="1519">
        <f t="shared" si="128"/>
        <v>0.4375</v>
      </c>
      <c r="I530" s="1774"/>
      <c r="J530" s="1130"/>
      <c r="K530" s="1157"/>
      <c r="L530" s="1130"/>
      <c r="M530" s="1130"/>
      <c r="N530" s="1130"/>
      <c r="O530" s="1130"/>
      <c r="P530" s="1157"/>
      <c r="Q530" s="1157"/>
    </row>
    <row r="531" spans="1:159" s="1319" customFormat="1" ht="32.1" customHeight="1">
      <c r="A531" s="1317"/>
      <c r="B531" s="1248" t="s">
        <v>691</v>
      </c>
      <c r="C531" s="1734">
        <f t="shared" ref="C531:H531" si="129">AVERAGE(C532:C534)</f>
        <v>0.66666666666666663</v>
      </c>
      <c r="D531" s="1734">
        <f t="shared" si="129"/>
        <v>0.16666666666666666</v>
      </c>
      <c r="E531" s="1734">
        <f t="shared" si="129"/>
        <v>0</v>
      </c>
      <c r="F531" s="1734">
        <f t="shared" si="129"/>
        <v>0.5</v>
      </c>
      <c r="G531" s="1734">
        <f t="shared" si="129"/>
        <v>1</v>
      </c>
      <c r="H531" s="1734">
        <f t="shared" si="129"/>
        <v>0.66666666666666663</v>
      </c>
      <c r="I531" s="1752"/>
      <c r="J531" s="1190" t="s">
        <v>6705</v>
      </c>
      <c r="K531" s="1190"/>
      <c r="L531" s="1071" t="s">
        <v>6002</v>
      </c>
      <c r="M531" s="1190"/>
      <c r="N531" s="1075"/>
      <c r="O531" s="1070"/>
      <c r="P531" s="1190"/>
      <c r="Q531" s="1190"/>
      <c r="R531" s="1081"/>
      <c r="S531" s="1082"/>
      <c r="T531" s="1082"/>
      <c r="U531" s="1082"/>
      <c r="V531" s="1082"/>
      <c r="W531" s="1082"/>
      <c r="X531" s="1082"/>
      <c r="Y531" s="1082"/>
      <c r="Z531" s="1082"/>
      <c r="AA531" s="1082"/>
      <c r="AB531" s="1082"/>
      <c r="AC531" s="1082"/>
      <c r="AD531" s="1082"/>
      <c r="AE531" s="1082"/>
      <c r="AF531" s="1082"/>
      <c r="AG531" s="1082"/>
      <c r="AH531" s="1082"/>
      <c r="AI531" s="1082"/>
      <c r="AJ531" s="1082"/>
      <c r="AK531" s="1082"/>
      <c r="AL531" s="1082"/>
      <c r="AM531" s="1082"/>
      <c r="AN531" s="1082"/>
      <c r="AO531" s="1082"/>
      <c r="AP531" s="1082"/>
      <c r="AQ531" s="1082"/>
      <c r="AR531" s="1082"/>
      <c r="AS531" s="1082"/>
      <c r="AT531" s="1082"/>
      <c r="AU531" s="1082"/>
      <c r="AV531" s="1082"/>
      <c r="AW531" s="1082"/>
      <c r="AX531" s="1082"/>
      <c r="AY531" s="1082"/>
      <c r="AZ531" s="1082"/>
      <c r="BA531" s="1082"/>
      <c r="BB531" s="1082"/>
      <c r="BC531" s="1082"/>
      <c r="BD531" s="1082"/>
      <c r="BE531" s="1082"/>
      <c r="BF531" s="1082"/>
      <c r="BG531" s="1082"/>
      <c r="BH531" s="1082"/>
      <c r="BI531" s="1082"/>
      <c r="BJ531" s="1082"/>
      <c r="BK531" s="1082"/>
      <c r="BL531" s="1082"/>
      <c r="BM531" s="1082"/>
      <c r="BN531" s="1082"/>
      <c r="BO531" s="1082"/>
      <c r="BP531" s="1082"/>
      <c r="BQ531" s="1082"/>
      <c r="BR531" s="1082"/>
      <c r="BS531" s="1082"/>
      <c r="BT531" s="1082"/>
      <c r="BU531" s="1082"/>
      <c r="BV531" s="1082"/>
      <c r="BW531" s="1082"/>
      <c r="BX531" s="1082"/>
      <c r="BY531" s="1082"/>
      <c r="BZ531" s="1082"/>
      <c r="CA531" s="1082"/>
      <c r="CB531" s="1082"/>
      <c r="CC531" s="1082"/>
      <c r="CD531" s="1082"/>
      <c r="CE531" s="1082"/>
      <c r="CF531" s="1082"/>
      <c r="CG531" s="1082"/>
      <c r="CH531" s="1082"/>
      <c r="CI531" s="1082"/>
      <c r="CJ531" s="1082"/>
      <c r="CK531" s="1082"/>
      <c r="CL531" s="1082"/>
      <c r="CM531" s="1082"/>
      <c r="CN531" s="1082"/>
      <c r="CO531" s="1082"/>
      <c r="CP531" s="1082"/>
      <c r="CQ531" s="1082"/>
      <c r="CR531" s="1082"/>
      <c r="CS531" s="1082"/>
      <c r="CT531" s="1082"/>
      <c r="CU531" s="1082"/>
      <c r="CV531" s="1082"/>
      <c r="CW531" s="1082"/>
      <c r="CX531" s="1082"/>
      <c r="CY531" s="1082"/>
      <c r="CZ531" s="1082"/>
      <c r="DA531" s="1082"/>
      <c r="DB531" s="1082"/>
      <c r="DC531" s="1082"/>
      <c r="DD531" s="1082"/>
      <c r="DE531" s="1082"/>
      <c r="DF531" s="1082"/>
      <c r="DG531" s="1082"/>
      <c r="DH531" s="1082"/>
      <c r="DI531" s="1082"/>
      <c r="DJ531" s="1082"/>
      <c r="DK531" s="1082"/>
      <c r="DL531" s="1082"/>
      <c r="DM531" s="1082"/>
      <c r="DN531" s="1082"/>
      <c r="DO531" s="1082"/>
      <c r="DP531" s="1082"/>
      <c r="DQ531" s="1082"/>
      <c r="DR531" s="1082"/>
      <c r="DS531" s="1082"/>
      <c r="DT531" s="1082"/>
      <c r="DU531" s="1082"/>
      <c r="DV531" s="1082"/>
      <c r="DW531" s="1082"/>
      <c r="DX531" s="1082"/>
      <c r="DY531" s="1082"/>
      <c r="DZ531" s="1082"/>
      <c r="EA531" s="1082"/>
      <c r="EB531" s="1082"/>
      <c r="EC531" s="1082"/>
      <c r="ED531" s="1082"/>
      <c r="EE531" s="1082"/>
      <c r="EF531" s="1082"/>
      <c r="EG531" s="1082"/>
      <c r="EH531" s="1082"/>
      <c r="EI531" s="1082"/>
      <c r="EJ531" s="1082"/>
      <c r="EK531" s="1082"/>
      <c r="EL531" s="1082"/>
      <c r="EM531" s="1082"/>
      <c r="EN531" s="1082"/>
      <c r="EO531" s="1082"/>
      <c r="EP531" s="1082"/>
      <c r="EQ531" s="1082"/>
      <c r="ER531" s="1082"/>
      <c r="ES531" s="1082"/>
      <c r="ET531" s="1082"/>
      <c r="EU531" s="1082"/>
      <c r="EV531" s="1082"/>
      <c r="EW531" s="1082"/>
      <c r="EX531" s="1082"/>
      <c r="EY531" s="1082"/>
      <c r="EZ531" s="1082"/>
      <c r="FA531" s="1082"/>
      <c r="FB531" s="1082"/>
      <c r="FC531" s="1318"/>
    </row>
    <row r="532" spans="1:159" s="1319" customFormat="1" ht="32.1" customHeight="1">
      <c r="A532" s="1317"/>
      <c r="B532" s="1320" t="s">
        <v>692</v>
      </c>
      <c r="C532" s="1734">
        <v>1</v>
      </c>
      <c r="D532" s="1734">
        <v>0</v>
      </c>
      <c r="E532" s="1734">
        <v>0</v>
      </c>
      <c r="F532" s="1735">
        <v>0.5</v>
      </c>
      <c r="G532" s="1734">
        <v>1</v>
      </c>
      <c r="H532" s="1734">
        <v>0.5</v>
      </c>
      <c r="I532" s="1752" t="s">
        <v>459</v>
      </c>
      <c r="J532" s="1070">
        <v>1</v>
      </c>
      <c r="K532" s="1070" t="s">
        <v>6513</v>
      </c>
      <c r="L532" s="1071" t="s">
        <v>748</v>
      </c>
      <c r="M532" s="1102" t="s">
        <v>6199</v>
      </c>
      <c r="N532" s="1075" t="s">
        <v>5818</v>
      </c>
      <c r="O532" s="1070" t="s">
        <v>5810</v>
      </c>
      <c r="P532" s="1070"/>
      <c r="Q532" s="1070"/>
      <c r="R532" s="1081"/>
      <c r="S532" s="1082"/>
      <c r="T532" s="1082"/>
      <c r="U532" s="1082"/>
      <c r="V532" s="1082"/>
      <c r="W532" s="1082"/>
      <c r="X532" s="1082"/>
      <c r="Y532" s="1082"/>
      <c r="Z532" s="1082"/>
      <c r="AA532" s="1082"/>
      <c r="AB532" s="1082"/>
      <c r="AC532" s="1082"/>
      <c r="AD532" s="1082"/>
      <c r="AE532" s="1082"/>
      <c r="AF532" s="1082"/>
      <c r="AG532" s="1082"/>
      <c r="AH532" s="1082"/>
      <c r="AI532" s="1082"/>
      <c r="AJ532" s="1082"/>
      <c r="AK532" s="1082"/>
      <c r="AL532" s="1082"/>
      <c r="AM532" s="1082"/>
      <c r="AN532" s="1082"/>
      <c r="AO532" s="1082"/>
      <c r="AP532" s="1082"/>
      <c r="AQ532" s="1082"/>
      <c r="AR532" s="1082"/>
      <c r="AS532" s="1082"/>
      <c r="AT532" s="1082"/>
      <c r="AU532" s="1082"/>
      <c r="AV532" s="1082"/>
      <c r="AW532" s="1082"/>
      <c r="AX532" s="1082"/>
      <c r="AY532" s="1082"/>
      <c r="AZ532" s="1082"/>
      <c r="BA532" s="1082"/>
      <c r="BB532" s="1082"/>
      <c r="BC532" s="1082"/>
      <c r="BD532" s="1082"/>
      <c r="BE532" s="1082"/>
      <c r="BF532" s="1082"/>
      <c r="BG532" s="1082"/>
      <c r="BH532" s="1082"/>
      <c r="BI532" s="1082"/>
      <c r="BJ532" s="1082"/>
      <c r="BK532" s="1082"/>
      <c r="BL532" s="1082"/>
      <c r="BM532" s="1082"/>
      <c r="BN532" s="1082"/>
      <c r="BO532" s="1082"/>
      <c r="BP532" s="1082"/>
      <c r="BQ532" s="1082"/>
      <c r="BR532" s="1082"/>
      <c r="BS532" s="1082"/>
      <c r="BT532" s="1082"/>
      <c r="BU532" s="1082"/>
      <c r="BV532" s="1082"/>
      <c r="BW532" s="1082"/>
      <c r="BX532" s="1082"/>
      <c r="BY532" s="1082"/>
      <c r="BZ532" s="1082"/>
      <c r="CA532" s="1082"/>
      <c r="CB532" s="1082"/>
      <c r="CC532" s="1082"/>
      <c r="CD532" s="1082"/>
      <c r="CE532" s="1082"/>
      <c r="CF532" s="1082"/>
      <c r="CG532" s="1082"/>
      <c r="CH532" s="1082"/>
      <c r="CI532" s="1082"/>
      <c r="CJ532" s="1082"/>
      <c r="CK532" s="1082"/>
      <c r="CL532" s="1082"/>
      <c r="CM532" s="1082"/>
      <c r="CN532" s="1082"/>
      <c r="CO532" s="1082"/>
      <c r="CP532" s="1082"/>
      <c r="CQ532" s="1082"/>
      <c r="CR532" s="1082"/>
      <c r="CS532" s="1082"/>
      <c r="CT532" s="1082"/>
      <c r="CU532" s="1082"/>
      <c r="CV532" s="1082"/>
      <c r="CW532" s="1082"/>
      <c r="CX532" s="1082"/>
      <c r="CY532" s="1082"/>
      <c r="CZ532" s="1082"/>
      <c r="DA532" s="1082"/>
      <c r="DB532" s="1082"/>
      <c r="DC532" s="1082"/>
      <c r="DD532" s="1082"/>
      <c r="DE532" s="1082"/>
      <c r="DF532" s="1082"/>
      <c r="DG532" s="1082"/>
      <c r="DH532" s="1082"/>
      <c r="DI532" s="1082"/>
      <c r="DJ532" s="1082"/>
      <c r="DK532" s="1082"/>
      <c r="DL532" s="1082"/>
      <c r="DM532" s="1082"/>
      <c r="DN532" s="1082"/>
      <c r="DO532" s="1082"/>
      <c r="DP532" s="1082"/>
      <c r="DQ532" s="1082"/>
      <c r="DR532" s="1082"/>
      <c r="DS532" s="1082"/>
      <c r="DT532" s="1082"/>
      <c r="DU532" s="1082"/>
      <c r="DV532" s="1082"/>
      <c r="DW532" s="1082"/>
      <c r="DX532" s="1082"/>
      <c r="DY532" s="1082"/>
      <c r="DZ532" s="1082"/>
      <c r="EA532" s="1082"/>
      <c r="EB532" s="1082"/>
      <c r="EC532" s="1082"/>
      <c r="ED532" s="1082"/>
      <c r="EE532" s="1082"/>
      <c r="EF532" s="1082"/>
      <c r="EG532" s="1082"/>
      <c r="EH532" s="1082"/>
      <c r="EI532" s="1082"/>
      <c r="EJ532" s="1082"/>
      <c r="EK532" s="1082"/>
      <c r="EL532" s="1082"/>
      <c r="EM532" s="1082"/>
      <c r="EN532" s="1082"/>
      <c r="EO532" s="1082"/>
      <c r="EP532" s="1082"/>
      <c r="EQ532" s="1082"/>
      <c r="ER532" s="1082"/>
      <c r="ES532" s="1082"/>
      <c r="ET532" s="1082"/>
      <c r="EU532" s="1082"/>
      <c r="EV532" s="1082"/>
      <c r="EW532" s="1082"/>
      <c r="EX532" s="1082"/>
      <c r="EY532" s="1082"/>
      <c r="EZ532" s="1082"/>
      <c r="FA532" s="1082"/>
      <c r="FB532" s="1082"/>
      <c r="FC532" s="1318"/>
    </row>
    <row r="533" spans="1:159" s="1319" customFormat="1" ht="32.1" customHeight="1">
      <c r="A533" s="1317"/>
      <c r="B533" s="1320" t="s">
        <v>693</v>
      </c>
      <c r="C533" s="1736">
        <v>0.5</v>
      </c>
      <c r="D533" s="1736">
        <v>0</v>
      </c>
      <c r="E533" s="1736">
        <v>0</v>
      </c>
      <c r="F533" s="1735">
        <v>0.5</v>
      </c>
      <c r="G533" s="1736">
        <v>1</v>
      </c>
      <c r="H533" s="1736">
        <v>1</v>
      </c>
      <c r="I533" s="1752" t="s">
        <v>459</v>
      </c>
      <c r="J533" s="1070" t="s">
        <v>6225</v>
      </c>
      <c r="K533" s="1070" t="s">
        <v>6514</v>
      </c>
      <c r="L533" s="1071" t="s">
        <v>748</v>
      </c>
      <c r="M533" s="1102" t="s">
        <v>6200</v>
      </c>
      <c r="N533" s="1070" t="s">
        <v>5531</v>
      </c>
      <c r="O533" s="1070" t="s">
        <v>5811</v>
      </c>
      <c r="P533" s="1070"/>
      <c r="Q533" s="1070"/>
      <c r="R533" s="1081"/>
      <c r="S533" s="1082"/>
      <c r="T533" s="1082"/>
      <c r="U533" s="1082"/>
      <c r="V533" s="1082"/>
      <c r="W533" s="1082"/>
      <c r="X533" s="1082"/>
      <c r="Y533" s="1082"/>
      <c r="Z533" s="1082"/>
      <c r="AA533" s="1082"/>
      <c r="AB533" s="1082"/>
      <c r="AC533" s="1082"/>
      <c r="AD533" s="1082"/>
      <c r="AE533" s="1082"/>
      <c r="AF533" s="1082"/>
      <c r="AG533" s="1082"/>
      <c r="AH533" s="1082"/>
      <c r="AI533" s="1082"/>
      <c r="AJ533" s="1082"/>
      <c r="AK533" s="1082"/>
      <c r="AL533" s="1082"/>
      <c r="AM533" s="1082"/>
      <c r="AN533" s="1082"/>
      <c r="AO533" s="1082"/>
      <c r="AP533" s="1082"/>
      <c r="AQ533" s="1082"/>
      <c r="AR533" s="1082"/>
      <c r="AS533" s="1082"/>
      <c r="AT533" s="1082"/>
      <c r="AU533" s="1082"/>
      <c r="AV533" s="1082"/>
      <c r="AW533" s="1082"/>
      <c r="AX533" s="1082"/>
      <c r="AY533" s="1082"/>
      <c r="AZ533" s="1082"/>
      <c r="BA533" s="1082"/>
      <c r="BB533" s="1082"/>
      <c r="BC533" s="1082"/>
      <c r="BD533" s="1082"/>
      <c r="BE533" s="1082"/>
      <c r="BF533" s="1082"/>
      <c r="BG533" s="1082"/>
      <c r="BH533" s="1082"/>
      <c r="BI533" s="1082"/>
      <c r="BJ533" s="1082"/>
      <c r="BK533" s="1082"/>
      <c r="BL533" s="1082"/>
      <c r="BM533" s="1082"/>
      <c r="BN533" s="1082"/>
      <c r="BO533" s="1082"/>
      <c r="BP533" s="1082"/>
      <c r="BQ533" s="1082"/>
      <c r="BR533" s="1082"/>
      <c r="BS533" s="1082"/>
      <c r="BT533" s="1082"/>
      <c r="BU533" s="1082"/>
      <c r="BV533" s="1082"/>
      <c r="BW533" s="1082"/>
      <c r="BX533" s="1082"/>
      <c r="BY533" s="1082"/>
      <c r="BZ533" s="1082"/>
      <c r="CA533" s="1082"/>
      <c r="CB533" s="1082"/>
      <c r="CC533" s="1082"/>
      <c r="CD533" s="1082"/>
      <c r="CE533" s="1082"/>
      <c r="CF533" s="1082"/>
      <c r="CG533" s="1082"/>
      <c r="CH533" s="1082"/>
      <c r="CI533" s="1082"/>
      <c r="CJ533" s="1082"/>
      <c r="CK533" s="1082"/>
      <c r="CL533" s="1082"/>
      <c r="CM533" s="1082"/>
      <c r="CN533" s="1082"/>
      <c r="CO533" s="1082"/>
      <c r="CP533" s="1082"/>
      <c r="CQ533" s="1082"/>
      <c r="CR533" s="1082"/>
      <c r="CS533" s="1082"/>
      <c r="CT533" s="1082"/>
      <c r="CU533" s="1082"/>
      <c r="CV533" s="1082"/>
      <c r="CW533" s="1082"/>
      <c r="CX533" s="1082"/>
      <c r="CY533" s="1082"/>
      <c r="CZ533" s="1082"/>
      <c r="DA533" s="1082"/>
      <c r="DB533" s="1082"/>
      <c r="DC533" s="1082"/>
      <c r="DD533" s="1082"/>
      <c r="DE533" s="1082"/>
      <c r="DF533" s="1082"/>
      <c r="DG533" s="1082"/>
      <c r="DH533" s="1082"/>
      <c r="DI533" s="1082"/>
      <c r="DJ533" s="1082"/>
      <c r="DK533" s="1082"/>
      <c r="DL533" s="1082"/>
      <c r="DM533" s="1082"/>
      <c r="DN533" s="1082"/>
      <c r="DO533" s="1082"/>
      <c r="DP533" s="1082"/>
      <c r="DQ533" s="1082"/>
      <c r="DR533" s="1082"/>
      <c r="DS533" s="1082"/>
      <c r="DT533" s="1082"/>
      <c r="DU533" s="1082"/>
      <c r="DV533" s="1082"/>
      <c r="DW533" s="1082"/>
      <c r="DX533" s="1082"/>
      <c r="DY533" s="1082"/>
      <c r="DZ533" s="1082"/>
      <c r="EA533" s="1082"/>
      <c r="EB533" s="1082"/>
      <c r="EC533" s="1082"/>
      <c r="ED533" s="1082"/>
      <c r="EE533" s="1082"/>
      <c r="EF533" s="1082"/>
      <c r="EG533" s="1082"/>
      <c r="EH533" s="1082"/>
      <c r="EI533" s="1082"/>
      <c r="EJ533" s="1082"/>
      <c r="EK533" s="1082"/>
      <c r="EL533" s="1082"/>
      <c r="EM533" s="1082"/>
      <c r="EN533" s="1082"/>
      <c r="EO533" s="1082"/>
      <c r="EP533" s="1082"/>
      <c r="EQ533" s="1082"/>
      <c r="ER533" s="1082"/>
      <c r="ES533" s="1082"/>
      <c r="ET533" s="1082"/>
      <c r="EU533" s="1082"/>
      <c r="EV533" s="1082"/>
      <c r="EW533" s="1082"/>
      <c r="EX533" s="1082"/>
      <c r="EY533" s="1082"/>
      <c r="EZ533" s="1082"/>
      <c r="FA533" s="1082"/>
      <c r="FB533" s="1082"/>
      <c r="FC533" s="1318"/>
    </row>
    <row r="534" spans="1:159" s="1319" customFormat="1" ht="32.1" customHeight="1">
      <c r="A534" s="1317"/>
      <c r="B534" s="1321" t="s">
        <v>694</v>
      </c>
      <c r="C534" s="1736">
        <v>0.5</v>
      </c>
      <c r="D534" s="1736">
        <v>0.5</v>
      </c>
      <c r="E534" s="1736">
        <v>0</v>
      </c>
      <c r="F534" s="1735">
        <v>0.5</v>
      </c>
      <c r="G534" s="1736">
        <v>1</v>
      </c>
      <c r="H534" s="1736">
        <v>0.5</v>
      </c>
      <c r="I534" s="1752" t="s">
        <v>459</v>
      </c>
      <c r="J534" s="1070" t="s">
        <v>6225</v>
      </c>
      <c r="K534" s="1070" t="s">
        <v>6515</v>
      </c>
      <c r="L534" s="1071" t="s">
        <v>748</v>
      </c>
      <c r="M534" s="1102" t="s">
        <v>6201</v>
      </c>
      <c r="N534" s="1070" t="s">
        <v>6810</v>
      </c>
      <c r="O534" s="1070" t="s">
        <v>5812</v>
      </c>
      <c r="P534" s="1070"/>
      <c r="Q534" s="1070"/>
      <c r="R534" s="1081"/>
      <c r="S534" s="1082"/>
      <c r="T534" s="1082"/>
      <c r="U534" s="1082"/>
      <c r="V534" s="1082"/>
      <c r="W534" s="1082"/>
      <c r="X534" s="1082"/>
      <c r="Y534" s="1082"/>
      <c r="Z534" s="1082"/>
      <c r="AA534" s="1082"/>
      <c r="AB534" s="1082"/>
      <c r="AC534" s="1082"/>
      <c r="AD534" s="1082"/>
      <c r="AE534" s="1082"/>
      <c r="AF534" s="1082"/>
      <c r="AG534" s="1082"/>
      <c r="AH534" s="1082"/>
      <c r="AI534" s="1082"/>
      <c r="AJ534" s="1082"/>
      <c r="AK534" s="1082"/>
      <c r="AL534" s="1082"/>
      <c r="AM534" s="1082"/>
      <c r="AN534" s="1082"/>
      <c r="AO534" s="1082"/>
      <c r="AP534" s="1082"/>
      <c r="AQ534" s="1082"/>
      <c r="AR534" s="1082"/>
      <c r="AS534" s="1082"/>
      <c r="AT534" s="1082"/>
      <c r="AU534" s="1082"/>
      <c r="AV534" s="1082"/>
      <c r="AW534" s="1082"/>
      <c r="AX534" s="1082"/>
      <c r="AY534" s="1082"/>
      <c r="AZ534" s="1082"/>
      <c r="BA534" s="1082"/>
      <c r="BB534" s="1082"/>
      <c r="BC534" s="1082"/>
      <c r="BD534" s="1082"/>
      <c r="BE534" s="1082"/>
      <c r="BF534" s="1082"/>
      <c r="BG534" s="1082"/>
      <c r="BH534" s="1082"/>
      <c r="BI534" s="1082"/>
      <c r="BJ534" s="1082"/>
      <c r="BK534" s="1082"/>
      <c r="BL534" s="1082"/>
      <c r="BM534" s="1082"/>
      <c r="BN534" s="1082"/>
      <c r="BO534" s="1082"/>
      <c r="BP534" s="1082"/>
      <c r="BQ534" s="1082"/>
      <c r="BR534" s="1082"/>
      <c r="BS534" s="1082"/>
      <c r="BT534" s="1082"/>
      <c r="BU534" s="1082"/>
      <c r="BV534" s="1082"/>
      <c r="BW534" s="1082"/>
      <c r="BX534" s="1082"/>
      <c r="BY534" s="1082"/>
      <c r="BZ534" s="1082"/>
      <c r="CA534" s="1082"/>
      <c r="CB534" s="1082"/>
      <c r="CC534" s="1082"/>
      <c r="CD534" s="1082"/>
      <c r="CE534" s="1082"/>
      <c r="CF534" s="1082"/>
      <c r="CG534" s="1082"/>
      <c r="CH534" s="1082"/>
      <c r="CI534" s="1082"/>
      <c r="CJ534" s="1082"/>
      <c r="CK534" s="1082"/>
      <c r="CL534" s="1082"/>
      <c r="CM534" s="1082"/>
      <c r="CN534" s="1082"/>
      <c r="CO534" s="1082"/>
      <c r="CP534" s="1082"/>
      <c r="CQ534" s="1082"/>
      <c r="CR534" s="1082"/>
      <c r="CS534" s="1082"/>
      <c r="CT534" s="1082"/>
      <c r="CU534" s="1082"/>
      <c r="CV534" s="1082"/>
      <c r="CW534" s="1082"/>
      <c r="CX534" s="1082"/>
      <c r="CY534" s="1082"/>
      <c r="CZ534" s="1082"/>
      <c r="DA534" s="1082"/>
      <c r="DB534" s="1082"/>
      <c r="DC534" s="1082"/>
      <c r="DD534" s="1082"/>
      <c r="DE534" s="1082"/>
      <c r="DF534" s="1082"/>
      <c r="DG534" s="1082"/>
      <c r="DH534" s="1082"/>
      <c r="DI534" s="1082"/>
      <c r="DJ534" s="1082"/>
      <c r="DK534" s="1082"/>
      <c r="DL534" s="1082"/>
      <c r="DM534" s="1082"/>
      <c r="DN534" s="1082"/>
      <c r="DO534" s="1082"/>
      <c r="DP534" s="1082"/>
      <c r="DQ534" s="1082"/>
      <c r="DR534" s="1082"/>
      <c r="DS534" s="1082"/>
      <c r="DT534" s="1082"/>
      <c r="DU534" s="1082"/>
      <c r="DV534" s="1082"/>
      <c r="DW534" s="1082"/>
      <c r="DX534" s="1082"/>
      <c r="DY534" s="1082"/>
      <c r="DZ534" s="1082"/>
      <c r="EA534" s="1082"/>
      <c r="EB534" s="1082"/>
      <c r="EC534" s="1082"/>
      <c r="ED534" s="1082"/>
      <c r="EE534" s="1082"/>
      <c r="EF534" s="1082"/>
      <c r="EG534" s="1082"/>
      <c r="EH534" s="1082"/>
      <c r="EI534" s="1082"/>
      <c r="EJ534" s="1082"/>
      <c r="EK534" s="1082"/>
      <c r="EL534" s="1082"/>
      <c r="EM534" s="1082"/>
      <c r="EN534" s="1082"/>
      <c r="EO534" s="1082"/>
      <c r="EP534" s="1082"/>
      <c r="EQ534" s="1082"/>
      <c r="ER534" s="1082"/>
      <c r="ES534" s="1082"/>
      <c r="ET534" s="1082"/>
      <c r="EU534" s="1082"/>
      <c r="EV534" s="1082"/>
      <c r="EW534" s="1082"/>
      <c r="EX534" s="1082"/>
      <c r="EY534" s="1082"/>
      <c r="EZ534" s="1082"/>
      <c r="FA534" s="1082"/>
      <c r="FB534" s="1082"/>
      <c r="FC534" s="1318"/>
    </row>
    <row r="535" spans="1:159" s="1319" customFormat="1" ht="32.1" customHeight="1">
      <c r="A535" s="1317"/>
      <c r="B535" s="1248" t="s">
        <v>695</v>
      </c>
      <c r="C535" s="1736">
        <f t="shared" ref="C535:H535" si="130">AVERAGE(C536:C538)</f>
        <v>0.66666666666666663</v>
      </c>
      <c r="D535" s="1736">
        <f t="shared" si="130"/>
        <v>0.66666666666666663</v>
      </c>
      <c r="E535" s="1736">
        <f t="shared" si="130"/>
        <v>0</v>
      </c>
      <c r="F535" s="1736">
        <f t="shared" si="130"/>
        <v>0.16666666666666666</v>
      </c>
      <c r="G535" s="1736">
        <f t="shared" si="130"/>
        <v>0.33333333333333331</v>
      </c>
      <c r="H535" s="1736">
        <f t="shared" si="130"/>
        <v>0.33333333333333331</v>
      </c>
      <c r="I535" s="1752"/>
      <c r="J535" s="1070"/>
      <c r="K535" s="1070"/>
      <c r="L535" s="1071"/>
      <c r="M535" s="1190"/>
      <c r="N535" s="1070"/>
      <c r="O535" s="1070"/>
      <c r="P535" s="1160"/>
      <c r="Q535" s="1160"/>
      <c r="R535" s="1081"/>
      <c r="S535" s="1082"/>
      <c r="T535" s="1082"/>
      <c r="U535" s="1082"/>
      <c r="V535" s="1082"/>
      <c r="W535" s="1082"/>
      <c r="X535" s="1082"/>
      <c r="Y535" s="1082"/>
      <c r="Z535" s="1082"/>
      <c r="AA535" s="1082"/>
      <c r="AB535" s="1082"/>
      <c r="AC535" s="1082"/>
      <c r="AD535" s="1082"/>
      <c r="AE535" s="1082"/>
      <c r="AF535" s="1082"/>
      <c r="AG535" s="1082"/>
      <c r="AH535" s="1082"/>
      <c r="AI535" s="1082"/>
      <c r="AJ535" s="1082"/>
      <c r="AK535" s="1082"/>
      <c r="AL535" s="1082"/>
      <c r="AM535" s="1082"/>
      <c r="AN535" s="1082"/>
      <c r="AO535" s="1082"/>
      <c r="AP535" s="1082"/>
      <c r="AQ535" s="1082"/>
      <c r="AR535" s="1082"/>
      <c r="AS535" s="1082"/>
      <c r="AT535" s="1082"/>
      <c r="AU535" s="1082"/>
      <c r="AV535" s="1082"/>
      <c r="AW535" s="1082"/>
      <c r="AX535" s="1082"/>
      <c r="AY535" s="1082"/>
      <c r="AZ535" s="1082"/>
      <c r="BA535" s="1082"/>
      <c r="BB535" s="1082"/>
      <c r="BC535" s="1082"/>
      <c r="BD535" s="1082"/>
      <c r="BE535" s="1082"/>
      <c r="BF535" s="1082"/>
      <c r="BG535" s="1082"/>
      <c r="BH535" s="1082"/>
      <c r="BI535" s="1082"/>
      <c r="BJ535" s="1082"/>
      <c r="BK535" s="1082"/>
      <c r="BL535" s="1082"/>
      <c r="BM535" s="1082"/>
      <c r="BN535" s="1082"/>
      <c r="BO535" s="1082"/>
      <c r="BP535" s="1082"/>
      <c r="BQ535" s="1082"/>
      <c r="BR535" s="1082"/>
      <c r="BS535" s="1082"/>
      <c r="BT535" s="1082"/>
      <c r="BU535" s="1082"/>
      <c r="BV535" s="1082"/>
      <c r="BW535" s="1082"/>
      <c r="BX535" s="1082"/>
      <c r="BY535" s="1082"/>
      <c r="BZ535" s="1082"/>
      <c r="CA535" s="1082"/>
      <c r="CB535" s="1082"/>
      <c r="CC535" s="1082"/>
      <c r="CD535" s="1082"/>
      <c r="CE535" s="1082"/>
      <c r="CF535" s="1082"/>
      <c r="CG535" s="1082"/>
      <c r="CH535" s="1082"/>
      <c r="CI535" s="1082"/>
      <c r="CJ535" s="1082"/>
      <c r="CK535" s="1082"/>
      <c r="CL535" s="1082"/>
      <c r="CM535" s="1082"/>
      <c r="CN535" s="1082"/>
      <c r="CO535" s="1082"/>
      <c r="CP535" s="1082"/>
      <c r="CQ535" s="1082"/>
      <c r="CR535" s="1082"/>
      <c r="CS535" s="1082"/>
      <c r="CT535" s="1082"/>
      <c r="CU535" s="1082"/>
      <c r="CV535" s="1082"/>
      <c r="CW535" s="1082"/>
      <c r="CX535" s="1082"/>
      <c r="CY535" s="1082"/>
      <c r="CZ535" s="1082"/>
      <c r="DA535" s="1082"/>
      <c r="DB535" s="1082"/>
      <c r="DC535" s="1082"/>
      <c r="DD535" s="1082"/>
      <c r="DE535" s="1082"/>
      <c r="DF535" s="1082"/>
      <c r="DG535" s="1082"/>
      <c r="DH535" s="1082"/>
      <c r="DI535" s="1082"/>
      <c r="DJ535" s="1082"/>
      <c r="DK535" s="1082"/>
      <c r="DL535" s="1082"/>
      <c r="DM535" s="1082"/>
      <c r="DN535" s="1082"/>
      <c r="DO535" s="1082"/>
      <c r="DP535" s="1082"/>
      <c r="DQ535" s="1082"/>
      <c r="DR535" s="1082"/>
      <c r="DS535" s="1082"/>
      <c r="DT535" s="1082"/>
      <c r="DU535" s="1082"/>
      <c r="DV535" s="1082"/>
      <c r="DW535" s="1082"/>
      <c r="DX535" s="1082"/>
      <c r="DY535" s="1082"/>
      <c r="DZ535" s="1082"/>
      <c r="EA535" s="1082"/>
      <c r="EB535" s="1082"/>
      <c r="EC535" s="1082"/>
      <c r="ED535" s="1082"/>
      <c r="EE535" s="1082"/>
      <c r="EF535" s="1082"/>
      <c r="EG535" s="1082"/>
      <c r="EH535" s="1082"/>
      <c r="EI535" s="1082"/>
      <c r="EJ535" s="1082"/>
      <c r="EK535" s="1082"/>
      <c r="EL535" s="1082"/>
      <c r="EM535" s="1082"/>
      <c r="EN535" s="1082"/>
      <c r="EO535" s="1082"/>
      <c r="EP535" s="1082"/>
      <c r="EQ535" s="1082"/>
      <c r="ER535" s="1082"/>
      <c r="ES535" s="1082"/>
      <c r="ET535" s="1082"/>
      <c r="EU535" s="1082"/>
      <c r="EV535" s="1082"/>
      <c r="EW535" s="1082"/>
      <c r="EX535" s="1082"/>
      <c r="EY535" s="1082"/>
      <c r="EZ535" s="1082"/>
      <c r="FA535" s="1082"/>
      <c r="FB535" s="1082"/>
      <c r="FC535" s="1318"/>
    </row>
    <row r="536" spans="1:159" s="1319" customFormat="1" ht="32.1" customHeight="1">
      <c r="A536" s="1317"/>
      <c r="B536" s="1320" t="s">
        <v>696</v>
      </c>
      <c r="C536" s="1736">
        <v>0.5</v>
      </c>
      <c r="D536" s="1736">
        <v>1</v>
      </c>
      <c r="E536" s="1736">
        <v>0</v>
      </c>
      <c r="F536" s="1736">
        <v>0</v>
      </c>
      <c r="G536" s="1736">
        <v>1</v>
      </c>
      <c r="H536" s="1736">
        <v>1</v>
      </c>
      <c r="I536" s="1752" t="s">
        <v>459</v>
      </c>
      <c r="J536" s="1084" t="s">
        <v>6225</v>
      </c>
      <c r="K536" s="1070" t="s">
        <v>6516</v>
      </c>
      <c r="L536" s="1071" t="s">
        <v>748</v>
      </c>
      <c r="M536" s="1102" t="s">
        <v>6202</v>
      </c>
      <c r="N536" s="1075" t="s">
        <v>5532</v>
      </c>
      <c r="O536" s="1070" t="s">
        <v>5813</v>
      </c>
      <c r="P536" s="1070"/>
      <c r="Q536" s="1070"/>
      <c r="R536" s="1081"/>
      <c r="S536" s="1082"/>
      <c r="T536" s="1082"/>
      <c r="U536" s="1082"/>
      <c r="V536" s="1082"/>
      <c r="W536" s="1082"/>
      <c r="X536" s="1082"/>
      <c r="Y536" s="1082"/>
      <c r="Z536" s="1082"/>
      <c r="AA536" s="1082"/>
      <c r="AB536" s="1082"/>
      <c r="AC536" s="1082"/>
      <c r="AD536" s="1082"/>
      <c r="AE536" s="1082"/>
      <c r="AF536" s="1082"/>
      <c r="AG536" s="1082"/>
      <c r="AH536" s="1082"/>
      <c r="AI536" s="1082"/>
      <c r="AJ536" s="1082"/>
      <c r="AK536" s="1082"/>
      <c r="AL536" s="1082"/>
      <c r="AM536" s="1082"/>
      <c r="AN536" s="1082"/>
      <c r="AO536" s="1082"/>
      <c r="AP536" s="1082"/>
      <c r="AQ536" s="1082"/>
      <c r="AR536" s="1082"/>
      <c r="AS536" s="1082"/>
      <c r="AT536" s="1082"/>
      <c r="AU536" s="1082"/>
      <c r="AV536" s="1082"/>
      <c r="AW536" s="1082"/>
      <c r="AX536" s="1082"/>
      <c r="AY536" s="1082"/>
      <c r="AZ536" s="1082"/>
      <c r="BA536" s="1082"/>
      <c r="BB536" s="1082"/>
      <c r="BC536" s="1082"/>
      <c r="BD536" s="1082"/>
      <c r="BE536" s="1082"/>
      <c r="BF536" s="1082"/>
      <c r="BG536" s="1082"/>
      <c r="BH536" s="1082"/>
      <c r="BI536" s="1082"/>
      <c r="BJ536" s="1082"/>
      <c r="BK536" s="1082"/>
      <c r="BL536" s="1082"/>
      <c r="BM536" s="1082"/>
      <c r="BN536" s="1082"/>
      <c r="BO536" s="1082"/>
      <c r="BP536" s="1082"/>
      <c r="BQ536" s="1082"/>
      <c r="BR536" s="1082"/>
      <c r="BS536" s="1082"/>
      <c r="BT536" s="1082"/>
      <c r="BU536" s="1082"/>
      <c r="BV536" s="1082"/>
      <c r="BW536" s="1082"/>
      <c r="BX536" s="1082"/>
      <c r="BY536" s="1082"/>
      <c r="BZ536" s="1082"/>
      <c r="CA536" s="1082"/>
      <c r="CB536" s="1082"/>
      <c r="CC536" s="1082"/>
      <c r="CD536" s="1082"/>
      <c r="CE536" s="1082"/>
      <c r="CF536" s="1082"/>
      <c r="CG536" s="1082"/>
      <c r="CH536" s="1082"/>
      <c r="CI536" s="1082"/>
      <c r="CJ536" s="1082"/>
      <c r="CK536" s="1082"/>
      <c r="CL536" s="1082"/>
      <c r="CM536" s="1082"/>
      <c r="CN536" s="1082"/>
      <c r="CO536" s="1082"/>
      <c r="CP536" s="1082"/>
      <c r="CQ536" s="1082"/>
      <c r="CR536" s="1082"/>
      <c r="CS536" s="1082"/>
      <c r="CT536" s="1082"/>
      <c r="CU536" s="1082"/>
      <c r="CV536" s="1082"/>
      <c r="CW536" s="1082"/>
      <c r="CX536" s="1082"/>
      <c r="CY536" s="1082"/>
      <c r="CZ536" s="1082"/>
      <c r="DA536" s="1082"/>
      <c r="DB536" s="1082"/>
      <c r="DC536" s="1082"/>
      <c r="DD536" s="1082"/>
      <c r="DE536" s="1082"/>
      <c r="DF536" s="1082"/>
      <c r="DG536" s="1082"/>
      <c r="DH536" s="1082"/>
      <c r="DI536" s="1082"/>
      <c r="DJ536" s="1082"/>
      <c r="DK536" s="1082"/>
      <c r="DL536" s="1082"/>
      <c r="DM536" s="1082"/>
      <c r="DN536" s="1082"/>
      <c r="DO536" s="1082"/>
      <c r="DP536" s="1082"/>
      <c r="DQ536" s="1082"/>
      <c r="DR536" s="1082"/>
      <c r="DS536" s="1082"/>
      <c r="DT536" s="1082"/>
      <c r="DU536" s="1082"/>
      <c r="DV536" s="1082"/>
      <c r="DW536" s="1082"/>
      <c r="DX536" s="1082"/>
      <c r="DY536" s="1082"/>
      <c r="DZ536" s="1082"/>
      <c r="EA536" s="1082"/>
      <c r="EB536" s="1082"/>
      <c r="EC536" s="1082"/>
      <c r="ED536" s="1082"/>
      <c r="EE536" s="1082"/>
      <c r="EF536" s="1082"/>
      <c r="EG536" s="1082"/>
      <c r="EH536" s="1082"/>
      <c r="EI536" s="1082"/>
      <c r="EJ536" s="1082"/>
      <c r="EK536" s="1082"/>
      <c r="EL536" s="1082"/>
      <c r="EM536" s="1082"/>
      <c r="EN536" s="1082"/>
      <c r="EO536" s="1082"/>
      <c r="EP536" s="1082"/>
      <c r="EQ536" s="1082"/>
      <c r="ER536" s="1082"/>
      <c r="ES536" s="1082"/>
      <c r="ET536" s="1082"/>
      <c r="EU536" s="1082"/>
      <c r="EV536" s="1082"/>
      <c r="EW536" s="1082"/>
      <c r="EX536" s="1082"/>
      <c r="EY536" s="1082"/>
      <c r="EZ536" s="1082"/>
      <c r="FA536" s="1082"/>
      <c r="FB536" s="1082"/>
      <c r="FC536" s="1318"/>
    </row>
    <row r="537" spans="1:159" s="1319" customFormat="1" ht="32.1" customHeight="1">
      <c r="A537" s="1317"/>
      <c r="B537" s="1320" t="s">
        <v>697</v>
      </c>
      <c r="C537" s="1736">
        <v>0.5</v>
      </c>
      <c r="D537" s="1736">
        <v>0</v>
      </c>
      <c r="E537" s="1736">
        <v>0</v>
      </c>
      <c r="F537" s="1736">
        <v>0</v>
      </c>
      <c r="G537" s="1736">
        <v>0</v>
      </c>
      <c r="H537" s="1736">
        <v>0</v>
      </c>
      <c r="I537" s="1752" t="s">
        <v>459</v>
      </c>
      <c r="J537" s="1070" t="s">
        <v>6225</v>
      </c>
      <c r="K537" s="1070" t="s">
        <v>748</v>
      </c>
      <c r="L537" s="1071" t="s">
        <v>748</v>
      </c>
      <c r="M537" s="1411" t="s">
        <v>6203</v>
      </c>
      <c r="N537" s="1265" t="s">
        <v>748</v>
      </c>
      <c r="O537" s="1070" t="s">
        <v>5814</v>
      </c>
      <c r="P537" s="1070"/>
      <c r="Q537" s="1070"/>
      <c r="R537" s="1081"/>
      <c r="S537" s="1082"/>
      <c r="T537" s="1082"/>
      <c r="U537" s="1082"/>
      <c r="V537" s="1082"/>
      <c r="W537" s="1082"/>
      <c r="X537" s="1082"/>
      <c r="Y537" s="1082"/>
      <c r="Z537" s="1082"/>
      <c r="AA537" s="1082"/>
      <c r="AB537" s="1082"/>
      <c r="AC537" s="1082"/>
      <c r="AD537" s="1082"/>
      <c r="AE537" s="1082"/>
      <c r="AF537" s="1082"/>
      <c r="AG537" s="1082"/>
      <c r="AH537" s="1082"/>
      <c r="AI537" s="1082"/>
      <c r="AJ537" s="1082"/>
      <c r="AK537" s="1082"/>
      <c r="AL537" s="1082"/>
      <c r="AM537" s="1082"/>
      <c r="AN537" s="1082"/>
      <c r="AO537" s="1082"/>
      <c r="AP537" s="1082"/>
      <c r="AQ537" s="1082"/>
      <c r="AR537" s="1082"/>
      <c r="AS537" s="1082"/>
      <c r="AT537" s="1082"/>
      <c r="AU537" s="1082"/>
      <c r="AV537" s="1082"/>
      <c r="AW537" s="1082"/>
      <c r="AX537" s="1082"/>
      <c r="AY537" s="1082"/>
      <c r="AZ537" s="1082"/>
      <c r="BA537" s="1082"/>
      <c r="BB537" s="1082"/>
      <c r="BC537" s="1082"/>
      <c r="BD537" s="1082"/>
      <c r="BE537" s="1082"/>
      <c r="BF537" s="1082"/>
      <c r="BG537" s="1082"/>
      <c r="BH537" s="1082"/>
      <c r="BI537" s="1082"/>
      <c r="BJ537" s="1082"/>
      <c r="BK537" s="1082"/>
      <c r="BL537" s="1082"/>
      <c r="BM537" s="1082"/>
      <c r="BN537" s="1082"/>
      <c r="BO537" s="1082"/>
      <c r="BP537" s="1082"/>
      <c r="BQ537" s="1082"/>
      <c r="BR537" s="1082"/>
      <c r="BS537" s="1082"/>
      <c r="BT537" s="1082"/>
      <c r="BU537" s="1082"/>
      <c r="BV537" s="1082"/>
      <c r="BW537" s="1082"/>
      <c r="BX537" s="1082"/>
      <c r="BY537" s="1082"/>
      <c r="BZ537" s="1082"/>
      <c r="CA537" s="1082"/>
      <c r="CB537" s="1082"/>
      <c r="CC537" s="1082"/>
      <c r="CD537" s="1082"/>
      <c r="CE537" s="1082"/>
      <c r="CF537" s="1082"/>
      <c r="CG537" s="1082"/>
      <c r="CH537" s="1082"/>
      <c r="CI537" s="1082"/>
      <c r="CJ537" s="1082"/>
      <c r="CK537" s="1082"/>
      <c r="CL537" s="1082"/>
      <c r="CM537" s="1082"/>
      <c r="CN537" s="1082"/>
      <c r="CO537" s="1082"/>
      <c r="CP537" s="1082"/>
      <c r="CQ537" s="1082"/>
      <c r="CR537" s="1082"/>
      <c r="CS537" s="1082"/>
      <c r="CT537" s="1082"/>
      <c r="CU537" s="1082"/>
      <c r="CV537" s="1082"/>
      <c r="CW537" s="1082"/>
      <c r="CX537" s="1082"/>
      <c r="CY537" s="1082"/>
      <c r="CZ537" s="1082"/>
      <c r="DA537" s="1082"/>
      <c r="DB537" s="1082"/>
      <c r="DC537" s="1082"/>
      <c r="DD537" s="1082"/>
      <c r="DE537" s="1082"/>
      <c r="DF537" s="1082"/>
      <c r="DG537" s="1082"/>
      <c r="DH537" s="1082"/>
      <c r="DI537" s="1082"/>
      <c r="DJ537" s="1082"/>
      <c r="DK537" s="1082"/>
      <c r="DL537" s="1082"/>
      <c r="DM537" s="1082"/>
      <c r="DN537" s="1082"/>
      <c r="DO537" s="1082"/>
      <c r="DP537" s="1082"/>
      <c r="DQ537" s="1082"/>
      <c r="DR537" s="1082"/>
      <c r="DS537" s="1082"/>
      <c r="DT537" s="1082"/>
      <c r="DU537" s="1082"/>
      <c r="DV537" s="1082"/>
      <c r="DW537" s="1082"/>
      <c r="DX537" s="1082"/>
      <c r="DY537" s="1082"/>
      <c r="DZ537" s="1082"/>
      <c r="EA537" s="1082"/>
      <c r="EB537" s="1082"/>
      <c r="EC537" s="1082"/>
      <c r="ED537" s="1082"/>
      <c r="EE537" s="1082"/>
      <c r="EF537" s="1082"/>
      <c r="EG537" s="1082"/>
      <c r="EH537" s="1082"/>
      <c r="EI537" s="1082"/>
      <c r="EJ537" s="1082"/>
      <c r="EK537" s="1082"/>
      <c r="EL537" s="1082"/>
      <c r="EM537" s="1082"/>
      <c r="EN537" s="1082"/>
      <c r="EO537" s="1082"/>
      <c r="EP537" s="1082"/>
      <c r="EQ537" s="1082"/>
      <c r="ER537" s="1082"/>
      <c r="ES537" s="1082"/>
      <c r="ET537" s="1082"/>
      <c r="EU537" s="1082"/>
      <c r="EV537" s="1082"/>
      <c r="EW537" s="1082"/>
      <c r="EX537" s="1082"/>
      <c r="EY537" s="1082"/>
      <c r="EZ537" s="1082"/>
      <c r="FA537" s="1082"/>
      <c r="FB537" s="1082"/>
      <c r="FC537" s="1318"/>
    </row>
    <row r="538" spans="1:159" s="1324" customFormat="1" ht="32.1" customHeight="1">
      <c r="A538" s="1322"/>
      <c r="B538" s="1684" t="s">
        <v>698</v>
      </c>
      <c r="C538" s="1737">
        <v>1</v>
      </c>
      <c r="D538" s="1738">
        <v>1</v>
      </c>
      <c r="E538" s="1738">
        <v>0</v>
      </c>
      <c r="F538" s="1738">
        <v>0.5</v>
      </c>
      <c r="G538" s="1738">
        <v>0</v>
      </c>
      <c r="H538" s="1738">
        <v>0</v>
      </c>
      <c r="I538" s="1775" t="s">
        <v>459</v>
      </c>
      <c r="J538" s="1070">
        <v>1</v>
      </c>
      <c r="K538" s="1070" t="s">
        <v>6517</v>
      </c>
      <c r="L538" s="1071" t="s">
        <v>748</v>
      </c>
      <c r="M538" s="1102" t="s">
        <v>6204</v>
      </c>
      <c r="N538" s="1265" t="s">
        <v>748</v>
      </c>
      <c r="O538" s="1070" t="s">
        <v>5815</v>
      </c>
      <c r="P538" s="1070"/>
      <c r="Q538" s="1070"/>
      <c r="R538" s="1081"/>
      <c r="S538" s="1082"/>
      <c r="T538" s="1082"/>
      <c r="U538" s="1082"/>
      <c r="V538" s="1082"/>
      <c r="W538" s="1082"/>
      <c r="X538" s="1082"/>
      <c r="Y538" s="1082"/>
      <c r="Z538" s="1082"/>
      <c r="AA538" s="1082"/>
      <c r="AB538" s="1082"/>
      <c r="AC538" s="1082"/>
      <c r="AD538" s="1082"/>
      <c r="AE538" s="1082"/>
      <c r="AF538" s="1082"/>
      <c r="AG538" s="1082"/>
      <c r="AH538" s="1082"/>
      <c r="AI538" s="1082"/>
      <c r="AJ538" s="1082"/>
      <c r="AK538" s="1082"/>
      <c r="AL538" s="1082"/>
      <c r="AM538" s="1082"/>
      <c r="AN538" s="1082"/>
      <c r="AO538" s="1082"/>
      <c r="AP538" s="1082"/>
      <c r="AQ538" s="1082"/>
      <c r="AR538" s="1082"/>
      <c r="AS538" s="1082"/>
      <c r="AT538" s="1082"/>
      <c r="AU538" s="1082"/>
      <c r="AV538" s="1082"/>
      <c r="AW538" s="1082"/>
      <c r="AX538" s="1082"/>
      <c r="AY538" s="1082"/>
      <c r="AZ538" s="1082"/>
      <c r="BA538" s="1082"/>
      <c r="BB538" s="1082"/>
      <c r="BC538" s="1082"/>
      <c r="BD538" s="1082"/>
      <c r="BE538" s="1082"/>
      <c r="BF538" s="1082"/>
      <c r="BG538" s="1082"/>
      <c r="BH538" s="1082"/>
      <c r="BI538" s="1082"/>
      <c r="BJ538" s="1082"/>
      <c r="BK538" s="1082"/>
      <c r="BL538" s="1082"/>
      <c r="BM538" s="1082"/>
      <c r="BN538" s="1082"/>
      <c r="BO538" s="1082"/>
      <c r="BP538" s="1082"/>
      <c r="BQ538" s="1082"/>
      <c r="BR538" s="1082"/>
      <c r="BS538" s="1082"/>
      <c r="BT538" s="1082"/>
      <c r="BU538" s="1082"/>
      <c r="BV538" s="1082"/>
      <c r="BW538" s="1082"/>
      <c r="BX538" s="1082"/>
      <c r="BY538" s="1082"/>
      <c r="BZ538" s="1082"/>
      <c r="CA538" s="1082"/>
      <c r="CB538" s="1082"/>
      <c r="CC538" s="1082"/>
      <c r="CD538" s="1082"/>
      <c r="CE538" s="1082"/>
      <c r="CF538" s="1082"/>
      <c r="CG538" s="1082"/>
      <c r="CH538" s="1082"/>
      <c r="CI538" s="1082"/>
      <c r="CJ538" s="1082"/>
      <c r="CK538" s="1082"/>
      <c r="CL538" s="1082"/>
      <c r="CM538" s="1082"/>
      <c r="CN538" s="1082"/>
      <c r="CO538" s="1082"/>
      <c r="CP538" s="1082"/>
      <c r="CQ538" s="1082"/>
      <c r="CR538" s="1082"/>
      <c r="CS538" s="1082"/>
      <c r="CT538" s="1082"/>
      <c r="CU538" s="1082"/>
      <c r="CV538" s="1082"/>
      <c r="CW538" s="1082"/>
      <c r="CX538" s="1082"/>
      <c r="CY538" s="1082"/>
      <c r="CZ538" s="1082"/>
      <c r="DA538" s="1082"/>
      <c r="DB538" s="1082"/>
      <c r="DC538" s="1082"/>
      <c r="DD538" s="1082"/>
      <c r="DE538" s="1082"/>
      <c r="DF538" s="1082"/>
      <c r="DG538" s="1082"/>
      <c r="DH538" s="1082"/>
      <c r="DI538" s="1082"/>
      <c r="DJ538" s="1082"/>
      <c r="DK538" s="1082"/>
      <c r="DL538" s="1082"/>
      <c r="DM538" s="1082"/>
      <c r="DN538" s="1082"/>
      <c r="DO538" s="1082"/>
      <c r="DP538" s="1082"/>
      <c r="DQ538" s="1082"/>
      <c r="DR538" s="1082"/>
      <c r="DS538" s="1082"/>
      <c r="DT538" s="1082"/>
      <c r="DU538" s="1082"/>
      <c r="DV538" s="1082"/>
      <c r="DW538" s="1082"/>
      <c r="DX538" s="1082"/>
      <c r="DY538" s="1082"/>
      <c r="DZ538" s="1082"/>
      <c r="EA538" s="1082"/>
      <c r="EB538" s="1082"/>
      <c r="EC538" s="1082"/>
      <c r="ED538" s="1082"/>
      <c r="EE538" s="1082"/>
      <c r="EF538" s="1082"/>
      <c r="EG538" s="1082"/>
      <c r="EH538" s="1082"/>
      <c r="EI538" s="1082"/>
      <c r="EJ538" s="1082"/>
      <c r="EK538" s="1082"/>
      <c r="EL538" s="1082"/>
      <c r="EM538" s="1082"/>
      <c r="EN538" s="1082"/>
      <c r="EO538" s="1082"/>
      <c r="EP538" s="1082"/>
      <c r="EQ538" s="1082"/>
      <c r="ER538" s="1082"/>
      <c r="ES538" s="1082"/>
      <c r="ET538" s="1082"/>
      <c r="EU538" s="1082"/>
      <c r="EV538" s="1082"/>
      <c r="EW538" s="1082"/>
      <c r="EX538" s="1082"/>
      <c r="EY538" s="1082"/>
      <c r="EZ538" s="1082"/>
      <c r="FA538" s="1082"/>
      <c r="FB538" s="1082"/>
      <c r="FC538" s="1323"/>
    </row>
    <row r="539" spans="1:159" s="1319" customFormat="1" ht="32.1" customHeight="1">
      <c r="A539" s="1740"/>
      <c r="B539" s="1212" t="s">
        <v>699</v>
      </c>
      <c r="C539" s="1734">
        <v>0.5</v>
      </c>
      <c r="D539" s="1736">
        <v>0.5</v>
      </c>
      <c r="E539" s="1736">
        <v>0</v>
      </c>
      <c r="F539" s="1736">
        <v>0.5</v>
      </c>
      <c r="G539" s="1736">
        <v>0</v>
      </c>
      <c r="H539" s="1736">
        <v>0.5</v>
      </c>
      <c r="I539" s="1752" t="s">
        <v>596</v>
      </c>
      <c r="J539" s="1070" t="s">
        <v>6706</v>
      </c>
      <c r="K539" s="1393" t="s">
        <v>6897</v>
      </c>
      <c r="L539" s="1071" t="s">
        <v>6003</v>
      </c>
      <c r="M539" s="1102" t="s">
        <v>6205</v>
      </c>
      <c r="N539" s="1265" t="s">
        <v>748</v>
      </c>
      <c r="O539" s="1074" t="s">
        <v>5816</v>
      </c>
      <c r="P539" s="1070"/>
      <c r="Q539" s="1070"/>
      <c r="R539" s="1302"/>
      <c r="S539" s="1231"/>
      <c r="T539" s="1231"/>
      <c r="U539" s="1231"/>
      <c r="V539" s="1231"/>
      <c r="W539" s="1231"/>
      <c r="X539" s="1231"/>
      <c r="Y539" s="1231"/>
      <c r="Z539" s="1231"/>
      <c r="AA539" s="1231"/>
      <c r="AB539" s="1231"/>
      <c r="AC539" s="1231"/>
      <c r="AD539" s="1231"/>
      <c r="AE539" s="1231"/>
      <c r="AF539" s="1231"/>
      <c r="AG539" s="1231"/>
      <c r="AH539" s="1231"/>
      <c r="AI539" s="1231"/>
      <c r="AJ539" s="1231"/>
      <c r="AK539" s="1231"/>
      <c r="AL539" s="1231"/>
      <c r="AM539" s="1231"/>
      <c r="AN539" s="1231"/>
      <c r="AO539" s="1231"/>
      <c r="AP539" s="1231"/>
      <c r="AQ539" s="1231"/>
      <c r="AR539" s="1231"/>
      <c r="AS539" s="1231"/>
      <c r="AT539" s="1231"/>
      <c r="AU539" s="1231"/>
      <c r="AV539" s="1231"/>
      <c r="AW539" s="1231"/>
      <c r="AX539" s="1231"/>
      <c r="AY539" s="1231"/>
      <c r="AZ539" s="1231"/>
      <c r="BA539" s="1231"/>
      <c r="BB539" s="1231"/>
      <c r="BC539" s="1231"/>
      <c r="BD539" s="1231"/>
      <c r="BE539" s="1231"/>
      <c r="BF539" s="1231"/>
      <c r="BG539" s="1231"/>
      <c r="BH539" s="1231"/>
      <c r="BI539" s="1231"/>
      <c r="BJ539" s="1231"/>
      <c r="BK539" s="1231"/>
      <c r="BL539" s="1231"/>
      <c r="BM539" s="1231"/>
      <c r="BN539" s="1231"/>
      <c r="BO539" s="1231"/>
      <c r="BP539" s="1231"/>
      <c r="BQ539" s="1231"/>
      <c r="BR539" s="1231"/>
      <c r="BS539" s="1231"/>
      <c r="BT539" s="1231"/>
      <c r="BU539" s="1231"/>
      <c r="BV539" s="1231"/>
      <c r="BW539" s="1231"/>
      <c r="BX539" s="1231"/>
      <c r="BY539" s="1231"/>
      <c r="BZ539" s="1231"/>
      <c r="CA539" s="1231"/>
      <c r="CB539" s="1231"/>
      <c r="CC539" s="1231"/>
      <c r="CD539" s="1231"/>
      <c r="CE539" s="1231"/>
      <c r="CF539" s="1231"/>
      <c r="CG539" s="1231"/>
      <c r="CH539" s="1231"/>
      <c r="CI539" s="1231"/>
      <c r="CJ539" s="1231"/>
      <c r="CK539" s="1231"/>
      <c r="CL539" s="1231"/>
      <c r="CM539" s="1231"/>
      <c r="CN539" s="1231"/>
      <c r="CO539" s="1231"/>
      <c r="CP539" s="1231"/>
      <c r="CQ539" s="1231"/>
      <c r="CR539" s="1231"/>
      <c r="CS539" s="1231"/>
      <c r="CT539" s="1231"/>
      <c r="CU539" s="1231"/>
      <c r="CV539" s="1231"/>
      <c r="CW539" s="1231"/>
      <c r="CX539" s="1231"/>
      <c r="CY539" s="1231"/>
      <c r="CZ539" s="1231"/>
      <c r="DA539" s="1231"/>
      <c r="DB539" s="1231"/>
      <c r="DC539" s="1231"/>
      <c r="DD539" s="1231"/>
      <c r="DE539" s="1231"/>
      <c r="DF539" s="1231"/>
      <c r="DG539" s="1231"/>
      <c r="DH539" s="1231"/>
      <c r="DI539" s="1231"/>
      <c r="DJ539" s="1231"/>
      <c r="DK539" s="1231"/>
      <c r="DL539" s="1231"/>
      <c r="DM539" s="1231"/>
      <c r="DN539" s="1231"/>
      <c r="DO539" s="1231"/>
      <c r="DP539" s="1231"/>
      <c r="DQ539" s="1231"/>
      <c r="DR539" s="1231"/>
      <c r="DS539" s="1231"/>
      <c r="DT539" s="1231"/>
      <c r="DU539" s="1231"/>
      <c r="DV539" s="1231"/>
      <c r="DW539" s="1231"/>
      <c r="DX539" s="1231"/>
      <c r="DY539" s="1231"/>
      <c r="DZ539" s="1231"/>
      <c r="EA539" s="1231"/>
      <c r="EB539" s="1231"/>
      <c r="EC539" s="1231"/>
      <c r="ED539" s="1231"/>
      <c r="EE539" s="1231"/>
      <c r="EF539" s="1231"/>
      <c r="EG539" s="1231"/>
      <c r="EH539" s="1231"/>
      <c r="EI539" s="1231"/>
      <c r="EJ539" s="1231"/>
      <c r="EK539" s="1231"/>
      <c r="EL539" s="1231"/>
      <c r="EM539" s="1231"/>
      <c r="EN539" s="1231"/>
      <c r="EO539" s="1231"/>
      <c r="EP539" s="1231"/>
      <c r="EQ539" s="1231"/>
      <c r="ER539" s="1231"/>
      <c r="ES539" s="1231"/>
      <c r="ET539" s="1231"/>
      <c r="EU539" s="1231"/>
      <c r="EV539" s="1231"/>
      <c r="EW539" s="1231"/>
      <c r="EX539" s="1231"/>
      <c r="EY539" s="1231"/>
      <c r="EZ539" s="1231"/>
      <c r="FA539" s="1231"/>
      <c r="FB539" s="1231"/>
    </row>
    <row r="540" spans="1:159" ht="32.1" customHeight="1">
      <c r="A540" s="1326"/>
      <c r="B540" s="1327" t="s">
        <v>700</v>
      </c>
      <c r="C540" s="1739">
        <f t="shared" ref="C540:H540" si="131">AVERAGE(C541,C542)</f>
        <v>0.5</v>
      </c>
      <c r="D540" s="1739">
        <f t="shared" si="131"/>
        <v>0.375</v>
      </c>
      <c r="E540" s="1739">
        <f t="shared" si="131"/>
        <v>0.75</v>
      </c>
      <c r="F540" s="1739">
        <f t="shared" si="131"/>
        <v>0.25</v>
      </c>
      <c r="G540" s="1739">
        <f t="shared" si="131"/>
        <v>0.25</v>
      </c>
      <c r="H540" s="1739">
        <f t="shared" si="131"/>
        <v>0.25</v>
      </c>
      <c r="I540" s="1776"/>
      <c r="J540" s="1070"/>
      <c r="K540" s="1070"/>
      <c r="L540" s="1071"/>
      <c r="M540" s="1278"/>
      <c r="N540" s="1265"/>
      <c r="O540" s="1070"/>
      <c r="P540" s="1070"/>
      <c r="Q540" s="1070"/>
    </row>
    <row r="541" spans="1:159" ht="32.1" customHeight="1">
      <c r="A541" s="1325"/>
      <c r="B541" s="1321" t="s">
        <v>701</v>
      </c>
      <c r="C541" s="1734">
        <v>0.5</v>
      </c>
      <c r="D541" s="1736">
        <v>0.5</v>
      </c>
      <c r="E541" s="1736">
        <v>0.5</v>
      </c>
      <c r="F541" s="1736">
        <v>0</v>
      </c>
      <c r="G541" s="1736">
        <v>0</v>
      </c>
      <c r="H541" s="1736">
        <v>0</v>
      </c>
      <c r="I541" s="1752" t="s">
        <v>596</v>
      </c>
      <c r="J541" s="1070" t="s">
        <v>6225</v>
      </c>
      <c r="K541" s="1070" t="s">
        <v>6811</v>
      </c>
      <c r="L541" s="1392" t="s">
        <v>6004</v>
      </c>
      <c r="M541" s="1102" t="s">
        <v>6206</v>
      </c>
      <c r="N541" s="1390" t="s">
        <v>6738</v>
      </c>
      <c r="O541" s="1070" t="s">
        <v>763</v>
      </c>
      <c r="P541" s="1070"/>
      <c r="Q541" s="1070"/>
    </row>
    <row r="542" spans="1:159" ht="32.1" customHeight="1">
      <c r="A542" s="1325"/>
      <c r="B542" s="1685" t="s">
        <v>6929</v>
      </c>
      <c r="C542" s="1734">
        <v>0.5</v>
      </c>
      <c r="D542" s="1736">
        <v>0.25</v>
      </c>
      <c r="E542" s="1736">
        <v>1</v>
      </c>
      <c r="F542" s="1736">
        <v>0.5</v>
      </c>
      <c r="G542" s="1736">
        <v>0.5</v>
      </c>
      <c r="H542" s="1736">
        <v>0.5</v>
      </c>
      <c r="I542" s="1752" t="s">
        <v>596</v>
      </c>
      <c r="J542" s="1070" t="s">
        <v>6225</v>
      </c>
      <c r="K542" s="1070" t="s">
        <v>6518</v>
      </c>
      <c r="L542" s="1071" t="s">
        <v>811</v>
      </c>
      <c r="M542" s="1411" t="s">
        <v>6739</v>
      </c>
      <c r="N542" s="1265" t="s">
        <v>5533</v>
      </c>
      <c r="O542" s="1577" t="s">
        <v>5817</v>
      </c>
      <c r="P542" s="1070"/>
      <c r="Q542" s="1070"/>
    </row>
    <row r="543" spans="1:159" ht="32.1" customHeight="1">
      <c r="A543" s="1613" t="s">
        <v>6879</v>
      </c>
      <c r="B543" s="1328" t="s">
        <v>703</v>
      </c>
      <c r="C543" s="1520">
        <f t="shared" ref="C543:H543" si="132">AVERAGE(C544:C548)</f>
        <v>0.6</v>
      </c>
      <c r="D543" s="1520">
        <f t="shared" si="132"/>
        <v>0.55560640732265443</v>
      </c>
      <c r="E543" s="1520">
        <f t="shared" si="132"/>
        <v>0.64988558352402737</v>
      </c>
      <c r="F543" s="1520">
        <f t="shared" si="132"/>
        <v>0.30572082379862697</v>
      </c>
      <c r="G543" s="1520">
        <f t="shared" si="132"/>
        <v>0.94233409610983965</v>
      </c>
      <c r="H543" s="1520">
        <f t="shared" si="132"/>
        <v>0.77391304347826084</v>
      </c>
      <c r="I543" s="1774"/>
      <c r="J543" s="1130"/>
      <c r="K543" s="1130"/>
      <c r="L543" s="1130"/>
      <c r="M543" s="1130"/>
      <c r="N543" s="1130"/>
      <c r="O543" s="1130"/>
      <c r="P543" s="1130"/>
      <c r="Q543" s="1130"/>
    </row>
    <row r="544" spans="1:159" s="1099" customFormat="1" ht="32.1" customHeight="1">
      <c r="A544" s="1293"/>
      <c r="B544" s="1329" t="s">
        <v>6771</v>
      </c>
      <c r="C544" s="1521">
        <f t="shared" ref="C544:H545" si="133">IF(J544&lt;$P544,1,IF(J544&gt;$Q544,0,(J544-$Q544)/($P544-$Q544)))</f>
        <v>0</v>
      </c>
      <c r="D544" s="1521">
        <f t="shared" si="133"/>
        <v>0.47368421052631571</v>
      </c>
      <c r="E544" s="1521">
        <f t="shared" si="133"/>
        <v>0.68421052631578949</v>
      </c>
      <c r="F544" s="1521">
        <f t="shared" si="133"/>
        <v>0.78947368421052622</v>
      </c>
      <c r="G544" s="1521">
        <f t="shared" si="133"/>
        <v>0.84210526315789469</v>
      </c>
      <c r="H544" s="1521">
        <f t="shared" si="133"/>
        <v>1</v>
      </c>
      <c r="I544" s="1195" t="s">
        <v>5295</v>
      </c>
      <c r="J544" s="1330">
        <v>0.28999999999999998</v>
      </c>
      <c r="K544" s="1331">
        <v>0.2</v>
      </c>
      <c r="L544" s="1331">
        <v>0.16</v>
      </c>
      <c r="M544" s="1331">
        <v>0.14000000000000001</v>
      </c>
      <c r="N544" s="1331">
        <v>0.13</v>
      </c>
      <c r="O544" s="1331">
        <v>0.09</v>
      </c>
      <c r="P544" s="1331">
        <v>0.1</v>
      </c>
      <c r="Q544" s="1332">
        <v>0.28999999999999998</v>
      </c>
      <c r="R544" s="1081"/>
      <c r="S544" s="1082"/>
      <c r="T544" s="1082"/>
      <c r="U544" s="1082"/>
      <c r="V544" s="1082"/>
      <c r="W544" s="1082"/>
      <c r="X544" s="1082"/>
      <c r="Y544" s="1082"/>
      <c r="Z544" s="1082"/>
      <c r="AA544" s="1082"/>
      <c r="AB544" s="1082"/>
      <c r="AC544" s="1082"/>
      <c r="AD544" s="1082"/>
      <c r="AE544" s="1082"/>
      <c r="AF544" s="1082"/>
      <c r="AG544" s="1082"/>
      <c r="AH544" s="1082"/>
      <c r="AI544" s="1082"/>
      <c r="AJ544" s="1082"/>
      <c r="AK544" s="1082"/>
      <c r="AL544" s="1082"/>
      <c r="AM544" s="1082"/>
      <c r="AN544" s="1082"/>
      <c r="AO544" s="1082"/>
      <c r="AP544" s="1082"/>
      <c r="AQ544" s="1082"/>
      <c r="AR544" s="1082"/>
      <c r="AS544" s="1082"/>
      <c r="AT544" s="1082"/>
      <c r="AU544" s="1082"/>
      <c r="AV544" s="1082"/>
      <c r="AW544" s="1082"/>
      <c r="AX544" s="1082"/>
      <c r="AY544" s="1082"/>
      <c r="AZ544" s="1082"/>
      <c r="BA544" s="1082"/>
      <c r="BB544" s="1082"/>
      <c r="BC544" s="1082"/>
      <c r="BD544" s="1082"/>
      <c r="BE544" s="1082"/>
      <c r="BF544" s="1082"/>
      <c r="BG544" s="1082"/>
      <c r="BH544" s="1082"/>
      <c r="BI544" s="1082"/>
      <c r="BJ544" s="1082"/>
      <c r="BK544" s="1082"/>
      <c r="BL544" s="1082"/>
      <c r="BM544" s="1082"/>
      <c r="BN544" s="1082"/>
      <c r="BO544" s="1082"/>
      <c r="BP544" s="1082"/>
      <c r="BQ544" s="1082"/>
      <c r="BR544" s="1082"/>
      <c r="BS544" s="1082"/>
      <c r="BT544" s="1082"/>
      <c r="BU544" s="1082"/>
      <c r="BV544" s="1082"/>
      <c r="BW544" s="1082"/>
      <c r="BX544" s="1082"/>
      <c r="BY544" s="1082"/>
      <c r="BZ544" s="1082"/>
      <c r="CA544" s="1082"/>
      <c r="CB544" s="1082"/>
      <c r="CC544" s="1082"/>
      <c r="CD544" s="1082"/>
      <c r="CE544" s="1082"/>
      <c r="CF544" s="1082"/>
      <c r="CG544" s="1082"/>
      <c r="CH544" s="1082"/>
      <c r="CI544" s="1082"/>
      <c r="CJ544" s="1082"/>
      <c r="CK544" s="1082"/>
      <c r="CL544" s="1082"/>
      <c r="CM544" s="1082"/>
      <c r="CN544" s="1082"/>
      <c r="CO544" s="1082"/>
      <c r="CP544" s="1082"/>
      <c r="CQ544" s="1082"/>
      <c r="CR544" s="1082"/>
      <c r="CS544" s="1082"/>
      <c r="CT544" s="1082"/>
      <c r="CU544" s="1082"/>
      <c r="CV544" s="1082"/>
      <c r="CW544" s="1082"/>
      <c r="CX544" s="1082"/>
      <c r="CY544" s="1082"/>
      <c r="CZ544" s="1082"/>
      <c r="DA544" s="1082"/>
      <c r="DB544" s="1082"/>
      <c r="DC544" s="1082"/>
      <c r="DD544" s="1082"/>
      <c r="DE544" s="1082"/>
      <c r="DF544" s="1082"/>
      <c r="DG544" s="1082"/>
      <c r="DH544" s="1082"/>
      <c r="DI544" s="1082"/>
      <c r="DJ544" s="1082"/>
      <c r="DK544" s="1082"/>
      <c r="DL544" s="1082"/>
      <c r="DM544" s="1082"/>
      <c r="DN544" s="1082"/>
      <c r="DO544" s="1082"/>
      <c r="DP544" s="1082"/>
      <c r="DQ544" s="1082"/>
      <c r="DR544" s="1082"/>
      <c r="DS544" s="1082"/>
      <c r="DT544" s="1082"/>
      <c r="DU544" s="1082"/>
      <c r="DV544" s="1082"/>
      <c r="DW544" s="1082"/>
      <c r="DX544" s="1082"/>
      <c r="DY544" s="1082"/>
      <c r="DZ544" s="1082"/>
      <c r="EA544" s="1082"/>
      <c r="EB544" s="1082"/>
      <c r="EC544" s="1082"/>
      <c r="ED544" s="1082"/>
      <c r="EE544" s="1082"/>
      <c r="EF544" s="1082"/>
      <c r="EG544" s="1082"/>
      <c r="EH544" s="1082"/>
      <c r="EI544" s="1082"/>
      <c r="EJ544" s="1082"/>
      <c r="EK544" s="1082"/>
      <c r="EL544" s="1082"/>
      <c r="EM544" s="1082"/>
      <c r="EN544" s="1082"/>
      <c r="EO544" s="1082"/>
      <c r="EP544" s="1082"/>
      <c r="EQ544" s="1082"/>
      <c r="ER544" s="1082"/>
      <c r="ES544" s="1082"/>
      <c r="ET544" s="1082"/>
      <c r="EU544" s="1082"/>
      <c r="EV544" s="1082"/>
      <c r="EW544" s="1082"/>
      <c r="EX544" s="1082"/>
      <c r="EY544" s="1082"/>
      <c r="EZ544" s="1082"/>
      <c r="FA544" s="1082"/>
      <c r="FB544" s="1082"/>
    </row>
    <row r="545" spans="1:158" s="1099" customFormat="1" ht="75.95" customHeight="1">
      <c r="A545" s="1293"/>
      <c r="B545" s="1329" t="s">
        <v>6772</v>
      </c>
      <c r="C545" s="1521">
        <f t="shared" si="133"/>
        <v>0</v>
      </c>
      <c r="D545" s="1521">
        <f t="shared" si="133"/>
        <v>0.30434782608695643</v>
      </c>
      <c r="E545" s="1521">
        <f t="shared" si="133"/>
        <v>0.56521739130434778</v>
      </c>
      <c r="F545" s="1521">
        <f t="shared" si="133"/>
        <v>0.73913043478260865</v>
      </c>
      <c r="G545" s="1521">
        <f t="shared" si="133"/>
        <v>0.86956521739130432</v>
      </c>
      <c r="H545" s="1521">
        <f t="shared" si="133"/>
        <v>0.86956521739130432</v>
      </c>
      <c r="I545" s="1195" t="s">
        <v>5295</v>
      </c>
      <c r="J545" s="1330">
        <v>0.6</v>
      </c>
      <c r="K545" s="1331">
        <v>0.46</v>
      </c>
      <c r="L545" s="1331">
        <v>0.34</v>
      </c>
      <c r="M545" s="1331">
        <v>0.26</v>
      </c>
      <c r="N545" s="1331">
        <v>0.2</v>
      </c>
      <c r="O545" s="1331">
        <v>0.2</v>
      </c>
      <c r="P545" s="1331">
        <v>0.14000000000000001</v>
      </c>
      <c r="Q545" s="1333">
        <v>0.6</v>
      </c>
      <c r="R545" s="1081"/>
      <c r="S545" s="1082"/>
      <c r="T545" s="1082"/>
      <c r="U545" s="1082"/>
      <c r="V545" s="1082"/>
      <c r="W545" s="1082"/>
      <c r="X545" s="1082"/>
      <c r="Y545" s="1082"/>
      <c r="Z545" s="1082"/>
      <c r="AA545" s="1082"/>
      <c r="AB545" s="1082"/>
      <c r="AC545" s="1082"/>
      <c r="AD545" s="1082"/>
      <c r="AE545" s="1082"/>
      <c r="AF545" s="1082"/>
      <c r="AG545" s="1082"/>
      <c r="AH545" s="1082"/>
      <c r="AI545" s="1082"/>
      <c r="AJ545" s="1082"/>
      <c r="AK545" s="1082"/>
      <c r="AL545" s="1082"/>
      <c r="AM545" s="1082"/>
      <c r="AN545" s="1082"/>
      <c r="AO545" s="1082"/>
      <c r="AP545" s="1082"/>
      <c r="AQ545" s="1082"/>
      <c r="AR545" s="1082"/>
      <c r="AS545" s="1082"/>
      <c r="AT545" s="1082"/>
      <c r="AU545" s="1082"/>
      <c r="AV545" s="1082"/>
      <c r="AW545" s="1082"/>
      <c r="AX545" s="1082"/>
      <c r="AY545" s="1082"/>
      <c r="AZ545" s="1082"/>
      <c r="BA545" s="1082"/>
      <c r="BB545" s="1082"/>
      <c r="BC545" s="1082"/>
      <c r="BD545" s="1082"/>
      <c r="BE545" s="1082"/>
      <c r="BF545" s="1082"/>
      <c r="BG545" s="1082"/>
      <c r="BH545" s="1082"/>
      <c r="BI545" s="1082"/>
      <c r="BJ545" s="1082"/>
      <c r="BK545" s="1082"/>
      <c r="BL545" s="1082"/>
      <c r="BM545" s="1082"/>
      <c r="BN545" s="1082"/>
      <c r="BO545" s="1082"/>
      <c r="BP545" s="1082"/>
      <c r="BQ545" s="1082"/>
      <c r="BR545" s="1082"/>
      <c r="BS545" s="1082"/>
      <c r="BT545" s="1082"/>
      <c r="BU545" s="1082"/>
      <c r="BV545" s="1082"/>
      <c r="BW545" s="1082"/>
      <c r="BX545" s="1082"/>
      <c r="BY545" s="1082"/>
      <c r="BZ545" s="1082"/>
      <c r="CA545" s="1082"/>
      <c r="CB545" s="1082"/>
      <c r="CC545" s="1082"/>
      <c r="CD545" s="1082"/>
      <c r="CE545" s="1082"/>
      <c r="CF545" s="1082"/>
      <c r="CG545" s="1082"/>
      <c r="CH545" s="1082"/>
      <c r="CI545" s="1082"/>
      <c r="CJ545" s="1082"/>
      <c r="CK545" s="1082"/>
      <c r="CL545" s="1082"/>
      <c r="CM545" s="1082"/>
      <c r="CN545" s="1082"/>
      <c r="CO545" s="1082"/>
      <c r="CP545" s="1082"/>
      <c r="CQ545" s="1082"/>
      <c r="CR545" s="1082"/>
      <c r="CS545" s="1082"/>
      <c r="CT545" s="1082"/>
      <c r="CU545" s="1082"/>
      <c r="CV545" s="1082"/>
      <c r="CW545" s="1082"/>
      <c r="CX545" s="1082"/>
      <c r="CY545" s="1082"/>
      <c r="CZ545" s="1082"/>
      <c r="DA545" s="1082"/>
      <c r="DB545" s="1082"/>
      <c r="DC545" s="1082"/>
      <c r="DD545" s="1082"/>
      <c r="DE545" s="1082"/>
      <c r="DF545" s="1082"/>
      <c r="DG545" s="1082"/>
      <c r="DH545" s="1082"/>
      <c r="DI545" s="1082"/>
      <c r="DJ545" s="1082"/>
      <c r="DK545" s="1082"/>
      <c r="DL545" s="1082"/>
      <c r="DM545" s="1082"/>
      <c r="DN545" s="1082"/>
      <c r="DO545" s="1082"/>
      <c r="DP545" s="1082"/>
      <c r="DQ545" s="1082"/>
      <c r="DR545" s="1082"/>
      <c r="DS545" s="1082"/>
      <c r="DT545" s="1082"/>
      <c r="DU545" s="1082"/>
      <c r="DV545" s="1082"/>
      <c r="DW545" s="1082"/>
      <c r="DX545" s="1082"/>
      <c r="DY545" s="1082"/>
      <c r="DZ545" s="1082"/>
      <c r="EA545" s="1082"/>
      <c r="EB545" s="1082"/>
      <c r="EC545" s="1082"/>
      <c r="ED545" s="1082"/>
      <c r="EE545" s="1082"/>
      <c r="EF545" s="1082"/>
      <c r="EG545" s="1082"/>
      <c r="EH545" s="1082"/>
      <c r="EI545" s="1082"/>
      <c r="EJ545" s="1082"/>
      <c r="EK545" s="1082"/>
      <c r="EL545" s="1082"/>
      <c r="EM545" s="1082"/>
      <c r="EN545" s="1082"/>
      <c r="EO545" s="1082"/>
      <c r="EP545" s="1082"/>
      <c r="EQ545" s="1082"/>
      <c r="ER545" s="1082"/>
      <c r="ES545" s="1082"/>
      <c r="ET545" s="1082"/>
      <c r="EU545" s="1082"/>
      <c r="EV545" s="1082"/>
      <c r="EW545" s="1082"/>
      <c r="EX545" s="1082"/>
      <c r="EY545" s="1082"/>
      <c r="EZ545" s="1082"/>
      <c r="FA545" s="1082"/>
      <c r="FB545" s="1082"/>
    </row>
    <row r="546" spans="1:158" s="1306" customFormat="1" ht="32.1" customHeight="1">
      <c r="A546" s="1334"/>
      <c r="B546" s="1327" t="s">
        <v>6741</v>
      </c>
      <c r="C546" s="1522">
        <v>1</v>
      </c>
      <c r="D546" s="1522">
        <v>1</v>
      </c>
      <c r="E546" s="1522">
        <v>1</v>
      </c>
      <c r="F546" s="1522">
        <v>0</v>
      </c>
      <c r="G546" s="1522">
        <v>1</v>
      </c>
      <c r="H546" s="1522">
        <v>1</v>
      </c>
      <c r="I546" s="1776" t="s">
        <v>38</v>
      </c>
      <c r="J546" s="1335">
        <v>1</v>
      </c>
      <c r="K546" s="1070" t="s">
        <v>6519</v>
      </c>
      <c r="L546" s="1072" t="s">
        <v>960</v>
      </c>
      <c r="M546" s="1083" t="s">
        <v>6207</v>
      </c>
      <c r="N546" s="1336" t="s">
        <v>5534</v>
      </c>
      <c r="O546" s="1071" t="s">
        <v>5819</v>
      </c>
      <c r="P546" s="1335"/>
      <c r="Q546" s="1335"/>
      <c r="R546" s="1081"/>
      <c r="S546" s="1082"/>
      <c r="T546" s="1082"/>
      <c r="U546" s="1082"/>
      <c r="V546" s="1082"/>
      <c r="W546" s="1082"/>
      <c r="X546" s="1082"/>
      <c r="Y546" s="1082"/>
      <c r="Z546" s="1082"/>
      <c r="AA546" s="1082"/>
      <c r="AB546" s="1082"/>
      <c r="AC546" s="1082"/>
      <c r="AD546" s="1082"/>
      <c r="AE546" s="1082"/>
      <c r="AF546" s="1082"/>
      <c r="AG546" s="1082"/>
      <c r="AH546" s="1082"/>
      <c r="AI546" s="1082"/>
      <c r="AJ546" s="1082"/>
      <c r="AK546" s="1082"/>
      <c r="AL546" s="1082"/>
      <c r="AM546" s="1082"/>
      <c r="AN546" s="1082"/>
      <c r="AO546" s="1082"/>
      <c r="AP546" s="1082"/>
      <c r="AQ546" s="1082"/>
      <c r="AR546" s="1082"/>
      <c r="AS546" s="1082"/>
      <c r="AT546" s="1082"/>
      <c r="AU546" s="1082"/>
      <c r="AV546" s="1082"/>
      <c r="AW546" s="1082"/>
      <c r="AX546" s="1082"/>
      <c r="AY546" s="1082"/>
      <c r="AZ546" s="1082"/>
      <c r="BA546" s="1082"/>
      <c r="BB546" s="1082"/>
      <c r="BC546" s="1082"/>
      <c r="BD546" s="1082"/>
      <c r="BE546" s="1082"/>
      <c r="BF546" s="1082"/>
      <c r="BG546" s="1082"/>
      <c r="BH546" s="1082"/>
      <c r="BI546" s="1082"/>
      <c r="BJ546" s="1082"/>
      <c r="BK546" s="1082"/>
      <c r="BL546" s="1082"/>
      <c r="BM546" s="1082"/>
      <c r="BN546" s="1082"/>
      <c r="BO546" s="1082"/>
      <c r="BP546" s="1082"/>
      <c r="BQ546" s="1082"/>
      <c r="BR546" s="1082"/>
      <c r="BS546" s="1082"/>
      <c r="BT546" s="1082"/>
      <c r="BU546" s="1082"/>
      <c r="BV546" s="1082"/>
      <c r="BW546" s="1082"/>
      <c r="BX546" s="1082"/>
      <c r="BY546" s="1082"/>
      <c r="BZ546" s="1082"/>
      <c r="CA546" s="1082"/>
      <c r="CB546" s="1082"/>
      <c r="CC546" s="1082"/>
      <c r="CD546" s="1082"/>
      <c r="CE546" s="1082"/>
      <c r="CF546" s="1082"/>
      <c r="CG546" s="1082"/>
      <c r="CH546" s="1082"/>
      <c r="CI546" s="1082"/>
      <c r="CJ546" s="1082"/>
      <c r="CK546" s="1082"/>
      <c r="CL546" s="1082"/>
      <c r="CM546" s="1082"/>
      <c r="CN546" s="1082"/>
      <c r="CO546" s="1082"/>
      <c r="CP546" s="1082"/>
      <c r="CQ546" s="1082"/>
      <c r="CR546" s="1082"/>
      <c r="CS546" s="1082"/>
      <c r="CT546" s="1082"/>
      <c r="CU546" s="1082"/>
      <c r="CV546" s="1082"/>
      <c r="CW546" s="1082"/>
      <c r="CX546" s="1082"/>
      <c r="CY546" s="1082"/>
      <c r="CZ546" s="1082"/>
      <c r="DA546" s="1082"/>
      <c r="DB546" s="1082"/>
      <c r="DC546" s="1082"/>
      <c r="DD546" s="1082"/>
      <c r="DE546" s="1082"/>
      <c r="DF546" s="1082"/>
      <c r="DG546" s="1082"/>
      <c r="DH546" s="1082"/>
      <c r="DI546" s="1082"/>
      <c r="DJ546" s="1082"/>
      <c r="DK546" s="1082"/>
      <c r="DL546" s="1082"/>
      <c r="DM546" s="1082"/>
      <c r="DN546" s="1082"/>
      <c r="DO546" s="1082"/>
      <c r="DP546" s="1082"/>
      <c r="DQ546" s="1082"/>
      <c r="DR546" s="1082"/>
      <c r="DS546" s="1082"/>
      <c r="DT546" s="1082"/>
      <c r="DU546" s="1082"/>
      <c r="DV546" s="1082"/>
      <c r="DW546" s="1082"/>
      <c r="DX546" s="1082"/>
      <c r="DY546" s="1082"/>
      <c r="DZ546" s="1082"/>
      <c r="EA546" s="1082"/>
      <c r="EB546" s="1082"/>
      <c r="EC546" s="1082"/>
      <c r="ED546" s="1082"/>
      <c r="EE546" s="1082"/>
      <c r="EF546" s="1082"/>
      <c r="EG546" s="1082"/>
      <c r="EH546" s="1082"/>
      <c r="EI546" s="1082"/>
      <c r="EJ546" s="1082"/>
      <c r="EK546" s="1082"/>
      <c r="EL546" s="1082"/>
      <c r="EM546" s="1082"/>
      <c r="EN546" s="1082"/>
      <c r="EO546" s="1082"/>
      <c r="EP546" s="1082"/>
      <c r="EQ546" s="1082"/>
      <c r="ER546" s="1082"/>
      <c r="ES546" s="1082"/>
      <c r="ET546" s="1082"/>
      <c r="EU546" s="1082"/>
      <c r="EV546" s="1082"/>
      <c r="EW546" s="1082"/>
      <c r="EX546" s="1082"/>
      <c r="EY546" s="1082"/>
      <c r="EZ546" s="1082"/>
      <c r="FA546" s="1082"/>
      <c r="FB546" s="1082"/>
    </row>
    <row r="547" spans="1:158" s="1306" customFormat="1" ht="32.1" customHeight="1">
      <c r="A547" s="1325"/>
      <c r="B547" s="1680" t="s">
        <v>6926</v>
      </c>
      <c r="C547" s="1523">
        <v>1</v>
      </c>
      <c r="D547" s="1523">
        <v>0</v>
      </c>
      <c r="E547" s="1523">
        <v>1</v>
      </c>
      <c r="F547" s="1523">
        <v>0</v>
      </c>
      <c r="G547" s="1523">
        <v>1</v>
      </c>
      <c r="H547" s="1523">
        <v>1</v>
      </c>
      <c r="I547" s="1752" t="s">
        <v>38</v>
      </c>
      <c r="J547" s="1335">
        <v>1</v>
      </c>
      <c r="K547" s="1070" t="s">
        <v>6520</v>
      </c>
      <c r="L547" s="1072" t="s">
        <v>960</v>
      </c>
      <c r="M547" s="1083" t="s">
        <v>6208</v>
      </c>
      <c r="N547" s="1163" t="s">
        <v>5535</v>
      </c>
      <c r="O547" s="1336" t="s">
        <v>5820</v>
      </c>
      <c r="P547" s="1335"/>
      <c r="Q547" s="1335"/>
      <c r="R547" s="1081"/>
      <c r="S547" s="1082"/>
      <c r="T547" s="1082"/>
      <c r="U547" s="1082"/>
      <c r="V547" s="1082"/>
      <c r="W547" s="1082"/>
      <c r="X547" s="1082"/>
      <c r="Y547" s="1082"/>
      <c r="Z547" s="1082"/>
      <c r="AA547" s="1082"/>
      <c r="AB547" s="1082"/>
      <c r="AC547" s="1082"/>
      <c r="AD547" s="1082"/>
      <c r="AE547" s="1082"/>
      <c r="AF547" s="1082"/>
      <c r="AG547" s="1082"/>
      <c r="AH547" s="1082"/>
      <c r="AI547" s="1082"/>
      <c r="AJ547" s="1082"/>
      <c r="AK547" s="1082"/>
      <c r="AL547" s="1082"/>
      <c r="AM547" s="1082"/>
      <c r="AN547" s="1082"/>
      <c r="AO547" s="1082"/>
      <c r="AP547" s="1082"/>
      <c r="AQ547" s="1082"/>
      <c r="AR547" s="1082"/>
      <c r="AS547" s="1082"/>
      <c r="AT547" s="1082"/>
      <c r="AU547" s="1082"/>
      <c r="AV547" s="1082"/>
      <c r="AW547" s="1082"/>
      <c r="AX547" s="1082"/>
      <c r="AY547" s="1082"/>
      <c r="AZ547" s="1082"/>
      <c r="BA547" s="1082"/>
      <c r="BB547" s="1082"/>
      <c r="BC547" s="1082"/>
      <c r="BD547" s="1082"/>
      <c r="BE547" s="1082"/>
      <c r="BF547" s="1082"/>
      <c r="BG547" s="1082"/>
      <c r="BH547" s="1082"/>
      <c r="BI547" s="1082"/>
      <c r="BJ547" s="1082"/>
      <c r="BK547" s="1082"/>
      <c r="BL547" s="1082"/>
      <c r="BM547" s="1082"/>
      <c r="BN547" s="1082"/>
      <c r="BO547" s="1082"/>
      <c r="BP547" s="1082"/>
      <c r="BQ547" s="1082"/>
      <c r="BR547" s="1082"/>
      <c r="BS547" s="1082"/>
      <c r="BT547" s="1082"/>
      <c r="BU547" s="1082"/>
      <c r="BV547" s="1082"/>
      <c r="BW547" s="1082"/>
      <c r="BX547" s="1082"/>
      <c r="BY547" s="1082"/>
      <c r="BZ547" s="1082"/>
      <c r="CA547" s="1082"/>
      <c r="CB547" s="1082"/>
      <c r="CC547" s="1082"/>
      <c r="CD547" s="1082"/>
      <c r="CE547" s="1082"/>
      <c r="CF547" s="1082"/>
      <c r="CG547" s="1082"/>
      <c r="CH547" s="1082"/>
      <c r="CI547" s="1082"/>
      <c r="CJ547" s="1082"/>
      <c r="CK547" s="1082"/>
      <c r="CL547" s="1082"/>
      <c r="CM547" s="1082"/>
      <c r="CN547" s="1082"/>
      <c r="CO547" s="1082"/>
      <c r="CP547" s="1082"/>
      <c r="CQ547" s="1082"/>
      <c r="CR547" s="1082"/>
      <c r="CS547" s="1082"/>
      <c r="CT547" s="1082"/>
      <c r="CU547" s="1082"/>
      <c r="CV547" s="1082"/>
      <c r="CW547" s="1082"/>
      <c r="CX547" s="1082"/>
      <c r="CY547" s="1082"/>
      <c r="CZ547" s="1082"/>
      <c r="DA547" s="1082"/>
      <c r="DB547" s="1082"/>
      <c r="DC547" s="1082"/>
      <c r="DD547" s="1082"/>
      <c r="DE547" s="1082"/>
      <c r="DF547" s="1082"/>
      <c r="DG547" s="1082"/>
      <c r="DH547" s="1082"/>
      <c r="DI547" s="1082"/>
      <c r="DJ547" s="1082"/>
      <c r="DK547" s="1082"/>
      <c r="DL547" s="1082"/>
      <c r="DM547" s="1082"/>
      <c r="DN547" s="1082"/>
      <c r="DO547" s="1082"/>
      <c r="DP547" s="1082"/>
      <c r="DQ547" s="1082"/>
      <c r="DR547" s="1082"/>
      <c r="DS547" s="1082"/>
      <c r="DT547" s="1082"/>
      <c r="DU547" s="1082"/>
      <c r="DV547" s="1082"/>
      <c r="DW547" s="1082"/>
      <c r="DX547" s="1082"/>
      <c r="DY547" s="1082"/>
      <c r="DZ547" s="1082"/>
      <c r="EA547" s="1082"/>
      <c r="EB547" s="1082"/>
      <c r="EC547" s="1082"/>
      <c r="ED547" s="1082"/>
      <c r="EE547" s="1082"/>
      <c r="EF547" s="1082"/>
      <c r="EG547" s="1082"/>
      <c r="EH547" s="1082"/>
      <c r="EI547" s="1082"/>
      <c r="EJ547" s="1082"/>
      <c r="EK547" s="1082"/>
      <c r="EL547" s="1082"/>
      <c r="EM547" s="1082"/>
      <c r="EN547" s="1082"/>
      <c r="EO547" s="1082"/>
      <c r="EP547" s="1082"/>
      <c r="EQ547" s="1082"/>
      <c r="ER547" s="1082"/>
      <c r="ES547" s="1082"/>
      <c r="ET547" s="1082"/>
      <c r="EU547" s="1082"/>
      <c r="EV547" s="1082"/>
      <c r="EW547" s="1082"/>
      <c r="EX547" s="1082"/>
      <c r="EY547" s="1082"/>
      <c r="EZ547" s="1082"/>
      <c r="FA547" s="1082"/>
      <c r="FB547" s="1082"/>
    </row>
    <row r="548" spans="1:158" s="1306" customFormat="1" ht="32.1" customHeight="1">
      <c r="A548" s="1334"/>
      <c r="B548" s="1212" t="s">
        <v>704</v>
      </c>
      <c r="C548" s="1523">
        <v>1</v>
      </c>
      <c r="D548" s="1523">
        <v>1</v>
      </c>
      <c r="E548" s="1523">
        <v>0</v>
      </c>
      <c r="F548" s="1523">
        <v>0</v>
      </c>
      <c r="G548" s="1523">
        <v>1</v>
      </c>
      <c r="H548" s="1523">
        <v>0</v>
      </c>
      <c r="I548" s="1752" t="s">
        <v>38</v>
      </c>
      <c r="J548" s="1335">
        <v>1</v>
      </c>
      <c r="K548" s="1070" t="s">
        <v>6521</v>
      </c>
      <c r="L548" s="1337" t="s">
        <v>6755</v>
      </c>
      <c r="M548" s="1083" t="s">
        <v>6209</v>
      </c>
      <c r="N548" s="1336" t="s">
        <v>5536</v>
      </c>
      <c r="O548" s="1336" t="s">
        <v>748</v>
      </c>
      <c r="P548" s="1335"/>
      <c r="Q548" s="1335"/>
      <c r="R548" s="1081"/>
      <c r="S548" s="1082"/>
      <c r="T548" s="1082"/>
      <c r="U548" s="1082"/>
      <c r="V548" s="1082"/>
      <c r="W548" s="1082"/>
      <c r="X548" s="1082"/>
      <c r="Y548" s="1082"/>
      <c r="Z548" s="1082"/>
      <c r="AA548" s="1082"/>
      <c r="AB548" s="1082"/>
      <c r="AC548" s="1082"/>
      <c r="AD548" s="1082"/>
      <c r="AE548" s="1082"/>
      <c r="AF548" s="1082"/>
      <c r="AG548" s="1082"/>
      <c r="AH548" s="1082"/>
      <c r="AI548" s="1082"/>
      <c r="AJ548" s="1082"/>
      <c r="AK548" s="1082"/>
      <c r="AL548" s="1082"/>
      <c r="AM548" s="1082"/>
      <c r="AN548" s="1082"/>
      <c r="AO548" s="1082"/>
      <c r="AP548" s="1082"/>
      <c r="AQ548" s="1082"/>
      <c r="AR548" s="1082"/>
      <c r="AS548" s="1082"/>
      <c r="AT548" s="1082"/>
      <c r="AU548" s="1082"/>
      <c r="AV548" s="1082"/>
      <c r="AW548" s="1082"/>
      <c r="AX548" s="1082"/>
      <c r="AY548" s="1082"/>
      <c r="AZ548" s="1082"/>
      <c r="BA548" s="1082"/>
      <c r="BB548" s="1082"/>
      <c r="BC548" s="1082"/>
      <c r="BD548" s="1082"/>
      <c r="BE548" s="1082"/>
      <c r="BF548" s="1082"/>
      <c r="BG548" s="1082"/>
      <c r="BH548" s="1082"/>
      <c r="BI548" s="1082"/>
      <c r="BJ548" s="1082"/>
      <c r="BK548" s="1082"/>
      <c r="BL548" s="1082"/>
      <c r="BM548" s="1082"/>
      <c r="BN548" s="1082"/>
      <c r="BO548" s="1082"/>
      <c r="BP548" s="1082"/>
      <c r="BQ548" s="1082"/>
      <c r="BR548" s="1082"/>
      <c r="BS548" s="1082"/>
      <c r="BT548" s="1082"/>
      <c r="BU548" s="1082"/>
      <c r="BV548" s="1082"/>
      <c r="BW548" s="1082"/>
      <c r="BX548" s="1082"/>
      <c r="BY548" s="1082"/>
      <c r="BZ548" s="1082"/>
      <c r="CA548" s="1082"/>
      <c r="CB548" s="1082"/>
      <c r="CC548" s="1082"/>
      <c r="CD548" s="1082"/>
      <c r="CE548" s="1082"/>
      <c r="CF548" s="1082"/>
      <c r="CG548" s="1082"/>
      <c r="CH548" s="1082"/>
      <c r="CI548" s="1082"/>
      <c r="CJ548" s="1082"/>
      <c r="CK548" s="1082"/>
      <c r="CL548" s="1082"/>
      <c r="CM548" s="1082"/>
      <c r="CN548" s="1082"/>
      <c r="CO548" s="1082"/>
      <c r="CP548" s="1082"/>
      <c r="CQ548" s="1082"/>
      <c r="CR548" s="1082"/>
      <c r="CS548" s="1082"/>
      <c r="CT548" s="1082"/>
      <c r="CU548" s="1082"/>
      <c r="CV548" s="1082"/>
      <c r="CW548" s="1082"/>
      <c r="CX548" s="1082"/>
      <c r="CY548" s="1082"/>
      <c r="CZ548" s="1082"/>
      <c r="DA548" s="1082"/>
      <c r="DB548" s="1082"/>
      <c r="DC548" s="1082"/>
      <c r="DD548" s="1082"/>
      <c r="DE548" s="1082"/>
      <c r="DF548" s="1082"/>
      <c r="DG548" s="1082"/>
      <c r="DH548" s="1082"/>
      <c r="DI548" s="1082"/>
      <c r="DJ548" s="1082"/>
      <c r="DK548" s="1082"/>
      <c r="DL548" s="1082"/>
      <c r="DM548" s="1082"/>
      <c r="DN548" s="1082"/>
      <c r="DO548" s="1082"/>
      <c r="DP548" s="1082"/>
      <c r="DQ548" s="1082"/>
      <c r="DR548" s="1082"/>
      <c r="DS548" s="1082"/>
      <c r="DT548" s="1082"/>
      <c r="DU548" s="1082"/>
      <c r="DV548" s="1082"/>
      <c r="DW548" s="1082"/>
      <c r="DX548" s="1082"/>
      <c r="DY548" s="1082"/>
      <c r="DZ548" s="1082"/>
      <c r="EA548" s="1082"/>
      <c r="EB548" s="1082"/>
      <c r="EC548" s="1082"/>
      <c r="ED548" s="1082"/>
      <c r="EE548" s="1082"/>
      <c r="EF548" s="1082"/>
      <c r="EG548" s="1082"/>
      <c r="EH548" s="1082"/>
      <c r="EI548" s="1082"/>
      <c r="EJ548" s="1082"/>
      <c r="EK548" s="1082"/>
      <c r="EL548" s="1082"/>
      <c r="EM548" s="1082"/>
      <c r="EN548" s="1082"/>
      <c r="EO548" s="1082"/>
      <c r="EP548" s="1082"/>
      <c r="EQ548" s="1082"/>
      <c r="ER548" s="1082"/>
      <c r="ES548" s="1082"/>
      <c r="ET548" s="1082"/>
      <c r="EU548" s="1082"/>
      <c r="EV548" s="1082"/>
      <c r="EW548" s="1082"/>
      <c r="EX548" s="1082"/>
      <c r="EY548" s="1082"/>
      <c r="EZ548" s="1082"/>
      <c r="FA548" s="1082"/>
      <c r="FB548" s="1082"/>
    </row>
    <row r="549" spans="1:158" ht="32.1" customHeight="1">
      <c r="A549" s="1146">
        <v>2.4</v>
      </c>
      <c r="B549" s="1257" t="s">
        <v>705</v>
      </c>
      <c r="C549" s="1524">
        <f t="shared" ref="C549:H549" si="134">AVERAGE(C550,C579,C585)</f>
        <v>0.66039304610733185</v>
      </c>
      <c r="D549" s="1524">
        <f t="shared" si="134"/>
        <v>0.74285714285714288</v>
      </c>
      <c r="E549" s="1524">
        <f t="shared" si="134"/>
        <v>0.49673091458805746</v>
      </c>
      <c r="F549" s="1524">
        <f t="shared" si="134"/>
        <v>0.64064625850340129</v>
      </c>
      <c r="G549" s="1524">
        <f t="shared" si="134"/>
        <v>0.63818972033257737</v>
      </c>
      <c r="H549" s="1524">
        <f t="shared" si="134"/>
        <v>0.60079365079365077</v>
      </c>
      <c r="I549" s="1777"/>
      <c r="J549" s="1061"/>
      <c r="K549" s="1061"/>
      <c r="L549" s="1061"/>
      <c r="M549" s="1197"/>
      <c r="N549" s="1061"/>
      <c r="O549" s="1061"/>
      <c r="P549" s="1061"/>
      <c r="Q549" s="1061"/>
    </row>
    <row r="550" spans="1:158" ht="32.1" customHeight="1">
      <c r="A550" s="1614" t="s">
        <v>6880</v>
      </c>
      <c r="B550" s="1338" t="s">
        <v>491</v>
      </c>
      <c r="C550" s="1525">
        <f t="shared" ref="C550:H550" si="135">AVERAGE(C551:C567,C573:C578)</f>
        <v>0.6811791383219955</v>
      </c>
      <c r="D550" s="1525">
        <f t="shared" si="135"/>
        <v>0.61428571428571432</v>
      </c>
      <c r="E550" s="1525">
        <f t="shared" si="135"/>
        <v>0.61519274376417232</v>
      </c>
      <c r="F550" s="1525">
        <f t="shared" si="135"/>
        <v>0.41836734693877548</v>
      </c>
      <c r="G550" s="1525">
        <f t="shared" si="135"/>
        <v>0.55385487528344668</v>
      </c>
      <c r="H550" s="1525">
        <f t="shared" si="135"/>
        <v>0.58452380952380945</v>
      </c>
      <c r="I550" s="1778"/>
      <c r="J550" s="1197"/>
      <c r="K550" s="1197"/>
      <c r="L550" s="1197"/>
      <c r="M550" s="1197"/>
      <c r="N550" s="1197"/>
      <c r="O550" s="1197"/>
      <c r="P550" s="1197"/>
      <c r="Q550" s="1197"/>
    </row>
    <row r="551" spans="1:158" ht="32.1" customHeight="1">
      <c r="A551" s="1339"/>
      <c r="B551" s="1253" t="s">
        <v>5271</v>
      </c>
      <c r="C551" s="1562">
        <v>1</v>
      </c>
      <c r="D551" s="1562">
        <v>1</v>
      </c>
      <c r="E551" s="1562">
        <v>1</v>
      </c>
      <c r="F551" s="1562">
        <v>1</v>
      </c>
      <c r="G551" s="1562">
        <v>0.5</v>
      </c>
      <c r="H551" s="1562">
        <v>0.5</v>
      </c>
      <c r="I551" s="1779" t="s">
        <v>492</v>
      </c>
      <c r="J551" s="1340">
        <v>1</v>
      </c>
      <c r="K551" s="1070" t="s">
        <v>6522</v>
      </c>
      <c r="L551" s="1071" t="s">
        <v>6005</v>
      </c>
      <c r="M551" s="1341" t="s">
        <v>6210</v>
      </c>
      <c r="N551" s="1342" t="s">
        <v>5537</v>
      </c>
      <c r="O551" s="1342" t="s">
        <v>5821</v>
      </c>
      <c r="P551" s="1070">
        <v>1</v>
      </c>
      <c r="Q551" s="1070">
        <v>0</v>
      </c>
    </row>
    <row r="552" spans="1:158" ht="32.1" customHeight="1">
      <c r="A552" s="1339"/>
      <c r="B552" s="1253" t="s">
        <v>5273</v>
      </c>
      <c r="C552" s="1562">
        <v>1</v>
      </c>
      <c r="D552" s="1562">
        <v>1</v>
      </c>
      <c r="E552" s="1562">
        <v>0.5</v>
      </c>
      <c r="F552" s="1562">
        <v>0</v>
      </c>
      <c r="G552" s="1562">
        <v>0.5</v>
      </c>
      <c r="H552" s="1562">
        <v>0.5</v>
      </c>
      <c r="I552" s="1779" t="s">
        <v>5276</v>
      </c>
      <c r="J552" s="1340">
        <v>1</v>
      </c>
      <c r="K552" s="1070" t="s">
        <v>6523</v>
      </c>
      <c r="L552" s="1079" t="s">
        <v>6006</v>
      </c>
      <c r="M552" s="1340" t="s">
        <v>877</v>
      </c>
      <c r="N552" s="1342" t="s">
        <v>5427</v>
      </c>
      <c r="O552" s="1342" t="s">
        <v>5822</v>
      </c>
      <c r="P552" s="1070"/>
      <c r="Q552" s="1070"/>
    </row>
    <row r="553" spans="1:158" ht="32.1" customHeight="1">
      <c r="A553" s="1339"/>
      <c r="B553" s="1253" t="s">
        <v>5274</v>
      </c>
      <c r="C553" s="1562">
        <v>1</v>
      </c>
      <c r="D553" s="1562">
        <v>1</v>
      </c>
      <c r="E553" s="1562">
        <v>1</v>
      </c>
      <c r="F553" s="1562">
        <v>0</v>
      </c>
      <c r="G553" s="1562">
        <v>0</v>
      </c>
      <c r="H553" s="1562">
        <v>0</v>
      </c>
      <c r="I553" s="1779" t="s">
        <v>5277</v>
      </c>
      <c r="J553" s="1340">
        <v>1</v>
      </c>
      <c r="K553" s="1070" t="s">
        <v>6524</v>
      </c>
      <c r="L553" s="1079" t="s">
        <v>811</v>
      </c>
      <c r="M553" s="1340" t="s">
        <v>877</v>
      </c>
      <c r="N553" s="1342" t="s">
        <v>748</v>
      </c>
      <c r="O553" s="1343" t="s">
        <v>748</v>
      </c>
      <c r="P553" s="1070"/>
      <c r="Q553" s="1070"/>
    </row>
    <row r="554" spans="1:158" ht="32.1" customHeight="1">
      <c r="A554" s="1339"/>
      <c r="B554" s="1253" t="s">
        <v>5275</v>
      </c>
      <c r="C554" s="1562">
        <v>1</v>
      </c>
      <c r="D554" s="1562">
        <v>1</v>
      </c>
      <c r="E554" s="1562">
        <v>1</v>
      </c>
      <c r="F554" s="1562">
        <v>0</v>
      </c>
      <c r="G554" s="1562">
        <v>1</v>
      </c>
      <c r="H554" s="1562">
        <v>1</v>
      </c>
      <c r="I554" s="1779" t="s">
        <v>5277</v>
      </c>
      <c r="J554" s="1340">
        <v>1</v>
      </c>
      <c r="K554" s="1070" t="s">
        <v>6525</v>
      </c>
      <c r="L554" s="1079" t="s">
        <v>811</v>
      </c>
      <c r="M554" s="1340" t="s">
        <v>877</v>
      </c>
      <c r="N554" s="1342" t="s">
        <v>811</v>
      </c>
      <c r="O554" s="1342" t="s">
        <v>5823</v>
      </c>
      <c r="P554" s="1070"/>
      <c r="Q554" s="1070"/>
    </row>
    <row r="555" spans="1:158" ht="32.1" customHeight="1">
      <c r="A555" s="1339"/>
      <c r="B555" s="1253" t="s">
        <v>5278</v>
      </c>
      <c r="C555" s="1562">
        <v>1</v>
      </c>
      <c r="D555" s="1562">
        <v>0</v>
      </c>
      <c r="E555" s="1562">
        <v>0</v>
      </c>
      <c r="F555" s="1562">
        <v>0</v>
      </c>
      <c r="G555" s="1562">
        <v>0</v>
      </c>
      <c r="H555" s="1562">
        <v>0</v>
      </c>
      <c r="I555" s="1779" t="s">
        <v>5277</v>
      </c>
      <c r="J555" s="1340">
        <v>1</v>
      </c>
      <c r="K555" s="1070" t="s">
        <v>6526</v>
      </c>
      <c r="L555" s="1071" t="s">
        <v>6007</v>
      </c>
      <c r="M555" s="1340" t="s">
        <v>877</v>
      </c>
      <c r="N555" s="1342" t="s">
        <v>748</v>
      </c>
      <c r="O555" s="1343" t="s">
        <v>748</v>
      </c>
      <c r="P555" s="1070"/>
      <c r="Q555" s="1070"/>
      <c r="R555" s="1290"/>
      <c r="S555" s="1055"/>
      <c r="T555" s="1055"/>
      <c r="U555" s="1055"/>
      <c r="V555" s="1055"/>
      <c r="W555" s="1055"/>
      <c r="X555" s="1055"/>
      <c r="Y555" s="1055"/>
      <c r="Z555" s="1055"/>
      <c r="AA555" s="1055"/>
      <c r="AB555" s="1055"/>
      <c r="AC555" s="1055"/>
      <c r="AD555" s="1055"/>
      <c r="AE555" s="1055"/>
      <c r="AF555" s="1055"/>
      <c r="AG555" s="1055"/>
      <c r="AH555" s="1055"/>
      <c r="AI555" s="1055"/>
      <c r="AJ555" s="1055"/>
      <c r="AK555" s="1055"/>
      <c r="AL555" s="1055"/>
      <c r="AM555" s="1055"/>
      <c r="AN555" s="1055"/>
      <c r="AO555" s="1055"/>
      <c r="AP555" s="1055"/>
      <c r="AQ555" s="1055"/>
      <c r="AR555" s="1055"/>
      <c r="AS555" s="1055"/>
      <c r="AT555" s="1055"/>
      <c r="AU555" s="1055"/>
      <c r="AV555" s="1055"/>
      <c r="AW555" s="1055"/>
      <c r="AX555" s="1055"/>
      <c r="AY555" s="1055"/>
      <c r="AZ555" s="1055"/>
      <c r="BA555" s="1055"/>
      <c r="BB555" s="1055"/>
      <c r="BC555" s="1055"/>
      <c r="BD555" s="1055"/>
      <c r="BE555" s="1055"/>
      <c r="BF555" s="1055"/>
      <c r="BG555" s="1055"/>
      <c r="BH555" s="1055"/>
      <c r="BI555" s="1055"/>
      <c r="BJ555" s="1055"/>
      <c r="BK555" s="1055"/>
      <c r="BL555" s="1055"/>
      <c r="BM555" s="1055"/>
      <c r="BN555" s="1055"/>
      <c r="BO555" s="1055"/>
      <c r="BP555" s="1055"/>
      <c r="BQ555" s="1055"/>
      <c r="BR555" s="1055"/>
      <c r="BS555" s="1055"/>
      <c r="BT555" s="1055"/>
      <c r="BU555" s="1055"/>
      <c r="BV555" s="1055"/>
      <c r="BW555" s="1055"/>
      <c r="BX555" s="1055"/>
      <c r="BY555" s="1055"/>
      <c r="BZ555" s="1055"/>
      <c r="CA555" s="1055"/>
      <c r="CB555" s="1055"/>
      <c r="CC555" s="1055"/>
      <c r="CD555" s="1055"/>
      <c r="CE555" s="1055"/>
      <c r="CF555" s="1055"/>
      <c r="CG555" s="1055"/>
      <c r="CH555" s="1055"/>
      <c r="CI555" s="1055"/>
      <c r="CJ555" s="1055"/>
      <c r="CK555" s="1055"/>
      <c r="CL555" s="1055"/>
      <c r="CM555" s="1055"/>
      <c r="CN555" s="1055"/>
      <c r="CO555" s="1055"/>
      <c r="CP555" s="1055"/>
      <c r="CQ555" s="1055"/>
      <c r="CR555" s="1055"/>
      <c r="CS555" s="1055"/>
      <c r="CT555" s="1055"/>
      <c r="CU555" s="1055"/>
      <c r="CV555" s="1055"/>
      <c r="CW555" s="1055"/>
      <c r="CX555" s="1055"/>
      <c r="CY555" s="1055"/>
      <c r="CZ555" s="1055"/>
      <c r="DA555" s="1055"/>
      <c r="DB555" s="1055"/>
      <c r="DC555" s="1055"/>
      <c r="DD555" s="1055"/>
      <c r="DE555" s="1055"/>
      <c r="DF555" s="1055"/>
      <c r="DG555" s="1055"/>
      <c r="DH555" s="1055"/>
      <c r="DI555" s="1055"/>
      <c r="DJ555" s="1055"/>
      <c r="DK555" s="1055"/>
      <c r="DL555" s="1055"/>
      <c r="DM555" s="1055"/>
      <c r="DN555" s="1055"/>
      <c r="DO555" s="1055"/>
      <c r="DP555" s="1055"/>
      <c r="DQ555" s="1055"/>
      <c r="DR555" s="1055"/>
      <c r="DS555" s="1055"/>
      <c r="DT555" s="1055"/>
      <c r="DU555" s="1055"/>
      <c r="DV555" s="1055"/>
      <c r="DW555" s="1055"/>
      <c r="DX555" s="1055"/>
      <c r="DY555" s="1055"/>
      <c r="DZ555" s="1055"/>
      <c r="EA555" s="1055"/>
      <c r="EB555" s="1055"/>
      <c r="EC555" s="1055"/>
      <c r="ED555" s="1055"/>
      <c r="EE555" s="1055"/>
      <c r="EF555" s="1055"/>
      <c r="EG555" s="1055"/>
      <c r="EH555" s="1055"/>
      <c r="EI555" s="1055"/>
      <c r="EJ555" s="1055"/>
      <c r="EK555" s="1055"/>
      <c r="EL555" s="1055"/>
      <c r="EM555" s="1055"/>
      <c r="EN555" s="1055"/>
      <c r="EO555" s="1055"/>
      <c r="EP555" s="1055"/>
      <c r="EQ555" s="1055"/>
      <c r="ER555" s="1055"/>
      <c r="ES555" s="1055"/>
      <c r="ET555" s="1055"/>
      <c r="EU555" s="1055"/>
      <c r="EV555" s="1055"/>
      <c r="EW555" s="1055"/>
      <c r="EX555" s="1055"/>
      <c r="EY555" s="1055"/>
      <c r="EZ555" s="1055"/>
      <c r="FA555" s="1055"/>
      <c r="FB555" s="1055"/>
    </row>
    <row r="556" spans="1:158" ht="32.1" customHeight="1">
      <c r="A556" s="1339"/>
      <c r="B556" s="1253" t="s">
        <v>493</v>
      </c>
      <c r="C556" s="1562">
        <v>1</v>
      </c>
      <c r="D556" s="1562">
        <v>0.5</v>
      </c>
      <c r="E556" s="1562">
        <v>0.5</v>
      </c>
      <c r="F556" s="1562">
        <v>0</v>
      </c>
      <c r="G556" s="1562">
        <v>0.5</v>
      </c>
      <c r="H556" s="1562">
        <v>0</v>
      </c>
      <c r="I556" s="1779" t="s">
        <v>492</v>
      </c>
      <c r="J556" s="1340">
        <v>1</v>
      </c>
      <c r="K556" s="1070" t="s">
        <v>6527</v>
      </c>
      <c r="L556" s="1071" t="s">
        <v>6008</v>
      </c>
      <c r="M556" s="1340" t="s">
        <v>877</v>
      </c>
      <c r="N556" s="1342" t="s">
        <v>5427</v>
      </c>
      <c r="O556" s="1343" t="s">
        <v>1060</v>
      </c>
      <c r="P556" s="1070"/>
      <c r="Q556" s="1070"/>
      <c r="R556" s="1290"/>
      <c r="S556" s="1055"/>
      <c r="T556" s="1055"/>
      <c r="U556" s="1055"/>
      <c r="V556" s="1055"/>
      <c r="W556" s="1055"/>
      <c r="X556" s="1055"/>
      <c r="Y556" s="1055"/>
      <c r="Z556" s="1055"/>
      <c r="AA556" s="1055"/>
      <c r="AB556" s="1055"/>
      <c r="AC556" s="1055"/>
      <c r="AD556" s="1055"/>
      <c r="AE556" s="1055"/>
      <c r="AF556" s="1055"/>
      <c r="AG556" s="1055"/>
      <c r="AH556" s="1055"/>
      <c r="AI556" s="1055"/>
      <c r="AJ556" s="1055"/>
      <c r="AK556" s="1055"/>
      <c r="AL556" s="1055"/>
      <c r="AM556" s="1055"/>
      <c r="AN556" s="1055"/>
      <c r="AO556" s="1055"/>
      <c r="AP556" s="1055"/>
      <c r="AQ556" s="1055"/>
      <c r="AR556" s="1055"/>
      <c r="AS556" s="1055"/>
      <c r="AT556" s="1055"/>
      <c r="AU556" s="1055"/>
      <c r="AV556" s="1055"/>
      <c r="AW556" s="1055"/>
      <c r="AX556" s="1055"/>
      <c r="AY556" s="1055"/>
      <c r="AZ556" s="1055"/>
      <c r="BA556" s="1055"/>
      <c r="BB556" s="1055"/>
      <c r="BC556" s="1055"/>
      <c r="BD556" s="1055"/>
      <c r="BE556" s="1055"/>
      <c r="BF556" s="1055"/>
      <c r="BG556" s="1055"/>
      <c r="BH556" s="1055"/>
      <c r="BI556" s="1055"/>
      <c r="BJ556" s="1055"/>
      <c r="BK556" s="1055"/>
      <c r="BL556" s="1055"/>
      <c r="BM556" s="1055"/>
      <c r="BN556" s="1055"/>
      <c r="BO556" s="1055"/>
      <c r="BP556" s="1055"/>
      <c r="BQ556" s="1055"/>
      <c r="BR556" s="1055"/>
      <c r="BS556" s="1055"/>
      <c r="BT556" s="1055"/>
      <c r="BU556" s="1055"/>
      <c r="BV556" s="1055"/>
      <c r="BW556" s="1055"/>
      <c r="BX556" s="1055"/>
      <c r="BY556" s="1055"/>
      <c r="BZ556" s="1055"/>
      <c r="CA556" s="1055"/>
      <c r="CB556" s="1055"/>
      <c r="CC556" s="1055"/>
      <c r="CD556" s="1055"/>
      <c r="CE556" s="1055"/>
      <c r="CF556" s="1055"/>
      <c r="CG556" s="1055"/>
      <c r="CH556" s="1055"/>
      <c r="CI556" s="1055"/>
      <c r="CJ556" s="1055"/>
      <c r="CK556" s="1055"/>
      <c r="CL556" s="1055"/>
      <c r="CM556" s="1055"/>
      <c r="CN556" s="1055"/>
      <c r="CO556" s="1055"/>
      <c r="CP556" s="1055"/>
      <c r="CQ556" s="1055"/>
      <c r="CR556" s="1055"/>
      <c r="CS556" s="1055"/>
      <c r="CT556" s="1055"/>
      <c r="CU556" s="1055"/>
      <c r="CV556" s="1055"/>
      <c r="CW556" s="1055"/>
      <c r="CX556" s="1055"/>
      <c r="CY556" s="1055"/>
      <c r="CZ556" s="1055"/>
      <c r="DA556" s="1055"/>
      <c r="DB556" s="1055"/>
      <c r="DC556" s="1055"/>
      <c r="DD556" s="1055"/>
      <c r="DE556" s="1055"/>
      <c r="DF556" s="1055"/>
      <c r="DG556" s="1055"/>
      <c r="DH556" s="1055"/>
      <c r="DI556" s="1055"/>
      <c r="DJ556" s="1055"/>
      <c r="DK556" s="1055"/>
      <c r="DL556" s="1055"/>
      <c r="DM556" s="1055"/>
      <c r="DN556" s="1055"/>
      <c r="DO556" s="1055"/>
      <c r="DP556" s="1055"/>
      <c r="DQ556" s="1055"/>
      <c r="DR556" s="1055"/>
      <c r="DS556" s="1055"/>
      <c r="DT556" s="1055"/>
      <c r="DU556" s="1055"/>
      <c r="DV556" s="1055"/>
      <c r="DW556" s="1055"/>
      <c r="DX556" s="1055"/>
      <c r="DY556" s="1055"/>
      <c r="DZ556" s="1055"/>
      <c r="EA556" s="1055"/>
      <c r="EB556" s="1055"/>
      <c r="EC556" s="1055"/>
      <c r="ED556" s="1055"/>
      <c r="EE556" s="1055"/>
      <c r="EF556" s="1055"/>
      <c r="EG556" s="1055"/>
      <c r="EH556" s="1055"/>
      <c r="EI556" s="1055"/>
      <c r="EJ556" s="1055"/>
      <c r="EK556" s="1055"/>
      <c r="EL556" s="1055"/>
      <c r="EM556" s="1055"/>
      <c r="EN556" s="1055"/>
      <c r="EO556" s="1055"/>
      <c r="EP556" s="1055"/>
      <c r="EQ556" s="1055"/>
      <c r="ER556" s="1055"/>
      <c r="ES556" s="1055"/>
      <c r="ET556" s="1055"/>
      <c r="EU556" s="1055"/>
      <c r="EV556" s="1055"/>
      <c r="EW556" s="1055"/>
      <c r="EX556" s="1055"/>
      <c r="EY556" s="1055"/>
      <c r="EZ556" s="1055"/>
      <c r="FA556" s="1055"/>
      <c r="FB556" s="1055"/>
    </row>
    <row r="557" spans="1:158" ht="32.1" customHeight="1">
      <c r="A557" s="1339"/>
      <c r="B557" s="1253" t="s">
        <v>5272</v>
      </c>
      <c r="C557" s="1562"/>
      <c r="D557" s="1562"/>
      <c r="E557" s="1562"/>
      <c r="F557" s="1562"/>
      <c r="G557" s="1562"/>
      <c r="H557" s="1562"/>
      <c r="I557" s="1779"/>
      <c r="J557" s="1340"/>
      <c r="K557" s="1070"/>
      <c r="L557" s="1079"/>
      <c r="M557" s="1340"/>
      <c r="N557" s="1343"/>
      <c r="O557" s="1343"/>
      <c r="P557" s="1070"/>
      <c r="Q557" s="1070"/>
      <c r="R557" s="1290"/>
      <c r="S557" s="1055"/>
      <c r="T557" s="1055"/>
      <c r="U557" s="1055"/>
      <c r="V557" s="1055"/>
      <c r="W557" s="1055"/>
      <c r="X557" s="1055"/>
      <c r="Y557" s="1055"/>
      <c r="Z557" s="1055"/>
      <c r="AA557" s="1055"/>
      <c r="AB557" s="1055"/>
      <c r="AC557" s="1055"/>
      <c r="AD557" s="1055"/>
      <c r="AE557" s="1055"/>
      <c r="AF557" s="1055"/>
      <c r="AG557" s="1055"/>
      <c r="AH557" s="1055"/>
      <c r="AI557" s="1055"/>
      <c r="AJ557" s="1055"/>
      <c r="AK557" s="1055"/>
      <c r="AL557" s="1055"/>
      <c r="AM557" s="1055"/>
      <c r="AN557" s="1055"/>
      <c r="AO557" s="1055"/>
      <c r="AP557" s="1055"/>
      <c r="AQ557" s="1055"/>
      <c r="AR557" s="1055"/>
      <c r="AS557" s="1055"/>
      <c r="AT557" s="1055"/>
      <c r="AU557" s="1055"/>
      <c r="AV557" s="1055"/>
      <c r="AW557" s="1055"/>
      <c r="AX557" s="1055"/>
      <c r="AY557" s="1055"/>
      <c r="AZ557" s="1055"/>
      <c r="BA557" s="1055"/>
      <c r="BB557" s="1055"/>
      <c r="BC557" s="1055"/>
      <c r="BD557" s="1055"/>
      <c r="BE557" s="1055"/>
      <c r="BF557" s="1055"/>
      <c r="BG557" s="1055"/>
      <c r="BH557" s="1055"/>
      <c r="BI557" s="1055"/>
      <c r="BJ557" s="1055"/>
      <c r="BK557" s="1055"/>
      <c r="BL557" s="1055"/>
      <c r="BM557" s="1055"/>
      <c r="BN557" s="1055"/>
      <c r="BO557" s="1055"/>
      <c r="BP557" s="1055"/>
      <c r="BQ557" s="1055"/>
      <c r="BR557" s="1055"/>
      <c r="BS557" s="1055"/>
      <c r="BT557" s="1055"/>
      <c r="BU557" s="1055"/>
      <c r="BV557" s="1055"/>
      <c r="BW557" s="1055"/>
      <c r="BX557" s="1055"/>
      <c r="BY557" s="1055"/>
      <c r="BZ557" s="1055"/>
      <c r="CA557" s="1055"/>
      <c r="CB557" s="1055"/>
      <c r="CC557" s="1055"/>
      <c r="CD557" s="1055"/>
      <c r="CE557" s="1055"/>
      <c r="CF557" s="1055"/>
      <c r="CG557" s="1055"/>
      <c r="CH557" s="1055"/>
      <c r="CI557" s="1055"/>
      <c r="CJ557" s="1055"/>
      <c r="CK557" s="1055"/>
      <c r="CL557" s="1055"/>
      <c r="CM557" s="1055"/>
      <c r="CN557" s="1055"/>
      <c r="CO557" s="1055"/>
      <c r="CP557" s="1055"/>
      <c r="CQ557" s="1055"/>
      <c r="CR557" s="1055"/>
      <c r="CS557" s="1055"/>
      <c r="CT557" s="1055"/>
      <c r="CU557" s="1055"/>
      <c r="CV557" s="1055"/>
      <c r="CW557" s="1055"/>
      <c r="CX557" s="1055"/>
      <c r="CY557" s="1055"/>
      <c r="CZ557" s="1055"/>
      <c r="DA557" s="1055"/>
      <c r="DB557" s="1055"/>
      <c r="DC557" s="1055"/>
      <c r="DD557" s="1055"/>
      <c r="DE557" s="1055"/>
      <c r="DF557" s="1055"/>
      <c r="DG557" s="1055"/>
      <c r="DH557" s="1055"/>
      <c r="DI557" s="1055"/>
      <c r="DJ557" s="1055"/>
      <c r="DK557" s="1055"/>
      <c r="DL557" s="1055"/>
      <c r="DM557" s="1055"/>
      <c r="DN557" s="1055"/>
      <c r="DO557" s="1055"/>
      <c r="DP557" s="1055"/>
      <c r="DQ557" s="1055"/>
      <c r="DR557" s="1055"/>
      <c r="DS557" s="1055"/>
      <c r="DT557" s="1055"/>
      <c r="DU557" s="1055"/>
      <c r="DV557" s="1055"/>
      <c r="DW557" s="1055"/>
      <c r="DX557" s="1055"/>
      <c r="DY557" s="1055"/>
      <c r="DZ557" s="1055"/>
      <c r="EA557" s="1055"/>
      <c r="EB557" s="1055"/>
      <c r="EC557" s="1055"/>
      <c r="ED557" s="1055"/>
      <c r="EE557" s="1055"/>
      <c r="EF557" s="1055"/>
      <c r="EG557" s="1055"/>
      <c r="EH557" s="1055"/>
      <c r="EI557" s="1055"/>
      <c r="EJ557" s="1055"/>
      <c r="EK557" s="1055"/>
      <c r="EL557" s="1055"/>
      <c r="EM557" s="1055"/>
      <c r="EN557" s="1055"/>
      <c r="EO557" s="1055"/>
      <c r="EP557" s="1055"/>
      <c r="EQ557" s="1055"/>
      <c r="ER557" s="1055"/>
      <c r="ES557" s="1055"/>
      <c r="ET557" s="1055"/>
      <c r="EU557" s="1055"/>
      <c r="EV557" s="1055"/>
      <c r="EW557" s="1055"/>
      <c r="EX557" s="1055"/>
      <c r="EY557" s="1055"/>
      <c r="EZ557" s="1055"/>
      <c r="FA557" s="1055"/>
      <c r="FB557" s="1055"/>
    </row>
    <row r="558" spans="1:158" ht="32.1" customHeight="1">
      <c r="A558" s="1339"/>
      <c r="B558" s="1253" t="s">
        <v>494</v>
      </c>
      <c r="C558" s="1562">
        <v>0.5</v>
      </c>
      <c r="D558" s="1562">
        <v>1</v>
      </c>
      <c r="E558" s="1562">
        <v>0.5</v>
      </c>
      <c r="F558" s="1562">
        <v>1</v>
      </c>
      <c r="G558" s="1562">
        <v>0.5</v>
      </c>
      <c r="H558" s="1562">
        <v>1</v>
      </c>
      <c r="I558" s="1779" t="s">
        <v>495</v>
      </c>
      <c r="J558" s="1344">
        <v>0.5</v>
      </c>
      <c r="K558" s="1070" t="s">
        <v>811</v>
      </c>
      <c r="L558" s="1071" t="s">
        <v>6009</v>
      </c>
      <c r="M558" s="1345" t="s">
        <v>6211</v>
      </c>
      <c r="N558" s="1342" t="s">
        <v>5427</v>
      </c>
      <c r="O558" s="1343" t="s">
        <v>811</v>
      </c>
      <c r="P558" s="1070"/>
      <c r="Q558" s="1070"/>
      <c r="R558" s="1290"/>
      <c r="S558" s="1055"/>
      <c r="T558" s="1055"/>
      <c r="U558" s="1055"/>
      <c r="V558" s="1055"/>
      <c r="W558" s="1055"/>
      <c r="X558" s="1055"/>
      <c r="Y558" s="1055"/>
      <c r="Z558" s="1055"/>
      <c r="AA558" s="1055"/>
      <c r="AB558" s="1055"/>
      <c r="AC558" s="1055"/>
      <c r="AD558" s="1055"/>
      <c r="AE558" s="1055"/>
      <c r="AF558" s="1055"/>
      <c r="AG558" s="1055"/>
      <c r="AH558" s="1055"/>
      <c r="AI558" s="1055"/>
      <c r="AJ558" s="1055"/>
      <c r="AK558" s="1055"/>
      <c r="AL558" s="1055"/>
      <c r="AM558" s="1055"/>
      <c r="AN558" s="1055"/>
      <c r="AO558" s="1055"/>
      <c r="AP558" s="1055"/>
      <c r="AQ558" s="1055"/>
      <c r="AR558" s="1055"/>
      <c r="AS558" s="1055"/>
      <c r="AT558" s="1055"/>
      <c r="AU558" s="1055"/>
      <c r="AV558" s="1055"/>
      <c r="AW558" s="1055"/>
      <c r="AX558" s="1055"/>
      <c r="AY558" s="1055"/>
      <c r="AZ558" s="1055"/>
      <c r="BA558" s="1055"/>
      <c r="BB558" s="1055"/>
      <c r="BC558" s="1055"/>
      <c r="BD558" s="1055"/>
      <c r="BE558" s="1055"/>
      <c r="BF558" s="1055"/>
      <c r="BG558" s="1055"/>
      <c r="BH558" s="1055"/>
      <c r="BI558" s="1055"/>
      <c r="BJ558" s="1055"/>
      <c r="BK558" s="1055"/>
      <c r="BL558" s="1055"/>
      <c r="BM558" s="1055"/>
      <c r="BN558" s="1055"/>
      <c r="BO558" s="1055"/>
      <c r="BP558" s="1055"/>
      <c r="BQ558" s="1055"/>
      <c r="BR558" s="1055"/>
      <c r="BS558" s="1055"/>
      <c r="BT558" s="1055"/>
      <c r="BU558" s="1055"/>
      <c r="BV558" s="1055"/>
      <c r="BW558" s="1055"/>
      <c r="BX558" s="1055"/>
      <c r="BY558" s="1055"/>
      <c r="BZ558" s="1055"/>
      <c r="CA558" s="1055"/>
      <c r="CB558" s="1055"/>
      <c r="CC558" s="1055"/>
      <c r="CD558" s="1055"/>
      <c r="CE558" s="1055"/>
      <c r="CF558" s="1055"/>
      <c r="CG558" s="1055"/>
      <c r="CH558" s="1055"/>
      <c r="CI558" s="1055"/>
      <c r="CJ558" s="1055"/>
      <c r="CK558" s="1055"/>
      <c r="CL558" s="1055"/>
      <c r="CM558" s="1055"/>
      <c r="CN558" s="1055"/>
      <c r="CO558" s="1055"/>
      <c r="CP558" s="1055"/>
      <c r="CQ558" s="1055"/>
      <c r="CR558" s="1055"/>
      <c r="CS558" s="1055"/>
      <c r="CT558" s="1055"/>
      <c r="CU558" s="1055"/>
      <c r="CV558" s="1055"/>
      <c r="CW558" s="1055"/>
      <c r="CX558" s="1055"/>
      <c r="CY558" s="1055"/>
      <c r="CZ558" s="1055"/>
      <c r="DA558" s="1055"/>
      <c r="DB558" s="1055"/>
      <c r="DC558" s="1055"/>
      <c r="DD558" s="1055"/>
      <c r="DE558" s="1055"/>
      <c r="DF558" s="1055"/>
      <c r="DG558" s="1055"/>
      <c r="DH558" s="1055"/>
      <c r="DI558" s="1055"/>
      <c r="DJ558" s="1055"/>
      <c r="DK558" s="1055"/>
      <c r="DL558" s="1055"/>
      <c r="DM558" s="1055"/>
      <c r="DN558" s="1055"/>
      <c r="DO558" s="1055"/>
      <c r="DP558" s="1055"/>
      <c r="DQ558" s="1055"/>
      <c r="DR558" s="1055"/>
      <c r="DS558" s="1055"/>
      <c r="DT558" s="1055"/>
      <c r="DU558" s="1055"/>
      <c r="DV558" s="1055"/>
      <c r="DW558" s="1055"/>
      <c r="DX558" s="1055"/>
      <c r="DY558" s="1055"/>
      <c r="DZ558" s="1055"/>
      <c r="EA558" s="1055"/>
      <c r="EB558" s="1055"/>
      <c r="EC558" s="1055"/>
      <c r="ED558" s="1055"/>
      <c r="EE558" s="1055"/>
      <c r="EF558" s="1055"/>
      <c r="EG558" s="1055"/>
      <c r="EH558" s="1055"/>
      <c r="EI558" s="1055"/>
      <c r="EJ558" s="1055"/>
      <c r="EK558" s="1055"/>
      <c r="EL558" s="1055"/>
      <c r="EM558" s="1055"/>
      <c r="EN558" s="1055"/>
      <c r="EO558" s="1055"/>
      <c r="EP558" s="1055"/>
      <c r="EQ558" s="1055"/>
      <c r="ER558" s="1055"/>
      <c r="ES558" s="1055"/>
      <c r="ET558" s="1055"/>
      <c r="EU558" s="1055"/>
      <c r="EV558" s="1055"/>
      <c r="EW558" s="1055"/>
      <c r="EX558" s="1055"/>
      <c r="EY558" s="1055"/>
      <c r="EZ558" s="1055"/>
      <c r="FA558" s="1055"/>
      <c r="FB558" s="1055"/>
    </row>
    <row r="559" spans="1:158" ht="32.1" customHeight="1">
      <c r="A559" s="1339"/>
      <c r="B559" s="1253" t="s">
        <v>496</v>
      </c>
      <c r="C559" s="1562">
        <v>0.5</v>
      </c>
      <c r="D559" s="1562">
        <v>1</v>
      </c>
      <c r="E559" s="1562">
        <v>0</v>
      </c>
      <c r="F559" s="1562">
        <v>0.5</v>
      </c>
      <c r="G559" s="1562">
        <v>1</v>
      </c>
      <c r="H559" s="1562">
        <v>1</v>
      </c>
      <c r="I559" s="1779" t="s">
        <v>495</v>
      </c>
      <c r="J559" s="1344">
        <v>0.5</v>
      </c>
      <c r="K559" s="1070" t="s">
        <v>6528</v>
      </c>
      <c r="L559" s="1079" t="s">
        <v>6010</v>
      </c>
      <c r="M559" s="1340" t="s">
        <v>6212</v>
      </c>
      <c r="N559" s="1342" t="s">
        <v>811</v>
      </c>
      <c r="O559" s="1343" t="s">
        <v>811</v>
      </c>
      <c r="P559" s="1070"/>
      <c r="Q559" s="1070"/>
      <c r="R559" s="1290"/>
      <c r="S559" s="1055"/>
      <c r="T559" s="1055"/>
      <c r="U559" s="1055"/>
      <c r="V559" s="1055"/>
      <c r="W559" s="1055"/>
      <c r="X559" s="1055"/>
      <c r="Y559" s="1055"/>
      <c r="Z559" s="1055"/>
      <c r="AA559" s="1055"/>
      <c r="AB559" s="1055"/>
      <c r="AC559" s="1055"/>
      <c r="AD559" s="1055"/>
      <c r="AE559" s="1055"/>
      <c r="AF559" s="1055"/>
      <c r="AG559" s="1055"/>
      <c r="AH559" s="1055"/>
      <c r="AI559" s="1055"/>
      <c r="AJ559" s="1055"/>
      <c r="AK559" s="1055"/>
      <c r="AL559" s="1055"/>
      <c r="AM559" s="1055"/>
      <c r="AN559" s="1055"/>
      <c r="AO559" s="1055"/>
      <c r="AP559" s="1055"/>
      <c r="AQ559" s="1055"/>
      <c r="AR559" s="1055"/>
      <c r="AS559" s="1055"/>
      <c r="AT559" s="1055"/>
      <c r="AU559" s="1055"/>
      <c r="AV559" s="1055"/>
      <c r="AW559" s="1055"/>
      <c r="AX559" s="1055"/>
      <c r="AY559" s="1055"/>
      <c r="AZ559" s="1055"/>
      <c r="BA559" s="1055"/>
      <c r="BB559" s="1055"/>
      <c r="BC559" s="1055"/>
      <c r="BD559" s="1055"/>
      <c r="BE559" s="1055"/>
      <c r="BF559" s="1055"/>
      <c r="BG559" s="1055"/>
      <c r="BH559" s="1055"/>
      <c r="BI559" s="1055"/>
      <c r="BJ559" s="1055"/>
      <c r="BK559" s="1055"/>
      <c r="BL559" s="1055"/>
      <c r="BM559" s="1055"/>
      <c r="BN559" s="1055"/>
      <c r="BO559" s="1055"/>
      <c r="BP559" s="1055"/>
      <c r="BQ559" s="1055"/>
      <c r="BR559" s="1055"/>
      <c r="BS559" s="1055"/>
      <c r="BT559" s="1055"/>
      <c r="BU559" s="1055"/>
      <c r="BV559" s="1055"/>
      <c r="BW559" s="1055"/>
      <c r="BX559" s="1055"/>
      <c r="BY559" s="1055"/>
      <c r="BZ559" s="1055"/>
      <c r="CA559" s="1055"/>
      <c r="CB559" s="1055"/>
      <c r="CC559" s="1055"/>
      <c r="CD559" s="1055"/>
      <c r="CE559" s="1055"/>
      <c r="CF559" s="1055"/>
      <c r="CG559" s="1055"/>
      <c r="CH559" s="1055"/>
      <c r="CI559" s="1055"/>
      <c r="CJ559" s="1055"/>
      <c r="CK559" s="1055"/>
      <c r="CL559" s="1055"/>
      <c r="CM559" s="1055"/>
      <c r="CN559" s="1055"/>
      <c r="CO559" s="1055"/>
      <c r="CP559" s="1055"/>
      <c r="CQ559" s="1055"/>
      <c r="CR559" s="1055"/>
      <c r="CS559" s="1055"/>
      <c r="CT559" s="1055"/>
      <c r="CU559" s="1055"/>
      <c r="CV559" s="1055"/>
      <c r="CW559" s="1055"/>
      <c r="CX559" s="1055"/>
      <c r="CY559" s="1055"/>
      <c r="CZ559" s="1055"/>
      <c r="DA559" s="1055"/>
      <c r="DB559" s="1055"/>
      <c r="DC559" s="1055"/>
      <c r="DD559" s="1055"/>
      <c r="DE559" s="1055"/>
      <c r="DF559" s="1055"/>
      <c r="DG559" s="1055"/>
      <c r="DH559" s="1055"/>
      <c r="DI559" s="1055"/>
      <c r="DJ559" s="1055"/>
      <c r="DK559" s="1055"/>
      <c r="DL559" s="1055"/>
      <c r="DM559" s="1055"/>
      <c r="DN559" s="1055"/>
      <c r="DO559" s="1055"/>
      <c r="DP559" s="1055"/>
      <c r="DQ559" s="1055"/>
      <c r="DR559" s="1055"/>
      <c r="DS559" s="1055"/>
      <c r="DT559" s="1055"/>
      <c r="DU559" s="1055"/>
      <c r="DV559" s="1055"/>
      <c r="DW559" s="1055"/>
      <c r="DX559" s="1055"/>
      <c r="DY559" s="1055"/>
      <c r="DZ559" s="1055"/>
      <c r="EA559" s="1055"/>
      <c r="EB559" s="1055"/>
      <c r="EC559" s="1055"/>
      <c r="ED559" s="1055"/>
      <c r="EE559" s="1055"/>
      <c r="EF559" s="1055"/>
      <c r="EG559" s="1055"/>
      <c r="EH559" s="1055"/>
      <c r="EI559" s="1055"/>
      <c r="EJ559" s="1055"/>
      <c r="EK559" s="1055"/>
      <c r="EL559" s="1055"/>
      <c r="EM559" s="1055"/>
      <c r="EN559" s="1055"/>
      <c r="EO559" s="1055"/>
      <c r="EP559" s="1055"/>
      <c r="EQ559" s="1055"/>
      <c r="ER559" s="1055"/>
      <c r="ES559" s="1055"/>
      <c r="ET559" s="1055"/>
      <c r="EU559" s="1055"/>
      <c r="EV559" s="1055"/>
      <c r="EW559" s="1055"/>
      <c r="EX559" s="1055"/>
      <c r="EY559" s="1055"/>
      <c r="EZ559" s="1055"/>
      <c r="FA559" s="1055"/>
      <c r="FB559" s="1055"/>
    </row>
    <row r="560" spans="1:158" ht="32.1" customHeight="1">
      <c r="A560" s="1339"/>
      <c r="B560" s="1253" t="s">
        <v>497</v>
      </c>
      <c r="C560" s="1562">
        <v>0.5</v>
      </c>
      <c r="D560" s="1562">
        <v>0.5</v>
      </c>
      <c r="E560" s="1562">
        <v>0</v>
      </c>
      <c r="F560" s="1562">
        <v>1</v>
      </c>
      <c r="G560" s="1562">
        <v>0.5</v>
      </c>
      <c r="H560" s="1562">
        <v>0</v>
      </c>
      <c r="I560" s="1779" t="s">
        <v>495</v>
      </c>
      <c r="J560" s="1344">
        <v>0.5</v>
      </c>
      <c r="K560" s="1070" t="s">
        <v>6529</v>
      </c>
      <c r="L560" s="1071" t="s">
        <v>6011</v>
      </c>
      <c r="M560" s="1340" t="s">
        <v>6213</v>
      </c>
      <c r="N560" s="1342" t="s">
        <v>5538</v>
      </c>
      <c r="O560" s="1343" t="s">
        <v>877</v>
      </c>
      <c r="P560" s="1070"/>
      <c r="Q560" s="1070"/>
      <c r="R560" s="1290"/>
      <c r="S560" s="1055"/>
      <c r="T560" s="1055"/>
      <c r="U560" s="1055"/>
      <c r="V560" s="1055"/>
      <c r="W560" s="1055"/>
      <c r="X560" s="1055"/>
      <c r="Y560" s="1055"/>
      <c r="Z560" s="1055"/>
      <c r="AA560" s="1055"/>
      <c r="AB560" s="1055"/>
      <c r="AC560" s="1055"/>
      <c r="AD560" s="1055"/>
      <c r="AE560" s="1055"/>
      <c r="AF560" s="1055"/>
      <c r="AG560" s="1055"/>
      <c r="AH560" s="1055"/>
      <c r="AI560" s="1055"/>
      <c r="AJ560" s="1055"/>
      <c r="AK560" s="1055"/>
      <c r="AL560" s="1055"/>
      <c r="AM560" s="1055"/>
      <c r="AN560" s="1055"/>
      <c r="AO560" s="1055"/>
      <c r="AP560" s="1055"/>
      <c r="AQ560" s="1055"/>
      <c r="AR560" s="1055"/>
      <c r="AS560" s="1055"/>
      <c r="AT560" s="1055"/>
      <c r="AU560" s="1055"/>
      <c r="AV560" s="1055"/>
      <c r="AW560" s="1055"/>
      <c r="AX560" s="1055"/>
      <c r="AY560" s="1055"/>
      <c r="AZ560" s="1055"/>
      <c r="BA560" s="1055"/>
      <c r="BB560" s="1055"/>
      <c r="BC560" s="1055"/>
      <c r="BD560" s="1055"/>
      <c r="BE560" s="1055"/>
      <c r="BF560" s="1055"/>
      <c r="BG560" s="1055"/>
      <c r="BH560" s="1055"/>
      <c r="BI560" s="1055"/>
      <c r="BJ560" s="1055"/>
      <c r="BK560" s="1055"/>
      <c r="BL560" s="1055"/>
      <c r="BM560" s="1055"/>
      <c r="BN560" s="1055"/>
      <c r="BO560" s="1055"/>
      <c r="BP560" s="1055"/>
      <c r="BQ560" s="1055"/>
      <c r="BR560" s="1055"/>
      <c r="BS560" s="1055"/>
      <c r="BT560" s="1055"/>
      <c r="BU560" s="1055"/>
      <c r="BV560" s="1055"/>
      <c r="BW560" s="1055"/>
      <c r="BX560" s="1055"/>
      <c r="BY560" s="1055"/>
      <c r="BZ560" s="1055"/>
      <c r="CA560" s="1055"/>
      <c r="CB560" s="1055"/>
      <c r="CC560" s="1055"/>
      <c r="CD560" s="1055"/>
      <c r="CE560" s="1055"/>
      <c r="CF560" s="1055"/>
      <c r="CG560" s="1055"/>
      <c r="CH560" s="1055"/>
      <c r="CI560" s="1055"/>
      <c r="CJ560" s="1055"/>
      <c r="CK560" s="1055"/>
      <c r="CL560" s="1055"/>
      <c r="CM560" s="1055"/>
      <c r="CN560" s="1055"/>
      <c r="CO560" s="1055"/>
      <c r="CP560" s="1055"/>
      <c r="CQ560" s="1055"/>
      <c r="CR560" s="1055"/>
      <c r="CS560" s="1055"/>
      <c r="CT560" s="1055"/>
      <c r="CU560" s="1055"/>
      <c r="CV560" s="1055"/>
      <c r="CW560" s="1055"/>
      <c r="CX560" s="1055"/>
      <c r="CY560" s="1055"/>
      <c r="CZ560" s="1055"/>
      <c r="DA560" s="1055"/>
      <c r="DB560" s="1055"/>
      <c r="DC560" s="1055"/>
      <c r="DD560" s="1055"/>
      <c r="DE560" s="1055"/>
      <c r="DF560" s="1055"/>
      <c r="DG560" s="1055"/>
      <c r="DH560" s="1055"/>
      <c r="DI560" s="1055"/>
      <c r="DJ560" s="1055"/>
      <c r="DK560" s="1055"/>
      <c r="DL560" s="1055"/>
      <c r="DM560" s="1055"/>
      <c r="DN560" s="1055"/>
      <c r="DO560" s="1055"/>
      <c r="DP560" s="1055"/>
      <c r="DQ560" s="1055"/>
      <c r="DR560" s="1055"/>
      <c r="DS560" s="1055"/>
      <c r="DT560" s="1055"/>
      <c r="DU560" s="1055"/>
      <c r="DV560" s="1055"/>
      <c r="DW560" s="1055"/>
      <c r="DX560" s="1055"/>
      <c r="DY560" s="1055"/>
      <c r="DZ560" s="1055"/>
      <c r="EA560" s="1055"/>
      <c r="EB560" s="1055"/>
      <c r="EC560" s="1055"/>
      <c r="ED560" s="1055"/>
      <c r="EE560" s="1055"/>
      <c r="EF560" s="1055"/>
      <c r="EG560" s="1055"/>
      <c r="EH560" s="1055"/>
      <c r="EI560" s="1055"/>
      <c r="EJ560" s="1055"/>
      <c r="EK560" s="1055"/>
      <c r="EL560" s="1055"/>
      <c r="EM560" s="1055"/>
      <c r="EN560" s="1055"/>
      <c r="EO560" s="1055"/>
      <c r="EP560" s="1055"/>
      <c r="EQ560" s="1055"/>
      <c r="ER560" s="1055"/>
      <c r="ES560" s="1055"/>
      <c r="ET560" s="1055"/>
      <c r="EU560" s="1055"/>
      <c r="EV560" s="1055"/>
      <c r="EW560" s="1055"/>
      <c r="EX560" s="1055"/>
      <c r="EY560" s="1055"/>
      <c r="EZ560" s="1055"/>
      <c r="FA560" s="1055"/>
      <c r="FB560" s="1055"/>
    </row>
    <row r="561" spans="1:158" ht="32.1" customHeight="1">
      <c r="A561" s="1339"/>
      <c r="B561" s="1253" t="s">
        <v>498</v>
      </c>
      <c r="C561" s="1562">
        <v>0.5</v>
      </c>
      <c r="D561" s="1562">
        <v>0</v>
      </c>
      <c r="E561" s="1562">
        <v>0</v>
      </c>
      <c r="F561" s="1562">
        <v>0</v>
      </c>
      <c r="G561" s="1562">
        <v>0</v>
      </c>
      <c r="H561" s="1562">
        <v>0.5</v>
      </c>
      <c r="I561" s="1779" t="s">
        <v>495</v>
      </c>
      <c r="J561" s="1344">
        <v>0.5</v>
      </c>
      <c r="K561" s="1070" t="s">
        <v>748</v>
      </c>
      <c r="L561" s="1071" t="s">
        <v>6011</v>
      </c>
      <c r="M561" s="1340" t="s">
        <v>6214</v>
      </c>
      <c r="N561" s="1342" t="s">
        <v>748</v>
      </c>
      <c r="O561" s="1343" t="s">
        <v>5427</v>
      </c>
      <c r="P561" s="1070"/>
      <c r="Q561" s="1070"/>
      <c r="R561" s="1290"/>
      <c r="S561" s="1055"/>
      <c r="T561" s="1055"/>
      <c r="U561" s="1055"/>
      <c r="V561" s="1055"/>
      <c r="W561" s="1055"/>
      <c r="X561" s="1055"/>
      <c r="Y561" s="1055"/>
      <c r="Z561" s="1055"/>
      <c r="AA561" s="1055"/>
      <c r="AB561" s="1055"/>
      <c r="AC561" s="1055"/>
      <c r="AD561" s="1055"/>
      <c r="AE561" s="1055"/>
      <c r="AF561" s="1055"/>
      <c r="AG561" s="1055"/>
      <c r="AH561" s="1055"/>
      <c r="AI561" s="1055"/>
      <c r="AJ561" s="1055"/>
      <c r="AK561" s="1055"/>
      <c r="AL561" s="1055"/>
      <c r="AM561" s="1055"/>
      <c r="AN561" s="1055"/>
      <c r="AO561" s="1055"/>
      <c r="AP561" s="1055"/>
      <c r="AQ561" s="1055"/>
      <c r="AR561" s="1055"/>
      <c r="AS561" s="1055"/>
      <c r="AT561" s="1055"/>
      <c r="AU561" s="1055"/>
      <c r="AV561" s="1055"/>
      <c r="AW561" s="1055"/>
      <c r="AX561" s="1055"/>
      <c r="AY561" s="1055"/>
      <c r="AZ561" s="1055"/>
      <c r="BA561" s="1055"/>
      <c r="BB561" s="1055"/>
      <c r="BC561" s="1055"/>
      <c r="BD561" s="1055"/>
      <c r="BE561" s="1055"/>
      <c r="BF561" s="1055"/>
      <c r="BG561" s="1055"/>
      <c r="BH561" s="1055"/>
      <c r="BI561" s="1055"/>
      <c r="BJ561" s="1055"/>
      <c r="BK561" s="1055"/>
      <c r="BL561" s="1055"/>
      <c r="BM561" s="1055"/>
      <c r="BN561" s="1055"/>
      <c r="BO561" s="1055"/>
      <c r="BP561" s="1055"/>
      <c r="BQ561" s="1055"/>
      <c r="BR561" s="1055"/>
      <c r="BS561" s="1055"/>
      <c r="BT561" s="1055"/>
      <c r="BU561" s="1055"/>
      <c r="BV561" s="1055"/>
      <c r="BW561" s="1055"/>
      <c r="BX561" s="1055"/>
      <c r="BY561" s="1055"/>
      <c r="BZ561" s="1055"/>
      <c r="CA561" s="1055"/>
      <c r="CB561" s="1055"/>
      <c r="CC561" s="1055"/>
      <c r="CD561" s="1055"/>
      <c r="CE561" s="1055"/>
      <c r="CF561" s="1055"/>
      <c r="CG561" s="1055"/>
      <c r="CH561" s="1055"/>
      <c r="CI561" s="1055"/>
      <c r="CJ561" s="1055"/>
      <c r="CK561" s="1055"/>
      <c r="CL561" s="1055"/>
      <c r="CM561" s="1055"/>
      <c r="CN561" s="1055"/>
      <c r="CO561" s="1055"/>
      <c r="CP561" s="1055"/>
      <c r="CQ561" s="1055"/>
      <c r="CR561" s="1055"/>
      <c r="CS561" s="1055"/>
      <c r="CT561" s="1055"/>
      <c r="CU561" s="1055"/>
      <c r="CV561" s="1055"/>
      <c r="CW561" s="1055"/>
      <c r="CX561" s="1055"/>
      <c r="CY561" s="1055"/>
      <c r="CZ561" s="1055"/>
      <c r="DA561" s="1055"/>
      <c r="DB561" s="1055"/>
      <c r="DC561" s="1055"/>
      <c r="DD561" s="1055"/>
      <c r="DE561" s="1055"/>
      <c r="DF561" s="1055"/>
      <c r="DG561" s="1055"/>
      <c r="DH561" s="1055"/>
      <c r="DI561" s="1055"/>
      <c r="DJ561" s="1055"/>
      <c r="DK561" s="1055"/>
      <c r="DL561" s="1055"/>
      <c r="DM561" s="1055"/>
      <c r="DN561" s="1055"/>
      <c r="DO561" s="1055"/>
      <c r="DP561" s="1055"/>
      <c r="DQ561" s="1055"/>
      <c r="DR561" s="1055"/>
      <c r="DS561" s="1055"/>
      <c r="DT561" s="1055"/>
      <c r="DU561" s="1055"/>
      <c r="DV561" s="1055"/>
      <c r="DW561" s="1055"/>
      <c r="DX561" s="1055"/>
      <c r="DY561" s="1055"/>
      <c r="DZ561" s="1055"/>
      <c r="EA561" s="1055"/>
      <c r="EB561" s="1055"/>
      <c r="EC561" s="1055"/>
      <c r="ED561" s="1055"/>
      <c r="EE561" s="1055"/>
      <c r="EF561" s="1055"/>
      <c r="EG561" s="1055"/>
      <c r="EH561" s="1055"/>
      <c r="EI561" s="1055"/>
      <c r="EJ561" s="1055"/>
      <c r="EK561" s="1055"/>
      <c r="EL561" s="1055"/>
      <c r="EM561" s="1055"/>
      <c r="EN561" s="1055"/>
      <c r="EO561" s="1055"/>
      <c r="EP561" s="1055"/>
      <c r="EQ561" s="1055"/>
      <c r="ER561" s="1055"/>
      <c r="ES561" s="1055"/>
      <c r="ET561" s="1055"/>
      <c r="EU561" s="1055"/>
      <c r="EV561" s="1055"/>
      <c r="EW561" s="1055"/>
      <c r="EX561" s="1055"/>
      <c r="EY561" s="1055"/>
      <c r="EZ561" s="1055"/>
      <c r="FA561" s="1055"/>
      <c r="FB561" s="1055"/>
    </row>
    <row r="562" spans="1:158" ht="32.1" customHeight="1">
      <c r="A562" s="1339"/>
      <c r="B562" s="1253" t="s">
        <v>499</v>
      </c>
      <c r="C562" s="1562">
        <v>0.5</v>
      </c>
      <c r="D562" s="1562">
        <v>0</v>
      </c>
      <c r="E562" s="1562">
        <v>0</v>
      </c>
      <c r="F562" s="1562">
        <v>0</v>
      </c>
      <c r="G562" s="1562">
        <v>0.5</v>
      </c>
      <c r="H562" s="1562">
        <v>0.5</v>
      </c>
      <c r="I562" s="1779" t="s">
        <v>495</v>
      </c>
      <c r="J562" s="1344">
        <v>0.5</v>
      </c>
      <c r="K562" s="1070" t="s">
        <v>748</v>
      </c>
      <c r="L562" s="1071" t="s">
        <v>6011</v>
      </c>
      <c r="M562" s="1340" t="s">
        <v>6214</v>
      </c>
      <c r="N562" s="1342" t="s">
        <v>5427</v>
      </c>
      <c r="O562" s="1342" t="s">
        <v>5824</v>
      </c>
      <c r="P562" s="1070"/>
      <c r="Q562" s="1070"/>
      <c r="R562" s="1290"/>
      <c r="S562" s="1055"/>
      <c r="T562" s="1055"/>
      <c r="U562" s="1055"/>
      <c r="V562" s="1055"/>
      <c r="W562" s="1055"/>
      <c r="X562" s="1055"/>
      <c r="Y562" s="1055"/>
      <c r="Z562" s="1055"/>
      <c r="AA562" s="1055"/>
      <c r="AB562" s="1055"/>
      <c r="AC562" s="1055"/>
      <c r="AD562" s="1055"/>
      <c r="AE562" s="1055"/>
      <c r="AF562" s="1055"/>
      <c r="AG562" s="1055"/>
      <c r="AH562" s="1055"/>
      <c r="AI562" s="1055"/>
      <c r="AJ562" s="1055"/>
      <c r="AK562" s="1055"/>
      <c r="AL562" s="1055"/>
      <c r="AM562" s="1055"/>
      <c r="AN562" s="1055"/>
      <c r="AO562" s="1055"/>
      <c r="AP562" s="1055"/>
      <c r="AQ562" s="1055"/>
      <c r="AR562" s="1055"/>
      <c r="AS562" s="1055"/>
      <c r="AT562" s="1055"/>
      <c r="AU562" s="1055"/>
      <c r="AV562" s="1055"/>
      <c r="AW562" s="1055"/>
      <c r="AX562" s="1055"/>
      <c r="AY562" s="1055"/>
      <c r="AZ562" s="1055"/>
      <c r="BA562" s="1055"/>
      <c r="BB562" s="1055"/>
      <c r="BC562" s="1055"/>
      <c r="BD562" s="1055"/>
      <c r="BE562" s="1055"/>
      <c r="BF562" s="1055"/>
      <c r="BG562" s="1055"/>
      <c r="BH562" s="1055"/>
      <c r="BI562" s="1055"/>
      <c r="BJ562" s="1055"/>
      <c r="BK562" s="1055"/>
      <c r="BL562" s="1055"/>
      <c r="BM562" s="1055"/>
      <c r="BN562" s="1055"/>
      <c r="BO562" s="1055"/>
      <c r="BP562" s="1055"/>
      <c r="BQ562" s="1055"/>
      <c r="BR562" s="1055"/>
      <c r="BS562" s="1055"/>
      <c r="BT562" s="1055"/>
      <c r="BU562" s="1055"/>
      <c r="BV562" s="1055"/>
      <c r="BW562" s="1055"/>
      <c r="BX562" s="1055"/>
      <c r="BY562" s="1055"/>
      <c r="BZ562" s="1055"/>
      <c r="CA562" s="1055"/>
      <c r="CB562" s="1055"/>
      <c r="CC562" s="1055"/>
      <c r="CD562" s="1055"/>
      <c r="CE562" s="1055"/>
      <c r="CF562" s="1055"/>
      <c r="CG562" s="1055"/>
      <c r="CH562" s="1055"/>
      <c r="CI562" s="1055"/>
      <c r="CJ562" s="1055"/>
      <c r="CK562" s="1055"/>
      <c r="CL562" s="1055"/>
      <c r="CM562" s="1055"/>
      <c r="CN562" s="1055"/>
      <c r="CO562" s="1055"/>
      <c r="CP562" s="1055"/>
      <c r="CQ562" s="1055"/>
      <c r="CR562" s="1055"/>
      <c r="CS562" s="1055"/>
      <c r="CT562" s="1055"/>
      <c r="CU562" s="1055"/>
      <c r="CV562" s="1055"/>
      <c r="CW562" s="1055"/>
      <c r="CX562" s="1055"/>
      <c r="CY562" s="1055"/>
      <c r="CZ562" s="1055"/>
      <c r="DA562" s="1055"/>
      <c r="DB562" s="1055"/>
      <c r="DC562" s="1055"/>
      <c r="DD562" s="1055"/>
      <c r="DE562" s="1055"/>
      <c r="DF562" s="1055"/>
      <c r="DG562" s="1055"/>
      <c r="DH562" s="1055"/>
      <c r="DI562" s="1055"/>
      <c r="DJ562" s="1055"/>
      <c r="DK562" s="1055"/>
      <c r="DL562" s="1055"/>
      <c r="DM562" s="1055"/>
      <c r="DN562" s="1055"/>
      <c r="DO562" s="1055"/>
      <c r="DP562" s="1055"/>
      <c r="DQ562" s="1055"/>
      <c r="DR562" s="1055"/>
      <c r="DS562" s="1055"/>
      <c r="DT562" s="1055"/>
      <c r="DU562" s="1055"/>
      <c r="DV562" s="1055"/>
      <c r="DW562" s="1055"/>
      <c r="DX562" s="1055"/>
      <c r="DY562" s="1055"/>
      <c r="DZ562" s="1055"/>
      <c r="EA562" s="1055"/>
      <c r="EB562" s="1055"/>
      <c r="EC562" s="1055"/>
      <c r="ED562" s="1055"/>
      <c r="EE562" s="1055"/>
      <c r="EF562" s="1055"/>
      <c r="EG562" s="1055"/>
      <c r="EH562" s="1055"/>
      <c r="EI562" s="1055"/>
      <c r="EJ562" s="1055"/>
      <c r="EK562" s="1055"/>
      <c r="EL562" s="1055"/>
      <c r="EM562" s="1055"/>
      <c r="EN562" s="1055"/>
      <c r="EO562" s="1055"/>
      <c r="EP562" s="1055"/>
      <c r="EQ562" s="1055"/>
      <c r="ER562" s="1055"/>
      <c r="ES562" s="1055"/>
      <c r="ET562" s="1055"/>
      <c r="EU562" s="1055"/>
      <c r="EV562" s="1055"/>
      <c r="EW562" s="1055"/>
      <c r="EX562" s="1055"/>
      <c r="EY562" s="1055"/>
      <c r="EZ562" s="1055"/>
      <c r="FA562" s="1055"/>
      <c r="FB562" s="1055"/>
    </row>
    <row r="563" spans="1:158" ht="32.1" customHeight="1">
      <c r="A563" s="1339"/>
      <c r="B563" s="1253" t="s">
        <v>500</v>
      </c>
      <c r="C563" s="1562">
        <v>0.5</v>
      </c>
      <c r="D563" s="1562">
        <v>0</v>
      </c>
      <c r="E563" s="1562">
        <v>0.5</v>
      </c>
      <c r="F563" s="1562">
        <v>0</v>
      </c>
      <c r="G563" s="1562">
        <v>0.5</v>
      </c>
      <c r="H563" s="1562">
        <v>1</v>
      </c>
      <c r="I563" s="1779" t="s">
        <v>495</v>
      </c>
      <c r="J563" s="1344">
        <v>0.5</v>
      </c>
      <c r="K563" s="1070" t="s">
        <v>6530</v>
      </c>
      <c r="L563" s="1071" t="s">
        <v>6012</v>
      </c>
      <c r="M563" s="1340" t="s">
        <v>6215</v>
      </c>
      <c r="N563" s="1342" t="s">
        <v>5847</v>
      </c>
      <c r="O563" s="1342" t="s">
        <v>5825</v>
      </c>
      <c r="P563" s="1070"/>
      <c r="Q563" s="1070"/>
      <c r="R563" s="1290"/>
      <c r="S563" s="1055"/>
      <c r="T563" s="1055"/>
      <c r="U563" s="1055"/>
      <c r="V563" s="1055"/>
      <c r="W563" s="1055"/>
      <c r="X563" s="1055"/>
      <c r="Y563" s="1055"/>
      <c r="Z563" s="1055"/>
      <c r="AA563" s="1055"/>
      <c r="AB563" s="1055"/>
      <c r="AC563" s="1055"/>
      <c r="AD563" s="1055"/>
      <c r="AE563" s="1055"/>
      <c r="AF563" s="1055"/>
      <c r="AG563" s="1055"/>
      <c r="AH563" s="1055"/>
      <c r="AI563" s="1055"/>
      <c r="AJ563" s="1055"/>
      <c r="AK563" s="1055"/>
      <c r="AL563" s="1055"/>
      <c r="AM563" s="1055"/>
      <c r="AN563" s="1055"/>
      <c r="AO563" s="1055"/>
      <c r="AP563" s="1055"/>
      <c r="AQ563" s="1055"/>
      <c r="AR563" s="1055"/>
      <c r="AS563" s="1055"/>
      <c r="AT563" s="1055"/>
      <c r="AU563" s="1055"/>
      <c r="AV563" s="1055"/>
      <c r="AW563" s="1055"/>
      <c r="AX563" s="1055"/>
      <c r="AY563" s="1055"/>
      <c r="AZ563" s="1055"/>
      <c r="BA563" s="1055"/>
      <c r="BB563" s="1055"/>
      <c r="BC563" s="1055"/>
      <c r="BD563" s="1055"/>
      <c r="BE563" s="1055"/>
      <c r="BF563" s="1055"/>
      <c r="BG563" s="1055"/>
      <c r="BH563" s="1055"/>
      <c r="BI563" s="1055"/>
      <c r="BJ563" s="1055"/>
      <c r="BK563" s="1055"/>
      <c r="BL563" s="1055"/>
      <c r="BM563" s="1055"/>
      <c r="BN563" s="1055"/>
      <c r="BO563" s="1055"/>
      <c r="BP563" s="1055"/>
      <c r="BQ563" s="1055"/>
      <c r="BR563" s="1055"/>
      <c r="BS563" s="1055"/>
      <c r="BT563" s="1055"/>
      <c r="BU563" s="1055"/>
      <c r="BV563" s="1055"/>
      <c r="BW563" s="1055"/>
      <c r="BX563" s="1055"/>
      <c r="BY563" s="1055"/>
      <c r="BZ563" s="1055"/>
      <c r="CA563" s="1055"/>
      <c r="CB563" s="1055"/>
      <c r="CC563" s="1055"/>
      <c r="CD563" s="1055"/>
      <c r="CE563" s="1055"/>
      <c r="CF563" s="1055"/>
      <c r="CG563" s="1055"/>
      <c r="CH563" s="1055"/>
      <c r="CI563" s="1055"/>
      <c r="CJ563" s="1055"/>
      <c r="CK563" s="1055"/>
      <c r="CL563" s="1055"/>
      <c r="CM563" s="1055"/>
      <c r="CN563" s="1055"/>
      <c r="CO563" s="1055"/>
      <c r="CP563" s="1055"/>
      <c r="CQ563" s="1055"/>
      <c r="CR563" s="1055"/>
      <c r="CS563" s="1055"/>
      <c r="CT563" s="1055"/>
      <c r="CU563" s="1055"/>
      <c r="CV563" s="1055"/>
      <c r="CW563" s="1055"/>
      <c r="CX563" s="1055"/>
      <c r="CY563" s="1055"/>
      <c r="CZ563" s="1055"/>
      <c r="DA563" s="1055"/>
      <c r="DB563" s="1055"/>
      <c r="DC563" s="1055"/>
      <c r="DD563" s="1055"/>
      <c r="DE563" s="1055"/>
      <c r="DF563" s="1055"/>
      <c r="DG563" s="1055"/>
      <c r="DH563" s="1055"/>
      <c r="DI563" s="1055"/>
      <c r="DJ563" s="1055"/>
      <c r="DK563" s="1055"/>
      <c r="DL563" s="1055"/>
      <c r="DM563" s="1055"/>
      <c r="DN563" s="1055"/>
      <c r="DO563" s="1055"/>
      <c r="DP563" s="1055"/>
      <c r="DQ563" s="1055"/>
      <c r="DR563" s="1055"/>
      <c r="DS563" s="1055"/>
      <c r="DT563" s="1055"/>
      <c r="DU563" s="1055"/>
      <c r="DV563" s="1055"/>
      <c r="DW563" s="1055"/>
      <c r="DX563" s="1055"/>
      <c r="DY563" s="1055"/>
      <c r="DZ563" s="1055"/>
      <c r="EA563" s="1055"/>
      <c r="EB563" s="1055"/>
      <c r="EC563" s="1055"/>
      <c r="ED563" s="1055"/>
      <c r="EE563" s="1055"/>
      <c r="EF563" s="1055"/>
      <c r="EG563" s="1055"/>
      <c r="EH563" s="1055"/>
      <c r="EI563" s="1055"/>
      <c r="EJ563" s="1055"/>
      <c r="EK563" s="1055"/>
      <c r="EL563" s="1055"/>
      <c r="EM563" s="1055"/>
      <c r="EN563" s="1055"/>
      <c r="EO563" s="1055"/>
      <c r="EP563" s="1055"/>
      <c r="EQ563" s="1055"/>
      <c r="ER563" s="1055"/>
      <c r="ES563" s="1055"/>
      <c r="ET563" s="1055"/>
      <c r="EU563" s="1055"/>
      <c r="EV563" s="1055"/>
      <c r="EW563" s="1055"/>
      <c r="EX563" s="1055"/>
      <c r="EY563" s="1055"/>
      <c r="EZ563" s="1055"/>
      <c r="FA563" s="1055"/>
      <c r="FB563" s="1055"/>
    </row>
    <row r="564" spans="1:158" ht="32.1" customHeight="1">
      <c r="A564" s="1339"/>
      <c r="B564" s="1253" t="s">
        <v>501</v>
      </c>
      <c r="C564" s="1562">
        <v>0.5</v>
      </c>
      <c r="D564" s="1562">
        <v>0.5</v>
      </c>
      <c r="E564" s="1562">
        <v>0.5</v>
      </c>
      <c r="F564" s="1562">
        <v>0.5</v>
      </c>
      <c r="G564" s="1562">
        <v>0</v>
      </c>
      <c r="H564" s="1562">
        <v>1</v>
      </c>
      <c r="I564" s="1779" t="s">
        <v>495</v>
      </c>
      <c r="J564" s="1344">
        <v>0.5</v>
      </c>
      <c r="K564" s="1070" t="s">
        <v>6531</v>
      </c>
      <c r="L564" s="1071" t="s">
        <v>6013</v>
      </c>
      <c r="M564" s="1340" t="s">
        <v>6216</v>
      </c>
      <c r="N564" s="1342" t="s">
        <v>748</v>
      </c>
      <c r="O564" s="1343" t="s">
        <v>811</v>
      </c>
      <c r="P564" s="1070"/>
      <c r="Q564" s="1070"/>
      <c r="R564" s="1290"/>
      <c r="S564" s="1055"/>
      <c r="T564" s="1055"/>
      <c r="U564" s="1055"/>
      <c r="V564" s="1055"/>
      <c r="W564" s="1055"/>
      <c r="X564" s="1055"/>
      <c r="Y564" s="1055"/>
      <c r="Z564" s="1055"/>
      <c r="AA564" s="1055"/>
      <c r="AB564" s="1055"/>
      <c r="AC564" s="1055"/>
      <c r="AD564" s="1055"/>
      <c r="AE564" s="1055"/>
      <c r="AF564" s="1055"/>
      <c r="AG564" s="1055"/>
      <c r="AH564" s="1055"/>
      <c r="AI564" s="1055"/>
      <c r="AJ564" s="1055"/>
      <c r="AK564" s="1055"/>
      <c r="AL564" s="1055"/>
      <c r="AM564" s="1055"/>
      <c r="AN564" s="1055"/>
      <c r="AO564" s="1055"/>
      <c r="AP564" s="1055"/>
      <c r="AQ564" s="1055"/>
      <c r="AR564" s="1055"/>
      <c r="AS564" s="1055"/>
      <c r="AT564" s="1055"/>
      <c r="AU564" s="1055"/>
      <c r="AV564" s="1055"/>
      <c r="AW564" s="1055"/>
      <c r="AX564" s="1055"/>
      <c r="AY564" s="1055"/>
      <c r="AZ564" s="1055"/>
      <c r="BA564" s="1055"/>
      <c r="BB564" s="1055"/>
      <c r="BC564" s="1055"/>
      <c r="BD564" s="1055"/>
      <c r="BE564" s="1055"/>
      <c r="BF564" s="1055"/>
      <c r="BG564" s="1055"/>
      <c r="BH564" s="1055"/>
      <c r="BI564" s="1055"/>
      <c r="BJ564" s="1055"/>
      <c r="BK564" s="1055"/>
      <c r="BL564" s="1055"/>
      <c r="BM564" s="1055"/>
      <c r="BN564" s="1055"/>
      <c r="BO564" s="1055"/>
      <c r="BP564" s="1055"/>
      <c r="BQ564" s="1055"/>
      <c r="BR564" s="1055"/>
      <c r="BS564" s="1055"/>
      <c r="BT564" s="1055"/>
      <c r="BU564" s="1055"/>
      <c r="BV564" s="1055"/>
      <c r="BW564" s="1055"/>
      <c r="BX564" s="1055"/>
      <c r="BY564" s="1055"/>
      <c r="BZ564" s="1055"/>
      <c r="CA564" s="1055"/>
      <c r="CB564" s="1055"/>
      <c r="CC564" s="1055"/>
      <c r="CD564" s="1055"/>
      <c r="CE564" s="1055"/>
      <c r="CF564" s="1055"/>
      <c r="CG564" s="1055"/>
      <c r="CH564" s="1055"/>
      <c r="CI564" s="1055"/>
      <c r="CJ564" s="1055"/>
      <c r="CK564" s="1055"/>
      <c r="CL564" s="1055"/>
      <c r="CM564" s="1055"/>
      <c r="CN564" s="1055"/>
      <c r="CO564" s="1055"/>
      <c r="CP564" s="1055"/>
      <c r="CQ564" s="1055"/>
      <c r="CR564" s="1055"/>
      <c r="CS564" s="1055"/>
      <c r="CT564" s="1055"/>
      <c r="CU564" s="1055"/>
      <c r="CV564" s="1055"/>
      <c r="CW564" s="1055"/>
      <c r="CX564" s="1055"/>
      <c r="CY564" s="1055"/>
      <c r="CZ564" s="1055"/>
      <c r="DA564" s="1055"/>
      <c r="DB564" s="1055"/>
      <c r="DC564" s="1055"/>
      <c r="DD564" s="1055"/>
      <c r="DE564" s="1055"/>
      <c r="DF564" s="1055"/>
      <c r="DG564" s="1055"/>
      <c r="DH564" s="1055"/>
      <c r="DI564" s="1055"/>
      <c r="DJ564" s="1055"/>
      <c r="DK564" s="1055"/>
      <c r="DL564" s="1055"/>
      <c r="DM564" s="1055"/>
      <c r="DN564" s="1055"/>
      <c r="DO564" s="1055"/>
      <c r="DP564" s="1055"/>
      <c r="DQ564" s="1055"/>
      <c r="DR564" s="1055"/>
      <c r="DS564" s="1055"/>
      <c r="DT564" s="1055"/>
      <c r="DU564" s="1055"/>
      <c r="DV564" s="1055"/>
      <c r="DW564" s="1055"/>
      <c r="DX564" s="1055"/>
      <c r="DY564" s="1055"/>
      <c r="DZ564" s="1055"/>
      <c r="EA564" s="1055"/>
      <c r="EB564" s="1055"/>
      <c r="EC564" s="1055"/>
      <c r="ED564" s="1055"/>
      <c r="EE564" s="1055"/>
      <c r="EF564" s="1055"/>
      <c r="EG564" s="1055"/>
      <c r="EH564" s="1055"/>
      <c r="EI564" s="1055"/>
      <c r="EJ564" s="1055"/>
      <c r="EK564" s="1055"/>
      <c r="EL564" s="1055"/>
      <c r="EM564" s="1055"/>
      <c r="EN564" s="1055"/>
      <c r="EO564" s="1055"/>
      <c r="EP564" s="1055"/>
      <c r="EQ564" s="1055"/>
      <c r="ER564" s="1055"/>
      <c r="ES564" s="1055"/>
      <c r="ET564" s="1055"/>
      <c r="EU564" s="1055"/>
      <c r="EV564" s="1055"/>
      <c r="EW564" s="1055"/>
      <c r="EX564" s="1055"/>
      <c r="EY564" s="1055"/>
      <c r="EZ564" s="1055"/>
      <c r="FA564" s="1055"/>
      <c r="FB564" s="1055"/>
    </row>
    <row r="565" spans="1:158" ht="32.1" customHeight="1">
      <c r="A565" s="1339"/>
      <c r="B565" s="1253" t="s">
        <v>502</v>
      </c>
      <c r="C565" s="1562">
        <v>0.5</v>
      </c>
      <c r="D565" s="1562">
        <v>1</v>
      </c>
      <c r="E565" s="1562">
        <v>1</v>
      </c>
      <c r="F565" s="1562">
        <v>0.5</v>
      </c>
      <c r="G565" s="1562">
        <v>0.5</v>
      </c>
      <c r="H565" s="1562"/>
      <c r="I565" s="1779" t="s">
        <v>495</v>
      </c>
      <c r="J565" s="1344">
        <v>0.5</v>
      </c>
      <c r="K565" s="1070" t="s">
        <v>811</v>
      </c>
      <c r="L565" s="1071" t="s">
        <v>811</v>
      </c>
      <c r="M565" s="1340" t="s">
        <v>6217</v>
      </c>
      <c r="N565" s="1342" t="s">
        <v>5848</v>
      </c>
      <c r="O565" s="1343" t="s">
        <v>877</v>
      </c>
      <c r="P565" s="1070"/>
      <c r="Q565" s="1070"/>
      <c r="R565" s="1290"/>
      <c r="S565" s="1055"/>
      <c r="T565" s="1055"/>
      <c r="U565" s="1055"/>
      <c r="V565" s="1055"/>
      <c r="W565" s="1055"/>
      <c r="X565" s="1055"/>
      <c r="Y565" s="1055"/>
      <c r="Z565" s="1055"/>
      <c r="AA565" s="1055"/>
      <c r="AB565" s="1055"/>
      <c r="AC565" s="1055"/>
      <c r="AD565" s="1055"/>
      <c r="AE565" s="1055"/>
      <c r="AF565" s="1055"/>
      <c r="AG565" s="1055"/>
      <c r="AH565" s="1055"/>
      <c r="AI565" s="1055"/>
      <c r="AJ565" s="1055"/>
      <c r="AK565" s="1055"/>
      <c r="AL565" s="1055"/>
      <c r="AM565" s="1055"/>
      <c r="AN565" s="1055"/>
      <c r="AO565" s="1055"/>
      <c r="AP565" s="1055"/>
      <c r="AQ565" s="1055"/>
      <c r="AR565" s="1055"/>
      <c r="AS565" s="1055"/>
      <c r="AT565" s="1055"/>
      <c r="AU565" s="1055"/>
      <c r="AV565" s="1055"/>
      <c r="AW565" s="1055"/>
      <c r="AX565" s="1055"/>
      <c r="AY565" s="1055"/>
      <c r="AZ565" s="1055"/>
      <c r="BA565" s="1055"/>
      <c r="BB565" s="1055"/>
      <c r="BC565" s="1055"/>
      <c r="BD565" s="1055"/>
      <c r="BE565" s="1055"/>
      <c r="BF565" s="1055"/>
      <c r="BG565" s="1055"/>
      <c r="BH565" s="1055"/>
      <c r="BI565" s="1055"/>
      <c r="BJ565" s="1055"/>
      <c r="BK565" s="1055"/>
      <c r="BL565" s="1055"/>
      <c r="BM565" s="1055"/>
      <c r="BN565" s="1055"/>
      <c r="BO565" s="1055"/>
      <c r="BP565" s="1055"/>
      <c r="BQ565" s="1055"/>
      <c r="BR565" s="1055"/>
      <c r="BS565" s="1055"/>
      <c r="BT565" s="1055"/>
      <c r="BU565" s="1055"/>
      <c r="BV565" s="1055"/>
      <c r="BW565" s="1055"/>
      <c r="BX565" s="1055"/>
      <c r="BY565" s="1055"/>
      <c r="BZ565" s="1055"/>
      <c r="CA565" s="1055"/>
      <c r="CB565" s="1055"/>
      <c r="CC565" s="1055"/>
      <c r="CD565" s="1055"/>
      <c r="CE565" s="1055"/>
      <c r="CF565" s="1055"/>
      <c r="CG565" s="1055"/>
      <c r="CH565" s="1055"/>
      <c r="CI565" s="1055"/>
      <c r="CJ565" s="1055"/>
      <c r="CK565" s="1055"/>
      <c r="CL565" s="1055"/>
      <c r="CM565" s="1055"/>
      <c r="CN565" s="1055"/>
      <c r="CO565" s="1055"/>
      <c r="CP565" s="1055"/>
      <c r="CQ565" s="1055"/>
      <c r="CR565" s="1055"/>
      <c r="CS565" s="1055"/>
      <c r="CT565" s="1055"/>
      <c r="CU565" s="1055"/>
      <c r="CV565" s="1055"/>
      <c r="CW565" s="1055"/>
      <c r="CX565" s="1055"/>
      <c r="CY565" s="1055"/>
      <c r="CZ565" s="1055"/>
      <c r="DA565" s="1055"/>
      <c r="DB565" s="1055"/>
      <c r="DC565" s="1055"/>
      <c r="DD565" s="1055"/>
      <c r="DE565" s="1055"/>
      <c r="DF565" s="1055"/>
      <c r="DG565" s="1055"/>
      <c r="DH565" s="1055"/>
      <c r="DI565" s="1055"/>
      <c r="DJ565" s="1055"/>
      <c r="DK565" s="1055"/>
      <c r="DL565" s="1055"/>
      <c r="DM565" s="1055"/>
      <c r="DN565" s="1055"/>
      <c r="DO565" s="1055"/>
      <c r="DP565" s="1055"/>
      <c r="DQ565" s="1055"/>
      <c r="DR565" s="1055"/>
      <c r="DS565" s="1055"/>
      <c r="DT565" s="1055"/>
      <c r="DU565" s="1055"/>
      <c r="DV565" s="1055"/>
      <c r="DW565" s="1055"/>
      <c r="DX565" s="1055"/>
      <c r="DY565" s="1055"/>
      <c r="DZ565" s="1055"/>
      <c r="EA565" s="1055"/>
      <c r="EB565" s="1055"/>
      <c r="EC565" s="1055"/>
      <c r="ED565" s="1055"/>
      <c r="EE565" s="1055"/>
      <c r="EF565" s="1055"/>
      <c r="EG565" s="1055"/>
      <c r="EH565" s="1055"/>
      <c r="EI565" s="1055"/>
      <c r="EJ565" s="1055"/>
      <c r="EK565" s="1055"/>
      <c r="EL565" s="1055"/>
      <c r="EM565" s="1055"/>
      <c r="EN565" s="1055"/>
      <c r="EO565" s="1055"/>
      <c r="EP565" s="1055"/>
      <c r="EQ565" s="1055"/>
      <c r="ER565" s="1055"/>
      <c r="ES565" s="1055"/>
      <c r="ET565" s="1055"/>
      <c r="EU565" s="1055"/>
      <c r="EV565" s="1055"/>
      <c r="EW565" s="1055"/>
      <c r="EX565" s="1055"/>
      <c r="EY565" s="1055"/>
      <c r="EZ565" s="1055"/>
      <c r="FA565" s="1055"/>
      <c r="FB565" s="1055"/>
    </row>
    <row r="566" spans="1:158" ht="32.1" customHeight="1">
      <c r="A566" s="1339"/>
      <c r="B566" s="1253" t="s">
        <v>503</v>
      </c>
      <c r="C566" s="1562">
        <v>0.75</v>
      </c>
      <c r="D566" s="1562">
        <v>0</v>
      </c>
      <c r="E566" s="1562">
        <v>1</v>
      </c>
      <c r="F566" s="1562">
        <v>1</v>
      </c>
      <c r="G566" s="1562">
        <v>0.5</v>
      </c>
      <c r="H566" s="1562">
        <v>0.5</v>
      </c>
      <c r="I566" s="1779" t="s">
        <v>495</v>
      </c>
      <c r="J566" s="1344">
        <v>1</v>
      </c>
      <c r="K566" s="1070">
        <v>0</v>
      </c>
      <c r="L566" s="1071" t="s">
        <v>6014</v>
      </c>
      <c r="M566" s="1340" t="s">
        <v>811</v>
      </c>
      <c r="N566" s="1345" t="s">
        <v>5539</v>
      </c>
      <c r="O566" s="1345" t="s">
        <v>5826</v>
      </c>
      <c r="P566" s="1070">
        <v>1</v>
      </c>
      <c r="Q566" s="1070">
        <v>0</v>
      </c>
      <c r="R566" s="1290"/>
      <c r="S566" s="1055"/>
      <c r="T566" s="1055"/>
      <c r="U566" s="1055"/>
      <c r="V566" s="1055"/>
      <c r="W566" s="1055"/>
      <c r="X566" s="1055"/>
      <c r="Y566" s="1055"/>
      <c r="Z566" s="1055"/>
      <c r="AA566" s="1055"/>
      <c r="AB566" s="1055"/>
      <c r="AC566" s="1055"/>
      <c r="AD566" s="1055"/>
      <c r="AE566" s="1055"/>
      <c r="AF566" s="1055"/>
      <c r="AG566" s="1055"/>
      <c r="AH566" s="1055"/>
      <c r="AI566" s="1055"/>
      <c r="AJ566" s="1055"/>
      <c r="AK566" s="1055"/>
      <c r="AL566" s="1055"/>
      <c r="AM566" s="1055"/>
      <c r="AN566" s="1055"/>
      <c r="AO566" s="1055"/>
      <c r="AP566" s="1055"/>
      <c r="AQ566" s="1055"/>
      <c r="AR566" s="1055"/>
      <c r="AS566" s="1055"/>
      <c r="AT566" s="1055"/>
      <c r="AU566" s="1055"/>
      <c r="AV566" s="1055"/>
      <c r="AW566" s="1055"/>
      <c r="AX566" s="1055"/>
      <c r="AY566" s="1055"/>
      <c r="AZ566" s="1055"/>
      <c r="BA566" s="1055"/>
      <c r="BB566" s="1055"/>
      <c r="BC566" s="1055"/>
      <c r="BD566" s="1055"/>
      <c r="BE566" s="1055"/>
      <c r="BF566" s="1055"/>
      <c r="BG566" s="1055"/>
      <c r="BH566" s="1055"/>
      <c r="BI566" s="1055"/>
      <c r="BJ566" s="1055"/>
      <c r="BK566" s="1055"/>
      <c r="BL566" s="1055"/>
      <c r="BM566" s="1055"/>
      <c r="BN566" s="1055"/>
      <c r="BO566" s="1055"/>
      <c r="BP566" s="1055"/>
      <c r="BQ566" s="1055"/>
      <c r="BR566" s="1055"/>
      <c r="BS566" s="1055"/>
      <c r="BT566" s="1055"/>
      <c r="BU566" s="1055"/>
      <c r="BV566" s="1055"/>
      <c r="BW566" s="1055"/>
      <c r="BX566" s="1055"/>
      <c r="BY566" s="1055"/>
      <c r="BZ566" s="1055"/>
      <c r="CA566" s="1055"/>
      <c r="CB566" s="1055"/>
      <c r="CC566" s="1055"/>
      <c r="CD566" s="1055"/>
      <c r="CE566" s="1055"/>
      <c r="CF566" s="1055"/>
      <c r="CG566" s="1055"/>
      <c r="CH566" s="1055"/>
      <c r="CI566" s="1055"/>
      <c r="CJ566" s="1055"/>
      <c r="CK566" s="1055"/>
      <c r="CL566" s="1055"/>
      <c r="CM566" s="1055"/>
      <c r="CN566" s="1055"/>
      <c r="CO566" s="1055"/>
      <c r="CP566" s="1055"/>
      <c r="CQ566" s="1055"/>
      <c r="CR566" s="1055"/>
      <c r="CS566" s="1055"/>
      <c r="CT566" s="1055"/>
      <c r="CU566" s="1055"/>
      <c r="CV566" s="1055"/>
      <c r="CW566" s="1055"/>
      <c r="CX566" s="1055"/>
      <c r="CY566" s="1055"/>
      <c r="CZ566" s="1055"/>
      <c r="DA566" s="1055"/>
      <c r="DB566" s="1055"/>
      <c r="DC566" s="1055"/>
      <c r="DD566" s="1055"/>
      <c r="DE566" s="1055"/>
      <c r="DF566" s="1055"/>
      <c r="DG566" s="1055"/>
      <c r="DH566" s="1055"/>
      <c r="DI566" s="1055"/>
      <c r="DJ566" s="1055"/>
      <c r="DK566" s="1055"/>
      <c r="DL566" s="1055"/>
      <c r="DM566" s="1055"/>
      <c r="DN566" s="1055"/>
      <c r="DO566" s="1055"/>
      <c r="DP566" s="1055"/>
      <c r="DQ566" s="1055"/>
      <c r="DR566" s="1055"/>
      <c r="DS566" s="1055"/>
      <c r="DT566" s="1055"/>
      <c r="DU566" s="1055"/>
      <c r="DV566" s="1055"/>
      <c r="DW566" s="1055"/>
      <c r="DX566" s="1055"/>
      <c r="DY566" s="1055"/>
      <c r="DZ566" s="1055"/>
      <c r="EA566" s="1055"/>
      <c r="EB566" s="1055"/>
      <c r="EC566" s="1055"/>
      <c r="ED566" s="1055"/>
      <c r="EE566" s="1055"/>
      <c r="EF566" s="1055"/>
      <c r="EG566" s="1055"/>
      <c r="EH566" s="1055"/>
      <c r="EI566" s="1055"/>
      <c r="EJ566" s="1055"/>
      <c r="EK566" s="1055"/>
      <c r="EL566" s="1055"/>
      <c r="EM566" s="1055"/>
      <c r="EN566" s="1055"/>
      <c r="EO566" s="1055"/>
      <c r="EP566" s="1055"/>
      <c r="EQ566" s="1055"/>
      <c r="ER566" s="1055"/>
      <c r="ES566" s="1055"/>
      <c r="ET566" s="1055"/>
      <c r="EU566" s="1055"/>
      <c r="EV566" s="1055"/>
      <c r="EW566" s="1055"/>
      <c r="EX566" s="1055"/>
      <c r="EY566" s="1055"/>
      <c r="EZ566" s="1055"/>
      <c r="FA566" s="1055"/>
      <c r="FB566" s="1055"/>
    </row>
    <row r="567" spans="1:158" ht="32.1" customHeight="1">
      <c r="A567" s="1339"/>
      <c r="B567" s="1253" t="s">
        <v>504</v>
      </c>
      <c r="C567" s="1562">
        <f t="shared" ref="C567:H567" si="136">AVERAGE(C568:C572)</f>
        <v>0.4</v>
      </c>
      <c r="D567" s="1562">
        <f t="shared" si="136"/>
        <v>0.9</v>
      </c>
      <c r="E567" s="1562">
        <f t="shared" si="136"/>
        <v>0.8</v>
      </c>
      <c r="F567" s="1562">
        <f t="shared" si="136"/>
        <v>0.5</v>
      </c>
      <c r="G567" s="1562">
        <f t="shared" si="136"/>
        <v>0.75</v>
      </c>
      <c r="H567" s="1562">
        <f t="shared" si="136"/>
        <v>1</v>
      </c>
      <c r="I567" s="1779" t="s">
        <v>492</v>
      </c>
      <c r="J567" s="1344"/>
      <c r="K567" s="1070"/>
      <c r="L567" s="1079"/>
      <c r="M567" s="1340"/>
      <c r="N567" s="1340"/>
      <c r="O567" s="1340"/>
      <c r="P567" s="1070"/>
      <c r="Q567" s="1070"/>
      <c r="R567" s="1290"/>
      <c r="S567" s="1055"/>
      <c r="T567" s="1055"/>
      <c r="U567" s="1055"/>
      <c r="V567" s="1055"/>
      <c r="W567" s="1055"/>
      <c r="X567" s="1055"/>
      <c r="Y567" s="1055"/>
      <c r="Z567" s="1055"/>
      <c r="AA567" s="1055"/>
      <c r="AB567" s="1055"/>
      <c r="AC567" s="1055"/>
      <c r="AD567" s="1055"/>
      <c r="AE567" s="1055"/>
      <c r="AF567" s="1055"/>
      <c r="AG567" s="1055"/>
      <c r="AH567" s="1055"/>
      <c r="AI567" s="1055"/>
      <c r="AJ567" s="1055"/>
      <c r="AK567" s="1055"/>
      <c r="AL567" s="1055"/>
      <c r="AM567" s="1055"/>
      <c r="AN567" s="1055"/>
      <c r="AO567" s="1055"/>
      <c r="AP567" s="1055"/>
      <c r="AQ567" s="1055"/>
      <c r="AR567" s="1055"/>
      <c r="AS567" s="1055"/>
      <c r="AT567" s="1055"/>
      <c r="AU567" s="1055"/>
      <c r="AV567" s="1055"/>
      <c r="AW567" s="1055"/>
      <c r="AX567" s="1055"/>
      <c r="AY567" s="1055"/>
      <c r="AZ567" s="1055"/>
      <c r="BA567" s="1055"/>
      <c r="BB567" s="1055"/>
      <c r="BC567" s="1055"/>
      <c r="BD567" s="1055"/>
      <c r="BE567" s="1055"/>
      <c r="BF567" s="1055"/>
      <c r="BG567" s="1055"/>
      <c r="BH567" s="1055"/>
      <c r="BI567" s="1055"/>
      <c r="BJ567" s="1055"/>
      <c r="BK567" s="1055"/>
      <c r="BL567" s="1055"/>
      <c r="BM567" s="1055"/>
      <c r="BN567" s="1055"/>
      <c r="BO567" s="1055"/>
      <c r="BP567" s="1055"/>
      <c r="BQ567" s="1055"/>
      <c r="BR567" s="1055"/>
      <c r="BS567" s="1055"/>
      <c r="BT567" s="1055"/>
      <c r="BU567" s="1055"/>
      <c r="BV567" s="1055"/>
      <c r="BW567" s="1055"/>
      <c r="BX567" s="1055"/>
      <c r="BY567" s="1055"/>
      <c r="BZ567" s="1055"/>
      <c r="CA567" s="1055"/>
      <c r="CB567" s="1055"/>
      <c r="CC567" s="1055"/>
      <c r="CD567" s="1055"/>
      <c r="CE567" s="1055"/>
      <c r="CF567" s="1055"/>
      <c r="CG567" s="1055"/>
      <c r="CH567" s="1055"/>
      <c r="CI567" s="1055"/>
      <c r="CJ567" s="1055"/>
      <c r="CK567" s="1055"/>
      <c r="CL567" s="1055"/>
      <c r="CM567" s="1055"/>
      <c r="CN567" s="1055"/>
      <c r="CO567" s="1055"/>
      <c r="CP567" s="1055"/>
      <c r="CQ567" s="1055"/>
      <c r="CR567" s="1055"/>
      <c r="CS567" s="1055"/>
      <c r="CT567" s="1055"/>
      <c r="CU567" s="1055"/>
      <c r="CV567" s="1055"/>
      <c r="CW567" s="1055"/>
      <c r="CX567" s="1055"/>
      <c r="CY567" s="1055"/>
      <c r="CZ567" s="1055"/>
      <c r="DA567" s="1055"/>
      <c r="DB567" s="1055"/>
      <c r="DC567" s="1055"/>
      <c r="DD567" s="1055"/>
      <c r="DE567" s="1055"/>
      <c r="DF567" s="1055"/>
      <c r="DG567" s="1055"/>
      <c r="DH567" s="1055"/>
      <c r="DI567" s="1055"/>
      <c r="DJ567" s="1055"/>
      <c r="DK567" s="1055"/>
      <c r="DL567" s="1055"/>
      <c r="DM567" s="1055"/>
      <c r="DN567" s="1055"/>
      <c r="DO567" s="1055"/>
      <c r="DP567" s="1055"/>
      <c r="DQ567" s="1055"/>
      <c r="DR567" s="1055"/>
      <c r="DS567" s="1055"/>
      <c r="DT567" s="1055"/>
      <c r="DU567" s="1055"/>
      <c r="DV567" s="1055"/>
      <c r="DW567" s="1055"/>
      <c r="DX567" s="1055"/>
      <c r="DY567" s="1055"/>
      <c r="DZ567" s="1055"/>
      <c r="EA567" s="1055"/>
      <c r="EB567" s="1055"/>
      <c r="EC567" s="1055"/>
      <c r="ED567" s="1055"/>
      <c r="EE567" s="1055"/>
      <c r="EF567" s="1055"/>
      <c r="EG567" s="1055"/>
      <c r="EH567" s="1055"/>
      <c r="EI567" s="1055"/>
      <c r="EJ567" s="1055"/>
      <c r="EK567" s="1055"/>
      <c r="EL567" s="1055"/>
      <c r="EM567" s="1055"/>
      <c r="EN567" s="1055"/>
      <c r="EO567" s="1055"/>
      <c r="EP567" s="1055"/>
      <c r="EQ567" s="1055"/>
      <c r="ER567" s="1055"/>
      <c r="ES567" s="1055"/>
      <c r="ET567" s="1055"/>
      <c r="EU567" s="1055"/>
      <c r="EV567" s="1055"/>
      <c r="EW567" s="1055"/>
      <c r="EX567" s="1055"/>
      <c r="EY567" s="1055"/>
      <c r="EZ567" s="1055"/>
      <c r="FA567" s="1055"/>
      <c r="FB567" s="1055"/>
    </row>
    <row r="568" spans="1:158" ht="32.1" customHeight="1">
      <c r="A568" s="1339"/>
      <c r="B568" s="1346" t="s">
        <v>505</v>
      </c>
      <c r="C568" s="1562">
        <v>0.25</v>
      </c>
      <c r="D568" s="1562">
        <v>0.5</v>
      </c>
      <c r="E568" s="1562">
        <v>1</v>
      </c>
      <c r="F568" s="1562">
        <v>0.5</v>
      </c>
      <c r="G568" s="1562">
        <v>0.5</v>
      </c>
      <c r="H568" s="1562">
        <v>1</v>
      </c>
      <c r="I568" s="1779" t="s">
        <v>492</v>
      </c>
      <c r="J568" s="1122">
        <v>0.25</v>
      </c>
      <c r="K568" s="1070" t="s">
        <v>2462</v>
      </c>
      <c r="L568" s="1071" t="s">
        <v>6015</v>
      </c>
      <c r="M568" s="1340" t="s">
        <v>6218</v>
      </c>
      <c r="N568" s="1345" t="s">
        <v>5540</v>
      </c>
      <c r="O568" s="1340" t="s">
        <v>811</v>
      </c>
      <c r="P568" s="1070"/>
      <c r="Q568" s="1070"/>
      <c r="R568" s="1290"/>
      <c r="S568" s="1055"/>
      <c r="T568" s="1055"/>
      <c r="U568" s="1055"/>
      <c r="V568" s="1055"/>
      <c r="W568" s="1055"/>
      <c r="X568" s="1055"/>
      <c r="Y568" s="1055"/>
      <c r="Z568" s="1055"/>
      <c r="AA568" s="1055"/>
      <c r="AB568" s="1055"/>
      <c r="AC568" s="1055"/>
      <c r="AD568" s="1055"/>
      <c r="AE568" s="1055"/>
      <c r="AF568" s="1055"/>
      <c r="AG568" s="1055"/>
      <c r="AH568" s="1055"/>
      <c r="AI568" s="1055"/>
      <c r="AJ568" s="1055"/>
      <c r="AK568" s="1055"/>
      <c r="AL568" s="1055"/>
      <c r="AM568" s="1055"/>
      <c r="AN568" s="1055"/>
      <c r="AO568" s="1055"/>
      <c r="AP568" s="1055"/>
      <c r="AQ568" s="1055"/>
      <c r="AR568" s="1055"/>
      <c r="AS568" s="1055"/>
      <c r="AT568" s="1055"/>
      <c r="AU568" s="1055"/>
      <c r="AV568" s="1055"/>
      <c r="AW568" s="1055"/>
      <c r="AX568" s="1055"/>
      <c r="AY568" s="1055"/>
      <c r="AZ568" s="1055"/>
      <c r="BA568" s="1055"/>
      <c r="BB568" s="1055"/>
      <c r="BC568" s="1055"/>
      <c r="BD568" s="1055"/>
      <c r="BE568" s="1055"/>
      <c r="BF568" s="1055"/>
      <c r="BG568" s="1055"/>
      <c r="BH568" s="1055"/>
      <c r="BI568" s="1055"/>
      <c r="BJ568" s="1055"/>
      <c r="BK568" s="1055"/>
      <c r="BL568" s="1055"/>
      <c r="BM568" s="1055"/>
      <c r="BN568" s="1055"/>
      <c r="BO568" s="1055"/>
      <c r="BP568" s="1055"/>
      <c r="BQ568" s="1055"/>
      <c r="BR568" s="1055"/>
      <c r="BS568" s="1055"/>
      <c r="BT568" s="1055"/>
      <c r="BU568" s="1055"/>
      <c r="BV568" s="1055"/>
      <c r="BW568" s="1055"/>
      <c r="BX568" s="1055"/>
      <c r="BY568" s="1055"/>
      <c r="BZ568" s="1055"/>
      <c r="CA568" s="1055"/>
      <c r="CB568" s="1055"/>
      <c r="CC568" s="1055"/>
      <c r="CD568" s="1055"/>
      <c r="CE568" s="1055"/>
      <c r="CF568" s="1055"/>
      <c r="CG568" s="1055"/>
      <c r="CH568" s="1055"/>
      <c r="CI568" s="1055"/>
      <c r="CJ568" s="1055"/>
      <c r="CK568" s="1055"/>
      <c r="CL568" s="1055"/>
      <c r="CM568" s="1055"/>
      <c r="CN568" s="1055"/>
      <c r="CO568" s="1055"/>
      <c r="CP568" s="1055"/>
      <c r="CQ568" s="1055"/>
      <c r="CR568" s="1055"/>
      <c r="CS568" s="1055"/>
      <c r="CT568" s="1055"/>
      <c r="CU568" s="1055"/>
      <c r="CV568" s="1055"/>
      <c r="CW568" s="1055"/>
      <c r="CX568" s="1055"/>
      <c r="CY568" s="1055"/>
      <c r="CZ568" s="1055"/>
      <c r="DA568" s="1055"/>
      <c r="DB568" s="1055"/>
      <c r="DC568" s="1055"/>
      <c r="DD568" s="1055"/>
      <c r="DE568" s="1055"/>
      <c r="DF568" s="1055"/>
      <c r="DG568" s="1055"/>
      <c r="DH568" s="1055"/>
      <c r="DI568" s="1055"/>
      <c r="DJ568" s="1055"/>
      <c r="DK568" s="1055"/>
      <c r="DL568" s="1055"/>
      <c r="DM568" s="1055"/>
      <c r="DN568" s="1055"/>
      <c r="DO568" s="1055"/>
      <c r="DP568" s="1055"/>
      <c r="DQ568" s="1055"/>
      <c r="DR568" s="1055"/>
      <c r="DS568" s="1055"/>
      <c r="DT568" s="1055"/>
      <c r="DU568" s="1055"/>
      <c r="DV568" s="1055"/>
      <c r="DW568" s="1055"/>
      <c r="DX568" s="1055"/>
      <c r="DY568" s="1055"/>
      <c r="DZ568" s="1055"/>
      <c r="EA568" s="1055"/>
      <c r="EB568" s="1055"/>
      <c r="EC568" s="1055"/>
      <c r="ED568" s="1055"/>
      <c r="EE568" s="1055"/>
      <c r="EF568" s="1055"/>
      <c r="EG568" s="1055"/>
      <c r="EH568" s="1055"/>
      <c r="EI568" s="1055"/>
      <c r="EJ568" s="1055"/>
      <c r="EK568" s="1055"/>
      <c r="EL568" s="1055"/>
      <c r="EM568" s="1055"/>
      <c r="EN568" s="1055"/>
      <c r="EO568" s="1055"/>
      <c r="EP568" s="1055"/>
      <c r="EQ568" s="1055"/>
      <c r="ER568" s="1055"/>
      <c r="ES568" s="1055"/>
      <c r="ET568" s="1055"/>
      <c r="EU568" s="1055"/>
      <c r="EV568" s="1055"/>
      <c r="EW568" s="1055"/>
      <c r="EX568" s="1055"/>
      <c r="EY568" s="1055"/>
      <c r="EZ568" s="1055"/>
      <c r="FA568" s="1055"/>
      <c r="FB568" s="1055"/>
    </row>
    <row r="569" spans="1:158" ht="32.1" customHeight="1">
      <c r="A569" s="1339"/>
      <c r="B569" s="1346" t="s">
        <v>506</v>
      </c>
      <c r="C569" s="1562">
        <v>0.5</v>
      </c>
      <c r="D569" s="1562">
        <v>1</v>
      </c>
      <c r="E569" s="1562">
        <v>0.5</v>
      </c>
      <c r="F569" s="1562">
        <v>0.5</v>
      </c>
      <c r="G569" s="1562">
        <v>0.25</v>
      </c>
      <c r="H569" s="1562">
        <v>1</v>
      </c>
      <c r="I569" s="1779" t="s">
        <v>492</v>
      </c>
      <c r="J569" s="1122">
        <v>0.5</v>
      </c>
      <c r="K569" s="1070" t="s">
        <v>6532</v>
      </c>
      <c r="L569" s="1071" t="s">
        <v>6016</v>
      </c>
      <c r="M569" s="1345" t="s">
        <v>6219</v>
      </c>
      <c r="N569" s="1345" t="s">
        <v>6728</v>
      </c>
      <c r="O569" s="1340" t="s">
        <v>811</v>
      </c>
      <c r="P569" s="1070"/>
      <c r="Q569" s="1070"/>
      <c r="R569" s="1290"/>
      <c r="S569" s="1055"/>
      <c r="T569" s="1055"/>
      <c r="U569" s="1055"/>
      <c r="V569" s="1055"/>
      <c r="W569" s="1055"/>
      <c r="X569" s="1055"/>
      <c r="Y569" s="1055"/>
      <c r="Z569" s="1055"/>
      <c r="AA569" s="1055"/>
      <c r="AB569" s="1055"/>
      <c r="AC569" s="1055"/>
      <c r="AD569" s="1055"/>
      <c r="AE569" s="1055"/>
      <c r="AF569" s="1055"/>
      <c r="AG569" s="1055"/>
      <c r="AH569" s="1055"/>
      <c r="AI569" s="1055"/>
      <c r="AJ569" s="1055"/>
      <c r="AK569" s="1055"/>
      <c r="AL569" s="1055"/>
      <c r="AM569" s="1055"/>
      <c r="AN569" s="1055"/>
      <c r="AO569" s="1055"/>
      <c r="AP569" s="1055"/>
      <c r="AQ569" s="1055"/>
      <c r="AR569" s="1055"/>
      <c r="AS569" s="1055"/>
      <c r="AT569" s="1055"/>
      <c r="AU569" s="1055"/>
      <c r="AV569" s="1055"/>
      <c r="AW569" s="1055"/>
      <c r="AX569" s="1055"/>
      <c r="AY569" s="1055"/>
      <c r="AZ569" s="1055"/>
      <c r="BA569" s="1055"/>
      <c r="BB569" s="1055"/>
      <c r="BC569" s="1055"/>
      <c r="BD569" s="1055"/>
      <c r="BE569" s="1055"/>
      <c r="BF569" s="1055"/>
      <c r="BG569" s="1055"/>
      <c r="BH569" s="1055"/>
      <c r="BI569" s="1055"/>
      <c r="BJ569" s="1055"/>
      <c r="BK569" s="1055"/>
      <c r="BL569" s="1055"/>
      <c r="BM569" s="1055"/>
      <c r="BN569" s="1055"/>
      <c r="BO569" s="1055"/>
      <c r="BP569" s="1055"/>
      <c r="BQ569" s="1055"/>
      <c r="BR569" s="1055"/>
      <c r="BS569" s="1055"/>
      <c r="BT569" s="1055"/>
      <c r="BU569" s="1055"/>
      <c r="BV569" s="1055"/>
      <c r="BW569" s="1055"/>
      <c r="BX569" s="1055"/>
      <c r="BY569" s="1055"/>
      <c r="BZ569" s="1055"/>
      <c r="CA569" s="1055"/>
      <c r="CB569" s="1055"/>
      <c r="CC569" s="1055"/>
      <c r="CD569" s="1055"/>
      <c r="CE569" s="1055"/>
      <c r="CF569" s="1055"/>
      <c r="CG569" s="1055"/>
      <c r="CH569" s="1055"/>
      <c r="CI569" s="1055"/>
      <c r="CJ569" s="1055"/>
      <c r="CK569" s="1055"/>
      <c r="CL569" s="1055"/>
      <c r="CM569" s="1055"/>
      <c r="CN569" s="1055"/>
      <c r="CO569" s="1055"/>
      <c r="CP569" s="1055"/>
      <c r="CQ569" s="1055"/>
      <c r="CR569" s="1055"/>
      <c r="CS569" s="1055"/>
      <c r="CT569" s="1055"/>
      <c r="CU569" s="1055"/>
      <c r="CV569" s="1055"/>
      <c r="CW569" s="1055"/>
      <c r="CX569" s="1055"/>
      <c r="CY569" s="1055"/>
      <c r="CZ569" s="1055"/>
      <c r="DA569" s="1055"/>
      <c r="DB569" s="1055"/>
      <c r="DC569" s="1055"/>
      <c r="DD569" s="1055"/>
      <c r="DE569" s="1055"/>
      <c r="DF569" s="1055"/>
      <c r="DG569" s="1055"/>
      <c r="DH569" s="1055"/>
      <c r="DI569" s="1055"/>
      <c r="DJ569" s="1055"/>
      <c r="DK569" s="1055"/>
      <c r="DL569" s="1055"/>
      <c r="DM569" s="1055"/>
      <c r="DN569" s="1055"/>
      <c r="DO569" s="1055"/>
      <c r="DP569" s="1055"/>
      <c r="DQ569" s="1055"/>
      <c r="DR569" s="1055"/>
      <c r="DS569" s="1055"/>
      <c r="DT569" s="1055"/>
      <c r="DU569" s="1055"/>
      <c r="DV569" s="1055"/>
      <c r="DW569" s="1055"/>
      <c r="DX569" s="1055"/>
      <c r="DY569" s="1055"/>
      <c r="DZ569" s="1055"/>
      <c r="EA569" s="1055"/>
      <c r="EB569" s="1055"/>
      <c r="EC569" s="1055"/>
      <c r="ED569" s="1055"/>
      <c r="EE569" s="1055"/>
      <c r="EF569" s="1055"/>
      <c r="EG569" s="1055"/>
      <c r="EH569" s="1055"/>
      <c r="EI569" s="1055"/>
      <c r="EJ569" s="1055"/>
      <c r="EK569" s="1055"/>
      <c r="EL569" s="1055"/>
      <c r="EM569" s="1055"/>
      <c r="EN569" s="1055"/>
      <c r="EO569" s="1055"/>
      <c r="EP569" s="1055"/>
      <c r="EQ569" s="1055"/>
      <c r="ER569" s="1055"/>
      <c r="ES569" s="1055"/>
      <c r="ET569" s="1055"/>
      <c r="EU569" s="1055"/>
      <c r="EV569" s="1055"/>
      <c r="EW569" s="1055"/>
      <c r="EX569" s="1055"/>
      <c r="EY569" s="1055"/>
      <c r="EZ569" s="1055"/>
      <c r="FA569" s="1055"/>
      <c r="FB569" s="1055"/>
    </row>
    <row r="570" spans="1:158" ht="32.1" customHeight="1">
      <c r="A570" s="1339"/>
      <c r="B570" s="1346" t="s">
        <v>507</v>
      </c>
      <c r="C570" s="1562">
        <v>0.5</v>
      </c>
      <c r="D570" s="1562">
        <v>1</v>
      </c>
      <c r="E570" s="1562">
        <v>0.5</v>
      </c>
      <c r="F570" s="1562">
        <v>0.5</v>
      </c>
      <c r="G570" s="1562">
        <v>1</v>
      </c>
      <c r="H570" s="1562">
        <v>1</v>
      </c>
      <c r="I570" s="1779" t="s">
        <v>492</v>
      </c>
      <c r="J570" s="1122">
        <v>0.5</v>
      </c>
      <c r="K570" s="1070" t="s">
        <v>6533</v>
      </c>
      <c r="L570" s="1071" t="s">
        <v>6017</v>
      </c>
      <c r="M570" s="1345" t="s">
        <v>6220</v>
      </c>
      <c r="N570" s="1345" t="s">
        <v>5541</v>
      </c>
      <c r="O570" s="1340" t="s">
        <v>811</v>
      </c>
      <c r="P570" s="1070"/>
      <c r="Q570" s="1070"/>
    </row>
    <row r="571" spans="1:158" ht="32.1" customHeight="1">
      <c r="A571" s="1339"/>
      <c r="B571" s="1346" t="s">
        <v>5282</v>
      </c>
      <c r="C571" s="1562">
        <v>0.5</v>
      </c>
      <c r="D571" s="1562">
        <v>1</v>
      </c>
      <c r="E571" s="1562">
        <v>1</v>
      </c>
      <c r="F571" s="1562">
        <v>0.5</v>
      </c>
      <c r="G571" s="1562">
        <v>1</v>
      </c>
      <c r="H571" s="1562">
        <v>1</v>
      </c>
      <c r="I571" s="1779" t="s">
        <v>492</v>
      </c>
      <c r="J571" s="1122">
        <v>0.5</v>
      </c>
      <c r="K571" s="1070" t="s">
        <v>6534</v>
      </c>
      <c r="L571" s="1071" t="s">
        <v>6018</v>
      </c>
      <c r="M571" s="1345" t="s">
        <v>6221</v>
      </c>
      <c r="N571" s="1345" t="s">
        <v>5542</v>
      </c>
      <c r="O571" s="1345" t="s">
        <v>811</v>
      </c>
      <c r="P571" s="1070"/>
      <c r="Q571" s="1070"/>
    </row>
    <row r="572" spans="1:158" ht="32.1" customHeight="1">
      <c r="A572" s="1339"/>
      <c r="B572" s="1346" t="s">
        <v>508</v>
      </c>
      <c r="C572" s="1562">
        <v>0.25</v>
      </c>
      <c r="D572" s="1562">
        <v>1</v>
      </c>
      <c r="E572" s="1562">
        <v>1</v>
      </c>
      <c r="F572" s="1562">
        <v>0.5</v>
      </c>
      <c r="G572" s="1562">
        <v>1</v>
      </c>
      <c r="H572" s="1562">
        <v>1</v>
      </c>
      <c r="I572" s="1779" t="s">
        <v>492</v>
      </c>
      <c r="J572" s="1122">
        <v>0.25</v>
      </c>
      <c r="K572" s="1070" t="s">
        <v>6535</v>
      </c>
      <c r="L572" s="1071" t="s">
        <v>6019</v>
      </c>
      <c r="M572" s="1391" t="s">
        <v>6221</v>
      </c>
      <c r="N572" s="1345" t="s">
        <v>5543</v>
      </c>
      <c r="O572" s="1345" t="s">
        <v>5827</v>
      </c>
      <c r="P572" s="1070"/>
      <c r="Q572" s="1070"/>
    </row>
    <row r="573" spans="1:158" ht="32.1" customHeight="1">
      <c r="A573" s="1339"/>
      <c r="B573" s="1253" t="s">
        <v>5327</v>
      </c>
      <c r="C573" s="1562"/>
      <c r="D573" s="1562"/>
      <c r="E573" s="1562"/>
      <c r="F573" s="1562"/>
      <c r="G573" s="1562"/>
      <c r="H573" s="1562"/>
      <c r="I573" s="1779" t="s">
        <v>5279</v>
      </c>
      <c r="J573" s="1340" t="s">
        <v>6726</v>
      </c>
      <c r="K573" s="1070"/>
      <c r="L573" s="1071" t="s">
        <v>811</v>
      </c>
      <c r="M573" s="1345"/>
      <c r="N573" s="1345"/>
      <c r="O573" s="1345" t="s">
        <v>2462</v>
      </c>
      <c r="P573" s="1563">
        <v>1</v>
      </c>
      <c r="Q573" s="1563">
        <v>0</v>
      </c>
    </row>
    <row r="574" spans="1:158" ht="32.1" customHeight="1">
      <c r="A574" s="1339"/>
      <c r="B574" s="1253" t="s">
        <v>509</v>
      </c>
      <c r="C574" s="1562">
        <v>0.75</v>
      </c>
      <c r="D574" s="1562">
        <v>1</v>
      </c>
      <c r="E574" s="1562">
        <v>1</v>
      </c>
      <c r="F574" s="1562">
        <v>0.75</v>
      </c>
      <c r="G574" s="1562">
        <v>1</v>
      </c>
      <c r="H574" s="1562">
        <v>0.5</v>
      </c>
      <c r="I574" s="1779" t="s">
        <v>5279</v>
      </c>
      <c r="J574" s="1188">
        <v>0.75</v>
      </c>
      <c r="K574" s="1070" t="s">
        <v>6536</v>
      </c>
      <c r="L574" s="1071" t="s">
        <v>6020</v>
      </c>
      <c r="M574" s="1345" t="s">
        <v>6222</v>
      </c>
      <c r="N574" s="1345" t="s">
        <v>5544</v>
      </c>
      <c r="O574" s="1345" t="s">
        <v>5828</v>
      </c>
      <c r="P574" s="1563">
        <v>1</v>
      </c>
      <c r="Q574" s="1563">
        <v>0.5</v>
      </c>
    </row>
    <row r="575" spans="1:158" ht="32.1" customHeight="1">
      <c r="A575" s="1339"/>
      <c r="B575" s="1253" t="s">
        <v>510</v>
      </c>
      <c r="C575" s="1562">
        <v>1</v>
      </c>
      <c r="D575" s="1562">
        <v>1</v>
      </c>
      <c r="E575" s="1562">
        <v>1</v>
      </c>
      <c r="F575" s="1562">
        <v>0.75</v>
      </c>
      <c r="G575" s="1562">
        <v>0.5</v>
      </c>
      <c r="H575" s="1562">
        <v>1</v>
      </c>
      <c r="I575" s="1779" t="s">
        <v>5279</v>
      </c>
      <c r="J575" s="1561" t="s">
        <v>960</v>
      </c>
      <c r="K575" s="1070" t="s">
        <v>6537</v>
      </c>
      <c r="L575" s="1071" t="s">
        <v>6021</v>
      </c>
      <c r="M575" s="1345" t="s">
        <v>6223</v>
      </c>
      <c r="N575" s="1345" t="s">
        <v>5544</v>
      </c>
      <c r="O575" s="1345" t="s">
        <v>811</v>
      </c>
      <c r="P575" s="1563">
        <v>1</v>
      </c>
      <c r="Q575" s="1563">
        <v>0.5</v>
      </c>
    </row>
    <row r="576" spans="1:158" ht="32.1" customHeight="1">
      <c r="A576" s="1339"/>
      <c r="B576" s="1626" t="s">
        <v>5338</v>
      </c>
      <c r="C576" s="1562">
        <v>0.40476190476190477</v>
      </c>
      <c r="D576" s="1562">
        <v>0</v>
      </c>
      <c r="E576" s="1562">
        <v>0.61904761904761896</v>
      </c>
      <c r="F576" s="1562">
        <v>0.2857142857142857</v>
      </c>
      <c r="G576" s="1562">
        <v>0.88095238095238093</v>
      </c>
      <c r="H576" s="1562">
        <v>0.19047619047619047</v>
      </c>
      <c r="I576" s="1779" t="s">
        <v>5339</v>
      </c>
      <c r="J576" s="1340">
        <v>17</v>
      </c>
      <c r="K576" s="1345" t="s">
        <v>6812</v>
      </c>
      <c r="L576" s="1071">
        <v>26</v>
      </c>
      <c r="M576" s="1340">
        <v>12</v>
      </c>
      <c r="N576" s="1345">
        <v>37</v>
      </c>
      <c r="O576" s="1345">
        <v>8</v>
      </c>
      <c r="P576" s="1563">
        <v>42</v>
      </c>
      <c r="Q576" s="1563">
        <v>3</v>
      </c>
    </row>
    <row r="577" spans="1:158" ht="32.1" customHeight="1">
      <c r="A577" s="1347"/>
      <c r="B577" s="1348" t="s">
        <v>5284</v>
      </c>
      <c r="C577" s="1562">
        <v>0.5</v>
      </c>
      <c r="D577" s="1562">
        <v>0.5</v>
      </c>
      <c r="E577" s="1562">
        <v>1</v>
      </c>
      <c r="F577" s="1562">
        <v>0</v>
      </c>
      <c r="G577" s="1562">
        <v>1</v>
      </c>
      <c r="H577" s="1562">
        <v>0.5</v>
      </c>
      <c r="I577" s="1779" t="s">
        <v>495</v>
      </c>
      <c r="J577" s="1349">
        <v>0.5</v>
      </c>
      <c r="K577" s="1070" t="s">
        <v>6538</v>
      </c>
      <c r="L577" s="1079" t="s">
        <v>811</v>
      </c>
      <c r="M577" s="1349" t="s">
        <v>748</v>
      </c>
      <c r="N577" s="1070" t="s">
        <v>5545</v>
      </c>
      <c r="O577" s="1345" t="s">
        <v>5829</v>
      </c>
      <c r="P577" s="1563">
        <v>1</v>
      </c>
      <c r="Q577" s="1563">
        <v>0.5</v>
      </c>
    </row>
    <row r="578" spans="1:158" ht="32.1" customHeight="1">
      <c r="A578" s="1347"/>
      <c r="B578" s="1350" t="s">
        <v>5283</v>
      </c>
      <c r="C578" s="1562">
        <v>0.5</v>
      </c>
      <c r="D578" s="1562">
        <v>1</v>
      </c>
      <c r="E578" s="1562">
        <v>1</v>
      </c>
      <c r="F578" s="1562">
        <v>1</v>
      </c>
      <c r="G578" s="1562">
        <v>1</v>
      </c>
      <c r="H578" s="1562">
        <v>1</v>
      </c>
      <c r="I578" s="1779" t="s">
        <v>5285</v>
      </c>
      <c r="J578" s="1349">
        <v>0.5</v>
      </c>
      <c r="K578" s="1070" t="s">
        <v>811</v>
      </c>
      <c r="L578" s="1079" t="s">
        <v>811</v>
      </c>
      <c r="M578" s="1349" t="s">
        <v>811</v>
      </c>
      <c r="N578" s="1070" t="s">
        <v>5546</v>
      </c>
      <c r="O578" s="1345" t="s">
        <v>6770</v>
      </c>
      <c r="P578" s="1563">
        <v>1</v>
      </c>
      <c r="Q578" s="1564" t="s">
        <v>6828</v>
      </c>
    </row>
    <row r="579" spans="1:158" ht="32.1" customHeight="1">
      <c r="A579" s="1615" t="s">
        <v>6881</v>
      </c>
      <c r="B579" s="1063" t="s">
        <v>5286</v>
      </c>
      <c r="C579" s="1525">
        <f t="shared" ref="C579:H579" si="137">AVERAGE(C580:C584)</f>
        <v>0.55000000000000004</v>
      </c>
      <c r="D579" s="1525">
        <f t="shared" si="137"/>
        <v>0.9</v>
      </c>
      <c r="E579" s="1525">
        <f t="shared" si="137"/>
        <v>0.5</v>
      </c>
      <c r="F579" s="1525">
        <f t="shared" si="137"/>
        <v>0.7</v>
      </c>
      <c r="G579" s="1525">
        <f t="shared" si="137"/>
        <v>0.7</v>
      </c>
      <c r="H579" s="1525">
        <f t="shared" si="137"/>
        <v>0.7</v>
      </c>
      <c r="I579" s="1778"/>
      <c r="J579" s="1197"/>
      <c r="K579" s="1197"/>
      <c r="L579" s="1197"/>
      <c r="M579" s="1197"/>
      <c r="N579" s="1197"/>
      <c r="O579" s="1197"/>
      <c r="P579" s="1197"/>
      <c r="Q579" s="1197"/>
    </row>
    <row r="580" spans="1:158" s="1099" customFormat="1" ht="32.1" customHeight="1">
      <c r="A580" s="1351"/>
      <c r="B580" s="1352" t="s">
        <v>521</v>
      </c>
      <c r="C580" s="1527">
        <v>1</v>
      </c>
      <c r="D580" s="1527">
        <v>1</v>
      </c>
      <c r="E580" s="1527">
        <v>1</v>
      </c>
      <c r="F580" s="1527">
        <v>1</v>
      </c>
      <c r="G580" s="1527">
        <v>1</v>
      </c>
      <c r="H580" s="1527">
        <v>1</v>
      </c>
      <c r="I580" s="1779" t="s">
        <v>522</v>
      </c>
      <c r="J580" s="1501">
        <v>1</v>
      </c>
      <c r="K580" s="1502" t="s">
        <v>6539</v>
      </c>
      <c r="L580" s="1501" t="s">
        <v>6022</v>
      </c>
      <c r="M580" s="1502" t="s">
        <v>6761</v>
      </c>
      <c r="N580" s="1502" t="s">
        <v>5547</v>
      </c>
      <c r="O580" s="1501" t="s">
        <v>5830</v>
      </c>
      <c r="P580" s="1530" t="s">
        <v>6829</v>
      </c>
      <c r="Q580" s="1530" t="s">
        <v>6828</v>
      </c>
      <c r="R580" s="1081"/>
      <c r="S580" s="1082"/>
      <c r="T580" s="1082"/>
      <c r="U580" s="1082"/>
      <c r="V580" s="1082"/>
      <c r="W580" s="1082"/>
      <c r="X580" s="1082"/>
      <c r="Y580" s="1082"/>
      <c r="Z580" s="1082"/>
      <c r="AA580" s="1082"/>
      <c r="AB580" s="1082"/>
      <c r="AC580" s="1082"/>
      <c r="AD580" s="1082"/>
      <c r="AE580" s="1082"/>
      <c r="AF580" s="1082"/>
      <c r="AG580" s="1082"/>
      <c r="AH580" s="1082"/>
      <c r="AI580" s="1082"/>
      <c r="AJ580" s="1082"/>
      <c r="AK580" s="1082"/>
      <c r="AL580" s="1082"/>
      <c r="AM580" s="1082"/>
      <c r="AN580" s="1082"/>
      <c r="AO580" s="1082"/>
      <c r="AP580" s="1082"/>
      <c r="AQ580" s="1082"/>
      <c r="AR580" s="1082"/>
      <c r="AS580" s="1082"/>
      <c r="AT580" s="1082"/>
      <c r="AU580" s="1082"/>
      <c r="AV580" s="1082"/>
      <c r="AW580" s="1082"/>
      <c r="AX580" s="1082"/>
      <c r="AY580" s="1082"/>
      <c r="AZ580" s="1082"/>
      <c r="BA580" s="1082"/>
      <c r="BB580" s="1082"/>
      <c r="BC580" s="1082"/>
      <c r="BD580" s="1082"/>
      <c r="BE580" s="1082"/>
      <c r="BF580" s="1082"/>
      <c r="BG580" s="1082"/>
      <c r="BH580" s="1082"/>
      <c r="BI580" s="1082"/>
      <c r="BJ580" s="1082"/>
      <c r="BK580" s="1082"/>
      <c r="BL580" s="1082"/>
      <c r="BM580" s="1082"/>
      <c r="BN580" s="1082"/>
      <c r="BO580" s="1082"/>
      <c r="BP580" s="1082"/>
      <c r="BQ580" s="1082"/>
      <c r="BR580" s="1082"/>
      <c r="BS580" s="1082"/>
      <c r="BT580" s="1082"/>
      <c r="BU580" s="1082"/>
      <c r="BV580" s="1082"/>
      <c r="BW580" s="1082"/>
      <c r="BX580" s="1082"/>
      <c r="BY580" s="1082"/>
      <c r="BZ580" s="1082"/>
      <c r="CA580" s="1082"/>
      <c r="CB580" s="1082"/>
      <c r="CC580" s="1082"/>
      <c r="CD580" s="1082"/>
      <c r="CE580" s="1082"/>
      <c r="CF580" s="1082"/>
      <c r="CG580" s="1082"/>
      <c r="CH580" s="1082"/>
      <c r="CI580" s="1082"/>
      <c r="CJ580" s="1082"/>
      <c r="CK580" s="1082"/>
      <c r="CL580" s="1082"/>
      <c r="CM580" s="1082"/>
      <c r="CN580" s="1082"/>
      <c r="CO580" s="1082"/>
      <c r="CP580" s="1082"/>
      <c r="CQ580" s="1082"/>
      <c r="CR580" s="1082"/>
      <c r="CS580" s="1082"/>
      <c r="CT580" s="1082"/>
      <c r="CU580" s="1082"/>
      <c r="CV580" s="1082"/>
      <c r="CW580" s="1082"/>
      <c r="CX580" s="1082"/>
      <c r="CY580" s="1082"/>
      <c r="CZ580" s="1082"/>
      <c r="DA580" s="1082"/>
      <c r="DB580" s="1082"/>
      <c r="DC580" s="1082"/>
      <c r="DD580" s="1082"/>
      <c r="DE580" s="1082"/>
      <c r="DF580" s="1082"/>
      <c r="DG580" s="1082"/>
      <c r="DH580" s="1082"/>
      <c r="DI580" s="1082"/>
      <c r="DJ580" s="1082"/>
      <c r="DK580" s="1082"/>
      <c r="DL580" s="1082"/>
      <c r="DM580" s="1082"/>
      <c r="DN580" s="1082"/>
      <c r="DO580" s="1082"/>
      <c r="DP580" s="1082"/>
      <c r="DQ580" s="1082"/>
      <c r="DR580" s="1082"/>
      <c r="DS580" s="1082"/>
      <c r="DT580" s="1082"/>
      <c r="DU580" s="1082"/>
      <c r="DV580" s="1082"/>
      <c r="DW580" s="1082"/>
      <c r="DX580" s="1082"/>
      <c r="DY580" s="1082"/>
      <c r="DZ580" s="1082"/>
      <c r="EA580" s="1082"/>
      <c r="EB580" s="1082"/>
      <c r="EC580" s="1082"/>
      <c r="ED580" s="1082"/>
      <c r="EE580" s="1082"/>
      <c r="EF580" s="1082"/>
      <c r="EG580" s="1082"/>
      <c r="EH580" s="1082"/>
      <c r="EI580" s="1082"/>
      <c r="EJ580" s="1082"/>
      <c r="EK580" s="1082"/>
      <c r="EL580" s="1082"/>
      <c r="EM580" s="1082"/>
      <c r="EN580" s="1082"/>
      <c r="EO580" s="1082"/>
      <c r="EP580" s="1082"/>
      <c r="EQ580" s="1082"/>
      <c r="ER580" s="1082"/>
      <c r="ES580" s="1082"/>
      <c r="ET580" s="1082"/>
      <c r="EU580" s="1082"/>
      <c r="EV580" s="1082"/>
      <c r="EW580" s="1082"/>
      <c r="EX580" s="1082"/>
      <c r="EY580" s="1082"/>
      <c r="EZ580" s="1082"/>
      <c r="FA580" s="1082"/>
      <c r="FB580" s="1082"/>
    </row>
    <row r="581" spans="1:158" ht="32.1" customHeight="1">
      <c r="A581" s="1353"/>
      <c r="B581" s="1253" t="s">
        <v>5280</v>
      </c>
      <c r="C581" s="1526">
        <v>0.25</v>
      </c>
      <c r="D581" s="1526">
        <v>1</v>
      </c>
      <c r="E581" s="1526">
        <v>0.5</v>
      </c>
      <c r="F581" s="1526">
        <v>0.5</v>
      </c>
      <c r="G581" s="1526">
        <v>0.5</v>
      </c>
      <c r="H581" s="1526">
        <v>0.25</v>
      </c>
      <c r="I581" s="1779" t="s">
        <v>522</v>
      </c>
      <c r="J581" s="1482">
        <v>0.25</v>
      </c>
      <c r="K581" s="1070" t="s">
        <v>6540</v>
      </c>
      <c r="L581" s="1476" t="s">
        <v>6023</v>
      </c>
      <c r="M581" s="1477" t="s">
        <v>6224</v>
      </c>
      <c r="N581" s="1477" t="s">
        <v>5548</v>
      </c>
      <c r="O581" s="1477" t="s">
        <v>2462</v>
      </c>
      <c r="P581" s="1070">
        <v>1</v>
      </c>
      <c r="Q581" s="1070">
        <v>0.25</v>
      </c>
    </row>
    <row r="582" spans="1:158" ht="32.1" customHeight="1">
      <c r="A582" s="1353"/>
      <c r="B582" s="1253" t="s">
        <v>5281</v>
      </c>
      <c r="C582" s="1526">
        <v>0.25</v>
      </c>
      <c r="D582" s="1526">
        <v>1</v>
      </c>
      <c r="E582" s="1526">
        <v>0</v>
      </c>
      <c r="F582" s="1526">
        <v>0.5</v>
      </c>
      <c r="G582" s="1526">
        <v>1</v>
      </c>
      <c r="H582" s="1526">
        <v>0.25</v>
      </c>
      <c r="I582" s="1779" t="s">
        <v>522</v>
      </c>
      <c r="J582" s="1482">
        <v>0.25</v>
      </c>
      <c r="K582" s="1070" t="s">
        <v>6540</v>
      </c>
      <c r="L582" s="1476" t="s">
        <v>6024</v>
      </c>
      <c r="M582" s="1477" t="s">
        <v>6224</v>
      </c>
      <c r="N582" s="1477" t="s">
        <v>5549</v>
      </c>
      <c r="O582" s="1477" t="s">
        <v>5831</v>
      </c>
      <c r="P582" s="1070">
        <v>1</v>
      </c>
      <c r="Q582" s="1070">
        <v>0.25</v>
      </c>
    </row>
    <row r="583" spans="1:158" ht="32.1" customHeight="1">
      <c r="A583" s="1353"/>
      <c r="B583" s="1253" t="s">
        <v>6727</v>
      </c>
      <c r="C583" s="1526">
        <v>0.25</v>
      </c>
      <c r="D583" s="1526">
        <v>0.5</v>
      </c>
      <c r="E583" s="1526">
        <v>1</v>
      </c>
      <c r="F583" s="1526">
        <v>0.5</v>
      </c>
      <c r="G583" s="1526">
        <v>0</v>
      </c>
      <c r="H583" s="1526">
        <v>1</v>
      </c>
      <c r="I583" s="1779" t="s">
        <v>522</v>
      </c>
      <c r="J583" s="1482">
        <v>0.25</v>
      </c>
      <c r="K583" s="1070" t="s">
        <v>6541</v>
      </c>
      <c r="L583" s="1476" t="s">
        <v>6025</v>
      </c>
      <c r="M583" s="1477" t="s">
        <v>6224</v>
      </c>
      <c r="N583" s="1477" t="s">
        <v>748</v>
      </c>
      <c r="O583" s="1477" t="s">
        <v>5832</v>
      </c>
      <c r="P583" s="1070">
        <v>1</v>
      </c>
      <c r="Q583" s="1070">
        <v>0</v>
      </c>
    </row>
    <row r="584" spans="1:158" ht="32.1" customHeight="1">
      <c r="A584" s="1354"/>
      <c r="B584" s="1253" t="s">
        <v>523</v>
      </c>
      <c r="C584" s="1526">
        <v>1</v>
      </c>
      <c r="D584" s="1526">
        <v>1</v>
      </c>
      <c r="E584" s="1526">
        <v>0</v>
      </c>
      <c r="F584" s="1526">
        <v>1</v>
      </c>
      <c r="G584" s="1526">
        <v>1</v>
      </c>
      <c r="H584" s="1526">
        <v>1</v>
      </c>
      <c r="I584" s="1778" t="s">
        <v>524</v>
      </c>
      <c r="J584" s="1482">
        <v>1</v>
      </c>
      <c r="K584" s="1790" t="s">
        <v>6542</v>
      </c>
      <c r="L584" s="1476" t="s">
        <v>6026</v>
      </c>
      <c r="M584" s="1477">
        <v>1</v>
      </c>
      <c r="N584" s="1477" t="s">
        <v>5550</v>
      </c>
      <c r="O584" s="1477" t="s">
        <v>5833</v>
      </c>
      <c r="P584" s="1070">
        <v>1</v>
      </c>
      <c r="Q584" s="1070">
        <v>0</v>
      </c>
    </row>
    <row r="585" spans="1:158" ht="32.1" customHeight="1">
      <c r="A585" s="1146">
        <v>2.5</v>
      </c>
      <c r="B585" s="1616" t="s">
        <v>6882</v>
      </c>
      <c r="C585" s="1509">
        <f t="shared" ref="C585:H585" si="138">AVERAGE(C586,C591,C596,C601,C606,C611,C612)</f>
        <v>0.75</v>
      </c>
      <c r="D585" s="1509">
        <f t="shared" si="138"/>
        <v>0.7142857142857143</v>
      </c>
      <c r="E585" s="1509">
        <f t="shared" si="138"/>
        <v>0.375</v>
      </c>
      <c r="F585" s="1509">
        <f t="shared" si="138"/>
        <v>0.8035714285714286</v>
      </c>
      <c r="G585" s="1509">
        <f t="shared" si="138"/>
        <v>0.6607142857142857</v>
      </c>
      <c r="H585" s="1509">
        <f t="shared" si="138"/>
        <v>0.5178571428571429</v>
      </c>
      <c r="I585" s="1768"/>
      <c r="J585" s="1061"/>
      <c r="K585" s="1061"/>
      <c r="L585" s="1061"/>
      <c r="M585" s="1355"/>
      <c r="N585" s="1061"/>
      <c r="O585" s="1061"/>
      <c r="P585" s="1061"/>
      <c r="Q585" s="1061"/>
    </row>
    <row r="586" spans="1:158" ht="32.1" customHeight="1">
      <c r="A586" s="1150"/>
      <c r="B586" s="1053" t="s">
        <v>707</v>
      </c>
      <c r="C586" s="1420">
        <f t="shared" ref="C586:H586" si="139">AVERAGE(C587:C590)</f>
        <v>0.5</v>
      </c>
      <c r="D586" s="1420">
        <f t="shared" si="139"/>
        <v>0.625</v>
      </c>
      <c r="E586" s="1420">
        <f t="shared" si="139"/>
        <v>0</v>
      </c>
      <c r="F586" s="1420">
        <f t="shared" si="139"/>
        <v>0.875</v>
      </c>
      <c r="G586" s="1420">
        <f t="shared" si="139"/>
        <v>0.5</v>
      </c>
      <c r="H586" s="1420">
        <f t="shared" si="139"/>
        <v>0</v>
      </c>
      <c r="I586" s="1572" t="s">
        <v>708</v>
      </c>
      <c r="J586" s="1070"/>
      <c r="K586" s="1070"/>
      <c r="L586" s="1070"/>
      <c r="M586" s="1356"/>
      <c r="N586" s="1070"/>
      <c r="O586" s="1070"/>
      <c r="P586" s="1070"/>
      <c r="Q586" s="1070"/>
      <c r="R586" s="1290"/>
      <c r="S586" s="1055"/>
      <c r="T586" s="1055"/>
      <c r="U586" s="1055"/>
      <c r="V586" s="1055"/>
      <c r="W586" s="1055"/>
      <c r="X586" s="1055"/>
      <c r="Y586" s="1055"/>
      <c r="Z586" s="1055"/>
      <c r="AA586" s="1055"/>
      <c r="AB586" s="1055"/>
      <c r="AC586" s="1055"/>
      <c r="AD586" s="1055"/>
      <c r="AE586" s="1055"/>
      <c r="AF586" s="1055"/>
      <c r="AG586" s="1055"/>
      <c r="AH586" s="1055"/>
      <c r="AI586" s="1055"/>
      <c r="AJ586" s="1055"/>
      <c r="AK586" s="1055"/>
      <c r="AL586" s="1055"/>
      <c r="AM586" s="1055"/>
      <c r="AN586" s="1055"/>
      <c r="AO586" s="1055"/>
      <c r="AP586" s="1055"/>
      <c r="AQ586" s="1055"/>
      <c r="AR586" s="1055"/>
      <c r="AS586" s="1055"/>
      <c r="AT586" s="1055"/>
      <c r="AU586" s="1055"/>
      <c r="AV586" s="1055"/>
      <c r="AW586" s="1055"/>
      <c r="AX586" s="1055"/>
      <c r="AY586" s="1055"/>
      <c r="AZ586" s="1055"/>
      <c r="BA586" s="1055"/>
      <c r="BB586" s="1055"/>
      <c r="BC586" s="1055"/>
      <c r="BD586" s="1055"/>
      <c r="BE586" s="1055"/>
      <c r="BF586" s="1055"/>
      <c r="BG586" s="1055"/>
      <c r="BH586" s="1055"/>
      <c r="BI586" s="1055"/>
      <c r="BJ586" s="1055"/>
      <c r="BK586" s="1055"/>
      <c r="BL586" s="1055"/>
      <c r="BM586" s="1055"/>
      <c r="BN586" s="1055"/>
      <c r="BO586" s="1055"/>
      <c r="BP586" s="1055"/>
      <c r="BQ586" s="1055"/>
      <c r="BR586" s="1055"/>
      <c r="BS586" s="1055"/>
      <c r="BT586" s="1055"/>
      <c r="BU586" s="1055"/>
      <c r="BV586" s="1055"/>
      <c r="BW586" s="1055"/>
      <c r="BX586" s="1055"/>
      <c r="BY586" s="1055"/>
      <c r="BZ586" s="1055"/>
      <c r="CA586" s="1055"/>
      <c r="CB586" s="1055"/>
      <c r="CC586" s="1055"/>
      <c r="CD586" s="1055"/>
      <c r="CE586" s="1055"/>
      <c r="CF586" s="1055"/>
      <c r="CG586" s="1055"/>
      <c r="CH586" s="1055"/>
      <c r="CI586" s="1055"/>
      <c r="CJ586" s="1055"/>
      <c r="CK586" s="1055"/>
      <c r="CL586" s="1055"/>
      <c r="CM586" s="1055"/>
      <c r="CN586" s="1055"/>
      <c r="CO586" s="1055"/>
      <c r="CP586" s="1055"/>
      <c r="CQ586" s="1055"/>
      <c r="CR586" s="1055"/>
      <c r="CS586" s="1055"/>
      <c r="CT586" s="1055"/>
      <c r="CU586" s="1055"/>
      <c r="CV586" s="1055"/>
      <c r="CW586" s="1055"/>
      <c r="CX586" s="1055"/>
      <c r="CY586" s="1055"/>
      <c r="CZ586" s="1055"/>
      <c r="DA586" s="1055"/>
      <c r="DB586" s="1055"/>
      <c r="DC586" s="1055"/>
      <c r="DD586" s="1055"/>
      <c r="DE586" s="1055"/>
      <c r="DF586" s="1055"/>
      <c r="DG586" s="1055"/>
      <c r="DH586" s="1055"/>
      <c r="DI586" s="1055"/>
      <c r="DJ586" s="1055"/>
      <c r="DK586" s="1055"/>
      <c r="DL586" s="1055"/>
      <c r="DM586" s="1055"/>
      <c r="DN586" s="1055"/>
      <c r="DO586" s="1055"/>
      <c r="DP586" s="1055"/>
      <c r="DQ586" s="1055"/>
      <c r="DR586" s="1055"/>
      <c r="DS586" s="1055"/>
      <c r="DT586" s="1055"/>
      <c r="DU586" s="1055"/>
      <c r="DV586" s="1055"/>
      <c r="DW586" s="1055"/>
      <c r="DX586" s="1055"/>
      <c r="DY586" s="1055"/>
      <c r="DZ586" s="1055"/>
      <c r="EA586" s="1055"/>
      <c r="EB586" s="1055"/>
      <c r="EC586" s="1055"/>
      <c r="ED586" s="1055"/>
      <c r="EE586" s="1055"/>
      <c r="EF586" s="1055"/>
      <c r="EG586" s="1055"/>
      <c r="EH586" s="1055"/>
      <c r="EI586" s="1055"/>
      <c r="EJ586" s="1055"/>
      <c r="EK586" s="1055"/>
      <c r="EL586" s="1055"/>
      <c r="EM586" s="1055"/>
      <c r="EN586" s="1055"/>
      <c r="EO586" s="1055"/>
      <c r="EP586" s="1055"/>
      <c r="EQ586" s="1055"/>
      <c r="ER586" s="1055"/>
      <c r="ES586" s="1055"/>
      <c r="ET586" s="1055"/>
      <c r="EU586" s="1055"/>
      <c r="EV586" s="1055"/>
      <c r="EW586" s="1055"/>
      <c r="EX586" s="1055"/>
      <c r="EY586" s="1055"/>
      <c r="EZ586" s="1055"/>
      <c r="FA586" s="1055"/>
      <c r="FB586" s="1055"/>
    </row>
    <row r="587" spans="1:158" ht="32.1" customHeight="1">
      <c r="A587" s="1150"/>
      <c r="B587" s="1155" t="s">
        <v>709</v>
      </c>
      <c r="C587" s="1420">
        <v>0.5</v>
      </c>
      <c r="D587" s="1420">
        <v>0.5</v>
      </c>
      <c r="E587" s="1420">
        <v>0</v>
      </c>
      <c r="F587" s="1528">
        <v>0.5</v>
      </c>
      <c r="G587" s="1528">
        <v>0.5</v>
      </c>
      <c r="H587" s="1528">
        <v>0</v>
      </c>
      <c r="I587" s="1572"/>
      <c r="J587" s="1084" t="s">
        <v>6707</v>
      </c>
      <c r="K587" s="1393" t="s">
        <v>6543</v>
      </c>
      <c r="L587" s="1598" t="s">
        <v>5834</v>
      </c>
      <c r="M587" s="1357" t="s">
        <v>6225</v>
      </c>
      <c r="N587" s="1396" t="s">
        <v>5551</v>
      </c>
      <c r="O587" s="1598" t="s">
        <v>5834</v>
      </c>
      <c r="P587" s="1084"/>
      <c r="Q587" s="1084"/>
      <c r="R587" s="1290"/>
      <c r="S587" s="1055"/>
      <c r="T587" s="1055"/>
      <c r="U587" s="1055"/>
      <c r="V587" s="1055"/>
      <c r="W587" s="1055"/>
      <c r="X587" s="1055"/>
      <c r="Y587" s="1055"/>
      <c r="Z587" s="1055"/>
      <c r="AA587" s="1055"/>
      <c r="AB587" s="1055"/>
      <c r="AC587" s="1055"/>
      <c r="AD587" s="1055"/>
      <c r="AE587" s="1055"/>
      <c r="AF587" s="1055"/>
      <c r="AG587" s="1055"/>
      <c r="AH587" s="1055"/>
      <c r="AI587" s="1055"/>
      <c r="AJ587" s="1055"/>
      <c r="AK587" s="1055"/>
      <c r="AL587" s="1055"/>
      <c r="AM587" s="1055"/>
      <c r="AN587" s="1055"/>
      <c r="AO587" s="1055"/>
      <c r="AP587" s="1055"/>
      <c r="AQ587" s="1055"/>
      <c r="AR587" s="1055"/>
      <c r="AS587" s="1055"/>
      <c r="AT587" s="1055"/>
      <c r="AU587" s="1055"/>
      <c r="AV587" s="1055"/>
      <c r="AW587" s="1055"/>
      <c r="AX587" s="1055"/>
      <c r="AY587" s="1055"/>
      <c r="AZ587" s="1055"/>
      <c r="BA587" s="1055"/>
      <c r="BB587" s="1055"/>
      <c r="BC587" s="1055"/>
      <c r="BD587" s="1055"/>
      <c r="BE587" s="1055"/>
      <c r="BF587" s="1055"/>
      <c r="BG587" s="1055"/>
      <c r="BH587" s="1055"/>
      <c r="BI587" s="1055"/>
      <c r="BJ587" s="1055"/>
      <c r="BK587" s="1055"/>
      <c r="BL587" s="1055"/>
      <c r="BM587" s="1055"/>
      <c r="BN587" s="1055"/>
      <c r="BO587" s="1055"/>
      <c r="BP587" s="1055"/>
      <c r="BQ587" s="1055"/>
      <c r="BR587" s="1055"/>
      <c r="BS587" s="1055"/>
      <c r="BT587" s="1055"/>
      <c r="BU587" s="1055"/>
      <c r="BV587" s="1055"/>
      <c r="BW587" s="1055"/>
      <c r="BX587" s="1055"/>
      <c r="BY587" s="1055"/>
      <c r="BZ587" s="1055"/>
      <c r="CA587" s="1055"/>
      <c r="CB587" s="1055"/>
      <c r="CC587" s="1055"/>
      <c r="CD587" s="1055"/>
      <c r="CE587" s="1055"/>
      <c r="CF587" s="1055"/>
      <c r="CG587" s="1055"/>
      <c r="CH587" s="1055"/>
      <c r="CI587" s="1055"/>
      <c r="CJ587" s="1055"/>
      <c r="CK587" s="1055"/>
      <c r="CL587" s="1055"/>
      <c r="CM587" s="1055"/>
      <c r="CN587" s="1055"/>
      <c r="CO587" s="1055"/>
      <c r="CP587" s="1055"/>
      <c r="CQ587" s="1055"/>
      <c r="CR587" s="1055"/>
      <c r="CS587" s="1055"/>
      <c r="CT587" s="1055"/>
      <c r="CU587" s="1055"/>
      <c r="CV587" s="1055"/>
      <c r="CW587" s="1055"/>
      <c r="CX587" s="1055"/>
      <c r="CY587" s="1055"/>
      <c r="CZ587" s="1055"/>
      <c r="DA587" s="1055"/>
      <c r="DB587" s="1055"/>
      <c r="DC587" s="1055"/>
      <c r="DD587" s="1055"/>
      <c r="DE587" s="1055"/>
      <c r="DF587" s="1055"/>
      <c r="DG587" s="1055"/>
      <c r="DH587" s="1055"/>
      <c r="DI587" s="1055"/>
      <c r="DJ587" s="1055"/>
      <c r="DK587" s="1055"/>
      <c r="DL587" s="1055"/>
      <c r="DM587" s="1055"/>
      <c r="DN587" s="1055"/>
      <c r="DO587" s="1055"/>
      <c r="DP587" s="1055"/>
      <c r="DQ587" s="1055"/>
      <c r="DR587" s="1055"/>
      <c r="DS587" s="1055"/>
      <c r="DT587" s="1055"/>
      <c r="DU587" s="1055"/>
      <c r="DV587" s="1055"/>
      <c r="DW587" s="1055"/>
      <c r="DX587" s="1055"/>
      <c r="DY587" s="1055"/>
      <c r="DZ587" s="1055"/>
      <c r="EA587" s="1055"/>
      <c r="EB587" s="1055"/>
      <c r="EC587" s="1055"/>
      <c r="ED587" s="1055"/>
      <c r="EE587" s="1055"/>
      <c r="EF587" s="1055"/>
      <c r="EG587" s="1055"/>
      <c r="EH587" s="1055"/>
      <c r="EI587" s="1055"/>
      <c r="EJ587" s="1055"/>
      <c r="EK587" s="1055"/>
      <c r="EL587" s="1055"/>
      <c r="EM587" s="1055"/>
      <c r="EN587" s="1055"/>
      <c r="EO587" s="1055"/>
      <c r="EP587" s="1055"/>
      <c r="EQ587" s="1055"/>
      <c r="ER587" s="1055"/>
      <c r="ES587" s="1055"/>
      <c r="ET587" s="1055"/>
      <c r="EU587" s="1055"/>
      <c r="EV587" s="1055"/>
      <c r="EW587" s="1055"/>
      <c r="EX587" s="1055"/>
      <c r="EY587" s="1055"/>
      <c r="EZ587" s="1055"/>
      <c r="FA587" s="1055"/>
      <c r="FB587" s="1055"/>
    </row>
    <row r="588" spans="1:158" ht="32.1" customHeight="1">
      <c r="A588" s="1150"/>
      <c r="B588" s="1155" t="s">
        <v>569</v>
      </c>
      <c r="C588" s="1420">
        <v>0.5</v>
      </c>
      <c r="D588" s="1420">
        <v>1</v>
      </c>
      <c r="E588" s="1420">
        <v>0</v>
      </c>
      <c r="F588" s="1528">
        <v>1</v>
      </c>
      <c r="G588" s="1528">
        <v>1</v>
      </c>
      <c r="H588" s="1528">
        <v>0</v>
      </c>
      <c r="I588" s="1572" t="s">
        <v>710</v>
      </c>
      <c r="J588" s="1084" t="s">
        <v>6708</v>
      </c>
      <c r="K588" s="1070" t="s">
        <v>2337</v>
      </c>
      <c r="L588" s="1084" t="s">
        <v>5834</v>
      </c>
      <c r="M588" s="1357" t="s">
        <v>730</v>
      </c>
      <c r="N588" s="1075" t="s">
        <v>2339</v>
      </c>
      <c r="O588" s="1084" t="s">
        <v>5834</v>
      </c>
      <c r="P588" s="1084"/>
      <c r="Q588" s="1084"/>
      <c r="R588" s="1290"/>
      <c r="S588" s="1055"/>
      <c r="T588" s="1055"/>
      <c r="U588" s="1055"/>
      <c r="V588" s="1055"/>
      <c r="W588" s="1055"/>
      <c r="X588" s="1055"/>
      <c r="Y588" s="1055"/>
      <c r="Z588" s="1055"/>
      <c r="AA588" s="1055"/>
      <c r="AB588" s="1055"/>
      <c r="AC588" s="1055"/>
      <c r="AD588" s="1055"/>
      <c r="AE588" s="1055"/>
      <c r="AF588" s="1055"/>
      <c r="AG588" s="1055"/>
      <c r="AH588" s="1055"/>
      <c r="AI588" s="1055"/>
      <c r="AJ588" s="1055"/>
      <c r="AK588" s="1055"/>
      <c r="AL588" s="1055"/>
      <c r="AM588" s="1055"/>
      <c r="AN588" s="1055"/>
      <c r="AO588" s="1055"/>
      <c r="AP588" s="1055"/>
      <c r="AQ588" s="1055"/>
      <c r="AR588" s="1055"/>
      <c r="AS588" s="1055"/>
      <c r="AT588" s="1055"/>
      <c r="AU588" s="1055"/>
      <c r="AV588" s="1055"/>
      <c r="AW588" s="1055"/>
      <c r="AX588" s="1055"/>
      <c r="AY588" s="1055"/>
      <c r="AZ588" s="1055"/>
      <c r="BA588" s="1055"/>
      <c r="BB588" s="1055"/>
      <c r="BC588" s="1055"/>
      <c r="BD588" s="1055"/>
      <c r="BE588" s="1055"/>
      <c r="BF588" s="1055"/>
      <c r="BG588" s="1055"/>
      <c r="BH588" s="1055"/>
      <c r="BI588" s="1055"/>
      <c r="BJ588" s="1055"/>
      <c r="BK588" s="1055"/>
      <c r="BL588" s="1055"/>
      <c r="BM588" s="1055"/>
      <c r="BN588" s="1055"/>
      <c r="BO588" s="1055"/>
      <c r="BP588" s="1055"/>
      <c r="BQ588" s="1055"/>
      <c r="BR588" s="1055"/>
      <c r="BS588" s="1055"/>
      <c r="BT588" s="1055"/>
      <c r="BU588" s="1055"/>
      <c r="BV588" s="1055"/>
      <c r="BW588" s="1055"/>
      <c r="BX588" s="1055"/>
      <c r="BY588" s="1055"/>
      <c r="BZ588" s="1055"/>
      <c r="CA588" s="1055"/>
      <c r="CB588" s="1055"/>
      <c r="CC588" s="1055"/>
      <c r="CD588" s="1055"/>
      <c r="CE588" s="1055"/>
      <c r="CF588" s="1055"/>
      <c r="CG588" s="1055"/>
      <c r="CH588" s="1055"/>
      <c r="CI588" s="1055"/>
      <c r="CJ588" s="1055"/>
      <c r="CK588" s="1055"/>
      <c r="CL588" s="1055"/>
      <c r="CM588" s="1055"/>
      <c r="CN588" s="1055"/>
      <c r="CO588" s="1055"/>
      <c r="CP588" s="1055"/>
      <c r="CQ588" s="1055"/>
      <c r="CR588" s="1055"/>
      <c r="CS588" s="1055"/>
      <c r="CT588" s="1055"/>
      <c r="CU588" s="1055"/>
      <c r="CV588" s="1055"/>
      <c r="CW588" s="1055"/>
      <c r="CX588" s="1055"/>
      <c r="CY588" s="1055"/>
      <c r="CZ588" s="1055"/>
      <c r="DA588" s="1055"/>
      <c r="DB588" s="1055"/>
      <c r="DC588" s="1055"/>
      <c r="DD588" s="1055"/>
      <c r="DE588" s="1055"/>
      <c r="DF588" s="1055"/>
      <c r="DG588" s="1055"/>
      <c r="DH588" s="1055"/>
      <c r="DI588" s="1055"/>
      <c r="DJ588" s="1055"/>
      <c r="DK588" s="1055"/>
      <c r="DL588" s="1055"/>
      <c r="DM588" s="1055"/>
      <c r="DN588" s="1055"/>
      <c r="DO588" s="1055"/>
      <c r="DP588" s="1055"/>
      <c r="DQ588" s="1055"/>
      <c r="DR588" s="1055"/>
      <c r="DS588" s="1055"/>
      <c r="DT588" s="1055"/>
      <c r="DU588" s="1055"/>
      <c r="DV588" s="1055"/>
      <c r="DW588" s="1055"/>
      <c r="DX588" s="1055"/>
      <c r="DY588" s="1055"/>
      <c r="DZ588" s="1055"/>
      <c r="EA588" s="1055"/>
      <c r="EB588" s="1055"/>
      <c r="EC588" s="1055"/>
      <c r="ED588" s="1055"/>
      <c r="EE588" s="1055"/>
      <c r="EF588" s="1055"/>
      <c r="EG588" s="1055"/>
      <c r="EH588" s="1055"/>
      <c r="EI588" s="1055"/>
      <c r="EJ588" s="1055"/>
      <c r="EK588" s="1055"/>
      <c r="EL588" s="1055"/>
      <c r="EM588" s="1055"/>
      <c r="EN588" s="1055"/>
      <c r="EO588" s="1055"/>
      <c r="EP588" s="1055"/>
      <c r="EQ588" s="1055"/>
      <c r="ER588" s="1055"/>
      <c r="ES588" s="1055"/>
      <c r="ET588" s="1055"/>
      <c r="EU588" s="1055"/>
      <c r="EV588" s="1055"/>
      <c r="EW588" s="1055"/>
      <c r="EX588" s="1055"/>
      <c r="EY588" s="1055"/>
      <c r="EZ588" s="1055"/>
      <c r="FA588" s="1055"/>
      <c r="FB588" s="1055"/>
    </row>
    <row r="589" spans="1:158" ht="32.1" customHeight="1">
      <c r="A589" s="1150"/>
      <c r="B589" s="1155" t="s">
        <v>711</v>
      </c>
      <c r="C589" s="1420">
        <v>0.5</v>
      </c>
      <c r="D589" s="1420">
        <v>0.5</v>
      </c>
      <c r="E589" s="1420">
        <v>0</v>
      </c>
      <c r="F589" s="1528">
        <v>1</v>
      </c>
      <c r="G589" s="1528">
        <v>0</v>
      </c>
      <c r="H589" s="1528">
        <v>0</v>
      </c>
      <c r="I589" s="1572"/>
      <c r="J589" s="1084" t="s">
        <v>6709</v>
      </c>
      <c r="K589" s="1070" t="s">
        <v>6544</v>
      </c>
      <c r="L589" s="1079" t="s">
        <v>6027</v>
      </c>
      <c r="M589" s="1357" t="s">
        <v>730</v>
      </c>
      <c r="N589" s="1084" t="s">
        <v>5552</v>
      </c>
      <c r="O589" s="1084" t="s">
        <v>5834</v>
      </c>
      <c r="P589" s="1084"/>
      <c r="Q589" s="1084"/>
      <c r="R589" s="1290"/>
      <c r="S589" s="1055"/>
      <c r="T589" s="1055"/>
      <c r="U589" s="1055"/>
      <c r="V589" s="1055"/>
      <c r="W589" s="1055"/>
      <c r="X589" s="1055"/>
      <c r="Y589" s="1055"/>
      <c r="Z589" s="1055"/>
      <c r="AA589" s="1055"/>
      <c r="AB589" s="1055"/>
      <c r="AC589" s="1055"/>
      <c r="AD589" s="1055"/>
      <c r="AE589" s="1055"/>
      <c r="AF589" s="1055"/>
      <c r="AG589" s="1055"/>
      <c r="AH589" s="1055"/>
      <c r="AI589" s="1055"/>
      <c r="AJ589" s="1055"/>
      <c r="AK589" s="1055"/>
      <c r="AL589" s="1055"/>
      <c r="AM589" s="1055"/>
      <c r="AN589" s="1055"/>
      <c r="AO589" s="1055"/>
      <c r="AP589" s="1055"/>
      <c r="AQ589" s="1055"/>
      <c r="AR589" s="1055"/>
      <c r="AS589" s="1055"/>
      <c r="AT589" s="1055"/>
      <c r="AU589" s="1055"/>
      <c r="AV589" s="1055"/>
      <c r="AW589" s="1055"/>
      <c r="AX589" s="1055"/>
      <c r="AY589" s="1055"/>
      <c r="AZ589" s="1055"/>
      <c r="BA589" s="1055"/>
      <c r="BB589" s="1055"/>
      <c r="BC589" s="1055"/>
      <c r="BD589" s="1055"/>
      <c r="BE589" s="1055"/>
      <c r="BF589" s="1055"/>
      <c r="BG589" s="1055"/>
      <c r="BH589" s="1055"/>
      <c r="BI589" s="1055"/>
      <c r="BJ589" s="1055"/>
      <c r="BK589" s="1055"/>
      <c r="BL589" s="1055"/>
      <c r="BM589" s="1055"/>
      <c r="BN589" s="1055"/>
      <c r="BO589" s="1055"/>
      <c r="BP589" s="1055"/>
      <c r="BQ589" s="1055"/>
      <c r="BR589" s="1055"/>
      <c r="BS589" s="1055"/>
      <c r="BT589" s="1055"/>
      <c r="BU589" s="1055"/>
      <c r="BV589" s="1055"/>
      <c r="BW589" s="1055"/>
      <c r="BX589" s="1055"/>
      <c r="BY589" s="1055"/>
      <c r="BZ589" s="1055"/>
      <c r="CA589" s="1055"/>
      <c r="CB589" s="1055"/>
      <c r="CC589" s="1055"/>
      <c r="CD589" s="1055"/>
      <c r="CE589" s="1055"/>
      <c r="CF589" s="1055"/>
      <c r="CG589" s="1055"/>
      <c r="CH589" s="1055"/>
      <c r="CI589" s="1055"/>
      <c r="CJ589" s="1055"/>
      <c r="CK589" s="1055"/>
      <c r="CL589" s="1055"/>
      <c r="CM589" s="1055"/>
      <c r="CN589" s="1055"/>
      <c r="CO589" s="1055"/>
      <c r="CP589" s="1055"/>
      <c r="CQ589" s="1055"/>
      <c r="CR589" s="1055"/>
      <c r="CS589" s="1055"/>
      <c r="CT589" s="1055"/>
      <c r="CU589" s="1055"/>
      <c r="CV589" s="1055"/>
      <c r="CW589" s="1055"/>
      <c r="CX589" s="1055"/>
      <c r="CY589" s="1055"/>
      <c r="CZ589" s="1055"/>
      <c r="DA589" s="1055"/>
      <c r="DB589" s="1055"/>
      <c r="DC589" s="1055"/>
      <c r="DD589" s="1055"/>
      <c r="DE589" s="1055"/>
      <c r="DF589" s="1055"/>
      <c r="DG589" s="1055"/>
      <c r="DH589" s="1055"/>
      <c r="DI589" s="1055"/>
      <c r="DJ589" s="1055"/>
      <c r="DK589" s="1055"/>
      <c r="DL589" s="1055"/>
      <c r="DM589" s="1055"/>
      <c r="DN589" s="1055"/>
      <c r="DO589" s="1055"/>
      <c r="DP589" s="1055"/>
      <c r="DQ589" s="1055"/>
      <c r="DR589" s="1055"/>
      <c r="DS589" s="1055"/>
      <c r="DT589" s="1055"/>
      <c r="DU589" s="1055"/>
      <c r="DV589" s="1055"/>
      <c r="DW589" s="1055"/>
      <c r="DX589" s="1055"/>
      <c r="DY589" s="1055"/>
      <c r="DZ589" s="1055"/>
      <c r="EA589" s="1055"/>
      <c r="EB589" s="1055"/>
      <c r="EC589" s="1055"/>
      <c r="ED589" s="1055"/>
      <c r="EE589" s="1055"/>
      <c r="EF589" s="1055"/>
      <c r="EG589" s="1055"/>
      <c r="EH589" s="1055"/>
      <c r="EI589" s="1055"/>
      <c r="EJ589" s="1055"/>
      <c r="EK589" s="1055"/>
      <c r="EL589" s="1055"/>
      <c r="EM589" s="1055"/>
      <c r="EN589" s="1055"/>
      <c r="EO589" s="1055"/>
      <c r="EP589" s="1055"/>
      <c r="EQ589" s="1055"/>
      <c r="ER589" s="1055"/>
      <c r="ES589" s="1055"/>
      <c r="ET589" s="1055"/>
      <c r="EU589" s="1055"/>
      <c r="EV589" s="1055"/>
      <c r="EW589" s="1055"/>
      <c r="EX589" s="1055"/>
      <c r="EY589" s="1055"/>
      <c r="EZ589" s="1055"/>
      <c r="FA589" s="1055"/>
      <c r="FB589" s="1055"/>
    </row>
    <row r="590" spans="1:158" ht="32.1" customHeight="1">
      <c r="A590" s="1150"/>
      <c r="B590" s="1155" t="s">
        <v>712</v>
      </c>
      <c r="C590" s="1420">
        <v>0.5</v>
      </c>
      <c r="D590" s="1420">
        <v>0.5</v>
      </c>
      <c r="E590" s="1420">
        <v>0</v>
      </c>
      <c r="F590" s="1420">
        <v>1</v>
      </c>
      <c r="G590" s="1420">
        <v>0.5</v>
      </c>
      <c r="H590" s="1420">
        <v>0</v>
      </c>
      <c r="I590" s="1572"/>
      <c r="J590" s="1084" t="s">
        <v>6710</v>
      </c>
      <c r="K590" s="1070" t="s">
        <v>6545</v>
      </c>
      <c r="L590" s="1084" t="s">
        <v>5834</v>
      </c>
      <c r="M590" s="1357" t="s">
        <v>730</v>
      </c>
      <c r="N590" s="1084" t="s">
        <v>5553</v>
      </c>
      <c r="O590" s="1084" t="s">
        <v>5834</v>
      </c>
      <c r="P590" s="1084"/>
      <c r="Q590" s="1084"/>
      <c r="R590" s="1290"/>
      <c r="S590" s="1055"/>
      <c r="T590" s="1055"/>
      <c r="U590" s="1055"/>
      <c r="V590" s="1055"/>
      <c r="W590" s="1055"/>
      <c r="X590" s="1055"/>
      <c r="Y590" s="1055"/>
      <c r="Z590" s="1055"/>
      <c r="AA590" s="1055"/>
      <c r="AB590" s="1055"/>
      <c r="AC590" s="1055"/>
      <c r="AD590" s="1055"/>
      <c r="AE590" s="1055"/>
      <c r="AF590" s="1055"/>
      <c r="AG590" s="1055"/>
      <c r="AH590" s="1055"/>
      <c r="AI590" s="1055"/>
      <c r="AJ590" s="1055"/>
      <c r="AK590" s="1055"/>
      <c r="AL590" s="1055"/>
      <c r="AM590" s="1055"/>
      <c r="AN590" s="1055"/>
      <c r="AO590" s="1055"/>
      <c r="AP590" s="1055"/>
      <c r="AQ590" s="1055"/>
      <c r="AR590" s="1055"/>
      <c r="AS590" s="1055"/>
      <c r="AT590" s="1055"/>
      <c r="AU590" s="1055"/>
      <c r="AV590" s="1055"/>
      <c r="AW590" s="1055"/>
      <c r="AX590" s="1055"/>
      <c r="AY590" s="1055"/>
      <c r="AZ590" s="1055"/>
      <c r="BA590" s="1055"/>
      <c r="BB590" s="1055"/>
      <c r="BC590" s="1055"/>
      <c r="BD590" s="1055"/>
      <c r="BE590" s="1055"/>
      <c r="BF590" s="1055"/>
      <c r="BG590" s="1055"/>
      <c r="BH590" s="1055"/>
      <c r="BI590" s="1055"/>
      <c r="BJ590" s="1055"/>
      <c r="BK590" s="1055"/>
      <c r="BL590" s="1055"/>
      <c r="BM590" s="1055"/>
      <c r="BN590" s="1055"/>
      <c r="BO590" s="1055"/>
      <c r="BP590" s="1055"/>
      <c r="BQ590" s="1055"/>
      <c r="BR590" s="1055"/>
      <c r="BS590" s="1055"/>
      <c r="BT590" s="1055"/>
      <c r="BU590" s="1055"/>
      <c r="BV590" s="1055"/>
      <c r="BW590" s="1055"/>
      <c r="BX590" s="1055"/>
      <c r="BY590" s="1055"/>
      <c r="BZ590" s="1055"/>
      <c r="CA590" s="1055"/>
      <c r="CB590" s="1055"/>
      <c r="CC590" s="1055"/>
      <c r="CD590" s="1055"/>
      <c r="CE590" s="1055"/>
      <c r="CF590" s="1055"/>
      <c r="CG590" s="1055"/>
      <c r="CH590" s="1055"/>
      <c r="CI590" s="1055"/>
      <c r="CJ590" s="1055"/>
      <c r="CK590" s="1055"/>
      <c r="CL590" s="1055"/>
      <c r="CM590" s="1055"/>
      <c r="CN590" s="1055"/>
      <c r="CO590" s="1055"/>
      <c r="CP590" s="1055"/>
      <c r="CQ590" s="1055"/>
      <c r="CR590" s="1055"/>
      <c r="CS590" s="1055"/>
      <c r="CT590" s="1055"/>
      <c r="CU590" s="1055"/>
      <c r="CV590" s="1055"/>
      <c r="CW590" s="1055"/>
      <c r="CX590" s="1055"/>
      <c r="CY590" s="1055"/>
      <c r="CZ590" s="1055"/>
      <c r="DA590" s="1055"/>
      <c r="DB590" s="1055"/>
      <c r="DC590" s="1055"/>
      <c r="DD590" s="1055"/>
      <c r="DE590" s="1055"/>
      <c r="DF590" s="1055"/>
      <c r="DG590" s="1055"/>
      <c r="DH590" s="1055"/>
      <c r="DI590" s="1055"/>
      <c r="DJ590" s="1055"/>
      <c r="DK590" s="1055"/>
      <c r="DL590" s="1055"/>
      <c r="DM590" s="1055"/>
      <c r="DN590" s="1055"/>
      <c r="DO590" s="1055"/>
      <c r="DP590" s="1055"/>
      <c r="DQ590" s="1055"/>
      <c r="DR590" s="1055"/>
      <c r="DS590" s="1055"/>
      <c r="DT590" s="1055"/>
      <c r="DU590" s="1055"/>
      <c r="DV590" s="1055"/>
      <c r="DW590" s="1055"/>
      <c r="DX590" s="1055"/>
      <c r="DY590" s="1055"/>
      <c r="DZ590" s="1055"/>
      <c r="EA590" s="1055"/>
      <c r="EB590" s="1055"/>
      <c r="EC590" s="1055"/>
      <c r="ED590" s="1055"/>
      <c r="EE590" s="1055"/>
      <c r="EF590" s="1055"/>
      <c r="EG590" s="1055"/>
      <c r="EH590" s="1055"/>
      <c r="EI590" s="1055"/>
      <c r="EJ590" s="1055"/>
      <c r="EK590" s="1055"/>
      <c r="EL590" s="1055"/>
      <c r="EM590" s="1055"/>
      <c r="EN590" s="1055"/>
      <c r="EO590" s="1055"/>
      <c r="EP590" s="1055"/>
      <c r="EQ590" s="1055"/>
      <c r="ER590" s="1055"/>
      <c r="ES590" s="1055"/>
      <c r="ET590" s="1055"/>
      <c r="EU590" s="1055"/>
      <c r="EV590" s="1055"/>
      <c r="EW590" s="1055"/>
      <c r="EX590" s="1055"/>
      <c r="EY590" s="1055"/>
      <c r="EZ590" s="1055"/>
      <c r="FA590" s="1055"/>
      <c r="FB590" s="1055"/>
    </row>
    <row r="591" spans="1:158" ht="32.1" customHeight="1">
      <c r="A591" s="1150"/>
      <c r="B591" s="1053" t="s">
        <v>713</v>
      </c>
      <c r="C591" s="1450">
        <f t="shared" ref="C591:H591" si="140">AVERAGE(C592:C595)</f>
        <v>0.75</v>
      </c>
      <c r="D591" s="1450">
        <f t="shared" si="140"/>
        <v>0.875</v>
      </c>
      <c r="E591" s="1450">
        <f t="shared" si="140"/>
        <v>0.375</v>
      </c>
      <c r="F591" s="1450">
        <f t="shared" si="140"/>
        <v>1</v>
      </c>
      <c r="G591" s="1450">
        <f t="shared" si="140"/>
        <v>0.75</v>
      </c>
      <c r="H591" s="1450">
        <f t="shared" si="140"/>
        <v>1</v>
      </c>
      <c r="I591" s="1572" t="s">
        <v>714</v>
      </c>
      <c r="J591" s="1077"/>
      <c r="K591" s="1070"/>
      <c r="L591" s="1077"/>
      <c r="M591" s="1124"/>
      <c r="N591" s="1077"/>
      <c r="O591" s="1077"/>
      <c r="P591" s="1077"/>
      <c r="Q591" s="1077"/>
    </row>
    <row r="592" spans="1:158" ht="32.1" customHeight="1">
      <c r="A592" s="1150"/>
      <c r="B592" s="1155" t="s">
        <v>709</v>
      </c>
      <c r="C592" s="1420">
        <v>0.5</v>
      </c>
      <c r="D592" s="1420">
        <v>0.5</v>
      </c>
      <c r="E592" s="1420">
        <v>0.5</v>
      </c>
      <c r="F592" s="1420">
        <v>1</v>
      </c>
      <c r="G592" s="1420">
        <v>1</v>
      </c>
      <c r="H592" s="1420">
        <v>1</v>
      </c>
      <c r="I592" s="1572"/>
      <c r="J592" s="1084" t="s">
        <v>6714</v>
      </c>
      <c r="K592" s="1070" t="s">
        <v>2349</v>
      </c>
      <c r="L592" s="1084">
        <v>0.5</v>
      </c>
      <c r="M592" s="1357" t="s">
        <v>730</v>
      </c>
      <c r="N592" s="1084" t="s">
        <v>5554</v>
      </c>
      <c r="O592" s="1075" t="s">
        <v>5835</v>
      </c>
      <c r="P592" s="1084"/>
      <c r="Q592" s="1084"/>
    </row>
    <row r="593" spans="1:17" ht="32.1" customHeight="1">
      <c r="A593" s="1150"/>
      <c r="B593" s="1155" t="s">
        <v>715</v>
      </c>
      <c r="C593" s="1420">
        <v>0.5</v>
      </c>
      <c r="D593" s="1420">
        <v>1</v>
      </c>
      <c r="E593" s="1420">
        <v>0.5</v>
      </c>
      <c r="F593" s="1420">
        <v>1</v>
      </c>
      <c r="G593" s="1420">
        <v>1</v>
      </c>
      <c r="H593" s="1420">
        <v>1</v>
      </c>
      <c r="I593" s="1572" t="s">
        <v>716</v>
      </c>
      <c r="J593" s="1084" t="s">
        <v>6713</v>
      </c>
      <c r="K593" s="1070" t="s">
        <v>2354</v>
      </c>
      <c r="L593" s="1084">
        <v>0.5</v>
      </c>
      <c r="M593" s="1357" t="s">
        <v>730</v>
      </c>
      <c r="N593" s="1084" t="s">
        <v>5555</v>
      </c>
      <c r="O593" s="1075" t="s">
        <v>5836</v>
      </c>
      <c r="P593" s="1084"/>
      <c r="Q593" s="1084"/>
    </row>
    <row r="594" spans="1:17" ht="32.1" customHeight="1">
      <c r="A594" s="1150"/>
      <c r="B594" s="1155" t="s">
        <v>711</v>
      </c>
      <c r="C594" s="1420">
        <v>1</v>
      </c>
      <c r="D594" s="1420">
        <v>1</v>
      </c>
      <c r="E594" s="1420">
        <v>0</v>
      </c>
      <c r="F594" s="1420">
        <v>1</v>
      </c>
      <c r="G594" s="1420">
        <v>0</v>
      </c>
      <c r="H594" s="1420">
        <v>1</v>
      </c>
      <c r="I594" s="1572"/>
      <c r="J594" s="1084" t="s">
        <v>6711</v>
      </c>
      <c r="K594" s="1070" t="s">
        <v>2357</v>
      </c>
      <c r="L594" s="1084" t="s">
        <v>6028</v>
      </c>
      <c r="M594" s="1357" t="s">
        <v>730</v>
      </c>
      <c r="N594" s="1084" t="s">
        <v>5556</v>
      </c>
      <c r="O594" s="1075" t="s">
        <v>5837</v>
      </c>
      <c r="P594" s="1084"/>
      <c r="Q594" s="1084"/>
    </row>
    <row r="595" spans="1:17" ht="32.1" customHeight="1">
      <c r="A595" s="1150"/>
      <c r="B595" s="1155" t="s">
        <v>712</v>
      </c>
      <c r="C595" s="1420">
        <v>1</v>
      </c>
      <c r="D595" s="1420">
        <v>1</v>
      </c>
      <c r="E595" s="1420">
        <v>0.5</v>
      </c>
      <c r="F595" s="1420">
        <v>1</v>
      </c>
      <c r="G595" s="1420">
        <v>1</v>
      </c>
      <c r="H595" s="1420">
        <v>1</v>
      </c>
      <c r="I595" s="1572"/>
      <c r="J595" s="1084" t="s">
        <v>6712</v>
      </c>
      <c r="K595" s="1075" t="s">
        <v>2359</v>
      </c>
      <c r="L595" s="1084">
        <v>0.5</v>
      </c>
      <c r="M595" s="1357" t="s">
        <v>730</v>
      </c>
      <c r="N595" s="1084" t="s">
        <v>5557</v>
      </c>
      <c r="O595" s="1075" t="s">
        <v>5837</v>
      </c>
      <c r="P595" s="1084"/>
      <c r="Q595" s="1084"/>
    </row>
    <row r="596" spans="1:17" ht="32.1" customHeight="1">
      <c r="A596" s="1150"/>
      <c r="B596" s="1053" t="s">
        <v>717</v>
      </c>
      <c r="C596" s="1450">
        <f t="shared" ref="C596:H596" si="141">AVERAGE(C597:C600)</f>
        <v>0.75</v>
      </c>
      <c r="D596" s="1450">
        <f t="shared" si="141"/>
        <v>0.875</v>
      </c>
      <c r="E596" s="1450">
        <f t="shared" si="141"/>
        <v>0</v>
      </c>
      <c r="F596" s="1450">
        <f t="shared" si="141"/>
        <v>1</v>
      </c>
      <c r="G596" s="1450">
        <f t="shared" si="141"/>
        <v>0.625</v>
      </c>
      <c r="H596" s="1450">
        <f t="shared" si="141"/>
        <v>0.5</v>
      </c>
      <c r="I596" s="1572" t="s">
        <v>718</v>
      </c>
      <c r="J596" s="1077"/>
      <c r="K596" s="1070"/>
      <c r="L596" s="1077"/>
      <c r="M596" s="1124"/>
      <c r="N596" s="1077"/>
      <c r="O596" s="1077"/>
      <c r="P596" s="1077"/>
      <c r="Q596" s="1077"/>
    </row>
    <row r="597" spans="1:17" ht="32.1" customHeight="1">
      <c r="A597" s="1150"/>
      <c r="B597" s="1155" t="s">
        <v>709</v>
      </c>
      <c r="C597" s="1420">
        <v>0.5</v>
      </c>
      <c r="D597" s="1420">
        <v>0.5</v>
      </c>
      <c r="E597" s="1420">
        <v>0</v>
      </c>
      <c r="F597" s="1420">
        <v>1</v>
      </c>
      <c r="G597" s="1420">
        <v>0.5</v>
      </c>
      <c r="H597" s="1420">
        <v>0.5</v>
      </c>
      <c r="I597" s="1572"/>
      <c r="J597" s="1084" t="s">
        <v>6715</v>
      </c>
      <c r="K597" s="1070" t="s">
        <v>6546</v>
      </c>
      <c r="L597" s="1084">
        <v>0</v>
      </c>
      <c r="M597" s="1357" t="s">
        <v>730</v>
      </c>
      <c r="N597" s="1084" t="s">
        <v>5558</v>
      </c>
      <c r="O597" s="1084" t="s">
        <v>5838</v>
      </c>
      <c r="P597" s="1084"/>
      <c r="Q597" s="1084"/>
    </row>
    <row r="598" spans="1:17" ht="32.1" customHeight="1">
      <c r="A598" s="1150"/>
      <c r="B598" s="1155" t="s">
        <v>569</v>
      </c>
      <c r="C598" s="1420">
        <v>0.5</v>
      </c>
      <c r="D598" s="1420">
        <v>1</v>
      </c>
      <c r="E598" s="1420">
        <v>0</v>
      </c>
      <c r="F598" s="1420">
        <v>1</v>
      </c>
      <c r="G598" s="1420">
        <v>1</v>
      </c>
      <c r="H598" s="1420">
        <v>0.5</v>
      </c>
      <c r="I598" s="1572" t="s">
        <v>719</v>
      </c>
      <c r="J598" s="1084" t="s">
        <v>6716</v>
      </c>
      <c r="K598" s="1070" t="s">
        <v>6547</v>
      </c>
      <c r="L598" s="1084">
        <v>0</v>
      </c>
      <c r="M598" s="1357" t="s">
        <v>730</v>
      </c>
      <c r="N598" s="1084" t="s">
        <v>5559</v>
      </c>
      <c r="O598" s="1084" t="s">
        <v>5838</v>
      </c>
      <c r="P598" s="1084"/>
      <c r="Q598" s="1084"/>
    </row>
    <row r="599" spans="1:17" ht="32.1" customHeight="1">
      <c r="A599" s="1150"/>
      <c r="B599" s="1155" t="s">
        <v>711</v>
      </c>
      <c r="C599" s="1420">
        <v>1</v>
      </c>
      <c r="D599" s="1420">
        <v>1</v>
      </c>
      <c r="E599" s="1420">
        <v>0</v>
      </c>
      <c r="F599" s="1420">
        <v>1</v>
      </c>
      <c r="G599" s="1420">
        <v>0</v>
      </c>
      <c r="H599" s="1420">
        <v>0.5</v>
      </c>
      <c r="I599" s="1572"/>
      <c r="J599" s="1084" t="s">
        <v>6717</v>
      </c>
      <c r="K599" s="1070" t="s">
        <v>2371</v>
      </c>
      <c r="L599" s="1084" t="s">
        <v>6029</v>
      </c>
      <c r="M599" s="1357" t="s">
        <v>730</v>
      </c>
      <c r="N599" s="1084" t="s">
        <v>5556</v>
      </c>
      <c r="O599" s="1084" t="s">
        <v>5838</v>
      </c>
      <c r="P599" s="1084"/>
      <c r="Q599" s="1084"/>
    </row>
    <row r="600" spans="1:17" ht="32.1" customHeight="1">
      <c r="A600" s="1150"/>
      <c r="B600" s="1155" t="s">
        <v>712</v>
      </c>
      <c r="C600" s="1420">
        <v>1</v>
      </c>
      <c r="D600" s="1420">
        <v>1</v>
      </c>
      <c r="E600" s="1420">
        <v>0</v>
      </c>
      <c r="F600" s="1420">
        <v>1</v>
      </c>
      <c r="G600" s="1420">
        <v>1</v>
      </c>
      <c r="H600" s="1420">
        <v>0.5</v>
      </c>
      <c r="I600" s="1572"/>
      <c r="J600" s="1084" t="s">
        <v>6717</v>
      </c>
      <c r="K600" s="1070" t="s">
        <v>2373</v>
      </c>
      <c r="L600" s="1084">
        <v>0</v>
      </c>
      <c r="M600" s="1357" t="s">
        <v>730</v>
      </c>
      <c r="N600" s="1084" t="s">
        <v>2373</v>
      </c>
      <c r="O600" s="1084" t="s">
        <v>5838</v>
      </c>
      <c r="P600" s="1084"/>
      <c r="Q600" s="1084"/>
    </row>
    <row r="601" spans="1:17" ht="32.1" customHeight="1">
      <c r="A601" s="1150"/>
      <c r="B601" s="1053" t="s">
        <v>720</v>
      </c>
      <c r="C601" s="1450">
        <f t="shared" ref="C601:H601" si="142">AVERAGE(C602:C605)</f>
        <v>0.25</v>
      </c>
      <c r="D601" s="1450">
        <f t="shared" si="142"/>
        <v>0.375</v>
      </c>
      <c r="E601" s="1450">
        <f t="shared" si="142"/>
        <v>0</v>
      </c>
      <c r="F601" s="1450">
        <f t="shared" si="142"/>
        <v>0</v>
      </c>
      <c r="G601" s="1450">
        <f t="shared" si="142"/>
        <v>0.25</v>
      </c>
      <c r="H601" s="1450">
        <f t="shared" si="142"/>
        <v>0.125</v>
      </c>
      <c r="I601" s="1572" t="s">
        <v>721</v>
      </c>
      <c r="J601" s="1070"/>
      <c r="K601" s="1070"/>
      <c r="L601" s="1070"/>
      <c r="M601" s="1073"/>
      <c r="N601" s="1070"/>
      <c r="O601" s="1070"/>
      <c r="P601" s="1070"/>
      <c r="Q601" s="1070"/>
    </row>
    <row r="602" spans="1:17" ht="32.1" customHeight="1">
      <c r="A602" s="1150"/>
      <c r="B602" s="1155" t="s">
        <v>709</v>
      </c>
      <c r="C602" s="1420">
        <v>0</v>
      </c>
      <c r="D602" s="1420">
        <v>0</v>
      </c>
      <c r="E602" s="1420">
        <v>0</v>
      </c>
      <c r="F602" s="1420">
        <v>0</v>
      </c>
      <c r="G602" s="1420">
        <v>0</v>
      </c>
      <c r="H602" s="1420">
        <v>0</v>
      </c>
      <c r="I602" s="1572" t="s">
        <v>38</v>
      </c>
      <c r="J602" s="1084" t="s">
        <v>6718</v>
      </c>
      <c r="K602" s="1070" t="s">
        <v>2375</v>
      </c>
      <c r="L602" s="1084">
        <v>0</v>
      </c>
      <c r="M602" s="1357" t="s">
        <v>6226</v>
      </c>
      <c r="N602" s="1075" t="s">
        <v>2375</v>
      </c>
      <c r="O602" s="1084" t="s">
        <v>5839</v>
      </c>
      <c r="P602" s="1084"/>
      <c r="Q602" s="1084"/>
    </row>
    <row r="603" spans="1:17" ht="32.1" customHeight="1">
      <c r="A603" s="1150"/>
      <c r="B603" s="1155" t="s">
        <v>569</v>
      </c>
      <c r="C603" s="1420">
        <v>0.5</v>
      </c>
      <c r="D603" s="1420">
        <v>0.5</v>
      </c>
      <c r="E603" s="1420">
        <v>0</v>
      </c>
      <c r="F603" s="1420">
        <v>0</v>
      </c>
      <c r="G603" s="1420">
        <v>0</v>
      </c>
      <c r="H603" s="1420">
        <v>0.5</v>
      </c>
      <c r="I603" s="1572" t="s">
        <v>722</v>
      </c>
      <c r="J603" s="1084" t="s">
        <v>6719</v>
      </c>
      <c r="K603" s="1070" t="s">
        <v>6548</v>
      </c>
      <c r="L603" s="1084">
        <v>0</v>
      </c>
      <c r="M603" s="1357" t="s">
        <v>6226</v>
      </c>
      <c r="N603" s="1075" t="s">
        <v>2375</v>
      </c>
      <c r="O603" s="1084" t="s">
        <v>5840</v>
      </c>
      <c r="P603" s="1084"/>
      <c r="Q603" s="1084"/>
    </row>
    <row r="604" spans="1:17" ht="32.1" customHeight="1">
      <c r="A604" s="1150"/>
      <c r="B604" s="1155" t="s">
        <v>711</v>
      </c>
      <c r="C604" s="1420">
        <v>0</v>
      </c>
      <c r="D604" s="1420">
        <v>0</v>
      </c>
      <c r="E604" s="1420">
        <v>0</v>
      </c>
      <c r="F604" s="1420">
        <v>0</v>
      </c>
      <c r="G604" s="1420">
        <v>0</v>
      </c>
      <c r="H604" s="1420">
        <v>0</v>
      </c>
      <c r="I604" s="1572" t="s">
        <v>38</v>
      </c>
      <c r="J604" s="1084" t="s">
        <v>6718</v>
      </c>
      <c r="K604" s="1070" t="s">
        <v>2375</v>
      </c>
      <c r="L604" s="1084" t="s">
        <v>6029</v>
      </c>
      <c r="M604" s="1357" t="s">
        <v>6226</v>
      </c>
      <c r="N604" s="1084" t="s">
        <v>5556</v>
      </c>
      <c r="O604" s="1084" t="s">
        <v>5839</v>
      </c>
      <c r="P604" s="1084"/>
      <c r="Q604" s="1084"/>
    </row>
    <row r="605" spans="1:17" ht="32.1" customHeight="1">
      <c r="A605" s="1150"/>
      <c r="B605" s="1155" t="s">
        <v>712</v>
      </c>
      <c r="C605" s="1420">
        <v>0.5</v>
      </c>
      <c r="D605" s="1420">
        <v>1</v>
      </c>
      <c r="E605" s="1420">
        <v>0</v>
      </c>
      <c r="F605" s="1420">
        <v>0</v>
      </c>
      <c r="G605" s="1420">
        <v>1</v>
      </c>
      <c r="H605" s="1420">
        <v>0</v>
      </c>
      <c r="I605" s="1572" t="s">
        <v>722</v>
      </c>
      <c r="J605" s="1084" t="s">
        <v>6720</v>
      </c>
      <c r="K605" s="1070" t="s">
        <v>6549</v>
      </c>
      <c r="L605" s="1084">
        <v>0</v>
      </c>
      <c r="M605" s="1357" t="s">
        <v>6226</v>
      </c>
      <c r="N605" s="1075" t="s">
        <v>2379</v>
      </c>
      <c r="O605" s="1084" t="s">
        <v>5839</v>
      </c>
      <c r="P605" s="1084"/>
      <c r="Q605" s="1084"/>
    </row>
    <row r="606" spans="1:17" ht="32.1" customHeight="1">
      <c r="A606" s="1150"/>
      <c r="B606" s="1053" t="s">
        <v>723</v>
      </c>
      <c r="C606" s="1450">
        <f t="shared" ref="C606:H606" si="143">AVERAGE(C607:C610)</f>
        <v>1</v>
      </c>
      <c r="D606" s="1450">
        <f t="shared" si="143"/>
        <v>0.25</v>
      </c>
      <c r="E606" s="1450">
        <f t="shared" si="143"/>
        <v>0.25</v>
      </c>
      <c r="F606" s="1450">
        <f t="shared" si="143"/>
        <v>0.75</v>
      </c>
      <c r="G606" s="1450">
        <f t="shared" si="143"/>
        <v>0.5</v>
      </c>
      <c r="H606" s="1450">
        <f t="shared" si="143"/>
        <v>0</v>
      </c>
      <c r="I606" s="1572" t="s">
        <v>724</v>
      </c>
      <c r="J606" s="1070"/>
      <c r="K606" s="1070"/>
      <c r="L606" s="1070"/>
      <c r="M606" s="1073"/>
      <c r="N606" s="1070"/>
      <c r="O606" s="1070"/>
      <c r="P606" s="1070"/>
      <c r="Q606" s="1070"/>
    </row>
    <row r="607" spans="1:17" ht="32.1" customHeight="1">
      <c r="A607" s="1150"/>
      <c r="B607" s="1155" t="s">
        <v>709</v>
      </c>
      <c r="C607" s="1420">
        <v>1</v>
      </c>
      <c r="D607" s="1420">
        <v>0</v>
      </c>
      <c r="E607" s="1420">
        <v>0</v>
      </c>
      <c r="F607" s="1420">
        <v>0</v>
      </c>
      <c r="G607" s="1420">
        <v>1</v>
      </c>
      <c r="H607" s="1420">
        <v>0</v>
      </c>
      <c r="I607" s="1572" t="s">
        <v>38</v>
      </c>
      <c r="J607" s="1084" t="s">
        <v>6721</v>
      </c>
      <c r="K607" s="1070" t="s">
        <v>6550</v>
      </c>
      <c r="L607" s="1084">
        <v>0</v>
      </c>
      <c r="M607" s="1357" t="s">
        <v>6226</v>
      </c>
      <c r="N607" s="1084" t="s">
        <v>5560</v>
      </c>
      <c r="O607" s="1084" t="s">
        <v>5841</v>
      </c>
      <c r="P607" s="1084"/>
      <c r="Q607" s="1084"/>
    </row>
    <row r="608" spans="1:17" ht="32.1" customHeight="1">
      <c r="A608" s="1150"/>
      <c r="B608" s="1155" t="s">
        <v>569</v>
      </c>
      <c r="C608" s="1420">
        <v>1</v>
      </c>
      <c r="D608" s="1420">
        <v>1</v>
      </c>
      <c r="E608" s="1420">
        <v>1</v>
      </c>
      <c r="F608" s="1420">
        <v>1</v>
      </c>
      <c r="G608" s="1420">
        <v>0</v>
      </c>
      <c r="H608" s="1420">
        <v>0</v>
      </c>
      <c r="I608" s="1572" t="s">
        <v>722</v>
      </c>
      <c r="J608" s="1084" t="s">
        <v>6721</v>
      </c>
      <c r="K608" s="1070" t="s">
        <v>6551</v>
      </c>
      <c r="L608" s="1084" t="s">
        <v>6030</v>
      </c>
      <c r="M608" s="1357" t="s">
        <v>730</v>
      </c>
      <c r="N608" s="1084" t="s">
        <v>5561</v>
      </c>
      <c r="O608" s="1084" t="s">
        <v>5842</v>
      </c>
      <c r="P608" s="1084"/>
      <c r="Q608" s="1084"/>
    </row>
    <row r="609" spans="1:159" ht="32.1" customHeight="1">
      <c r="A609" s="1150"/>
      <c r="B609" s="1155" t="s">
        <v>711</v>
      </c>
      <c r="C609" s="1420">
        <v>1</v>
      </c>
      <c r="D609" s="1420">
        <v>0</v>
      </c>
      <c r="E609" s="1420">
        <v>0</v>
      </c>
      <c r="F609" s="1420">
        <v>1</v>
      </c>
      <c r="G609" s="1420">
        <v>0</v>
      </c>
      <c r="H609" s="1420">
        <v>0</v>
      </c>
      <c r="I609" s="1572" t="s">
        <v>38</v>
      </c>
      <c r="J609" s="1084" t="s">
        <v>6721</v>
      </c>
      <c r="K609" s="1070" t="s">
        <v>748</v>
      </c>
      <c r="L609" s="1084" t="s">
        <v>1073</v>
      </c>
      <c r="M609" s="1357" t="s">
        <v>730</v>
      </c>
      <c r="N609" s="1084" t="s">
        <v>5556</v>
      </c>
      <c r="O609" s="1084" t="s">
        <v>5843</v>
      </c>
      <c r="P609" s="1084"/>
      <c r="Q609" s="1084"/>
    </row>
    <row r="610" spans="1:159" ht="32.1" customHeight="1">
      <c r="A610" s="1150"/>
      <c r="B610" s="1155" t="s">
        <v>712</v>
      </c>
      <c r="C610" s="1420">
        <v>1</v>
      </c>
      <c r="D610" s="1420">
        <v>0</v>
      </c>
      <c r="E610" s="1420">
        <v>0</v>
      </c>
      <c r="F610" s="1420">
        <v>1</v>
      </c>
      <c r="G610" s="1420">
        <v>1</v>
      </c>
      <c r="H610" s="1420">
        <v>0</v>
      </c>
      <c r="I610" s="1572" t="s">
        <v>38</v>
      </c>
      <c r="J610" s="1084" t="s">
        <v>6722</v>
      </c>
      <c r="K610" s="1070" t="s">
        <v>6552</v>
      </c>
      <c r="L610" s="1084">
        <v>0</v>
      </c>
      <c r="M610" s="1357" t="s">
        <v>730</v>
      </c>
      <c r="N610" s="1084" t="s">
        <v>5562</v>
      </c>
      <c r="O610" s="1084" t="s">
        <v>5844</v>
      </c>
      <c r="P610" s="1084"/>
      <c r="Q610" s="1084"/>
    </row>
    <row r="611" spans="1:159" ht="32.1" customHeight="1">
      <c r="A611" s="1150"/>
      <c r="B611" s="1053" t="s">
        <v>725</v>
      </c>
      <c r="C611" s="1420">
        <f>IF(41&lt;$P611,1,IF(41&gt;$Q611,0,(41-$Q611)/($P611-$Q611)))</f>
        <v>1</v>
      </c>
      <c r="D611" s="1420">
        <f>IF(712&lt;$P611,1,IF(712&gt;$Q611,0,(712-$Q611)/($P611-$Q611)))</f>
        <v>1</v>
      </c>
      <c r="E611" s="1420">
        <f>IF(40&lt;$P611,1,IF(40&gt;$Q611,0,(40-$Q611)/($P611-$Q611)))</f>
        <v>1</v>
      </c>
      <c r="F611" s="1420">
        <f>IF(470&lt;$P611,1,IF(470&gt;$Q611,0,(470-$Q611)/($P611-$Q611)))</f>
        <v>1</v>
      </c>
      <c r="G611" s="1420">
        <f>IF(375&lt;$P611,1,IF(375&gt;$Q611,0,(375-$Q611)/($P611-$Q611)))</f>
        <v>1</v>
      </c>
      <c r="H611" s="1420">
        <f>IF(287&lt;$P611,1,IF(287&gt;$Q611,0,(287-$Q611)/($P611-$Q611)))</f>
        <v>1</v>
      </c>
      <c r="I611" s="1572" t="s">
        <v>5342</v>
      </c>
      <c r="J611" s="1686" t="s">
        <v>6930</v>
      </c>
      <c r="K611" s="1686" t="s">
        <v>6553</v>
      </c>
      <c r="L611" s="1686" t="s">
        <v>6031</v>
      </c>
      <c r="M611" s="1345">
        <v>1729</v>
      </c>
      <c r="N611" s="1396" t="s">
        <v>5563</v>
      </c>
      <c r="O611" s="1686" t="s">
        <v>5845</v>
      </c>
      <c r="P611" s="1204">
        <v>1044</v>
      </c>
      <c r="Q611" s="1204">
        <v>948.74429124030848</v>
      </c>
    </row>
    <row r="612" spans="1:159" ht="32.1" customHeight="1">
      <c r="A612" s="1150"/>
      <c r="B612" s="1101" t="s">
        <v>727</v>
      </c>
      <c r="C612" s="1420">
        <v>1</v>
      </c>
      <c r="D612" s="1420">
        <v>1</v>
      </c>
      <c r="E612" s="1420">
        <v>1</v>
      </c>
      <c r="F612" s="1420">
        <v>1</v>
      </c>
      <c r="G612" s="1420">
        <v>1</v>
      </c>
      <c r="H612" s="1420">
        <v>1</v>
      </c>
      <c r="I612" s="1774" t="s">
        <v>38</v>
      </c>
      <c r="J612" s="1204" t="s">
        <v>6723</v>
      </c>
      <c r="K612" s="1204" t="s">
        <v>6554</v>
      </c>
      <c r="L612" s="1204">
        <v>1</v>
      </c>
      <c r="M612" s="1345">
        <v>1</v>
      </c>
      <c r="N612" s="1204" t="s">
        <v>5564</v>
      </c>
      <c r="O612" s="1204" t="s">
        <v>5846</v>
      </c>
      <c r="P612" s="1204"/>
      <c r="Q612" s="1204"/>
    </row>
    <row r="613" spans="1:159" ht="32.1" customHeight="1">
      <c r="A613" s="1689"/>
      <c r="B613" s="1690"/>
      <c r="C613" s="1691"/>
      <c r="D613" s="1691"/>
      <c r="E613" s="1691"/>
      <c r="F613" s="1691"/>
      <c r="G613" s="1691"/>
      <c r="H613" s="1691"/>
      <c r="I613" s="1774"/>
      <c r="J613" s="1204"/>
      <c r="K613" s="1204"/>
      <c r="L613" s="1204"/>
      <c r="M613" s="1345"/>
      <c r="N613" s="1204"/>
      <c r="O613" s="1204"/>
      <c r="P613" s="1204"/>
      <c r="Q613" s="1204"/>
    </row>
    <row r="614" spans="1:159" s="1209" customFormat="1" ht="32.1" customHeight="1">
      <c r="A614" s="1205">
        <v>3</v>
      </c>
      <c r="B614" s="1206" t="s">
        <v>435</v>
      </c>
      <c r="C614" s="1437">
        <f t="shared" ref="C614:H614" si="144">AVERAGE(C615,C618,C675)</f>
        <v>0.78600407188277066</v>
      </c>
      <c r="D614" s="1437">
        <f t="shared" si="144"/>
        <v>0.77530895590417037</v>
      </c>
      <c r="E614" s="1437">
        <f t="shared" si="144"/>
        <v>0.64386508261697772</v>
      </c>
      <c r="F614" s="1437">
        <f t="shared" si="144"/>
        <v>0.63982917731503275</v>
      </c>
      <c r="G614" s="1437">
        <f t="shared" si="144"/>
        <v>0.81064049130760341</v>
      </c>
      <c r="H614" s="1437">
        <f t="shared" si="144"/>
        <v>0.77929690507953564</v>
      </c>
      <c r="I614" s="1780"/>
      <c r="J614" s="1207"/>
      <c r="K614" s="1208"/>
      <c r="L614" s="1208"/>
      <c r="M614" s="1208"/>
      <c r="N614" s="1208"/>
      <c r="O614" s="1208"/>
      <c r="P614" s="1208"/>
      <c r="Q614" s="1208"/>
      <c r="R614" s="1081"/>
      <c r="S614" s="1082"/>
      <c r="T614" s="1082"/>
      <c r="U614" s="1082"/>
      <c r="V614" s="1082"/>
      <c r="W614" s="1082"/>
      <c r="X614" s="1082"/>
      <c r="Y614" s="1082"/>
      <c r="Z614" s="1082"/>
      <c r="AA614" s="1082"/>
      <c r="AB614" s="1082"/>
      <c r="AC614" s="1082"/>
      <c r="AD614" s="1082"/>
      <c r="AE614" s="1082"/>
      <c r="AF614" s="1082"/>
      <c r="AG614" s="1082"/>
      <c r="AH614" s="1082"/>
      <c r="AI614" s="1082"/>
      <c r="AJ614" s="1082"/>
      <c r="AK614" s="1082"/>
      <c r="AL614" s="1082"/>
      <c r="AM614" s="1082"/>
      <c r="AN614" s="1082"/>
      <c r="AO614" s="1082"/>
      <c r="AP614" s="1082"/>
      <c r="AQ614" s="1082"/>
      <c r="AR614" s="1082"/>
      <c r="AS614" s="1082"/>
      <c r="AT614" s="1082"/>
      <c r="AU614" s="1082"/>
      <c r="AV614" s="1082"/>
      <c r="AW614" s="1082"/>
      <c r="AX614" s="1082"/>
      <c r="AY614" s="1082"/>
      <c r="AZ614" s="1082"/>
      <c r="BA614" s="1082"/>
      <c r="BB614" s="1082"/>
      <c r="BC614" s="1082"/>
      <c r="BD614" s="1082"/>
      <c r="BE614" s="1082"/>
      <c r="BF614" s="1082"/>
      <c r="BG614" s="1082"/>
      <c r="BH614" s="1082"/>
      <c r="BI614" s="1082"/>
      <c r="BJ614" s="1082"/>
      <c r="BK614" s="1082"/>
      <c r="BL614" s="1082"/>
      <c r="BM614" s="1082"/>
      <c r="BN614" s="1082"/>
      <c r="BO614" s="1082"/>
      <c r="BP614" s="1082"/>
      <c r="BQ614" s="1082"/>
      <c r="BR614" s="1082"/>
      <c r="BS614" s="1082"/>
      <c r="BT614" s="1082"/>
      <c r="BU614" s="1082"/>
      <c r="BV614" s="1082"/>
      <c r="BW614" s="1082"/>
      <c r="BX614" s="1082"/>
      <c r="BY614" s="1082"/>
      <c r="BZ614" s="1082"/>
      <c r="CA614" s="1082"/>
      <c r="CB614" s="1082"/>
      <c r="CC614" s="1082"/>
      <c r="CD614" s="1082"/>
      <c r="CE614" s="1082"/>
      <c r="CF614" s="1082"/>
      <c r="CG614" s="1082"/>
      <c r="CH614" s="1082"/>
      <c r="CI614" s="1082"/>
      <c r="CJ614" s="1082"/>
      <c r="CK614" s="1082"/>
      <c r="CL614" s="1082"/>
      <c r="CM614" s="1082"/>
      <c r="CN614" s="1082"/>
      <c r="CO614" s="1082"/>
      <c r="CP614" s="1082"/>
      <c r="CQ614" s="1082"/>
      <c r="CR614" s="1082"/>
      <c r="CS614" s="1082"/>
      <c r="CT614" s="1082"/>
      <c r="CU614" s="1082"/>
      <c r="CV614" s="1082"/>
      <c r="CW614" s="1082"/>
      <c r="CX614" s="1082"/>
      <c r="CY614" s="1082"/>
      <c r="CZ614" s="1082"/>
      <c r="DA614" s="1082"/>
      <c r="DB614" s="1082"/>
      <c r="DC614" s="1082"/>
      <c r="DD614" s="1082"/>
      <c r="DE614" s="1082"/>
      <c r="DF614" s="1082"/>
      <c r="DG614" s="1082"/>
      <c r="DH614" s="1082"/>
      <c r="DI614" s="1082"/>
      <c r="DJ614" s="1082"/>
      <c r="DK614" s="1082"/>
      <c r="DL614" s="1082"/>
      <c r="DM614" s="1082"/>
      <c r="DN614" s="1082"/>
      <c r="DO614" s="1082"/>
      <c r="DP614" s="1082"/>
      <c r="DQ614" s="1082"/>
      <c r="DR614" s="1082"/>
      <c r="DS614" s="1082"/>
      <c r="DT614" s="1082"/>
      <c r="DU614" s="1082"/>
      <c r="DV614" s="1082"/>
      <c r="DW614" s="1082"/>
      <c r="DX614" s="1082"/>
      <c r="DY614" s="1082"/>
      <c r="DZ614" s="1082"/>
      <c r="EA614" s="1082"/>
      <c r="EB614" s="1082"/>
      <c r="EC614" s="1082"/>
      <c r="ED614" s="1082"/>
      <c r="EE614" s="1082"/>
      <c r="EF614" s="1082"/>
      <c r="EG614" s="1082"/>
      <c r="EH614" s="1082"/>
      <c r="EI614" s="1082"/>
      <c r="EJ614" s="1082"/>
      <c r="EK614" s="1082"/>
      <c r="EL614" s="1082"/>
      <c r="EM614" s="1082"/>
      <c r="EN614" s="1082"/>
      <c r="EO614" s="1082"/>
      <c r="EP614" s="1082"/>
      <c r="EQ614" s="1082"/>
      <c r="ER614" s="1082"/>
      <c r="ES614" s="1082"/>
      <c r="ET614" s="1082"/>
      <c r="EU614" s="1082"/>
      <c r="EV614" s="1082"/>
      <c r="EW614" s="1082"/>
      <c r="EX614" s="1082"/>
      <c r="EY614" s="1082"/>
      <c r="EZ614" s="1082"/>
      <c r="FA614" s="1082"/>
      <c r="FB614" s="1082"/>
    </row>
    <row r="615" spans="1:159" s="1209" customFormat="1" ht="32.1" customHeight="1">
      <c r="A615" s="1210">
        <v>3.1</v>
      </c>
      <c r="B615" s="1067" t="s">
        <v>5290</v>
      </c>
      <c r="C615" s="1500">
        <f t="shared" ref="C615:H615" si="145">AVERAGE(C616,C617)</f>
        <v>0.75</v>
      </c>
      <c r="D615" s="1500">
        <f t="shared" si="145"/>
        <v>1</v>
      </c>
      <c r="E615" s="1500">
        <f t="shared" si="145"/>
        <v>0.75</v>
      </c>
      <c r="F615" s="1500">
        <f t="shared" si="145"/>
        <v>0.4</v>
      </c>
      <c r="G615" s="1500">
        <f t="shared" si="145"/>
        <v>1</v>
      </c>
      <c r="H615" s="1500">
        <f t="shared" si="145"/>
        <v>1</v>
      </c>
      <c r="I615" s="1781"/>
      <c r="J615" s="1207"/>
      <c r="K615" s="1208"/>
      <c r="L615" s="1208"/>
      <c r="M615" s="1208"/>
      <c r="N615" s="1208"/>
      <c r="O615" s="1208"/>
      <c r="P615" s="1208"/>
      <c r="Q615" s="1208"/>
      <c r="R615" s="1081"/>
      <c r="S615" s="1082"/>
      <c r="T615" s="1082"/>
      <c r="U615" s="1082"/>
      <c r="V615" s="1082"/>
      <c r="W615" s="1082"/>
      <c r="X615" s="1082"/>
      <c r="Y615" s="1082"/>
      <c r="Z615" s="1082"/>
      <c r="AA615" s="1082"/>
      <c r="AB615" s="1082"/>
      <c r="AC615" s="1082"/>
      <c r="AD615" s="1082"/>
      <c r="AE615" s="1082"/>
      <c r="AF615" s="1082"/>
      <c r="AG615" s="1082"/>
      <c r="AH615" s="1082"/>
      <c r="AI615" s="1082"/>
      <c r="AJ615" s="1082"/>
      <c r="AK615" s="1082"/>
      <c r="AL615" s="1082"/>
      <c r="AM615" s="1082"/>
      <c r="AN615" s="1082"/>
      <c r="AO615" s="1082"/>
      <c r="AP615" s="1082"/>
      <c r="AQ615" s="1082"/>
      <c r="AR615" s="1082"/>
      <c r="AS615" s="1082"/>
      <c r="AT615" s="1082"/>
      <c r="AU615" s="1082"/>
      <c r="AV615" s="1082"/>
      <c r="AW615" s="1082"/>
      <c r="AX615" s="1082"/>
      <c r="AY615" s="1082"/>
      <c r="AZ615" s="1082"/>
      <c r="BA615" s="1082"/>
      <c r="BB615" s="1082"/>
      <c r="BC615" s="1082"/>
      <c r="BD615" s="1082"/>
      <c r="BE615" s="1082"/>
      <c r="BF615" s="1082"/>
      <c r="BG615" s="1082"/>
      <c r="BH615" s="1082"/>
      <c r="BI615" s="1082"/>
      <c r="BJ615" s="1082"/>
      <c r="BK615" s="1082"/>
      <c r="BL615" s="1082"/>
      <c r="BM615" s="1082"/>
      <c r="BN615" s="1082"/>
      <c r="BO615" s="1082"/>
      <c r="BP615" s="1082"/>
      <c r="BQ615" s="1082"/>
      <c r="BR615" s="1082"/>
      <c r="BS615" s="1082"/>
      <c r="BT615" s="1082"/>
      <c r="BU615" s="1082"/>
      <c r="BV615" s="1082"/>
      <c r="BW615" s="1082"/>
      <c r="BX615" s="1082"/>
      <c r="BY615" s="1082"/>
      <c r="BZ615" s="1082"/>
      <c r="CA615" s="1082"/>
      <c r="CB615" s="1082"/>
      <c r="CC615" s="1082"/>
      <c r="CD615" s="1082"/>
      <c r="CE615" s="1082"/>
      <c r="CF615" s="1082"/>
      <c r="CG615" s="1082"/>
      <c r="CH615" s="1082"/>
      <c r="CI615" s="1082"/>
      <c r="CJ615" s="1082"/>
      <c r="CK615" s="1082"/>
      <c r="CL615" s="1082"/>
      <c r="CM615" s="1082"/>
      <c r="CN615" s="1082"/>
      <c r="CO615" s="1082"/>
      <c r="CP615" s="1082"/>
      <c r="CQ615" s="1082"/>
      <c r="CR615" s="1082"/>
      <c r="CS615" s="1082"/>
      <c r="CT615" s="1082"/>
      <c r="CU615" s="1082"/>
      <c r="CV615" s="1082"/>
      <c r="CW615" s="1082"/>
      <c r="CX615" s="1082"/>
      <c r="CY615" s="1082"/>
      <c r="CZ615" s="1082"/>
      <c r="DA615" s="1082"/>
      <c r="DB615" s="1082"/>
      <c r="DC615" s="1082"/>
      <c r="DD615" s="1082"/>
      <c r="DE615" s="1082"/>
      <c r="DF615" s="1082"/>
      <c r="DG615" s="1082"/>
      <c r="DH615" s="1082"/>
      <c r="DI615" s="1082"/>
      <c r="DJ615" s="1082"/>
      <c r="DK615" s="1082"/>
      <c r="DL615" s="1082"/>
      <c r="DM615" s="1082"/>
      <c r="DN615" s="1082"/>
      <c r="DO615" s="1082"/>
      <c r="DP615" s="1082"/>
      <c r="DQ615" s="1082"/>
      <c r="DR615" s="1082"/>
      <c r="DS615" s="1082"/>
      <c r="DT615" s="1082"/>
      <c r="DU615" s="1082"/>
      <c r="DV615" s="1082"/>
      <c r="DW615" s="1082"/>
      <c r="DX615" s="1082"/>
      <c r="DY615" s="1082"/>
      <c r="DZ615" s="1082"/>
      <c r="EA615" s="1082"/>
      <c r="EB615" s="1082"/>
      <c r="EC615" s="1082"/>
      <c r="ED615" s="1082"/>
      <c r="EE615" s="1082"/>
      <c r="EF615" s="1082"/>
      <c r="EG615" s="1082"/>
      <c r="EH615" s="1082"/>
      <c r="EI615" s="1082"/>
      <c r="EJ615" s="1082"/>
      <c r="EK615" s="1082"/>
      <c r="EL615" s="1082"/>
      <c r="EM615" s="1082"/>
      <c r="EN615" s="1082"/>
      <c r="EO615" s="1082"/>
      <c r="EP615" s="1082"/>
      <c r="EQ615" s="1082"/>
      <c r="ER615" s="1082"/>
      <c r="ES615" s="1082"/>
      <c r="ET615" s="1082"/>
      <c r="EU615" s="1082"/>
      <c r="EV615" s="1082"/>
      <c r="EW615" s="1082"/>
      <c r="EX615" s="1082"/>
      <c r="EY615" s="1082"/>
      <c r="EZ615" s="1082"/>
      <c r="FA615" s="1082"/>
      <c r="FB615" s="1082"/>
    </row>
    <row r="616" spans="1:159" s="1209" customFormat="1" ht="32.1" customHeight="1">
      <c r="A616" s="1211"/>
      <c r="B616" s="1212" t="s">
        <v>5291</v>
      </c>
      <c r="C616" s="1436">
        <v>0.5</v>
      </c>
      <c r="D616" s="1436">
        <v>1</v>
      </c>
      <c r="E616" s="1436">
        <v>1</v>
      </c>
      <c r="F616" s="1436">
        <v>0.5</v>
      </c>
      <c r="G616" s="1436">
        <v>1</v>
      </c>
      <c r="H616" s="1436">
        <v>1</v>
      </c>
      <c r="I616" s="1465" t="s">
        <v>91</v>
      </c>
      <c r="J616" s="1412" t="s">
        <v>6822</v>
      </c>
      <c r="K616" s="1467" t="s">
        <v>6443</v>
      </c>
      <c r="L616" s="1466" t="s">
        <v>5967</v>
      </c>
      <c r="M616" s="1113" t="s">
        <v>6194</v>
      </c>
      <c r="N616" s="1104" t="s">
        <v>5500</v>
      </c>
      <c r="O616" s="1104" t="s">
        <v>5736</v>
      </c>
      <c r="P616" s="1113">
        <v>1</v>
      </c>
      <c r="Q616" s="1208"/>
      <c r="R616" s="1081"/>
      <c r="S616" s="1082"/>
      <c r="T616" s="1082"/>
      <c r="U616" s="1082"/>
      <c r="V616" s="1082"/>
      <c r="W616" s="1082"/>
      <c r="X616" s="1082"/>
      <c r="Y616" s="1082"/>
      <c r="Z616" s="1082"/>
      <c r="AA616" s="1082"/>
      <c r="AB616" s="1082"/>
      <c r="AC616" s="1082"/>
      <c r="AD616" s="1082"/>
      <c r="AE616" s="1082"/>
      <c r="AF616" s="1082"/>
      <c r="AG616" s="1082"/>
      <c r="AH616" s="1082"/>
      <c r="AI616" s="1082"/>
      <c r="AJ616" s="1082"/>
      <c r="AK616" s="1082"/>
      <c r="AL616" s="1082"/>
      <c r="AM616" s="1082"/>
      <c r="AN616" s="1082"/>
      <c r="AO616" s="1082"/>
      <c r="AP616" s="1082"/>
      <c r="AQ616" s="1082"/>
      <c r="AR616" s="1082"/>
      <c r="AS616" s="1082"/>
      <c r="AT616" s="1082"/>
      <c r="AU616" s="1082"/>
      <c r="AV616" s="1082"/>
      <c r="AW616" s="1082"/>
      <c r="AX616" s="1082"/>
      <c r="AY616" s="1082"/>
      <c r="AZ616" s="1082"/>
      <c r="BA616" s="1082"/>
      <c r="BB616" s="1082"/>
      <c r="BC616" s="1082"/>
      <c r="BD616" s="1082"/>
      <c r="BE616" s="1082"/>
      <c r="BF616" s="1082"/>
      <c r="BG616" s="1082"/>
      <c r="BH616" s="1082"/>
      <c r="BI616" s="1082"/>
      <c r="BJ616" s="1082"/>
      <c r="BK616" s="1082"/>
      <c r="BL616" s="1082"/>
      <c r="BM616" s="1082"/>
      <c r="BN616" s="1082"/>
      <c r="BO616" s="1082"/>
      <c r="BP616" s="1082"/>
      <c r="BQ616" s="1082"/>
      <c r="BR616" s="1082"/>
      <c r="BS616" s="1082"/>
      <c r="BT616" s="1082"/>
      <c r="BU616" s="1082"/>
      <c r="BV616" s="1082"/>
      <c r="BW616" s="1082"/>
      <c r="BX616" s="1082"/>
      <c r="BY616" s="1082"/>
      <c r="BZ616" s="1082"/>
      <c r="CA616" s="1082"/>
      <c r="CB616" s="1082"/>
      <c r="CC616" s="1082"/>
      <c r="CD616" s="1082"/>
      <c r="CE616" s="1082"/>
      <c r="CF616" s="1082"/>
      <c r="CG616" s="1082"/>
      <c r="CH616" s="1082"/>
      <c r="CI616" s="1082"/>
      <c r="CJ616" s="1082"/>
      <c r="CK616" s="1082"/>
      <c r="CL616" s="1082"/>
      <c r="CM616" s="1082"/>
      <c r="CN616" s="1082"/>
      <c r="CO616" s="1082"/>
      <c r="CP616" s="1082"/>
      <c r="CQ616" s="1082"/>
      <c r="CR616" s="1082"/>
      <c r="CS616" s="1082"/>
      <c r="CT616" s="1082"/>
      <c r="CU616" s="1082"/>
      <c r="CV616" s="1082"/>
      <c r="CW616" s="1082"/>
      <c r="CX616" s="1082"/>
      <c r="CY616" s="1082"/>
      <c r="CZ616" s="1082"/>
      <c r="DA616" s="1082"/>
      <c r="DB616" s="1082"/>
      <c r="DC616" s="1082"/>
      <c r="DD616" s="1082"/>
      <c r="DE616" s="1082"/>
      <c r="DF616" s="1082"/>
      <c r="DG616" s="1082"/>
      <c r="DH616" s="1082"/>
      <c r="DI616" s="1082"/>
      <c r="DJ616" s="1082"/>
      <c r="DK616" s="1082"/>
      <c r="DL616" s="1082"/>
      <c r="DM616" s="1082"/>
      <c r="DN616" s="1082"/>
      <c r="DO616" s="1082"/>
      <c r="DP616" s="1082"/>
      <c r="DQ616" s="1082"/>
      <c r="DR616" s="1082"/>
      <c r="DS616" s="1082"/>
      <c r="DT616" s="1082"/>
      <c r="DU616" s="1082"/>
      <c r="DV616" s="1082"/>
      <c r="DW616" s="1082"/>
      <c r="DX616" s="1082"/>
      <c r="DY616" s="1082"/>
      <c r="DZ616" s="1082"/>
      <c r="EA616" s="1082"/>
      <c r="EB616" s="1082"/>
      <c r="EC616" s="1082"/>
      <c r="ED616" s="1082"/>
      <c r="EE616" s="1082"/>
      <c r="EF616" s="1082"/>
      <c r="EG616" s="1082"/>
      <c r="EH616" s="1082"/>
      <c r="EI616" s="1082"/>
      <c r="EJ616" s="1082"/>
      <c r="EK616" s="1082"/>
      <c r="EL616" s="1082"/>
      <c r="EM616" s="1082"/>
      <c r="EN616" s="1082"/>
      <c r="EO616" s="1082"/>
      <c r="EP616" s="1082"/>
      <c r="EQ616" s="1082"/>
      <c r="ER616" s="1082"/>
      <c r="ES616" s="1082"/>
      <c r="ET616" s="1082"/>
      <c r="EU616" s="1082"/>
      <c r="EV616" s="1082"/>
      <c r="EW616" s="1082"/>
      <c r="EX616" s="1082"/>
      <c r="EY616" s="1082"/>
      <c r="EZ616" s="1082"/>
      <c r="FA616" s="1082"/>
      <c r="FB616" s="1082"/>
    </row>
    <row r="617" spans="1:159" s="1209" customFormat="1" ht="32.1" customHeight="1">
      <c r="A617" s="1211"/>
      <c r="B617" s="1212" t="s">
        <v>5292</v>
      </c>
      <c r="C617" s="1436">
        <v>1</v>
      </c>
      <c r="D617" s="1436">
        <v>1</v>
      </c>
      <c r="E617" s="1436">
        <v>0.5</v>
      </c>
      <c r="F617" s="1436">
        <v>0.3</v>
      </c>
      <c r="G617" s="1436">
        <v>1</v>
      </c>
      <c r="H617" s="1436">
        <v>1</v>
      </c>
      <c r="I617" s="1464" t="s">
        <v>91</v>
      </c>
      <c r="J617" s="1412" t="s">
        <v>6823</v>
      </c>
      <c r="K617" s="1467" t="s">
        <v>6444</v>
      </c>
      <c r="L617" s="1466" t="s">
        <v>5968</v>
      </c>
      <c r="M617" s="1104" t="s">
        <v>6195</v>
      </c>
      <c r="N617" s="1104" t="s">
        <v>5501</v>
      </c>
      <c r="O617" s="1104" t="s">
        <v>5737</v>
      </c>
      <c r="P617" s="1113">
        <v>1</v>
      </c>
      <c r="Q617" s="1208"/>
      <c r="R617" s="1081"/>
      <c r="S617" s="1082"/>
      <c r="T617" s="1082"/>
      <c r="U617" s="1082"/>
      <c r="V617" s="1082"/>
      <c r="W617" s="1082"/>
      <c r="X617" s="1082"/>
      <c r="Y617" s="1082"/>
      <c r="Z617" s="1082"/>
      <c r="AA617" s="1082"/>
      <c r="AB617" s="1082"/>
      <c r="AC617" s="1082"/>
      <c r="AD617" s="1082"/>
      <c r="AE617" s="1082"/>
      <c r="AF617" s="1082"/>
      <c r="AG617" s="1082"/>
      <c r="AH617" s="1082"/>
      <c r="AI617" s="1082"/>
      <c r="AJ617" s="1082"/>
      <c r="AK617" s="1082"/>
      <c r="AL617" s="1082"/>
      <c r="AM617" s="1082"/>
      <c r="AN617" s="1082"/>
      <c r="AO617" s="1082"/>
      <c r="AP617" s="1082"/>
      <c r="AQ617" s="1082"/>
      <c r="AR617" s="1082"/>
      <c r="AS617" s="1082"/>
      <c r="AT617" s="1082"/>
      <c r="AU617" s="1082"/>
      <c r="AV617" s="1082"/>
      <c r="AW617" s="1082"/>
      <c r="AX617" s="1082"/>
      <c r="AY617" s="1082"/>
      <c r="AZ617" s="1082"/>
      <c r="BA617" s="1082"/>
      <c r="BB617" s="1082"/>
      <c r="BC617" s="1082"/>
      <c r="BD617" s="1082"/>
      <c r="BE617" s="1082"/>
      <c r="BF617" s="1082"/>
      <c r="BG617" s="1082"/>
      <c r="BH617" s="1082"/>
      <c r="BI617" s="1082"/>
      <c r="BJ617" s="1082"/>
      <c r="BK617" s="1082"/>
      <c r="BL617" s="1082"/>
      <c r="BM617" s="1082"/>
      <c r="BN617" s="1082"/>
      <c r="BO617" s="1082"/>
      <c r="BP617" s="1082"/>
      <c r="BQ617" s="1082"/>
      <c r="BR617" s="1082"/>
      <c r="BS617" s="1082"/>
      <c r="BT617" s="1082"/>
      <c r="BU617" s="1082"/>
      <c r="BV617" s="1082"/>
      <c r="BW617" s="1082"/>
      <c r="BX617" s="1082"/>
      <c r="BY617" s="1082"/>
      <c r="BZ617" s="1082"/>
      <c r="CA617" s="1082"/>
      <c r="CB617" s="1082"/>
      <c r="CC617" s="1082"/>
      <c r="CD617" s="1082"/>
      <c r="CE617" s="1082"/>
      <c r="CF617" s="1082"/>
      <c r="CG617" s="1082"/>
      <c r="CH617" s="1082"/>
      <c r="CI617" s="1082"/>
      <c r="CJ617" s="1082"/>
      <c r="CK617" s="1082"/>
      <c r="CL617" s="1082"/>
      <c r="CM617" s="1082"/>
      <c r="CN617" s="1082"/>
      <c r="CO617" s="1082"/>
      <c r="CP617" s="1082"/>
      <c r="CQ617" s="1082"/>
      <c r="CR617" s="1082"/>
      <c r="CS617" s="1082"/>
      <c r="CT617" s="1082"/>
      <c r="CU617" s="1082"/>
      <c r="CV617" s="1082"/>
      <c r="CW617" s="1082"/>
      <c r="CX617" s="1082"/>
      <c r="CY617" s="1082"/>
      <c r="CZ617" s="1082"/>
      <c r="DA617" s="1082"/>
      <c r="DB617" s="1082"/>
      <c r="DC617" s="1082"/>
      <c r="DD617" s="1082"/>
      <c r="DE617" s="1082"/>
      <c r="DF617" s="1082"/>
      <c r="DG617" s="1082"/>
      <c r="DH617" s="1082"/>
      <c r="DI617" s="1082"/>
      <c r="DJ617" s="1082"/>
      <c r="DK617" s="1082"/>
      <c r="DL617" s="1082"/>
      <c r="DM617" s="1082"/>
      <c r="DN617" s="1082"/>
      <c r="DO617" s="1082"/>
      <c r="DP617" s="1082"/>
      <c r="DQ617" s="1082"/>
      <c r="DR617" s="1082"/>
      <c r="DS617" s="1082"/>
      <c r="DT617" s="1082"/>
      <c r="DU617" s="1082"/>
      <c r="DV617" s="1082"/>
      <c r="DW617" s="1082"/>
      <c r="DX617" s="1082"/>
      <c r="DY617" s="1082"/>
      <c r="DZ617" s="1082"/>
      <c r="EA617" s="1082"/>
      <c r="EB617" s="1082"/>
      <c r="EC617" s="1082"/>
      <c r="ED617" s="1082"/>
      <c r="EE617" s="1082"/>
      <c r="EF617" s="1082"/>
      <c r="EG617" s="1082"/>
      <c r="EH617" s="1082"/>
      <c r="EI617" s="1082"/>
      <c r="EJ617" s="1082"/>
      <c r="EK617" s="1082"/>
      <c r="EL617" s="1082"/>
      <c r="EM617" s="1082"/>
      <c r="EN617" s="1082"/>
      <c r="EO617" s="1082"/>
      <c r="EP617" s="1082"/>
      <c r="EQ617" s="1082"/>
      <c r="ER617" s="1082"/>
      <c r="ES617" s="1082"/>
      <c r="ET617" s="1082"/>
      <c r="EU617" s="1082"/>
      <c r="EV617" s="1082"/>
      <c r="EW617" s="1082"/>
      <c r="EX617" s="1082"/>
      <c r="EY617" s="1082"/>
      <c r="EZ617" s="1082"/>
      <c r="FA617" s="1082"/>
      <c r="FB617" s="1082"/>
    </row>
    <row r="618" spans="1:159" s="1209" customFormat="1" ht="32.1" customHeight="1">
      <c r="A618" s="1205">
        <v>3.2</v>
      </c>
      <c r="B618" s="1214" t="s">
        <v>5293</v>
      </c>
      <c r="C618" s="1500">
        <f t="shared" ref="C618:H618" si="146">AVERAGE(C619,C627,C633,C634,C637,C643,C651,C657,C661,C668)</f>
        <v>0.61495666009275651</v>
      </c>
      <c r="D618" s="1500">
        <f t="shared" si="146"/>
        <v>0.50958656770623478</v>
      </c>
      <c r="E618" s="1500">
        <f t="shared" si="146"/>
        <v>0.71096040193365495</v>
      </c>
      <c r="F618" s="1500">
        <f t="shared" si="146"/>
        <v>0.5673324136371839</v>
      </c>
      <c r="G618" s="1500">
        <f t="shared" si="146"/>
        <v>0.63412497190393946</v>
      </c>
      <c r="H618" s="1500">
        <f t="shared" si="146"/>
        <v>0.55644131253143725</v>
      </c>
      <c r="I618" s="1781"/>
      <c r="J618" s="1207"/>
      <c r="K618" s="1208"/>
      <c r="L618" s="1208"/>
      <c r="M618" s="1208"/>
      <c r="N618" s="1208"/>
      <c r="O618" s="1208"/>
      <c r="P618" s="1208"/>
      <c r="Q618" s="1208"/>
      <c r="R618" s="1081"/>
      <c r="S618" s="1082"/>
      <c r="T618" s="1082"/>
      <c r="U618" s="1082"/>
      <c r="V618" s="1082"/>
      <c r="W618" s="1082"/>
      <c r="X618" s="1082"/>
      <c r="Y618" s="1082"/>
      <c r="Z618" s="1082"/>
      <c r="AA618" s="1082"/>
      <c r="AB618" s="1082"/>
      <c r="AC618" s="1082"/>
      <c r="AD618" s="1082"/>
      <c r="AE618" s="1082"/>
      <c r="AF618" s="1082"/>
      <c r="AG618" s="1082"/>
      <c r="AH618" s="1082"/>
      <c r="AI618" s="1082"/>
      <c r="AJ618" s="1082"/>
      <c r="AK618" s="1082"/>
      <c r="AL618" s="1082"/>
      <c r="AM618" s="1082"/>
      <c r="AN618" s="1082"/>
      <c r="AO618" s="1082"/>
      <c r="AP618" s="1082"/>
      <c r="AQ618" s="1082"/>
      <c r="AR618" s="1082"/>
      <c r="AS618" s="1082"/>
      <c r="AT618" s="1082"/>
      <c r="AU618" s="1082"/>
      <c r="AV618" s="1082"/>
      <c r="AW618" s="1082"/>
      <c r="AX618" s="1082"/>
      <c r="AY618" s="1082"/>
      <c r="AZ618" s="1082"/>
      <c r="BA618" s="1082"/>
      <c r="BB618" s="1082"/>
      <c r="BC618" s="1082"/>
      <c r="BD618" s="1082"/>
      <c r="BE618" s="1082"/>
      <c r="BF618" s="1082"/>
      <c r="BG618" s="1082"/>
      <c r="BH618" s="1082"/>
      <c r="BI618" s="1082"/>
      <c r="BJ618" s="1082"/>
      <c r="BK618" s="1082"/>
      <c r="BL618" s="1082"/>
      <c r="BM618" s="1082"/>
      <c r="BN618" s="1082"/>
      <c r="BO618" s="1082"/>
      <c r="BP618" s="1082"/>
      <c r="BQ618" s="1082"/>
      <c r="BR618" s="1082"/>
      <c r="BS618" s="1082"/>
      <c r="BT618" s="1082"/>
      <c r="BU618" s="1082"/>
      <c r="BV618" s="1082"/>
      <c r="BW618" s="1082"/>
      <c r="BX618" s="1082"/>
      <c r="BY618" s="1082"/>
      <c r="BZ618" s="1082"/>
      <c r="CA618" s="1082"/>
      <c r="CB618" s="1082"/>
      <c r="CC618" s="1082"/>
      <c r="CD618" s="1082"/>
      <c r="CE618" s="1082"/>
      <c r="CF618" s="1082"/>
      <c r="CG618" s="1082"/>
      <c r="CH618" s="1082"/>
      <c r="CI618" s="1082"/>
      <c r="CJ618" s="1082"/>
      <c r="CK618" s="1082"/>
      <c r="CL618" s="1082"/>
      <c r="CM618" s="1082"/>
      <c r="CN618" s="1082"/>
      <c r="CO618" s="1082"/>
      <c r="CP618" s="1082"/>
      <c r="CQ618" s="1082"/>
      <c r="CR618" s="1082"/>
      <c r="CS618" s="1082"/>
      <c r="CT618" s="1082"/>
      <c r="CU618" s="1082"/>
      <c r="CV618" s="1082"/>
      <c r="CW618" s="1082"/>
      <c r="CX618" s="1082"/>
      <c r="CY618" s="1082"/>
      <c r="CZ618" s="1082"/>
      <c r="DA618" s="1082"/>
      <c r="DB618" s="1082"/>
      <c r="DC618" s="1082"/>
      <c r="DD618" s="1082"/>
      <c r="DE618" s="1082"/>
      <c r="DF618" s="1082"/>
      <c r="DG618" s="1082"/>
      <c r="DH618" s="1082"/>
      <c r="DI618" s="1082"/>
      <c r="DJ618" s="1082"/>
      <c r="DK618" s="1082"/>
      <c r="DL618" s="1082"/>
      <c r="DM618" s="1082"/>
      <c r="DN618" s="1082"/>
      <c r="DO618" s="1082"/>
      <c r="DP618" s="1082"/>
      <c r="DQ618" s="1082"/>
      <c r="DR618" s="1082"/>
      <c r="DS618" s="1082"/>
      <c r="DT618" s="1082"/>
      <c r="DU618" s="1082"/>
      <c r="DV618" s="1082"/>
      <c r="DW618" s="1082"/>
      <c r="DX618" s="1082"/>
      <c r="DY618" s="1082"/>
      <c r="DZ618" s="1082"/>
      <c r="EA618" s="1082"/>
      <c r="EB618" s="1082"/>
      <c r="EC618" s="1082"/>
      <c r="ED618" s="1082"/>
      <c r="EE618" s="1082"/>
      <c r="EF618" s="1082"/>
      <c r="EG618" s="1082"/>
      <c r="EH618" s="1082"/>
      <c r="EI618" s="1082"/>
      <c r="EJ618" s="1082"/>
      <c r="EK618" s="1082"/>
      <c r="EL618" s="1082"/>
      <c r="EM618" s="1082"/>
      <c r="EN618" s="1082"/>
      <c r="EO618" s="1082"/>
      <c r="EP618" s="1082"/>
      <c r="EQ618" s="1082"/>
      <c r="ER618" s="1082"/>
      <c r="ES618" s="1082"/>
      <c r="ET618" s="1082"/>
      <c r="EU618" s="1082"/>
      <c r="EV618" s="1082"/>
      <c r="EW618" s="1082"/>
      <c r="EX618" s="1082"/>
      <c r="EY618" s="1082"/>
      <c r="EZ618" s="1082"/>
      <c r="FA618" s="1082"/>
      <c r="FB618" s="1082"/>
    </row>
    <row r="619" spans="1:159" s="1209" customFormat="1" ht="32.1" customHeight="1">
      <c r="A619" s="1603" t="s">
        <v>649</v>
      </c>
      <c r="B619" s="1067" t="s">
        <v>5294</v>
      </c>
      <c r="C619" s="1500">
        <f t="shared" ref="C619:H619" si="147">AVERAGE(C620:C626)</f>
        <v>0.65906346407802663</v>
      </c>
      <c r="D619" s="1500">
        <f t="shared" si="147"/>
        <v>0.64410844629822728</v>
      </c>
      <c r="E619" s="1500">
        <f t="shared" si="147"/>
        <v>0.95014381591562802</v>
      </c>
      <c r="F619" s="1500">
        <f t="shared" si="147"/>
        <v>0.50179841528501146</v>
      </c>
      <c r="G619" s="1500">
        <f t="shared" si="147"/>
        <v>0.53013508998146663</v>
      </c>
      <c r="H619" s="1500">
        <f t="shared" si="147"/>
        <v>0.64090648977730758</v>
      </c>
      <c r="I619" s="1781"/>
      <c r="J619" s="1207"/>
      <c r="K619" s="1208"/>
      <c r="L619" s="1208"/>
      <c r="M619" s="1208"/>
      <c r="N619" s="1208"/>
      <c r="O619" s="1208"/>
      <c r="P619" s="1208"/>
      <c r="Q619" s="1208"/>
      <c r="R619" s="1081"/>
      <c r="S619" s="1082"/>
      <c r="T619" s="1082"/>
      <c r="U619" s="1082"/>
      <c r="V619" s="1082"/>
      <c r="W619" s="1082"/>
      <c r="X619" s="1082"/>
      <c r="Y619" s="1082"/>
      <c r="Z619" s="1082"/>
      <c r="AA619" s="1082"/>
      <c r="AB619" s="1082"/>
      <c r="AC619" s="1082"/>
      <c r="AD619" s="1082"/>
      <c r="AE619" s="1082"/>
      <c r="AF619" s="1082"/>
      <c r="AG619" s="1082"/>
      <c r="AH619" s="1082"/>
      <c r="AI619" s="1082"/>
      <c r="AJ619" s="1082"/>
      <c r="AK619" s="1082"/>
      <c r="AL619" s="1082"/>
      <c r="AM619" s="1082"/>
      <c r="AN619" s="1082"/>
      <c r="AO619" s="1082"/>
      <c r="AP619" s="1082"/>
      <c r="AQ619" s="1082"/>
      <c r="AR619" s="1082"/>
      <c r="AS619" s="1082"/>
      <c r="AT619" s="1082"/>
      <c r="AU619" s="1082"/>
      <c r="AV619" s="1082"/>
      <c r="AW619" s="1082"/>
      <c r="AX619" s="1082"/>
      <c r="AY619" s="1082"/>
      <c r="AZ619" s="1082"/>
      <c r="BA619" s="1082"/>
      <c r="BB619" s="1082"/>
      <c r="BC619" s="1082"/>
      <c r="BD619" s="1082"/>
      <c r="BE619" s="1082"/>
      <c r="BF619" s="1082"/>
      <c r="BG619" s="1082"/>
      <c r="BH619" s="1082"/>
      <c r="BI619" s="1082"/>
      <c r="BJ619" s="1082"/>
      <c r="BK619" s="1082"/>
      <c r="BL619" s="1082"/>
      <c r="BM619" s="1082"/>
      <c r="BN619" s="1082"/>
      <c r="BO619" s="1082"/>
      <c r="BP619" s="1082"/>
      <c r="BQ619" s="1082"/>
      <c r="BR619" s="1082"/>
      <c r="BS619" s="1082"/>
      <c r="BT619" s="1082"/>
      <c r="BU619" s="1082"/>
      <c r="BV619" s="1082"/>
      <c r="BW619" s="1082"/>
      <c r="BX619" s="1082"/>
      <c r="BY619" s="1082"/>
      <c r="BZ619" s="1082"/>
      <c r="CA619" s="1082"/>
      <c r="CB619" s="1082"/>
      <c r="CC619" s="1082"/>
      <c r="CD619" s="1082"/>
      <c r="CE619" s="1082"/>
      <c r="CF619" s="1082"/>
      <c r="CG619" s="1082"/>
      <c r="CH619" s="1082"/>
      <c r="CI619" s="1082"/>
      <c r="CJ619" s="1082"/>
      <c r="CK619" s="1082"/>
      <c r="CL619" s="1082"/>
      <c r="CM619" s="1082"/>
      <c r="CN619" s="1082"/>
      <c r="CO619" s="1082"/>
      <c r="CP619" s="1082"/>
      <c r="CQ619" s="1082"/>
      <c r="CR619" s="1082"/>
      <c r="CS619" s="1082"/>
      <c r="CT619" s="1082"/>
      <c r="CU619" s="1082"/>
      <c r="CV619" s="1082"/>
      <c r="CW619" s="1082"/>
      <c r="CX619" s="1082"/>
      <c r="CY619" s="1082"/>
      <c r="CZ619" s="1082"/>
      <c r="DA619" s="1082"/>
      <c r="DB619" s="1082"/>
      <c r="DC619" s="1082"/>
      <c r="DD619" s="1082"/>
      <c r="DE619" s="1082"/>
      <c r="DF619" s="1082"/>
      <c r="DG619" s="1082"/>
      <c r="DH619" s="1082"/>
      <c r="DI619" s="1082"/>
      <c r="DJ619" s="1082"/>
      <c r="DK619" s="1082"/>
      <c r="DL619" s="1082"/>
      <c r="DM619" s="1082"/>
      <c r="DN619" s="1082"/>
      <c r="DO619" s="1082"/>
      <c r="DP619" s="1082"/>
      <c r="DQ619" s="1082"/>
      <c r="DR619" s="1082"/>
      <c r="DS619" s="1082"/>
      <c r="DT619" s="1082"/>
      <c r="DU619" s="1082"/>
      <c r="DV619" s="1082"/>
      <c r="DW619" s="1082"/>
      <c r="DX619" s="1082"/>
      <c r="DY619" s="1082"/>
      <c r="DZ619" s="1082"/>
      <c r="EA619" s="1082"/>
      <c r="EB619" s="1082"/>
      <c r="EC619" s="1082"/>
      <c r="ED619" s="1082"/>
      <c r="EE619" s="1082"/>
      <c r="EF619" s="1082"/>
      <c r="EG619" s="1082"/>
      <c r="EH619" s="1082"/>
      <c r="EI619" s="1082"/>
      <c r="EJ619" s="1082"/>
      <c r="EK619" s="1082"/>
      <c r="EL619" s="1082"/>
      <c r="EM619" s="1082"/>
      <c r="EN619" s="1082"/>
      <c r="EO619" s="1082"/>
      <c r="EP619" s="1082"/>
      <c r="EQ619" s="1082"/>
      <c r="ER619" s="1082"/>
      <c r="ES619" s="1082"/>
      <c r="ET619" s="1082"/>
      <c r="EU619" s="1082"/>
      <c r="EV619" s="1082"/>
      <c r="EW619" s="1082"/>
      <c r="EX619" s="1082"/>
      <c r="EY619" s="1082"/>
      <c r="EZ619" s="1082"/>
      <c r="FA619" s="1082"/>
      <c r="FB619" s="1082"/>
    </row>
    <row r="620" spans="1:159" s="1099" customFormat="1" ht="32.1" customHeight="1">
      <c r="A620" s="1169"/>
      <c r="B620" s="1597" t="s">
        <v>6938</v>
      </c>
      <c r="C620" s="1493">
        <f>IF(J620&lt;$P620,1,IF(J620&gt;$Q620,0,(J620-$Q620)/($P620-$Q620)))</f>
        <v>1</v>
      </c>
      <c r="D620" s="1493">
        <f t="shared" ref="D620:H623" si="148">IF(K620&lt;$P620,1,IF(K620&gt;$Q620,0,(K620-$Q620)/($P620-$Q620)))</f>
        <v>1</v>
      </c>
      <c r="E620" s="1493">
        <f t="shared" si="148"/>
        <v>1</v>
      </c>
      <c r="F620" s="1493">
        <f t="shared" si="148"/>
        <v>0</v>
      </c>
      <c r="G620" s="1493">
        <f t="shared" si="148"/>
        <v>0.90140845070422537</v>
      </c>
      <c r="H620" s="1493">
        <f t="shared" si="148"/>
        <v>1</v>
      </c>
      <c r="I620" s="1195" t="s">
        <v>5295</v>
      </c>
      <c r="J620" s="1618">
        <v>0.1</v>
      </c>
      <c r="K620" s="1619">
        <v>0</v>
      </c>
      <c r="L620" s="1619">
        <v>0</v>
      </c>
      <c r="M620" s="1618">
        <v>8.3000000000000007</v>
      </c>
      <c r="N620" s="1618">
        <v>1.9</v>
      </c>
      <c r="O620" s="1619">
        <v>0.16</v>
      </c>
      <c r="P620" s="1618">
        <v>1.2</v>
      </c>
      <c r="Q620" s="1618">
        <v>8.3000000000000007</v>
      </c>
      <c r="R620" s="1081"/>
      <c r="S620" s="1082"/>
      <c r="T620" s="1082"/>
      <c r="U620" s="1082"/>
      <c r="V620" s="1082"/>
      <c r="W620" s="1082"/>
      <c r="X620" s="1082"/>
      <c r="Y620" s="1082"/>
      <c r="Z620" s="1082"/>
      <c r="AA620" s="1082"/>
      <c r="AB620" s="1082"/>
      <c r="AC620" s="1082"/>
      <c r="AD620" s="1082"/>
      <c r="AE620" s="1082"/>
      <c r="AF620" s="1082"/>
      <c r="AG620" s="1082"/>
      <c r="AH620" s="1082"/>
      <c r="AI620" s="1082"/>
      <c r="AJ620" s="1082"/>
      <c r="AK620" s="1082"/>
      <c r="AL620" s="1082"/>
      <c r="AM620" s="1082"/>
      <c r="AN620" s="1082"/>
      <c r="AO620" s="1082"/>
      <c r="AP620" s="1082"/>
      <c r="AQ620" s="1082"/>
      <c r="AR620" s="1082"/>
      <c r="AS620" s="1082"/>
      <c r="AT620" s="1082"/>
      <c r="AU620" s="1082"/>
      <c r="AV620" s="1082"/>
      <c r="AW620" s="1082"/>
      <c r="AX620" s="1082"/>
      <c r="AY620" s="1082"/>
      <c r="AZ620" s="1082"/>
      <c r="BA620" s="1082"/>
      <c r="BB620" s="1082"/>
      <c r="BC620" s="1082"/>
      <c r="BD620" s="1082"/>
      <c r="BE620" s="1082"/>
      <c r="BF620" s="1082"/>
      <c r="BG620" s="1082"/>
      <c r="BH620" s="1082"/>
      <c r="BI620" s="1082"/>
      <c r="BJ620" s="1082"/>
      <c r="BK620" s="1082"/>
      <c r="BL620" s="1082"/>
      <c r="BM620" s="1082"/>
      <c r="BN620" s="1082"/>
      <c r="BO620" s="1082"/>
      <c r="BP620" s="1082"/>
      <c r="BQ620" s="1082"/>
      <c r="BR620" s="1082"/>
      <c r="BS620" s="1082"/>
      <c r="BT620" s="1082"/>
      <c r="BU620" s="1082"/>
      <c r="BV620" s="1082"/>
      <c r="BW620" s="1082"/>
      <c r="BX620" s="1082"/>
      <c r="BY620" s="1082"/>
      <c r="BZ620" s="1082"/>
      <c r="CA620" s="1082"/>
      <c r="CB620" s="1082"/>
      <c r="CC620" s="1082"/>
      <c r="CD620" s="1082"/>
      <c r="CE620" s="1082"/>
      <c r="CF620" s="1082"/>
      <c r="CG620" s="1082"/>
      <c r="CH620" s="1082"/>
      <c r="CI620" s="1082"/>
      <c r="CJ620" s="1082"/>
      <c r="CK620" s="1082"/>
      <c r="CL620" s="1082"/>
      <c r="CM620" s="1082"/>
      <c r="CN620" s="1082"/>
      <c r="CO620" s="1082"/>
      <c r="CP620" s="1082"/>
      <c r="CQ620" s="1082"/>
      <c r="CR620" s="1082"/>
      <c r="CS620" s="1082"/>
      <c r="CT620" s="1082"/>
      <c r="CU620" s="1082"/>
      <c r="CV620" s="1082"/>
      <c r="CW620" s="1082"/>
      <c r="CX620" s="1082"/>
      <c r="CY620" s="1082"/>
      <c r="CZ620" s="1082"/>
      <c r="DA620" s="1082"/>
      <c r="DB620" s="1082"/>
      <c r="DC620" s="1082"/>
      <c r="DD620" s="1082"/>
      <c r="DE620" s="1082"/>
      <c r="DF620" s="1082"/>
      <c r="DG620" s="1082"/>
      <c r="DH620" s="1082"/>
      <c r="DI620" s="1082"/>
      <c r="DJ620" s="1082"/>
      <c r="DK620" s="1082"/>
      <c r="DL620" s="1082"/>
      <c r="DM620" s="1082"/>
      <c r="DN620" s="1082"/>
      <c r="DO620" s="1082"/>
      <c r="DP620" s="1082"/>
      <c r="DQ620" s="1082"/>
      <c r="DR620" s="1082"/>
      <c r="DS620" s="1082"/>
      <c r="DT620" s="1082"/>
      <c r="DU620" s="1082"/>
      <c r="DV620" s="1082"/>
      <c r="DW620" s="1082"/>
      <c r="DX620" s="1082"/>
      <c r="DY620" s="1082"/>
      <c r="DZ620" s="1082"/>
      <c r="EA620" s="1082"/>
      <c r="EB620" s="1082"/>
      <c r="EC620" s="1082"/>
      <c r="ED620" s="1082"/>
      <c r="EE620" s="1082"/>
      <c r="EF620" s="1082"/>
      <c r="EG620" s="1082"/>
      <c r="EH620" s="1082"/>
      <c r="EI620" s="1082"/>
      <c r="EJ620" s="1082"/>
      <c r="EK620" s="1082"/>
      <c r="EL620" s="1082"/>
      <c r="EM620" s="1082"/>
      <c r="EN620" s="1082"/>
      <c r="EO620" s="1082"/>
      <c r="EP620" s="1082"/>
      <c r="EQ620" s="1082"/>
      <c r="ER620" s="1082"/>
      <c r="ES620" s="1082"/>
      <c r="ET620" s="1082"/>
      <c r="EU620" s="1082"/>
      <c r="EV620" s="1082"/>
      <c r="EW620" s="1082"/>
      <c r="EX620" s="1082"/>
      <c r="EY620" s="1082"/>
      <c r="EZ620" s="1082"/>
      <c r="FA620" s="1082"/>
      <c r="FB620" s="1082"/>
    </row>
    <row r="621" spans="1:159" s="1099" customFormat="1" ht="32.1" customHeight="1">
      <c r="A621" s="1169"/>
      <c r="B621" s="1097" t="s">
        <v>6798</v>
      </c>
      <c r="C621" s="1493">
        <f>IF(J621&lt;$P621,1,IF(J621&gt;$Q621,0,(J621-$Q621)/($P621-$Q621)))</f>
        <v>0.46153846153846156</v>
      </c>
      <c r="D621" s="1493">
        <f t="shared" si="148"/>
        <v>0.5</v>
      </c>
      <c r="E621" s="1493">
        <f t="shared" si="148"/>
        <v>1</v>
      </c>
      <c r="F621" s="1493">
        <f t="shared" si="148"/>
        <v>0</v>
      </c>
      <c r="G621" s="1493">
        <f t="shared" si="148"/>
        <v>0.42307692307692307</v>
      </c>
      <c r="H621" s="1493">
        <f t="shared" si="148"/>
        <v>0.42307692307692307</v>
      </c>
      <c r="I621" s="1195" t="s">
        <v>5295</v>
      </c>
      <c r="J621" s="1470">
        <v>24</v>
      </c>
      <c r="K621" s="1470">
        <v>23</v>
      </c>
      <c r="L621" s="1470">
        <v>4</v>
      </c>
      <c r="M621" s="1470">
        <v>36</v>
      </c>
      <c r="N621" s="1470">
        <v>25</v>
      </c>
      <c r="O621" s="1470">
        <v>25</v>
      </c>
      <c r="P621" s="1470">
        <v>10</v>
      </c>
      <c r="Q621" s="1470">
        <v>36</v>
      </c>
      <c r="R621" s="1081"/>
      <c r="S621" s="1082"/>
      <c r="T621" s="1082"/>
      <c r="U621" s="1082"/>
      <c r="V621" s="1082"/>
      <c r="W621" s="1082"/>
      <c r="X621" s="1082"/>
      <c r="Y621" s="1082"/>
      <c r="Z621" s="1082"/>
      <c r="AA621" s="1082"/>
      <c r="AB621" s="1082"/>
      <c r="AC621" s="1082"/>
      <c r="AD621" s="1082"/>
      <c r="AE621" s="1082"/>
      <c r="AF621" s="1082"/>
      <c r="AG621" s="1082"/>
      <c r="AH621" s="1082"/>
      <c r="AI621" s="1082"/>
      <c r="AJ621" s="1082"/>
      <c r="AK621" s="1082"/>
      <c r="AL621" s="1082"/>
      <c r="AM621" s="1082"/>
      <c r="AN621" s="1082"/>
      <c r="AO621" s="1082"/>
      <c r="AP621" s="1082"/>
      <c r="AQ621" s="1082"/>
      <c r="AR621" s="1082"/>
      <c r="AS621" s="1082"/>
      <c r="AT621" s="1082"/>
      <c r="AU621" s="1082"/>
      <c r="AV621" s="1082"/>
      <c r="AW621" s="1082"/>
      <c r="AX621" s="1082"/>
      <c r="AY621" s="1082"/>
      <c r="AZ621" s="1082"/>
      <c r="BA621" s="1082"/>
      <c r="BB621" s="1082"/>
      <c r="BC621" s="1082"/>
      <c r="BD621" s="1082"/>
      <c r="BE621" s="1082"/>
      <c r="BF621" s="1082"/>
      <c r="BG621" s="1082"/>
      <c r="BH621" s="1082"/>
      <c r="BI621" s="1082"/>
      <c r="BJ621" s="1082"/>
      <c r="BK621" s="1082"/>
      <c r="BL621" s="1082"/>
      <c r="BM621" s="1082"/>
      <c r="BN621" s="1082"/>
      <c r="BO621" s="1082"/>
      <c r="BP621" s="1082"/>
      <c r="BQ621" s="1082"/>
      <c r="BR621" s="1082"/>
      <c r="BS621" s="1082"/>
      <c r="BT621" s="1082"/>
      <c r="BU621" s="1082"/>
      <c r="BV621" s="1082"/>
      <c r="BW621" s="1082"/>
      <c r="BX621" s="1082"/>
      <c r="BY621" s="1082"/>
      <c r="BZ621" s="1082"/>
      <c r="CA621" s="1082"/>
      <c r="CB621" s="1082"/>
      <c r="CC621" s="1082"/>
      <c r="CD621" s="1082"/>
      <c r="CE621" s="1082"/>
      <c r="CF621" s="1082"/>
      <c r="CG621" s="1082"/>
      <c r="CH621" s="1082"/>
      <c r="CI621" s="1082"/>
      <c r="CJ621" s="1082"/>
      <c r="CK621" s="1082"/>
      <c r="CL621" s="1082"/>
      <c r="CM621" s="1082"/>
      <c r="CN621" s="1082"/>
      <c r="CO621" s="1082"/>
      <c r="CP621" s="1082"/>
      <c r="CQ621" s="1082"/>
      <c r="CR621" s="1082"/>
      <c r="CS621" s="1082"/>
      <c r="CT621" s="1082"/>
      <c r="CU621" s="1082"/>
      <c r="CV621" s="1082"/>
      <c r="CW621" s="1082"/>
      <c r="CX621" s="1082"/>
      <c r="CY621" s="1082"/>
      <c r="CZ621" s="1082"/>
      <c r="DA621" s="1082"/>
      <c r="DB621" s="1082"/>
      <c r="DC621" s="1082"/>
      <c r="DD621" s="1082"/>
      <c r="DE621" s="1082"/>
      <c r="DF621" s="1082"/>
      <c r="DG621" s="1082"/>
      <c r="DH621" s="1082"/>
      <c r="DI621" s="1082"/>
      <c r="DJ621" s="1082"/>
      <c r="DK621" s="1082"/>
      <c r="DL621" s="1082"/>
      <c r="DM621" s="1082"/>
      <c r="DN621" s="1082"/>
      <c r="DO621" s="1082"/>
      <c r="DP621" s="1082"/>
      <c r="DQ621" s="1082"/>
      <c r="DR621" s="1082"/>
      <c r="DS621" s="1082"/>
      <c r="DT621" s="1082"/>
      <c r="DU621" s="1082"/>
      <c r="DV621" s="1082"/>
      <c r="DW621" s="1082"/>
      <c r="DX621" s="1082"/>
      <c r="DY621" s="1082"/>
      <c r="DZ621" s="1082"/>
      <c r="EA621" s="1082"/>
      <c r="EB621" s="1082"/>
      <c r="EC621" s="1082"/>
      <c r="ED621" s="1082"/>
      <c r="EE621" s="1082"/>
      <c r="EF621" s="1082"/>
      <c r="EG621" s="1082"/>
      <c r="EH621" s="1082"/>
      <c r="EI621" s="1082"/>
      <c r="EJ621" s="1082"/>
      <c r="EK621" s="1082"/>
      <c r="EL621" s="1082"/>
      <c r="EM621" s="1082"/>
      <c r="EN621" s="1082"/>
      <c r="EO621" s="1082"/>
      <c r="EP621" s="1082"/>
      <c r="EQ621" s="1082"/>
      <c r="ER621" s="1082"/>
      <c r="ES621" s="1082"/>
      <c r="ET621" s="1082"/>
      <c r="EU621" s="1082"/>
      <c r="EV621" s="1082"/>
      <c r="EW621" s="1082"/>
      <c r="EX621" s="1082"/>
      <c r="EY621" s="1082"/>
      <c r="EZ621" s="1082"/>
      <c r="FA621" s="1082"/>
      <c r="FB621" s="1082"/>
    </row>
    <row r="622" spans="1:159" s="1099" customFormat="1" ht="32.1" customHeight="1">
      <c r="A622" s="1169"/>
      <c r="B622" s="1097" t="s">
        <v>5297</v>
      </c>
      <c r="C622" s="1493">
        <f>IF(J622&lt;$P622,1,IF(J622&gt;$Q622,0,(J622-$Q622)/($P622-$Q622)))</f>
        <v>0.85660377358490558</v>
      </c>
      <c r="D622" s="1493">
        <f t="shared" si="148"/>
        <v>0.6</v>
      </c>
      <c r="E622" s="1493">
        <f t="shared" si="148"/>
        <v>1</v>
      </c>
      <c r="F622" s="1493">
        <f t="shared" si="148"/>
        <v>0.74716981132075466</v>
      </c>
      <c r="G622" s="1493">
        <f t="shared" si="148"/>
        <v>0.66415094339622649</v>
      </c>
      <c r="H622" s="1493">
        <f t="shared" si="148"/>
        <v>0</v>
      </c>
      <c r="I622" s="1195" t="s">
        <v>5295</v>
      </c>
      <c r="J622" s="1470">
        <v>9</v>
      </c>
      <c r="K622" s="1470">
        <v>15.8</v>
      </c>
      <c r="L622" s="1470">
        <v>4.5999999999999996</v>
      </c>
      <c r="M622" s="1470">
        <v>11.9</v>
      </c>
      <c r="N622" s="1470">
        <v>14.1</v>
      </c>
      <c r="O622" s="1470">
        <v>31.7</v>
      </c>
      <c r="P622" s="1470">
        <v>5.2</v>
      </c>
      <c r="Q622" s="1470">
        <v>31.7</v>
      </c>
      <c r="R622" s="1081"/>
      <c r="S622" s="1082"/>
      <c r="T622" s="1082"/>
      <c r="U622" s="1082"/>
      <c r="V622" s="1082"/>
      <c r="W622" s="1082"/>
      <c r="X622" s="1082"/>
      <c r="Y622" s="1082"/>
      <c r="Z622" s="1082"/>
      <c r="AA622" s="1082"/>
      <c r="AB622" s="1082"/>
      <c r="AC622" s="1082"/>
      <c r="AD622" s="1082"/>
      <c r="AE622" s="1082"/>
      <c r="AF622" s="1082"/>
      <c r="AG622" s="1082"/>
      <c r="AH622" s="1082"/>
      <c r="AI622" s="1082"/>
      <c r="AJ622" s="1082"/>
      <c r="AK622" s="1082"/>
      <c r="AL622" s="1082"/>
      <c r="AM622" s="1082"/>
      <c r="AN622" s="1082"/>
      <c r="AO622" s="1082"/>
      <c r="AP622" s="1082"/>
      <c r="AQ622" s="1082"/>
      <c r="AR622" s="1082"/>
      <c r="AS622" s="1082"/>
      <c r="AT622" s="1082"/>
      <c r="AU622" s="1082"/>
      <c r="AV622" s="1082"/>
      <c r="AW622" s="1082"/>
      <c r="AX622" s="1082"/>
      <c r="AY622" s="1082"/>
      <c r="AZ622" s="1082"/>
      <c r="BA622" s="1082"/>
      <c r="BB622" s="1082"/>
      <c r="BC622" s="1082"/>
      <c r="BD622" s="1082"/>
      <c r="BE622" s="1082"/>
      <c r="BF622" s="1082"/>
      <c r="BG622" s="1082"/>
      <c r="BH622" s="1082"/>
      <c r="BI622" s="1082"/>
      <c r="BJ622" s="1082"/>
      <c r="BK622" s="1082"/>
      <c r="BL622" s="1082"/>
      <c r="BM622" s="1082"/>
      <c r="BN622" s="1082"/>
      <c r="BO622" s="1082"/>
      <c r="BP622" s="1082"/>
      <c r="BQ622" s="1082"/>
      <c r="BR622" s="1082"/>
      <c r="BS622" s="1082"/>
      <c r="BT622" s="1082"/>
      <c r="BU622" s="1082"/>
      <c r="BV622" s="1082"/>
      <c r="BW622" s="1082"/>
      <c r="BX622" s="1082"/>
      <c r="BY622" s="1082"/>
      <c r="BZ622" s="1082"/>
      <c r="CA622" s="1082"/>
      <c r="CB622" s="1082"/>
      <c r="CC622" s="1082"/>
      <c r="CD622" s="1082"/>
      <c r="CE622" s="1082"/>
      <c r="CF622" s="1082"/>
      <c r="CG622" s="1082"/>
      <c r="CH622" s="1082"/>
      <c r="CI622" s="1082"/>
      <c r="CJ622" s="1082"/>
      <c r="CK622" s="1082"/>
      <c r="CL622" s="1082"/>
      <c r="CM622" s="1082"/>
      <c r="CN622" s="1082"/>
      <c r="CO622" s="1082"/>
      <c r="CP622" s="1082"/>
      <c r="CQ622" s="1082"/>
      <c r="CR622" s="1082"/>
      <c r="CS622" s="1082"/>
      <c r="CT622" s="1082"/>
      <c r="CU622" s="1082"/>
      <c r="CV622" s="1082"/>
      <c r="CW622" s="1082"/>
      <c r="CX622" s="1082"/>
      <c r="CY622" s="1082"/>
      <c r="CZ622" s="1082"/>
      <c r="DA622" s="1082"/>
      <c r="DB622" s="1082"/>
      <c r="DC622" s="1082"/>
      <c r="DD622" s="1082"/>
      <c r="DE622" s="1082"/>
      <c r="DF622" s="1082"/>
      <c r="DG622" s="1082"/>
      <c r="DH622" s="1082"/>
      <c r="DI622" s="1082"/>
      <c r="DJ622" s="1082"/>
      <c r="DK622" s="1082"/>
      <c r="DL622" s="1082"/>
      <c r="DM622" s="1082"/>
      <c r="DN622" s="1082"/>
      <c r="DO622" s="1082"/>
      <c r="DP622" s="1082"/>
      <c r="DQ622" s="1082"/>
      <c r="DR622" s="1082"/>
      <c r="DS622" s="1082"/>
      <c r="DT622" s="1082"/>
      <c r="DU622" s="1082"/>
      <c r="DV622" s="1082"/>
      <c r="DW622" s="1082"/>
      <c r="DX622" s="1082"/>
      <c r="DY622" s="1082"/>
      <c r="DZ622" s="1082"/>
      <c r="EA622" s="1082"/>
      <c r="EB622" s="1082"/>
      <c r="EC622" s="1082"/>
      <c r="ED622" s="1082"/>
      <c r="EE622" s="1082"/>
      <c r="EF622" s="1082"/>
      <c r="EG622" s="1082"/>
      <c r="EH622" s="1082"/>
      <c r="EI622" s="1082"/>
      <c r="EJ622" s="1082"/>
      <c r="EK622" s="1082"/>
      <c r="EL622" s="1082"/>
      <c r="EM622" s="1082"/>
      <c r="EN622" s="1082"/>
      <c r="EO622" s="1082"/>
      <c r="EP622" s="1082"/>
      <c r="EQ622" s="1082"/>
      <c r="ER622" s="1082"/>
      <c r="ES622" s="1082"/>
      <c r="ET622" s="1082"/>
      <c r="EU622" s="1082"/>
      <c r="EV622" s="1082"/>
      <c r="EW622" s="1082"/>
      <c r="EX622" s="1082"/>
      <c r="EY622" s="1082"/>
      <c r="EZ622" s="1082"/>
      <c r="FA622" s="1082"/>
      <c r="FB622" s="1082"/>
    </row>
    <row r="623" spans="1:159" s="1099" customFormat="1" ht="32.1" customHeight="1">
      <c r="A623" s="1215"/>
      <c r="B623" s="1216" t="s">
        <v>6799</v>
      </c>
      <c r="C623" s="1493">
        <f>IF(J623&lt;$P623,1,IF(J623&gt;$Q623,0,(J623-$Q623)/($P623-$Q623)))</f>
        <v>1</v>
      </c>
      <c r="D623" s="1493">
        <f t="shared" si="148"/>
        <v>1</v>
      </c>
      <c r="E623" s="1493">
        <f t="shared" si="148"/>
        <v>1</v>
      </c>
      <c r="F623" s="1493">
        <f t="shared" si="148"/>
        <v>1</v>
      </c>
      <c r="G623" s="1493">
        <f t="shared" si="148"/>
        <v>1</v>
      </c>
      <c r="H623" s="1493">
        <f t="shared" si="148"/>
        <v>1</v>
      </c>
      <c r="I623" s="1195" t="s">
        <v>5295</v>
      </c>
      <c r="J623" s="1470">
        <v>20.100000000000001</v>
      </c>
      <c r="K623" s="1470">
        <v>14.8</v>
      </c>
      <c r="L623" s="1470">
        <v>22.8</v>
      </c>
      <c r="M623" s="1470">
        <v>6.7</v>
      </c>
      <c r="N623" s="1470">
        <v>5.4</v>
      </c>
      <c r="O623" s="1470">
        <v>3.3</v>
      </c>
      <c r="P623" s="1470">
        <v>32.700000000000003</v>
      </c>
      <c r="Q623" s="1470">
        <v>22.8</v>
      </c>
      <c r="R623" s="1081"/>
      <c r="S623" s="1082"/>
      <c r="T623" s="1082"/>
      <c r="U623" s="1082"/>
      <c r="V623" s="1082"/>
      <c r="W623" s="1082"/>
      <c r="X623" s="1082"/>
      <c r="Y623" s="1082"/>
      <c r="Z623" s="1082"/>
      <c r="AA623" s="1082"/>
      <c r="AB623" s="1082"/>
      <c r="AC623" s="1082"/>
      <c r="AD623" s="1082"/>
      <c r="AE623" s="1082"/>
      <c r="AF623" s="1082"/>
      <c r="AG623" s="1082"/>
      <c r="AH623" s="1082"/>
      <c r="AI623" s="1082"/>
      <c r="AJ623" s="1082"/>
      <c r="AK623" s="1082"/>
      <c r="AL623" s="1082"/>
      <c r="AM623" s="1082"/>
      <c r="AN623" s="1082"/>
      <c r="AO623" s="1082"/>
      <c r="AP623" s="1082"/>
      <c r="AQ623" s="1082"/>
      <c r="AR623" s="1082"/>
      <c r="AS623" s="1082"/>
      <c r="AT623" s="1082"/>
      <c r="AU623" s="1082"/>
      <c r="AV623" s="1082"/>
      <c r="AW623" s="1082"/>
      <c r="AX623" s="1082"/>
      <c r="AY623" s="1082"/>
      <c r="AZ623" s="1082"/>
      <c r="BA623" s="1082"/>
      <c r="BB623" s="1082"/>
      <c r="BC623" s="1082"/>
      <c r="BD623" s="1082"/>
      <c r="BE623" s="1082"/>
      <c r="BF623" s="1082"/>
      <c r="BG623" s="1082"/>
      <c r="BH623" s="1082"/>
      <c r="BI623" s="1082"/>
      <c r="BJ623" s="1082"/>
      <c r="BK623" s="1082"/>
      <c r="BL623" s="1082"/>
      <c r="BM623" s="1082"/>
      <c r="BN623" s="1082"/>
      <c r="BO623" s="1082"/>
      <c r="BP623" s="1082"/>
      <c r="BQ623" s="1082"/>
      <c r="BR623" s="1082"/>
      <c r="BS623" s="1082"/>
      <c r="BT623" s="1082"/>
      <c r="BU623" s="1082"/>
      <c r="BV623" s="1082"/>
      <c r="BW623" s="1082"/>
      <c r="BX623" s="1082"/>
      <c r="BY623" s="1082"/>
      <c r="BZ623" s="1082"/>
      <c r="CA623" s="1082"/>
      <c r="CB623" s="1082"/>
      <c r="CC623" s="1082"/>
      <c r="CD623" s="1082"/>
      <c r="CE623" s="1082"/>
      <c r="CF623" s="1082"/>
      <c r="CG623" s="1082"/>
      <c r="CH623" s="1082"/>
      <c r="CI623" s="1082"/>
      <c r="CJ623" s="1082"/>
      <c r="CK623" s="1082"/>
      <c r="CL623" s="1082"/>
      <c r="CM623" s="1082"/>
      <c r="CN623" s="1082"/>
      <c r="CO623" s="1082"/>
      <c r="CP623" s="1082"/>
      <c r="CQ623" s="1082"/>
      <c r="CR623" s="1082"/>
      <c r="CS623" s="1082"/>
      <c r="CT623" s="1082"/>
      <c r="CU623" s="1082"/>
      <c r="CV623" s="1082"/>
      <c r="CW623" s="1082"/>
      <c r="CX623" s="1082"/>
      <c r="CY623" s="1082"/>
      <c r="CZ623" s="1082"/>
      <c r="DA623" s="1082"/>
      <c r="DB623" s="1082"/>
      <c r="DC623" s="1082"/>
      <c r="DD623" s="1082"/>
      <c r="DE623" s="1082"/>
      <c r="DF623" s="1082"/>
      <c r="DG623" s="1082"/>
      <c r="DH623" s="1082"/>
      <c r="DI623" s="1082"/>
      <c r="DJ623" s="1082"/>
      <c r="DK623" s="1082"/>
      <c r="DL623" s="1082"/>
      <c r="DM623" s="1082"/>
      <c r="DN623" s="1082"/>
      <c r="DO623" s="1082"/>
      <c r="DP623" s="1082"/>
      <c r="DQ623" s="1082"/>
      <c r="DR623" s="1082"/>
      <c r="DS623" s="1082"/>
      <c r="DT623" s="1082"/>
      <c r="DU623" s="1082"/>
      <c r="DV623" s="1082"/>
      <c r="DW623" s="1082"/>
      <c r="DX623" s="1082"/>
      <c r="DY623" s="1082"/>
      <c r="DZ623" s="1082"/>
      <c r="EA623" s="1082"/>
      <c r="EB623" s="1082"/>
      <c r="EC623" s="1082"/>
      <c r="ED623" s="1082"/>
      <c r="EE623" s="1082"/>
      <c r="EF623" s="1082"/>
      <c r="EG623" s="1082"/>
      <c r="EH623" s="1082"/>
      <c r="EI623" s="1082"/>
      <c r="EJ623" s="1082"/>
      <c r="EK623" s="1082"/>
      <c r="EL623" s="1082"/>
      <c r="EM623" s="1082"/>
      <c r="EN623" s="1082"/>
      <c r="EO623" s="1082"/>
      <c r="EP623" s="1082"/>
      <c r="EQ623" s="1082"/>
      <c r="ER623" s="1082"/>
      <c r="ES623" s="1082"/>
      <c r="ET623" s="1082"/>
      <c r="EU623" s="1082"/>
      <c r="EV623" s="1082"/>
      <c r="EW623" s="1082"/>
      <c r="EX623" s="1082"/>
      <c r="EY623" s="1082"/>
      <c r="EZ623" s="1082"/>
      <c r="FA623" s="1082"/>
      <c r="FB623" s="1082"/>
    </row>
    <row r="624" spans="1:159" s="1222" customFormat="1" ht="32.1" customHeight="1">
      <c r="A624" s="1217"/>
      <c r="B624" s="1218" t="s">
        <v>5298</v>
      </c>
      <c r="C624" s="1493">
        <f>IF(J624&lt;$P624,1,IF(J624&gt;$Q624,0,(J624-$Q624)/($P624-$Q624)))</f>
        <v>1</v>
      </c>
      <c r="D624" s="1493">
        <f>IF(K624&lt;$P624,1,IF(K624&gt;$Q624,0,(K624-$Q624)/($P624-$Q624)))</f>
        <v>1</v>
      </c>
      <c r="E624" s="1493">
        <f>IF(L624&lt;$P624,1,IF(L624&gt;$Q624,0,(L624-$Q624)/($P624-$Q624)))</f>
        <v>1</v>
      </c>
      <c r="F624" s="1493">
        <f>IF(M624&lt;$P624,1,IF(M624&gt;$Q624,0,(M624-$Q624)/($P624-$Q624)))</f>
        <v>1</v>
      </c>
      <c r="G624" s="1493">
        <f>IF(N624&lt;$P624,1,IF(N624&gt;$Q624,0,(N624-$Q624)/($P624-$Q624)))</f>
        <v>0</v>
      </c>
      <c r="H624" s="1493">
        <v>1</v>
      </c>
      <c r="I624" s="1195" t="s">
        <v>5295</v>
      </c>
      <c r="J624" s="1470">
        <v>10</v>
      </c>
      <c r="K624" s="1470">
        <v>11</v>
      </c>
      <c r="L624" s="1470">
        <v>13</v>
      </c>
      <c r="M624" s="1470">
        <v>12</v>
      </c>
      <c r="N624" s="1470">
        <v>16</v>
      </c>
      <c r="O624" s="1470" t="s">
        <v>6724</v>
      </c>
      <c r="P624" s="1470">
        <v>13</v>
      </c>
      <c r="Q624" s="1470">
        <v>16</v>
      </c>
      <c r="R624" s="1219"/>
      <c r="S624" s="1220"/>
      <c r="T624" s="1220"/>
      <c r="U624" s="1220"/>
      <c r="V624" s="1220"/>
      <c r="W624" s="1220"/>
      <c r="X624" s="1220"/>
      <c r="Y624" s="1220"/>
      <c r="Z624" s="1220"/>
      <c r="AA624" s="1220"/>
      <c r="AB624" s="1220"/>
      <c r="AC624" s="1220"/>
      <c r="AD624" s="1220"/>
      <c r="AE624" s="1220"/>
      <c r="AF624" s="1220"/>
      <c r="AG624" s="1220"/>
      <c r="AH624" s="1220"/>
      <c r="AI624" s="1220"/>
      <c r="AJ624" s="1220"/>
      <c r="AK624" s="1220"/>
      <c r="AL624" s="1220"/>
      <c r="AM624" s="1220"/>
      <c r="AN624" s="1220"/>
      <c r="AO624" s="1220"/>
      <c r="AP624" s="1220"/>
      <c r="AQ624" s="1220"/>
      <c r="AR624" s="1220"/>
      <c r="AS624" s="1220"/>
      <c r="AT624" s="1220"/>
      <c r="AU624" s="1220"/>
      <c r="AV624" s="1220"/>
      <c r="AW624" s="1220"/>
      <c r="AX624" s="1220"/>
      <c r="AY624" s="1220"/>
      <c r="AZ624" s="1220"/>
      <c r="BA624" s="1220"/>
      <c r="BB624" s="1220"/>
      <c r="BC624" s="1220"/>
      <c r="BD624" s="1220"/>
      <c r="BE624" s="1220"/>
      <c r="BF624" s="1220"/>
      <c r="BG624" s="1220"/>
      <c r="BH624" s="1220"/>
      <c r="BI624" s="1220"/>
      <c r="BJ624" s="1220"/>
      <c r="BK624" s="1220"/>
      <c r="BL624" s="1220"/>
      <c r="BM624" s="1220"/>
      <c r="BN624" s="1220"/>
      <c r="BO624" s="1220"/>
      <c r="BP624" s="1220"/>
      <c r="BQ624" s="1220"/>
      <c r="BR624" s="1220"/>
      <c r="BS624" s="1220"/>
      <c r="BT624" s="1220"/>
      <c r="BU624" s="1220"/>
      <c r="BV624" s="1220"/>
      <c r="BW624" s="1220"/>
      <c r="BX624" s="1220"/>
      <c r="BY624" s="1220"/>
      <c r="BZ624" s="1220"/>
      <c r="CA624" s="1220"/>
      <c r="CB624" s="1220"/>
      <c r="CC624" s="1220"/>
      <c r="CD624" s="1220"/>
      <c r="CE624" s="1220"/>
      <c r="CF624" s="1220"/>
      <c r="CG624" s="1220"/>
      <c r="CH624" s="1220"/>
      <c r="CI624" s="1220"/>
      <c r="CJ624" s="1220"/>
      <c r="CK624" s="1220"/>
      <c r="CL624" s="1220"/>
      <c r="CM624" s="1220"/>
      <c r="CN624" s="1220"/>
      <c r="CO624" s="1220"/>
      <c r="CP624" s="1220"/>
      <c r="CQ624" s="1220"/>
      <c r="CR624" s="1220"/>
      <c r="CS624" s="1220"/>
      <c r="CT624" s="1220"/>
      <c r="CU624" s="1220"/>
      <c r="CV624" s="1220"/>
      <c r="CW624" s="1220"/>
      <c r="CX624" s="1220"/>
      <c r="CY624" s="1220"/>
      <c r="CZ624" s="1220"/>
      <c r="DA624" s="1220"/>
      <c r="DB624" s="1220"/>
      <c r="DC624" s="1220"/>
      <c r="DD624" s="1220"/>
      <c r="DE624" s="1220"/>
      <c r="DF624" s="1220"/>
      <c r="DG624" s="1220"/>
      <c r="DH624" s="1220"/>
      <c r="DI624" s="1220"/>
      <c r="DJ624" s="1220"/>
      <c r="DK624" s="1220"/>
      <c r="DL624" s="1220"/>
      <c r="DM624" s="1220"/>
      <c r="DN624" s="1220"/>
      <c r="DO624" s="1220"/>
      <c r="DP624" s="1220"/>
      <c r="DQ624" s="1220"/>
      <c r="DR624" s="1220"/>
      <c r="DS624" s="1220"/>
      <c r="DT624" s="1220"/>
      <c r="DU624" s="1220"/>
      <c r="DV624" s="1220"/>
      <c r="DW624" s="1220"/>
      <c r="DX624" s="1220"/>
      <c r="DY624" s="1220"/>
      <c r="DZ624" s="1220"/>
      <c r="EA624" s="1220"/>
      <c r="EB624" s="1220"/>
      <c r="EC624" s="1220"/>
      <c r="ED624" s="1220"/>
      <c r="EE624" s="1220"/>
      <c r="EF624" s="1220"/>
      <c r="EG624" s="1220"/>
      <c r="EH624" s="1220"/>
      <c r="EI624" s="1220"/>
      <c r="EJ624" s="1220"/>
      <c r="EK624" s="1220"/>
      <c r="EL624" s="1220"/>
      <c r="EM624" s="1220"/>
      <c r="EN624" s="1220"/>
      <c r="EO624" s="1220"/>
      <c r="EP624" s="1220"/>
      <c r="EQ624" s="1220"/>
      <c r="ER624" s="1220"/>
      <c r="ES624" s="1220"/>
      <c r="ET624" s="1220"/>
      <c r="EU624" s="1220"/>
      <c r="EV624" s="1220"/>
      <c r="EW624" s="1220"/>
      <c r="EX624" s="1220"/>
      <c r="EY624" s="1220"/>
      <c r="EZ624" s="1220"/>
      <c r="FA624" s="1220"/>
      <c r="FB624" s="1220"/>
      <c r="FC624" s="1221"/>
    </row>
    <row r="625" spans="1:159" s="1226" customFormat="1" ht="32.1" customHeight="1">
      <c r="A625" s="1223"/>
      <c r="B625" s="1224" t="s">
        <v>5299</v>
      </c>
      <c r="C625" s="1493">
        <f>IF(J625&gt;$P625,1,IF(J625&lt;$Q625,0,(J625-$Q625)/($P625-$Q625)))</f>
        <v>0.29530201342281903</v>
      </c>
      <c r="D625" s="1493">
        <f t="shared" ref="D625:H626" si="149">IF(K625&gt;$P625,1,IF(K625&lt;$Q625,0,(K625-$Q625)/($P625-$Q625)))</f>
        <v>0</v>
      </c>
      <c r="E625" s="1493">
        <f t="shared" si="149"/>
        <v>0.65100671140939648</v>
      </c>
      <c r="F625" s="1493">
        <f t="shared" si="149"/>
        <v>0.46979865771812118</v>
      </c>
      <c r="G625" s="1493">
        <f t="shared" si="149"/>
        <v>0.29530201342281903</v>
      </c>
      <c r="H625" s="1493">
        <f t="shared" si="149"/>
        <v>0.40268456375838957</v>
      </c>
      <c r="I625" s="1195" t="s">
        <v>5295</v>
      </c>
      <c r="J625" s="1470">
        <v>0.74299999999999999</v>
      </c>
      <c r="K625" s="1470">
        <v>0.69899999999999995</v>
      </c>
      <c r="L625" s="1470">
        <v>0.79600000000000004</v>
      </c>
      <c r="M625" s="1470">
        <v>0.76900000000000002</v>
      </c>
      <c r="N625" s="1470">
        <v>0.74299999999999999</v>
      </c>
      <c r="O625" s="1470">
        <v>0.75900000000000001</v>
      </c>
      <c r="P625" s="1470">
        <v>0.84799999999999998</v>
      </c>
      <c r="Q625" s="1470">
        <v>0.69899999999999995</v>
      </c>
      <c r="R625" s="1081"/>
      <c r="S625" s="1082"/>
      <c r="T625" s="1082"/>
      <c r="U625" s="1082"/>
      <c r="V625" s="1082"/>
      <c r="W625" s="1082"/>
      <c r="X625" s="1082"/>
      <c r="Y625" s="1082"/>
      <c r="Z625" s="1082"/>
      <c r="AA625" s="1082"/>
      <c r="AB625" s="1082"/>
      <c r="AC625" s="1082"/>
      <c r="AD625" s="1082"/>
      <c r="AE625" s="1082"/>
      <c r="AF625" s="1082"/>
      <c r="AG625" s="1082"/>
      <c r="AH625" s="1082"/>
      <c r="AI625" s="1082"/>
      <c r="AJ625" s="1082"/>
      <c r="AK625" s="1082"/>
      <c r="AL625" s="1082"/>
      <c r="AM625" s="1082"/>
      <c r="AN625" s="1082"/>
      <c r="AO625" s="1082"/>
      <c r="AP625" s="1082"/>
      <c r="AQ625" s="1082"/>
      <c r="AR625" s="1082"/>
      <c r="AS625" s="1082"/>
      <c r="AT625" s="1082"/>
      <c r="AU625" s="1082"/>
      <c r="AV625" s="1082"/>
      <c r="AW625" s="1082"/>
      <c r="AX625" s="1082"/>
      <c r="AY625" s="1082"/>
      <c r="AZ625" s="1082"/>
      <c r="BA625" s="1082"/>
      <c r="BB625" s="1082"/>
      <c r="BC625" s="1082"/>
      <c r="BD625" s="1082"/>
      <c r="BE625" s="1082"/>
      <c r="BF625" s="1082"/>
      <c r="BG625" s="1082"/>
      <c r="BH625" s="1082"/>
      <c r="BI625" s="1082"/>
      <c r="BJ625" s="1082"/>
      <c r="BK625" s="1082"/>
      <c r="BL625" s="1082"/>
      <c r="BM625" s="1082"/>
      <c r="BN625" s="1082"/>
      <c r="BO625" s="1082"/>
      <c r="BP625" s="1082"/>
      <c r="BQ625" s="1082"/>
      <c r="BR625" s="1082"/>
      <c r="BS625" s="1082"/>
      <c r="BT625" s="1082"/>
      <c r="BU625" s="1082"/>
      <c r="BV625" s="1082"/>
      <c r="BW625" s="1082"/>
      <c r="BX625" s="1082"/>
      <c r="BY625" s="1082"/>
      <c r="BZ625" s="1082"/>
      <c r="CA625" s="1082"/>
      <c r="CB625" s="1082"/>
      <c r="CC625" s="1082"/>
      <c r="CD625" s="1082"/>
      <c r="CE625" s="1082"/>
      <c r="CF625" s="1082"/>
      <c r="CG625" s="1082"/>
      <c r="CH625" s="1082"/>
      <c r="CI625" s="1082"/>
      <c r="CJ625" s="1082"/>
      <c r="CK625" s="1082"/>
      <c r="CL625" s="1082"/>
      <c r="CM625" s="1082"/>
      <c r="CN625" s="1082"/>
      <c r="CO625" s="1082"/>
      <c r="CP625" s="1082"/>
      <c r="CQ625" s="1082"/>
      <c r="CR625" s="1082"/>
      <c r="CS625" s="1082"/>
      <c r="CT625" s="1082"/>
      <c r="CU625" s="1082"/>
      <c r="CV625" s="1082"/>
      <c r="CW625" s="1082"/>
      <c r="CX625" s="1082"/>
      <c r="CY625" s="1082"/>
      <c r="CZ625" s="1082"/>
      <c r="DA625" s="1082"/>
      <c r="DB625" s="1082"/>
      <c r="DC625" s="1082"/>
      <c r="DD625" s="1082"/>
      <c r="DE625" s="1082"/>
      <c r="DF625" s="1082"/>
      <c r="DG625" s="1082"/>
      <c r="DH625" s="1082"/>
      <c r="DI625" s="1082"/>
      <c r="DJ625" s="1082"/>
      <c r="DK625" s="1082"/>
      <c r="DL625" s="1082"/>
      <c r="DM625" s="1082"/>
      <c r="DN625" s="1082"/>
      <c r="DO625" s="1082"/>
      <c r="DP625" s="1082"/>
      <c r="DQ625" s="1082"/>
      <c r="DR625" s="1082"/>
      <c r="DS625" s="1082"/>
      <c r="DT625" s="1082"/>
      <c r="DU625" s="1082"/>
      <c r="DV625" s="1082"/>
      <c r="DW625" s="1082"/>
      <c r="DX625" s="1082"/>
      <c r="DY625" s="1082"/>
      <c r="DZ625" s="1082"/>
      <c r="EA625" s="1082"/>
      <c r="EB625" s="1082"/>
      <c r="EC625" s="1082"/>
      <c r="ED625" s="1082"/>
      <c r="EE625" s="1082"/>
      <c r="EF625" s="1082"/>
      <c r="EG625" s="1082"/>
      <c r="EH625" s="1082"/>
      <c r="EI625" s="1082"/>
      <c r="EJ625" s="1082"/>
      <c r="EK625" s="1082"/>
      <c r="EL625" s="1082"/>
      <c r="EM625" s="1082"/>
      <c r="EN625" s="1082"/>
      <c r="EO625" s="1082"/>
      <c r="EP625" s="1082"/>
      <c r="EQ625" s="1082"/>
      <c r="ER625" s="1082"/>
      <c r="ES625" s="1082"/>
      <c r="ET625" s="1082"/>
      <c r="EU625" s="1082"/>
      <c r="EV625" s="1082"/>
      <c r="EW625" s="1082"/>
      <c r="EX625" s="1082"/>
      <c r="EY625" s="1082"/>
      <c r="EZ625" s="1082"/>
      <c r="FA625" s="1082"/>
      <c r="FB625" s="1082"/>
      <c r="FC625" s="1225"/>
    </row>
    <row r="626" spans="1:159" s="1226" customFormat="1" ht="75">
      <c r="A626" s="1223"/>
      <c r="B626" s="1591" t="s">
        <v>5323</v>
      </c>
      <c r="C626" s="1493">
        <f>IF(J626&gt;$P626,1,IF(J626&lt;$Q626,0,(J626-$Q626)/($P626-$Q626)))</f>
        <v>0</v>
      </c>
      <c r="D626" s="1493">
        <f t="shared" si="149"/>
        <v>0.40875912408759135</v>
      </c>
      <c r="E626" s="1493">
        <f t="shared" si="149"/>
        <v>1</v>
      </c>
      <c r="F626" s="1493">
        <f t="shared" si="149"/>
        <v>0.29562043795620446</v>
      </c>
      <c r="G626" s="1493">
        <f t="shared" si="149"/>
        <v>0.42700729927007314</v>
      </c>
      <c r="H626" s="1493">
        <f t="shared" si="149"/>
        <v>0.66058394160583955</v>
      </c>
      <c r="I626" s="1195" t="s">
        <v>5295</v>
      </c>
      <c r="J626" s="1470">
        <v>31</v>
      </c>
      <c r="K626" s="1470">
        <v>42.2</v>
      </c>
      <c r="L626" s="1470">
        <v>69.400000000000006</v>
      </c>
      <c r="M626" s="1470">
        <v>39.1</v>
      </c>
      <c r="N626" s="1470">
        <v>42.7</v>
      </c>
      <c r="O626" s="1470">
        <v>49.1</v>
      </c>
      <c r="P626" s="1470">
        <v>58.4</v>
      </c>
      <c r="Q626" s="1470">
        <v>31</v>
      </c>
      <c r="R626" s="1081"/>
      <c r="S626" s="1082"/>
      <c r="T626" s="1082"/>
      <c r="U626" s="1082"/>
      <c r="V626" s="1082"/>
      <c r="W626" s="1082"/>
      <c r="X626" s="1082"/>
      <c r="Y626" s="1082"/>
      <c r="Z626" s="1082"/>
      <c r="AA626" s="1082"/>
      <c r="AB626" s="1082"/>
      <c r="AC626" s="1082"/>
      <c r="AD626" s="1082"/>
      <c r="AE626" s="1082"/>
      <c r="AF626" s="1082"/>
      <c r="AG626" s="1082"/>
      <c r="AH626" s="1082"/>
      <c r="AI626" s="1082"/>
      <c r="AJ626" s="1082"/>
      <c r="AK626" s="1082"/>
      <c r="AL626" s="1082"/>
      <c r="AM626" s="1082"/>
      <c r="AN626" s="1082"/>
      <c r="AO626" s="1082"/>
      <c r="AP626" s="1082"/>
      <c r="AQ626" s="1082"/>
      <c r="AR626" s="1082"/>
      <c r="AS626" s="1082"/>
      <c r="AT626" s="1082"/>
      <c r="AU626" s="1082"/>
      <c r="AV626" s="1082"/>
      <c r="AW626" s="1082"/>
      <c r="AX626" s="1082"/>
      <c r="AY626" s="1082"/>
      <c r="AZ626" s="1082"/>
      <c r="BA626" s="1082"/>
      <c r="BB626" s="1082"/>
      <c r="BC626" s="1082"/>
      <c r="BD626" s="1082"/>
      <c r="BE626" s="1082"/>
      <c r="BF626" s="1082"/>
      <c r="BG626" s="1082"/>
      <c r="BH626" s="1082"/>
      <c r="BI626" s="1082"/>
      <c r="BJ626" s="1082"/>
      <c r="BK626" s="1082"/>
      <c r="BL626" s="1082"/>
      <c r="BM626" s="1082"/>
      <c r="BN626" s="1082"/>
      <c r="BO626" s="1082"/>
      <c r="BP626" s="1082"/>
      <c r="BQ626" s="1082"/>
      <c r="BR626" s="1082"/>
      <c r="BS626" s="1082"/>
      <c r="BT626" s="1082"/>
      <c r="BU626" s="1082"/>
      <c r="BV626" s="1082"/>
      <c r="BW626" s="1082"/>
      <c r="BX626" s="1082"/>
      <c r="BY626" s="1082"/>
      <c r="BZ626" s="1082"/>
      <c r="CA626" s="1082"/>
      <c r="CB626" s="1082"/>
      <c r="CC626" s="1082"/>
      <c r="CD626" s="1082"/>
      <c r="CE626" s="1082"/>
      <c r="CF626" s="1082"/>
      <c r="CG626" s="1082"/>
      <c r="CH626" s="1082"/>
      <c r="CI626" s="1082"/>
      <c r="CJ626" s="1082"/>
      <c r="CK626" s="1082"/>
      <c r="CL626" s="1082"/>
      <c r="CM626" s="1082"/>
      <c r="CN626" s="1082"/>
      <c r="CO626" s="1082"/>
      <c r="CP626" s="1082"/>
      <c r="CQ626" s="1082"/>
      <c r="CR626" s="1082"/>
      <c r="CS626" s="1082"/>
      <c r="CT626" s="1082"/>
      <c r="CU626" s="1082"/>
      <c r="CV626" s="1082"/>
      <c r="CW626" s="1082"/>
      <c r="CX626" s="1082"/>
      <c r="CY626" s="1082"/>
      <c r="CZ626" s="1082"/>
      <c r="DA626" s="1082"/>
      <c r="DB626" s="1082"/>
      <c r="DC626" s="1082"/>
      <c r="DD626" s="1082"/>
      <c r="DE626" s="1082"/>
      <c r="DF626" s="1082"/>
      <c r="DG626" s="1082"/>
      <c r="DH626" s="1082"/>
      <c r="DI626" s="1082"/>
      <c r="DJ626" s="1082"/>
      <c r="DK626" s="1082"/>
      <c r="DL626" s="1082"/>
      <c r="DM626" s="1082"/>
      <c r="DN626" s="1082"/>
      <c r="DO626" s="1082"/>
      <c r="DP626" s="1082"/>
      <c r="DQ626" s="1082"/>
      <c r="DR626" s="1082"/>
      <c r="DS626" s="1082"/>
      <c r="DT626" s="1082"/>
      <c r="DU626" s="1082"/>
      <c r="DV626" s="1082"/>
      <c r="DW626" s="1082"/>
      <c r="DX626" s="1082"/>
      <c r="DY626" s="1082"/>
      <c r="DZ626" s="1082"/>
      <c r="EA626" s="1082"/>
      <c r="EB626" s="1082"/>
      <c r="EC626" s="1082"/>
      <c r="ED626" s="1082"/>
      <c r="EE626" s="1082"/>
      <c r="EF626" s="1082"/>
      <c r="EG626" s="1082"/>
      <c r="EH626" s="1082"/>
      <c r="EI626" s="1082"/>
      <c r="EJ626" s="1082"/>
      <c r="EK626" s="1082"/>
      <c r="EL626" s="1082"/>
      <c r="EM626" s="1082"/>
      <c r="EN626" s="1082"/>
      <c r="EO626" s="1082"/>
      <c r="EP626" s="1082"/>
      <c r="EQ626" s="1082"/>
      <c r="ER626" s="1082"/>
      <c r="ES626" s="1082"/>
      <c r="ET626" s="1082"/>
      <c r="EU626" s="1082"/>
      <c r="EV626" s="1082"/>
      <c r="EW626" s="1082"/>
      <c r="EX626" s="1082"/>
      <c r="EY626" s="1082"/>
      <c r="EZ626" s="1082"/>
      <c r="FA626" s="1082"/>
      <c r="FB626" s="1082"/>
      <c r="FC626" s="1225"/>
    </row>
    <row r="627" spans="1:159" s="1209" customFormat="1" ht="32.1" customHeight="1">
      <c r="A627" s="1603" t="s">
        <v>6850</v>
      </c>
      <c r="B627" s="1227" t="s">
        <v>6860</v>
      </c>
      <c r="C627" s="1500">
        <f t="shared" ref="C627:H627" si="150">AVERAGE(C629:C632)</f>
        <v>0.5</v>
      </c>
      <c r="D627" s="1500">
        <f t="shared" si="150"/>
        <v>0.5</v>
      </c>
      <c r="E627" s="1500">
        <f t="shared" si="150"/>
        <v>0.25</v>
      </c>
      <c r="F627" s="1500">
        <f t="shared" si="150"/>
        <v>0.375</v>
      </c>
      <c r="G627" s="1500">
        <f t="shared" si="150"/>
        <v>0.5</v>
      </c>
      <c r="H627" s="1500">
        <f t="shared" si="150"/>
        <v>0.5</v>
      </c>
      <c r="I627" s="1781"/>
      <c r="J627" s="1207"/>
      <c r="K627" s="1208"/>
      <c r="L627" s="1208"/>
      <c r="M627" s="1208"/>
      <c r="N627" s="1208"/>
      <c r="O627" s="1208"/>
      <c r="P627" s="1208"/>
      <c r="Q627" s="1208"/>
      <c r="R627" s="1081"/>
      <c r="S627" s="1082"/>
      <c r="T627" s="1082"/>
      <c r="U627" s="1082"/>
      <c r="V627" s="1082"/>
      <c r="W627" s="1082"/>
      <c r="X627" s="1082"/>
      <c r="Y627" s="1082"/>
      <c r="Z627" s="1082"/>
      <c r="AA627" s="1082"/>
      <c r="AB627" s="1082"/>
      <c r="AC627" s="1082"/>
      <c r="AD627" s="1082"/>
      <c r="AE627" s="1082"/>
      <c r="AF627" s="1082"/>
      <c r="AG627" s="1082"/>
      <c r="AH627" s="1082"/>
      <c r="AI627" s="1082"/>
      <c r="AJ627" s="1082"/>
      <c r="AK627" s="1082"/>
      <c r="AL627" s="1082"/>
      <c r="AM627" s="1082"/>
      <c r="AN627" s="1082"/>
      <c r="AO627" s="1082"/>
      <c r="AP627" s="1082"/>
      <c r="AQ627" s="1082"/>
      <c r="AR627" s="1082"/>
      <c r="AS627" s="1082"/>
      <c r="AT627" s="1082"/>
      <c r="AU627" s="1082"/>
      <c r="AV627" s="1082"/>
      <c r="AW627" s="1082"/>
      <c r="AX627" s="1082"/>
      <c r="AY627" s="1082"/>
      <c r="AZ627" s="1082"/>
      <c r="BA627" s="1082"/>
      <c r="BB627" s="1082"/>
      <c r="BC627" s="1082"/>
      <c r="BD627" s="1082"/>
      <c r="BE627" s="1082"/>
      <c r="BF627" s="1082"/>
      <c r="BG627" s="1082"/>
      <c r="BH627" s="1082"/>
      <c r="BI627" s="1082"/>
      <c r="BJ627" s="1082"/>
      <c r="BK627" s="1082"/>
      <c r="BL627" s="1082"/>
      <c r="BM627" s="1082"/>
      <c r="BN627" s="1082"/>
      <c r="BO627" s="1082"/>
      <c r="BP627" s="1082"/>
      <c r="BQ627" s="1082"/>
      <c r="BR627" s="1082"/>
      <c r="BS627" s="1082"/>
      <c r="BT627" s="1082"/>
      <c r="BU627" s="1082"/>
      <c r="BV627" s="1082"/>
      <c r="BW627" s="1082"/>
      <c r="BX627" s="1082"/>
      <c r="BY627" s="1082"/>
      <c r="BZ627" s="1082"/>
      <c r="CA627" s="1082"/>
      <c r="CB627" s="1082"/>
      <c r="CC627" s="1082"/>
      <c r="CD627" s="1082"/>
      <c r="CE627" s="1082"/>
      <c r="CF627" s="1082"/>
      <c r="CG627" s="1082"/>
      <c r="CH627" s="1082"/>
      <c r="CI627" s="1082"/>
      <c r="CJ627" s="1082"/>
      <c r="CK627" s="1082"/>
      <c r="CL627" s="1082"/>
      <c r="CM627" s="1082"/>
      <c r="CN627" s="1082"/>
      <c r="CO627" s="1082"/>
      <c r="CP627" s="1082"/>
      <c r="CQ627" s="1082"/>
      <c r="CR627" s="1082"/>
      <c r="CS627" s="1082"/>
      <c r="CT627" s="1082"/>
      <c r="CU627" s="1082"/>
      <c r="CV627" s="1082"/>
      <c r="CW627" s="1082"/>
      <c r="CX627" s="1082"/>
      <c r="CY627" s="1082"/>
      <c r="CZ627" s="1082"/>
      <c r="DA627" s="1082"/>
      <c r="DB627" s="1082"/>
      <c r="DC627" s="1082"/>
      <c r="DD627" s="1082"/>
      <c r="DE627" s="1082"/>
      <c r="DF627" s="1082"/>
      <c r="DG627" s="1082"/>
      <c r="DH627" s="1082"/>
      <c r="DI627" s="1082"/>
      <c r="DJ627" s="1082"/>
      <c r="DK627" s="1082"/>
      <c r="DL627" s="1082"/>
      <c r="DM627" s="1082"/>
      <c r="DN627" s="1082"/>
      <c r="DO627" s="1082"/>
      <c r="DP627" s="1082"/>
      <c r="DQ627" s="1082"/>
      <c r="DR627" s="1082"/>
      <c r="DS627" s="1082"/>
      <c r="DT627" s="1082"/>
      <c r="DU627" s="1082"/>
      <c r="DV627" s="1082"/>
      <c r="DW627" s="1082"/>
      <c r="DX627" s="1082"/>
      <c r="DY627" s="1082"/>
      <c r="DZ627" s="1082"/>
      <c r="EA627" s="1082"/>
      <c r="EB627" s="1082"/>
      <c r="EC627" s="1082"/>
      <c r="ED627" s="1082"/>
      <c r="EE627" s="1082"/>
      <c r="EF627" s="1082"/>
      <c r="EG627" s="1082"/>
      <c r="EH627" s="1082"/>
      <c r="EI627" s="1082"/>
      <c r="EJ627" s="1082"/>
      <c r="EK627" s="1082"/>
      <c r="EL627" s="1082"/>
      <c r="EM627" s="1082"/>
      <c r="EN627" s="1082"/>
      <c r="EO627" s="1082"/>
      <c r="EP627" s="1082"/>
      <c r="EQ627" s="1082"/>
      <c r="ER627" s="1082"/>
      <c r="ES627" s="1082"/>
      <c r="ET627" s="1082"/>
      <c r="EU627" s="1082"/>
      <c r="EV627" s="1082"/>
      <c r="EW627" s="1082"/>
      <c r="EX627" s="1082"/>
      <c r="EY627" s="1082"/>
      <c r="EZ627" s="1082"/>
      <c r="FA627" s="1082"/>
      <c r="FB627" s="1082"/>
    </row>
    <row r="628" spans="1:159" s="1231" customFormat="1" ht="45">
      <c r="A628" s="1228"/>
      <c r="B628" s="1229" t="s">
        <v>5300</v>
      </c>
      <c r="C628" s="1435"/>
      <c r="D628" s="1434"/>
      <c r="E628" s="1434"/>
      <c r="F628" s="1434"/>
      <c r="G628" s="1434"/>
      <c r="H628" s="1434"/>
      <c r="I628" s="1469" t="s">
        <v>91</v>
      </c>
      <c r="J628" s="1213"/>
      <c r="K628" s="1179" t="s">
        <v>2454</v>
      </c>
      <c r="L628" s="1213"/>
      <c r="M628" s="1213"/>
      <c r="N628" s="1213"/>
      <c r="O628" s="1213"/>
      <c r="P628" s="1213"/>
      <c r="Q628" s="1213"/>
      <c r="R628" s="1081"/>
      <c r="S628" s="1082"/>
      <c r="T628" s="1082"/>
      <c r="U628" s="1082"/>
      <c r="V628" s="1082"/>
      <c r="W628" s="1082"/>
      <c r="X628" s="1082"/>
      <c r="Y628" s="1082"/>
      <c r="Z628" s="1082"/>
      <c r="AA628" s="1082"/>
      <c r="AB628" s="1082"/>
      <c r="AC628" s="1082"/>
      <c r="AD628" s="1082"/>
      <c r="AE628" s="1082"/>
      <c r="AF628" s="1082"/>
      <c r="AG628" s="1082"/>
      <c r="AH628" s="1082"/>
      <c r="AI628" s="1082"/>
      <c r="AJ628" s="1082"/>
      <c r="AK628" s="1082"/>
      <c r="AL628" s="1082"/>
      <c r="AM628" s="1082"/>
      <c r="AN628" s="1082"/>
      <c r="AO628" s="1082"/>
      <c r="AP628" s="1082"/>
      <c r="AQ628" s="1082"/>
      <c r="AR628" s="1082"/>
      <c r="AS628" s="1082"/>
      <c r="AT628" s="1082"/>
      <c r="AU628" s="1082"/>
      <c r="AV628" s="1082"/>
      <c r="AW628" s="1082"/>
      <c r="AX628" s="1082"/>
      <c r="AY628" s="1082"/>
      <c r="AZ628" s="1082"/>
      <c r="BA628" s="1082"/>
      <c r="BB628" s="1082"/>
      <c r="BC628" s="1082"/>
      <c r="BD628" s="1082"/>
      <c r="BE628" s="1082"/>
      <c r="BF628" s="1082"/>
      <c r="BG628" s="1082"/>
      <c r="BH628" s="1082"/>
      <c r="BI628" s="1082"/>
      <c r="BJ628" s="1082"/>
      <c r="BK628" s="1082"/>
      <c r="BL628" s="1082"/>
      <c r="BM628" s="1082"/>
      <c r="BN628" s="1082"/>
      <c r="BO628" s="1082"/>
      <c r="BP628" s="1082"/>
      <c r="BQ628" s="1082"/>
      <c r="BR628" s="1082"/>
      <c r="BS628" s="1082"/>
      <c r="BT628" s="1082"/>
      <c r="BU628" s="1082"/>
      <c r="BV628" s="1082"/>
      <c r="BW628" s="1082"/>
      <c r="BX628" s="1082"/>
      <c r="BY628" s="1082"/>
      <c r="BZ628" s="1082"/>
      <c r="CA628" s="1082"/>
      <c r="CB628" s="1082"/>
      <c r="CC628" s="1082"/>
      <c r="CD628" s="1082"/>
      <c r="CE628" s="1082"/>
      <c r="CF628" s="1082"/>
      <c r="CG628" s="1082"/>
      <c r="CH628" s="1082"/>
      <c r="CI628" s="1082"/>
      <c r="CJ628" s="1082"/>
      <c r="CK628" s="1082"/>
      <c r="CL628" s="1082"/>
      <c r="CM628" s="1082"/>
      <c r="CN628" s="1082"/>
      <c r="CO628" s="1082"/>
      <c r="CP628" s="1082"/>
      <c r="CQ628" s="1082"/>
      <c r="CR628" s="1082"/>
      <c r="CS628" s="1082"/>
      <c r="CT628" s="1082"/>
      <c r="CU628" s="1082"/>
      <c r="CV628" s="1082"/>
      <c r="CW628" s="1082"/>
      <c r="CX628" s="1082"/>
      <c r="CY628" s="1082"/>
      <c r="CZ628" s="1082"/>
      <c r="DA628" s="1082"/>
      <c r="DB628" s="1082"/>
      <c r="DC628" s="1082"/>
      <c r="DD628" s="1082"/>
      <c r="DE628" s="1082"/>
      <c r="DF628" s="1082"/>
      <c r="DG628" s="1082"/>
      <c r="DH628" s="1082"/>
      <c r="DI628" s="1082"/>
      <c r="DJ628" s="1082"/>
      <c r="DK628" s="1082"/>
      <c r="DL628" s="1082"/>
      <c r="DM628" s="1082"/>
      <c r="DN628" s="1082"/>
      <c r="DO628" s="1082"/>
      <c r="DP628" s="1082"/>
      <c r="DQ628" s="1082"/>
      <c r="DR628" s="1082"/>
      <c r="DS628" s="1082"/>
      <c r="DT628" s="1082"/>
      <c r="DU628" s="1082"/>
      <c r="DV628" s="1082"/>
      <c r="DW628" s="1082"/>
      <c r="DX628" s="1082"/>
      <c r="DY628" s="1082"/>
      <c r="DZ628" s="1082"/>
      <c r="EA628" s="1082"/>
      <c r="EB628" s="1082"/>
      <c r="EC628" s="1082"/>
      <c r="ED628" s="1082"/>
      <c r="EE628" s="1082"/>
      <c r="EF628" s="1082"/>
      <c r="EG628" s="1082"/>
      <c r="EH628" s="1082"/>
      <c r="EI628" s="1082"/>
      <c r="EJ628" s="1082"/>
      <c r="EK628" s="1082"/>
      <c r="EL628" s="1082"/>
      <c r="EM628" s="1082"/>
      <c r="EN628" s="1082"/>
      <c r="EO628" s="1082"/>
      <c r="EP628" s="1082"/>
      <c r="EQ628" s="1082"/>
      <c r="ER628" s="1082"/>
      <c r="ES628" s="1082"/>
      <c r="ET628" s="1082"/>
      <c r="EU628" s="1082"/>
      <c r="EV628" s="1082"/>
      <c r="EW628" s="1082"/>
      <c r="EX628" s="1082"/>
      <c r="EY628" s="1082"/>
      <c r="EZ628" s="1082"/>
      <c r="FA628" s="1082"/>
      <c r="FB628" s="1082"/>
      <c r="FC628" s="1230"/>
    </row>
    <row r="629" spans="1:159" s="1231" customFormat="1" ht="32.1" customHeight="1">
      <c r="A629" s="1228"/>
      <c r="B629" s="1229" t="s">
        <v>5301</v>
      </c>
      <c r="C629" s="1433">
        <v>0.5</v>
      </c>
      <c r="D629" s="1432">
        <v>0.5</v>
      </c>
      <c r="E629" s="1432">
        <v>0.5</v>
      </c>
      <c r="F629" s="1432">
        <v>0.5</v>
      </c>
      <c r="G629" s="1432">
        <v>0.5</v>
      </c>
      <c r="H629" s="1432">
        <v>0.5</v>
      </c>
      <c r="I629" s="1782"/>
      <c r="J629" s="1412" t="s">
        <v>6682</v>
      </c>
      <c r="K629" s="1590" t="s">
        <v>6445</v>
      </c>
      <c r="L629" s="1113">
        <v>0.5</v>
      </c>
      <c r="M629" s="1472" t="s">
        <v>6196</v>
      </c>
      <c r="N629" s="1104" t="s">
        <v>2454</v>
      </c>
      <c r="O629" s="1412" t="s">
        <v>5738</v>
      </c>
      <c r="P629" s="1213">
        <v>0.5</v>
      </c>
      <c r="Q629" s="1213"/>
      <c r="R629" s="1081"/>
      <c r="S629" s="1082"/>
      <c r="T629" s="1082"/>
      <c r="U629" s="1082"/>
      <c r="V629" s="1082"/>
      <c r="W629" s="1082"/>
      <c r="X629" s="1082"/>
      <c r="Y629" s="1082"/>
      <c r="Z629" s="1082"/>
      <c r="AA629" s="1082"/>
      <c r="AB629" s="1082"/>
      <c r="AC629" s="1082"/>
      <c r="AD629" s="1082"/>
      <c r="AE629" s="1082"/>
      <c r="AF629" s="1082"/>
      <c r="AG629" s="1082"/>
      <c r="AH629" s="1082"/>
      <c r="AI629" s="1082"/>
      <c r="AJ629" s="1082"/>
      <c r="AK629" s="1082"/>
      <c r="AL629" s="1082"/>
      <c r="AM629" s="1082"/>
      <c r="AN629" s="1082"/>
      <c r="AO629" s="1082"/>
      <c r="AP629" s="1082"/>
      <c r="AQ629" s="1082"/>
      <c r="AR629" s="1082"/>
      <c r="AS629" s="1082"/>
      <c r="AT629" s="1082"/>
      <c r="AU629" s="1082"/>
      <c r="AV629" s="1082"/>
      <c r="AW629" s="1082"/>
      <c r="AX629" s="1082"/>
      <c r="AY629" s="1082"/>
      <c r="AZ629" s="1082"/>
      <c r="BA629" s="1082"/>
      <c r="BB629" s="1082"/>
      <c r="BC629" s="1082"/>
      <c r="BD629" s="1082"/>
      <c r="BE629" s="1082"/>
      <c r="BF629" s="1082"/>
      <c r="BG629" s="1082"/>
      <c r="BH629" s="1082"/>
      <c r="BI629" s="1082"/>
      <c r="BJ629" s="1082"/>
      <c r="BK629" s="1082"/>
      <c r="BL629" s="1082"/>
      <c r="BM629" s="1082"/>
      <c r="BN629" s="1082"/>
      <c r="BO629" s="1082"/>
      <c r="BP629" s="1082"/>
      <c r="BQ629" s="1082"/>
      <c r="BR629" s="1082"/>
      <c r="BS629" s="1082"/>
      <c r="BT629" s="1082"/>
      <c r="BU629" s="1082"/>
      <c r="BV629" s="1082"/>
      <c r="BW629" s="1082"/>
      <c r="BX629" s="1082"/>
      <c r="BY629" s="1082"/>
      <c r="BZ629" s="1082"/>
      <c r="CA629" s="1082"/>
      <c r="CB629" s="1082"/>
      <c r="CC629" s="1082"/>
      <c r="CD629" s="1082"/>
      <c r="CE629" s="1082"/>
      <c r="CF629" s="1082"/>
      <c r="CG629" s="1082"/>
      <c r="CH629" s="1082"/>
      <c r="CI629" s="1082"/>
      <c r="CJ629" s="1082"/>
      <c r="CK629" s="1082"/>
      <c r="CL629" s="1082"/>
      <c r="CM629" s="1082"/>
      <c r="CN629" s="1082"/>
      <c r="CO629" s="1082"/>
      <c r="CP629" s="1082"/>
      <c r="CQ629" s="1082"/>
      <c r="CR629" s="1082"/>
      <c r="CS629" s="1082"/>
      <c r="CT629" s="1082"/>
      <c r="CU629" s="1082"/>
      <c r="CV629" s="1082"/>
      <c r="CW629" s="1082"/>
      <c r="CX629" s="1082"/>
      <c r="CY629" s="1082"/>
      <c r="CZ629" s="1082"/>
      <c r="DA629" s="1082"/>
      <c r="DB629" s="1082"/>
      <c r="DC629" s="1082"/>
      <c r="DD629" s="1082"/>
      <c r="DE629" s="1082"/>
      <c r="DF629" s="1082"/>
      <c r="DG629" s="1082"/>
      <c r="DH629" s="1082"/>
      <c r="DI629" s="1082"/>
      <c r="DJ629" s="1082"/>
      <c r="DK629" s="1082"/>
      <c r="DL629" s="1082"/>
      <c r="DM629" s="1082"/>
      <c r="DN629" s="1082"/>
      <c r="DO629" s="1082"/>
      <c r="DP629" s="1082"/>
      <c r="DQ629" s="1082"/>
      <c r="DR629" s="1082"/>
      <c r="DS629" s="1082"/>
      <c r="DT629" s="1082"/>
      <c r="DU629" s="1082"/>
      <c r="DV629" s="1082"/>
      <c r="DW629" s="1082"/>
      <c r="DX629" s="1082"/>
      <c r="DY629" s="1082"/>
      <c r="DZ629" s="1082"/>
      <c r="EA629" s="1082"/>
      <c r="EB629" s="1082"/>
      <c r="EC629" s="1082"/>
      <c r="ED629" s="1082"/>
      <c r="EE629" s="1082"/>
      <c r="EF629" s="1082"/>
      <c r="EG629" s="1082"/>
      <c r="EH629" s="1082"/>
      <c r="EI629" s="1082"/>
      <c r="EJ629" s="1082"/>
      <c r="EK629" s="1082"/>
      <c r="EL629" s="1082"/>
      <c r="EM629" s="1082"/>
      <c r="EN629" s="1082"/>
      <c r="EO629" s="1082"/>
      <c r="EP629" s="1082"/>
      <c r="EQ629" s="1082"/>
      <c r="ER629" s="1082"/>
      <c r="ES629" s="1082"/>
      <c r="ET629" s="1082"/>
      <c r="EU629" s="1082"/>
      <c r="EV629" s="1082"/>
      <c r="EW629" s="1082"/>
      <c r="EX629" s="1082"/>
      <c r="EY629" s="1082"/>
      <c r="EZ629" s="1082"/>
      <c r="FA629" s="1082"/>
      <c r="FB629" s="1082"/>
      <c r="FC629" s="1230"/>
    </row>
    <row r="630" spans="1:159" s="1231" customFormat="1" ht="32.1" customHeight="1">
      <c r="A630" s="1228"/>
      <c r="B630" s="1229" t="s">
        <v>5302</v>
      </c>
      <c r="C630" s="1433">
        <v>0.5</v>
      </c>
      <c r="D630" s="1432">
        <v>0.5</v>
      </c>
      <c r="E630" s="1432">
        <v>0</v>
      </c>
      <c r="F630" s="1432">
        <v>0.5</v>
      </c>
      <c r="G630" s="1432">
        <v>0.5</v>
      </c>
      <c r="H630" s="1432">
        <v>0.5</v>
      </c>
      <c r="I630" s="1782"/>
      <c r="J630" s="1412" t="s">
        <v>6683</v>
      </c>
      <c r="K630" s="1590" t="s">
        <v>6446</v>
      </c>
      <c r="L630" s="1113">
        <v>0</v>
      </c>
      <c r="M630" s="1472" t="s">
        <v>6197</v>
      </c>
      <c r="N630" s="1104" t="s">
        <v>2454</v>
      </c>
      <c r="O630" s="1412" t="s">
        <v>5739</v>
      </c>
      <c r="P630" s="1213">
        <v>0</v>
      </c>
      <c r="Q630" s="1213"/>
      <c r="R630" s="1081"/>
      <c r="S630" s="1082"/>
      <c r="T630" s="1082"/>
      <c r="U630" s="1082"/>
      <c r="V630" s="1082"/>
      <c r="W630" s="1082"/>
      <c r="X630" s="1082"/>
      <c r="Y630" s="1082"/>
      <c r="Z630" s="1082"/>
      <c r="AA630" s="1082"/>
      <c r="AB630" s="1082"/>
      <c r="AC630" s="1082"/>
      <c r="AD630" s="1082"/>
      <c r="AE630" s="1082"/>
      <c r="AF630" s="1082"/>
      <c r="AG630" s="1082"/>
      <c r="AH630" s="1082"/>
      <c r="AI630" s="1082"/>
      <c r="AJ630" s="1082"/>
      <c r="AK630" s="1082"/>
      <c r="AL630" s="1082"/>
      <c r="AM630" s="1082"/>
      <c r="AN630" s="1082"/>
      <c r="AO630" s="1082"/>
      <c r="AP630" s="1082"/>
      <c r="AQ630" s="1082"/>
      <c r="AR630" s="1082"/>
      <c r="AS630" s="1082"/>
      <c r="AT630" s="1082"/>
      <c r="AU630" s="1082"/>
      <c r="AV630" s="1082"/>
      <c r="AW630" s="1082"/>
      <c r="AX630" s="1082"/>
      <c r="AY630" s="1082"/>
      <c r="AZ630" s="1082"/>
      <c r="BA630" s="1082"/>
      <c r="BB630" s="1082"/>
      <c r="BC630" s="1082"/>
      <c r="BD630" s="1082"/>
      <c r="BE630" s="1082"/>
      <c r="BF630" s="1082"/>
      <c r="BG630" s="1082"/>
      <c r="BH630" s="1082"/>
      <c r="BI630" s="1082"/>
      <c r="BJ630" s="1082"/>
      <c r="BK630" s="1082"/>
      <c r="BL630" s="1082"/>
      <c r="BM630" s="1082"/>
      <c r="BN630" s="1082"/>
      <c r="BO630" s="1082"/>
      <c r="BP630" s="1082"/>
      <c r="BQ630" s="1082"/>
      <c r="BR630" s="1082"/>
      <c r="BS630" s="1082"/>
      <c r="BT630" s="1082"/>
      <c r="BU630" s="1082"/>
      <c r="BV630" s="1082"/>
      <c r="BW630" s="1082"/>
      <c r="BX630" s="1082"/>
      <c r="BY630" s="1082"/>
      <c r="BZ630" s="1082"/>
      <c r="CA630" s="1082"/>
      <c r="CB630" s="1082"/>
      <c r="CC630" s="1082"/>
      <c r="CD630" s="1082"/>
      <c r="CE630" s="1082"/>
      <c r="CF630" s="1082"/>
      <c r="CG630" s="1082"/>
      <c r="CH630" s="1082"/>
      <c r="CI630" s="1082"/>
      <c r="CJ630" s="1082"/>
      <c r="CK630" s="1082"/>
      <c r="CL630" s="1082"/>
      <c r="CM630" s="1082"/>
      <c r="CN630" s="1082"/>
      <c r="CO630" s="1082"/>
      <c r="CP630" s="1082"/>
      <c r="CQ630" s="1082"/>
      <c r="CR630" s="1082"/>
      <c r="CS630" s="1082"/>
      <c r="CT630" s="1082"/>
      <c r="CU630" s="1082"/>
      <c r="CV630" s="1082"/>
      <c r="CW630" s="1082"/>
      <c r="CX630" s="1082"/>
      <c r="CY630" s="1082"/>
      <c r="CZ630" s="1082"/>
      <c r="DA630" s="1082"/>
      <c r="DB630" s="1082"/>
      <c r="DC630" s="1082"/>
      <c r="DD630" s="1082"/>
      <c r="DE630" s="1082"/>
      <c r="DF630" s="1082"/>
      <c r="DG630" s="1082"/>
      <c r="DH630" s="1082"/>
      <c r="DI630" s="1082"/>
      <c r="DJ630" s="1082"/>
      <c r="DK630" s="1082"/>
      <c r="DL630" s="1082"/>
      <c r="DM630" s="1082"/>
      <c r="DN630" s="1082"/>
      <c r="DO630" s="1082"/>
      <c r="DP630" s="1082"/>
      <c r="DQ630" s="1082"/>
      <c r="DR630" s="1082"/>
      <c r="DS630" s="1082"/>
      <c r="DT630" s="1082"/>
      <c r="DU630" s="1082"/>
      <c r="DV630" s="1082"/>
      <c r="DW630" s="1082"/>
      <c r="DX630" s="1082"/>
      <c r="DY630" s="1082"/>
      <c r="DZ630" s="1082"/>
      <c r="EA630" s="1082"/>
      <c r="EB630" s="1082"/>
      <c r="EC630" s="1082"/>
      <c r="ED630" s="1082"/>
      <c r="EE630" s="1082"/>
      <c r="EF630" s="1082"/>
      <c r="EG630" s="1082"/>
      <c r="EH630" s="1082"/>
      <c r="EI630" s="1082"/>
      <c r="EJ630" s="1082"/>
      <c r="EK630" s="1082"/>
      <c r="EL630" s="1082"/>
      <c r="EM630" s="1082"/>
      <c r="EN630" s="1082"/>
      <c r="EO630" s="1082"/>
      <c r="EP630" s="1082"/>
      <c r="EQ630" s="1082"/>
      <c r="ER630" s="1082"/>
      <c r="ES630" s="1082"/>
      <c r="ET630" s="1082"/>
      <c r="EU630" s="1082"/>
      <c r="EV630" s="1082"/>
      <c r="EW630" s="1082"/>
      <c r="EX630" s="1082"/>
      <c r="EY630" s="1082"/>
      <c r="EZ630" s="1082"/>
      <c r="FA630" s="1082"/>
      <c r="FB630" s="1082"/>
      <c r="FC630" s="1230"/>
    </row>
    <row r="631" spans="1:159" s="1231" customFormat="1" ht="32.1" customHeight="1">
      <c r="A631" s="1228"/>
      <c r="B631" s="1229" t="s">
        <v>5303</v>
      </c>
      <c r="C631" s="1433">
        <v>0.5</v>
      </c>
      <c r="D631" s="1432">
        <v>0.5</v>
      </c>
      <c r="E631" s="1432">
        <v>0.5</v>
      </c>
      <c r="F631" s="1432">
        <v>0.5</v>
      </c>
      <c r="G631" s="1432">
        <v>0.5</v>
      </c>
      <c r="H631" s="1432">
        <v>0.5</v>
      </c>
      <c r="I631" s="1782"/>
      <c r="J631" s="1472" t="s">
        <v>6824</v>
      </c>
      <c r="K631" s="1590" t="s">
        <v>6447</v>
      </c>
      <c r="L631" s="1113">
        <v>0.5</v>
      </c>
      <c r="M631" s="1472" t="s">
        <v>6198</v>
      </c>
      <c r="N631" s="1104" t="s">
        <v>2454</v>
      </c>
      <c r="O631" s="1412" t="s">
        <v>5740</v>
      </c>
      <c r="P631" s="1213">
        <v>0</v>
      </c>
      <c r="Q631" s="1213"/>
      <c r="R631" s="1081"/>
      <c r="S631" s="1082"/>
      <c r="T631" s="1082"/>
      <c r="U631" s="1082"/>
      <c r="V631" s="1082"/>
      <c r="W631" s="1082"/>
      <c r="X631" s="1082"/>
      <c r="Y631" s="1082"/>
      <c r="Z631" s="1082"/>
      <c r="AA631" s="1082"/>
      <c r="AB631" s="1082"/>
      <c r="AC631" s="1082"/>
      <c r="AD631" s="1082"/>
      <c r="AE631" s="1082"/>
      <c r="AF631" s="1082"/>
      <c r="AG631" s="1082"/>
      <c r="AH631" s="1082"/>
      <c r="AI631" s="1082"/>
      <c r="AJ631" s="1082"/>
      <c r="AK631" s="1082"/>
      <c r="AL631" s="1082"/>
      <c r="AM631" s="1082"/>
      <c r="AN631" s="1082"/>
      <c r="AO631" s="1082"/>
      <c r="AP631" s="1082"/>
      <c r="AQ631" s="1082"/>
      <c r="AR631" s="1082"/>
      <c r="AS631" s="1082"/>
      <c r="AT631" s="1082"/>
      <c r="AU631" s="1082"/>
      <c r="AV631" s="1082"/>
      <c r="AW631" s="1082"/>
      <c r="AX631" s="1082"/>
      <c r="AY631" s="1082"/>
      <c r="AZ631" s="1082"/>
      <c r="BA631" s="1082"/>
      <c r="BB631" s="1082"/>
      <c r="BC631" s="1082"/>
      <c r="BD631" s="1082"/>
      <c r="BE631" s="1082"/>
      <c r="BF631" s="1082"/>
      <c r="BG631" s="1082"/>
      <c r="BH631" s="1082"/>
      <c r="BI631" s="1082"/>
      <c r="BJ631" s="1082"/>
      <c r="BK631" s="1082"/>
      <c r="BL631" s="1082"/>
      <c r="BM631" s="1082"/>
      <c r="BN631" s="1082"/>
      <c r="BO631" s="1082"/>
      <c r="BP631" s="1082"/>
      <c r="BQ631" s="1082"/>
      <c r="BR631" s="1082"/>
      <c r="BS631" s="1082"/>
      <c r="BT631" s="1082"/>
      <c r="BU631" s="1082"/>
      <c r="BV631" s="1082"/>
      <c r="BW631" s="1082"/>
      <c r="BX631" s="1082"/>
      <c r="BY631" s="1082"/>
      <c r="BZ631" s="1082"/>
      <c r="CA631" s="1082"/>
      <c r="CB631" s="1082"/>
      <c r="CC631" s="1082"/>
      <c r="CD631" s="1082"/>
      <c r="CE631" s="1082"/>
      <c r="CF631" s="1082"/>
      <c r="CG631" s="1082"/>
      <c r="CH631" s="1082"/>
      <c r="CI631" s="1082"/>
      <c r="CJ631" s="1082"/>
      <c r="CK631" s="1082"/>
      <c r="CL631" s="1082"/>
      <c r="CM631" s="1082"/>
      <c r="CN631" s="1082"/>
      <c r="CO631" s="1082"/>
      <c r="CP631" s="1082"/>
      <c r="CQ631" s="1082"/>
      <c r="CR631" s="1082"/>
      <c r="CS631" s="1082"/>
      <c r="CT631" s="1082"/>
      <c r="CU631" s="1082"/>
      <c r="CV631" s="1082"/>
      <c r="CW631" s="1082"/>
      <c r="CX631" s="1082"/>
      <c r="CY631" s="1082"/>
      <c r="CZ631" s="1082"/>
      <c r="DA631" s="1082"/>
      <c r="DB631" s="1082"/>
      <c r="DC631" s="1082"/>
      <c r="DD631" s="1082"/>
      <c r="DE631" s="1082"/>
      <c r="DF631" s="1082"/>
      <c r="DG631" s="1082"/>
      <c r="DH631" s="1082"/>
      <c r="DI631" s="1082"/>
      <c r="DJ631" s="1082"/>
      <c r="DK631" s="1082"/>
      <c r="DL631" s="1082"/>
      <c r="DM631" s="1082"/>
      <c r="DN631" s="1082"/>
      <c r="DO631" s="1082"/>
      <c r="DP631" s="1082"/>
      <c r="DQ631" s="1082"/>
      <c r="DR631" s="1082"/>
      <c r="DS631" s="1082"/>
      <c r="DT631" s="1082"/>
      <c r="DU631" s="1082"/>
      <c r="DV631" s="1082"/>
      <c r="DW631" s="1082"/>
      <c r="DX631" s="1082"/>
      <c r="DY631" s="1082"/>
      <c r="DZ631" s="1082"/>
      <c r="EA631" s="1082"/>
      <c r="EB631" s="1082"/>
      <c r="EC631" s="1082"/>
      <c r="ED631" s="1082"/>
      <c r="EE631" s="1082"/>
      <c r="EF631" s="1082"/>
      <c r="EG631" s="1082"/>
      <c r="EH631" s="1082"/>
      <c r="EI631" s="1082"/>
      <c r="EJ631" s="1082"/>
      <c r="EK631" s="1082"/>
      <c r="EL631" s="1082"/>
      <c r="EM631" s="1082"/>
      <c r="EN631" s="1082"/>
      <c r="EO631" s="1082"/>
      <c r="EP631" s="1082"/>
      <c r="EQ631" s="1082"/>
      <c r="ER631" s="1082"/>
      <c r="ES631" s="1082"/>
      <c r="ET631" s="1082"/>
      <c r="EU631" s="1082"/>
      <c r="EV631" s="1082"/>
      <c r="EW631" s="1082"/>
      <c r="EX631" s="1082"/>
      <c r="EY631" s="1082"/>
      <c r="EZ631" s="1082"/>
      <c r="FA631" s="1082"/>
      <c r="FB631" s="1082"/>
      <c r="FC631" s="1230"/>
    </row>
    <row r="632" spans="1:159" s="1231" customFormat="1" ht="32.1" customHeight="1">
      <c r="A632" s="1228"/>
      <c r="B632" s="1229" t="s">
        <v>5304</v>
      </c>
      <c r="C632" s="1433">
        <v>0.5</v>
      </c>
      <c r="D632" s="1432">
        <v>0.5</v>
      </c>
      <c r="E632" s="1432">
        <v>0</v>
      </c>
      <c r="F632" s="1432">
        <v>0</v>
      </c>
      <c r="G632" s="1432">
        <v>0.5</v>
      </c>
      <c r="H632" s="1432">
        <v>0.5</v>
      </c>
      <c r="I632" s="1782"/>
      <c r="J632" s="1412" t="s">
        <v>6825</v>
      </c>
      <c r="K632" s="1590" t="s">
        <v>6448</v>
      </c>
      <c r="L632" s="1113">
        <v>0</v>
      </c>
      <c r="M632" s="1113">
        <v>0</v>
      </c>
      <c r="N632" s="1104" t="s">
        <v>2454</v>
      </c>
      <c r="O632" s="1412" t="s">
        <v>5741</v>
      </c>
      <c r="P632" s="1213">
        <v>0</v>
      </c>
      <c r="Q632" s="1213"/>
      <c r="R632" s="1081"/>
      <c r="S632" s="1082"/>
      <c r="T632" s="1082"/>
      <c r="U632" s="1082"/>
      <c r="V632" s="1082"/>
      <c r="W632" s="1082"/>
      <c r="X632" s="1082"/>
      <c r="Y632" s="1082"/>
      <c r="Z632" s="1082"/>
      <c r="AA632" s="1082"/>
      <c r="AB632" s="1082"/>
      <c r="AC632" s="1082"/>
      <c r="AD632" s="1082"/>
      <c r="AE632" s="1082"/>
      <c r="AF632" s="1082"/>
      <c r="AG632" s="1082"/>
      <c r="AH632" s="1082"/>
      <c r="AI632" s="1082"/>
      <c r="AJ632" s="1082"/>
      <c r="AK632" s="1082"/>
      <c r="AL632" s="1082"/>
      <c r="AM632" s="1082"/>
      <c r="AN632" s="1082"/>
      <c r="AO632" s="1082"/>
      <c r="AP632" s="1082"/>
      <c r="AQ632" s="1082"/>
      <c r="AR632" s="1082"/>
      <c r="AS632" s="1082"/>
      <c r="AT632" s="1082"/>
      <c r="AU632" s="1082"/>
      <c r="AV632" s="1082"/>
      <c r="AW632" s="1082"/>
      <c r="AX632" s="1082"/>
      <c r="AY632" s="1082"/>
      <c r="AZ632" s="1082"/>
      <c r="BA632" s="1082"/>
      <c r="BB632" s="1082"/>
      <c r="BC632" s="1082"/>
      <c r="BD632" s="1082"/>
      <c r="BE632" s="1082"/>
      <c r="BF632" s="1082"/>
      <c r="BG632" s="1082"/>
      <c r="BH632" s="1082"/>
      <c r="BI632" s="1082"/>
      <c r="BJ632" s="1082"/>
      <c r="BK632" s="1082"/>
      <c r="BL632" s="1082"/>
      <c r="BM632" s="1082"/>
      <c r="BN632" s="1082"/>
      <c r="BO632" s="1082"/>
      <c r="BP632" s="1082"/>
      <c r="BQ632" s="1082"/>
      <c r="BR632" s="1082"/>
      <c r="BS632" s="1082"/>
      <c r="BT632" s="1082"/>
      <c r="BU632" s="1082"/>
      <c r="BV632" s="1082"/>
      <c r="BW632" s="1082"/>
      <c r="BX632" s="1082"/>
      <c r="BY632" s="1082"/>
      <c r="BZ632" s="1082"/>
      <c r="CA632" s="1082"/>
      <c r="CB632" s="1082"/>
      <c r="CC632" s="1082"/>
      <c r="CD632" s="1082"/>
      <c r="CE632" s="1082"/>
      <c r="CF632" s="1082"/>
      <c r="CG632" s="1082"/>
      <c r="CH632" s="1082"/>
      <c r="CI632" s="1082"/>
      <c r="CJ632" s="1082"/>
      <c r="CK632" s="1082"/>
      <c r="CL632" s="1082"/>
      <c r="CM632" s="1082"/>
      <c r="CN632" s="1082"/>
      <c r="CO632" s="1082"/>
      <c r="CP632" s="1082"/>
      <c r="CQ632" s="1082"/>
      <c r="CR632" s="1082"/>
      <c r="CS632" s="1082"/>
      <c r="CT632" s="1082"/>
      <c r="CU632" s="1082"/>
      <c r="CV632" s="1082"/>
      <c r="CW632" s="1082"/>
      <c r="CX632" s="1082"/>
      <c r="CY632" s="1082"/>
      <c r="CZ632" s="1082"/>
      <c r="DA632" s="1082"/>
      <c r="DB632" s="1082"/>
      <c r="DC632" s="1082"/>
      <c r="DD632" s="1082"/>
      <c r="DE632" s="1082"/>
      <c r="DF632" s="1082"/>
      <c r="DG632" s="1082"/>
      <c r="DH632" s="1082"/>
      <c r="DI632" s="1082"/>
      <c r="DJ632" s="1082"/>
      <c r="DK632" s="1082"/>
      <c r="DL632" s="1082"/>
      <c r="DM632" s="1082"/>
      <c r="DN632" s="1082"/>
      <c r="DO632" s="1082"/>
      <c r="DP632" s="1082"/>
      <c r="DQ632" s="1082"/>
      <c r="DR632" s="1082"/>
      <c r="DS632" s="1082"/>
      <c r="DT632" s="1082"/>
      <c r="DU632" s="1082"/>
      <c r="DV632" s="1082"/>
      <c r="DW632" s="1082"/>
      <c r="DX632" s="1082"/>
      <c r="DY632" s="1082"/>
      <c r="DZ632" s="1082"/>
      <c r="EA632" s="1082"/>
      <c r="EB632" s="1082"/>
      <c r="EC632" s="1082"/>
      <c r="ED632" s="1082"/>
      <c r="EE632" s="1082"/>
      <c r="EF632" s="1082"/>
      <c r="EG632" s="1082"/>
      <c r="EH632" s="1082"/>
      <c r="EI632" s="1082"/>
      <c r="EJ632" s="1082"/>
      <c r="EK632" s="1082"/>
      <c r="EL632" s="1082"/>
      <c r="EM632" s="1082"/>
      <c r="EN632" s="1082"/>
      <c r="EO632" s="1082"/>
      <c r="EP632" s="1082"/>
      <c r="EQ632" s="1082"/>
      <c r="ER632" s="1082"/>
      <c r="ES632" s="1082"/>
      <c r="ET632" s="1082"/>
      <c r="EU632" s="1082"/>
      <c r="EV632" s="1082"/>
      <c r="EW632" s="1082"/>
      <c r="EX632" s="1082"/>
      <c r="EY632" s="1082"/>
      <c r="EZ632" s="1082"/>
      <c r="FA632" s="1082"/>
      <c r="FB632" s="1082"/>
      <c r="FC632" s="1230"/>
    </row>
    <row r="633" spans="1:159" s="1099" customFormat="1" ht="32.1" customHeight="1">
      <c r="A633" s="1741" t="s">
        <v>6851</v>
      </c>
      <c r="B633" s="1617" t="s">
        <v>6939</v>
      </c>
      <c r="C633" s="1573">
        <f>IF(J633&lt;$P633,1,IF(J633&gt;$Q633,0,(J633-$Q633)/($P633-$Q633)))</f>
        <v>0.32083333333333341</v>
      </c>
      <c r="D633" s="1573">
        <f t="shared" ref="D633:H633" si="151">IF(K633&lt;$P633,1,IF(K633&gt;$Q633,0,(K633-$Q633)/($P633-$Q633)))</f>
        <v>0.53749999999999987</v>
      </c>
      <c r="E633" s="1573">
        <f t="shared" si="151"/>
        <v>0.90416666666666667</v>
      </c>
      <c r="F633" s="1573">
        <f t="shared" si="151"/>
        <v>0</v>
      </c>
      <c r="G633" s="1573">
        <f t="shared" si="151"/>
        <v>0.28333333333333338</v>
      </c>
      <c r="H633" s="1573">
        <f t="shared" si="151"/>
        <v>0.14583333333333323</v>
      </c>
      <c r="I633" s="1195" t="s">
        <v>5295</v>
      </c>
      <c r="J633" s="1569">
        <v>0.28399999999999997</v>
      </c>
      <c r="K633" s="1570">
        <v>0.23200000000000001</v>
      </c>
      <c r="L633" s="1570">
        <v>0.14399999999999999</v>
      </c>
      <c r="M633" s="1570">
        <v>0.36099999999999999</v>
      </c>
      <c r="N633" s="1570">
        <v>0.29299999999999998</v>
      </c>
      <c r="O633" s="1570">
        <v>0.32600000000000001</v>
      </c>
      <c r="P633" s="1570">
        <v>0.121</v>
      </c>
      <c r="Q633" s="1571">
        <v>0.36099999999999999</v>
      </c>
      <c r="R633" s="1081"/>
      <c r="S633" s="1082"/>
      <c r="T633" s="1082"/>
      <c r="U633" s="1082"/>
      <c r="V633" s="1082"/>
      <c r="W633" s="1082"/>
      <c r="X633" s="1082"/>
      <c r="Y633" s="1082"/>
      <c r="Z633" s="1082"/>
      <c r="AA633" s="1082"/>
      <c r="AB633" s="1082"/>
      <c r="AC633" s="1082"/>
      <c r="AD633" s="1082"/>
      <c r="AE633" s="1082"/>
      <c r="AF633" s="1082"/>
      <c r="AG633" s="1082"/>
      <c r="AH633" s="1082"/>
      <c r="AI633" s="1082"/>
      <c r="AJ633" s="1082"/>
      <c r="AK633" s="1082"/>
      <c r="AL633" s="1082"/>
      <c r="AM633" s="1082"/>
      <c r="AN633" s="1082"/>
      <c r="AO633" s="1082"/>
      <c r="AP633" s="1082"/>
      <c r="AQ633" s="1082"/>
      <c r="AR633" s="1082"/>
      <c r="AS633" s="1082"/>
      <c r="AT633" s="1082"/>
      <c r="AU633" s="1082"/>
      <c r="AV633" s="1082"/>
      <c r="AW633" s="1082"/>
      <c r="AX633" s="1082"/>
      <c r="AY633" s="1082"/>
      <c r="AZ633" s="1082"/>
      <c r="BA633" s="1082"/>
      <c r="BB633" s="1082"/>
      <c r="BC633" s="1082"/>
      <c r="BD633" s="1082"/>
      <c r="BE633" s="1082"/>
      <c r="BF633" s="1082"/>
      <c r="BG633" s="1082"/>
      <c r="BH633" s="1082"/>
      <c r="BI633" s="1082"/>
      <c r="BJ633" s="1082"/>
      <c r="BK633" s="1082"/>
      <c r="BL633" s="1082"/>
      <c r="BM633" s="1082"/>
      <c r="BN633" s="1082"/>
      <c r="BO633" s="1082"/>
      <c r="BP633" s="1082"/>
      <c r="BQ633" s="1082"/>
      <c r="BR633" s="1082"/>
      <c r="BS633" s="1082"/>
      <c r="BT633" s="1082"/>
      <c r="BU633" s="1082"/>
      <c r="BV633" s="1082"/>
      <c r="BW633" s="1082"/>
      <c r="BX633" s="1082"/>
      <c r="BY633" s="1082"/>
      <c r="BZ633" s="1082"/>
      <c r="CA633" s="1082"/>
      <c r="CB633" s="1082"/>
      <c r="CC633" s="1082"/>
      <c r="CD633" s="1082"/>
      <c r="CE633" s="1082"/>
      <c r="CF633" s="1082"/>
      <c r="CG633" s="1082"/>
      <c r="CH633" s="1082"/>
      <c r="CI633" s="1082"/>
      <c r="CJ633" s="1082"/>
      <c r="CK633" s="1082"/>
      <c r="CL633" s="1082"/>
      <c r="CM633" s="1082"/>
      <c r="CN633" s="1082"/>
      <c r="CO633" s="1082"/>
      <c r="CP633" s="1082"/>
      <c r="CQ633" s="1082"/>
      <c r="CR633" s="1082"/>
      <c r="CS633" s="1082"/>
      <c r="CT633" s="1082"/>
      <c r="CU633" s="1082"/>
      <c r="CV633" s="1082"/>
      <c r="CW633" s="1082"/>
      <c r="CX633" s="1082"/>
      <c r="CY633" s="1082"/>
      <c r="CZ633" s="1082"/>
      <c r="DA633" s="1082"/>
      <c r="DB633" s="1082"/>
      <c r="DC633" s="1082"/>
      <c r="DD633" s="1082"/>
      <c r="DE633" s="1082"/>
      <c r="DF633" s="1082"/>
      <c r="DG633" s="1082"/>
      <c r="DH633" s="1082"/>
      <c r="DI633" s="1082"/>
      <c r="DJ633" s="1082"/>
      <c r="DK633" s="1082"/>
      <c r="DL633" s="1082"/>
      <c r="DM633" s="1082"/>
      <c r="DN633" s="1082"/>
      <c r="DO633" s="1082"/>
      <c r="DP633" s="1082"/>
      <c r="DQ633" s="1082"/>
      <c r="DR633" s="1082"/>
      <c r="DS633" s="1082"/>
      <c r="DT633" s="1082"/>
      <c r="DU633" s="1082"/>
      <c r="DV633" s="1082"/>
      <c r="DW633" s="1082"/>
      <c r="DX633" s="1082"/>
      <c r="DY633" s="1082"/>
      <c r="DZ633" s="1082"/>
      <c r="EA633" s="1082"/>
      <c r="EB633" s="1082"/>
      <c r="EC633" s="1082"/>
      <c r="ED633" s="1082"/>
      <c r="EE633" s="1082"/>
      <c r="EF633" s="1082"/>
      <c r="EG633" s="1082"/>
      <c r="EH633" s="1082"/>
      <c r="EI633" s="1082"/>
      <c r="EJ633" s="1082"/>
      <c r="EK633" s="1082"/>
      <c r="EL633" s="1082"/>
      <c r="EM633" s="1082"/>
      <c r="EN633" s="1082"/>
      <c r="EO633" s="1082"/>
      <c r="EP633" s="1082"/>
      <c r="EQ633" s="1082"/>
      <c r="ER633" s="1082"/>
      <c r="ES633" s="1082"/>
      <c r="ET633" s="1082"/>
      <c r="EU633" s="1082"/>
      <c r="EV633" s="1082"/>
      <c r="EW633" s="1082"/>
      <c r="EX633" s="1082"/>
      <c r="EY633" s="1082"/>
      <c r="EZ633" s="1082"/>
      <c r="FA633" s="1082"/>
      <c r="FB633" s="1082"/>
    </row>
    <row r="634" spans="1:159" s="1209" customFormat="1" ht="32.1" customHeight="1">
      <c r="A634" s="1603" t="s">
        <v>6852</v>
      </c>
      <c r="B634" s="1067" t="s">
        <v>6800</v>
      </c>
      <c r="C634" s="1431">
        <f t="shared" ref="C634:H634" si="152">AVERAGE(C635,C636)</f>
        <v>0.97916666666666707</v>
      </c>
      <c r="D634" s="1431">
        <f t="shared" si="152"/>
        <v>7.2916666666667004E-2</v>
      </c>
      <c r="E634" s="1431">
        <f t="shared" si="152"/>
        <v>1</v>
      </c>
      <c r="F634" s="1431">
        <f t="shared" si="152"/>
        <v>0.80937499999999973</v>
      </c>
      <c r="G634" s="1431">
        <f t="shared" si="152"/>
        <v>0.90937499999999982</v>
      </c>
      <c r="H634" s="1431">
        <f t="shared" si="152"/>
        <v>0.40312499999999973</v>
      </c>
      <c r="I634" s="1465" t="s">
        <v>5296</v>
      </c>
      <c r="J634" s="1233"/>
      <c r="K634" s="1208"/>
      <c r="L634" s="1208"/>
      <c r="M634" s="1208"/>
      <c r="N634" s="1208"/>
      <c r="O634" s="1208"/>
      <c r="P634" s="1208"/>
      <c r="Q634" s="1208"/>
      <c r="R634" s="1081"/>
      <c r="S634" s="1082"/>
      <c r="T634" s="1082"/>
      <c r="U634" s="1082"/>
      <c r="V634" s="1082"/>
      <c r="W634" s="1082"/>
      <c r="X634" s="1082"/>
      <c r="Y634" s="1082"/>
      <c r="Z634" s="1082"/>
      <c r="AA634" s="1082"/>
      <c r="AB634" s="1082"/>
      <c r="AC634" s="1082"/>
      <c r="AD634" s="1082"/>
      <c r="AE634" s="1082"/>
      <c r="AF634" s="1082"/>
      <c r="AG634" s="1082"/>
      <c r="AH634" s="1082"/>
      <c r="AI634" s="1082"/>
      <c r="AJ634" s="1082"/>
      <c r="AK634" s="1082"/>
      <c r="AL634" s="1082"/>
      <c r="AM634" s="1082"/>
      <c r="AN634" s="1082"/>
      <c r="AO634" s="1082"/>
      <c r="AP634" s="1082"/>
      <c r="AQ634" s="1082"/>
      <c r="AR634" s="1082"/>
      <c r="AS634" s="1082"/>
      <c r="AT634" s="1082"/>
      <c r="AU634" s="1082"/>
      <c r="AV634" s="1082"/>
      <c r="AW634" s="1082"/>
      <c r="AX634" s="1082"/>
      <c r="AY634" s="1082"/>
      <c r="AZ634" s="1082"/>
      <c r="BA634" s="1082"/>
      <c r="BB634" s="1082"/>
      <c r="BC634" s="1082"/>
      <c r="BD634" s="1082"/>
      <c r="BE634" s="1082"/>
      <c r="BF634" s="1082"/>
      <c r="BG634" s="1082"/>
      <c r="BH634" s="1082"/>
      <c r="BI634" s="1082"/>
      <c r="BJ634" s="1082"/>
      <c r="BK634" s="1082"/>
      <c r="BL634" s="1082"/>
      <c r="BM634" s="1082"/>
      <c r="BN634" s="1082"/>
      <c r="BO634" s="1082"/>
      <c r="BP634" s="1082"/>
      <c r="BQ634" s="1082"/>
      <c r="BR634" s="1082"/>
      <c r="BS634" s="1082"/>
      <c r="BT634" s="1082"/>
      <c r="BU634" s="1082"/>
      <c r="BV634" s="1082"/>
      <c r="BW634" s="1082"/>
      <c r="BX634" s="1082"/>
      <c r="BY634" s="1082"/>
      <c r="BZ634" s="1082"/>
      <c r="CA634" s="1082"/>
      <c r="CB634" s="1082"/>
      <c r="CC634" s="1082"/>
      <c r="CD634" s="1082"/>
      <c r="CE634" s="1082"/>
      <c r="CF634" s="1082"/>
      <c r="CG634" s="1082"/>
      <c r="CH634" s="1082"/>
      <c r="CI634" s="1082"/>
      <c r="CJ634" s="1082"/>
      <c r="CK634" s="1082"/>
      <c r="CL634" s="1082"/>
      <c r="CM634" s="1082"/>
      <c r="CN634" s="1082"/>
      <c r="CO634" s="1082"/>
      <c r="CP634" s="1082"/>
      <c r="CQ634" s="1082"/>
      <c r="CR634" s="1082"/>
      <c r="CS634" s="1082"/>
      <c r="CT634" s="1082"/>
      <c r="CU634" s="1082"/>
      <c r="CV634" s="1082"/>
      <c r="CW634" s="1082"/>
      <c r="CX634" s="1082"/>
      <c r="CY634" s="1082"/>
      <c r="CZ634" s="1082"/>
      <c r="DA634" s="1082"/>
      <c r="DB634" s="1082"/>
      <c r="DC634" s="1082"/>
      <c r="DD634" s="1082"/>
      <c r="DE634" s="1082"/>
      <c r="DF634" s="1082"/>
      <c r="DG634" s="1082"/>
      <c r="DH634" s="1082"/>
      <c r="DI634" s="1082"/>
      <c r="DJ634" s="1082"/>
      <c r="DK634" s="1082"/>
      <c r="DL634" s="1082"/>
      <c r="DM634" s="1082"/>
      <c r="DN634" s="1082"/>
      <c r="DO634" s="1082"/>
      <c r="DP634" s="1082"/>
      <c r="DQ634" s="1082"/>
      <c r="DR634" s="1082"/>
      <c r="DS634" s="1082"/>
      <c r="DT634" s="1082"/>
      <c r="DU634" s="1082"/>
      <c r="DV634" s="1082"/>
      <c r="DW634" s="1082"/>
      <c r="DX634" s="1082"/>
      <c r="DY634" s="1082"/>
      <c r="DZ634" s="1082"/>
      <c r="EA634" s="1082"/>
      <c r="EB634" s="1082"/>
      <c r="EC634" s="1082"/>
      <c r="ED634" s="1082"/>
      <c r="EE634" s="1082"/>
      <c r="EF634" s="1082"/>
      <c r="EG634" s="1082"/>
      <c r="EH634" s="1082"/>
      <c r="EI634" s="1082"/>
      <c r="EJ634" s="1082"/>
      <c r="EK634" s="1082"/>
      <c r="EL634" s="1082"/>
      <c r="EM634" s="1082"/>
      <c r="EN634" s="1082"/>
      <c r="EO634" s="1082"/>
      <c r="EP634" s="1082"/>
      <c r="EQ634" s="1082"/>
      <c r="ER634" s="1082"/>
      <c r="ES634" s="1082"/>
      <c r="ET634" s="1082"/>
      <c r="EU634" s="1082"/>
      <c r="EV634" s="1082"/>
      <c r="EW634" s="1082"/>
      <c r="EX634" s="1082"/>
      <c r="EY634" s="1082"/>
      <c r="EZ634" s="1082"/>
      <c r="FA634" s="1082"/>
      <c r="FB634" s="1082"/>
    </row>
    <row r="635" spans="1:159" s="1226" customFormat="1" ht="32.1" customHeight="1">
      <c r="A635" s="1223"/>
      <c r="B635" s="1234" t="s">
        <v>5305</v>
      </c>
      <c r="C635" s="1430">
        <f t="shared" ref="C635:H636" si="153">IF(J635&gt;$P635,1,IF(J635&lt;$Q635,0,(J635-$Q635)/($P635-$Q635)))</f>
        <v>0.95833333333333415</v>
      </c>
      <c r="D635" s="1430">
        <f t="shared" si="153"/>
        <v>0.14583333333333401</v>
      </c>
      <c r="E635" s="1430">
        <f t="shared" si="153"/>
        <v>1</v>
      </c>
      <c r="F635" s="1430">
        <f t="shared" si="153"/>
        <v>1</v>
      </c>
      <c r="G635" s="1430">
        <f t="shared" si="153"/>
        <v>1</v>
      </c>
      <c r="H635" s="1430">
        <f t="shared" si="153"/>
        <v>0</v>
      </c>
      <c r="I635" s="1195" t="s">
        <v>5295</v>
      </c>
      <c r="J635" s="1532">
        <v>96.2</v>
      </c>
      <c r="K635" s="1532">
        <v>88.4</v>
      </c>
      <c r="L635" s="1532">
        <v>99.7</v>
      </c>
      <c r="M635" s="1532">
        <v>100</v>
      </c>
      <c r="N635" s="1532">
        <v>100</v>
      </c>
      <c r="O635" s="1532">
        <v>87</v>
      </c>
      <c r="P635" s="1532">
        <v>96.6</v>
      </c>
      <c r="Q635" s="1532">
        <v>87</v>
      </c>
      <c r="R635" s="1081"/>
      <c r="S635" s="1082"/>
      <c r="T635" s="1082"/>
      <c r="U635" s="1082"/>
      <c r="V635" s="1082"/>
      <c r="W635" s="1082"/>
      <c r="X635" s="1082"/>
      <c r="Y635" s="1082"/>
      <c r="Z635" s="1082"/>
      <c r="AA635" s="1082"/>
      <c r="AB635" s="1082"/>
      <c r="AC635" s="1082"/>
      <c r="AD635" s="1082"/>
      <c r="AE635" s="1082"/>
      <c r="AF635" s="1082"/>
      <c r="AG635" s="1082"/>
      <c r="AH635" s="1082"/>
      <c r="AI635" s="1082"/>
      <c r="AJ635" s="1082"/>
      <c r="AK635" s="1082"/>
      <c r="AL635" s="1082"/>
      <c r="AM635" s="1082"/>
      <c r="AN635" s="1082"/>
      <c r="AO635" s="1082"/>
      <c r="AP635" s="1082"/>
      <c r="AQ635" s="1082"/>
      <c r="AR635" s="1082"/>
      <c r="AS635" s="1082"/>
      <c r="AT635" s="1082"/>
      <c r="AU635" s="1082"/>
      <c r="AV635" s="1082"/>
      <c r="AW635" s="1082"/>
      <c r="AX635" s="1082"/>
      <c r="AY635" s="1082"/>
      <c r="AZ635" s="1082"/>
      <c r="BA635" s="1082"/>
      <c r="BB635" s="1082"/>
      <c r="BC635" s="1082"/>
      <c r="BD635" s="1082"/>
      <c r="BE635" s="1082"/>
      <c r="BF635" s="1082"/>
      <c r="BG635" s="1082"/>
      <c r="BH635" s="1082"/>
      <c r="BI635" s="1082"/>
      <c r="BJ635" s="1082"/>
      <c r="BK635" s="1082"/>
      <c r="BL635" s="1082"/>
      <c r="BM635" s="1082"/>
      <c r="BN635" s="1082"/>
      <c r="BO635" s="1082"/>
      <c r="BP635" s="1082"/>
      <c r="BQ635" s="1082"/>
      <c r="BR635" s="1082"/>
      <c r="BS635" s="1082"/>
      <c r="BT635" s="1082"/>
      <c r="BU635" s="1082"/>
      <c r="BV635" s="1082"/>
      <c r="BW635" s="1082"/>
      <c r="BX635" s="1082"/>
      <c r="BY635" s="1082"/>
      <c r="BZ635" s="1082"/>
      <c r="CA635" s="1082"/>
      <c r="CB635" s="1082"/>
      <c r="CC635" s="1082"/>
      <c r="CD635" s="1082"/>
      <c r="CE635" s="1082"/>
      <c r="CF635" s="1082"/>
      <c r="CG635" s="1082"/>
      <c r="CH635" s="1082"/>
      <c r="CI635" s="1082"/>
      <c r="CJ635" s="1082"/>
      <c r="CK635" s="1082"/>
      <c r="CL635" s="1082"/>
      <c r="CM635" s="1082"/>
      <c r="CN635" s="1082"/>
      <c r="CO635" s="1082"/>
      <c r="CP635" s="1082"/>
      <c r="CQ635" s="1082"/>
      <c r="CR635" s="1082"/>
      <c r="CS635" s="1082"/>
      <c r="CT635" s="1082"/>
      <c r="CU635" s="1082"/>
      <c r="CV635" s="1082"/>
      <c r="CW635" s="1082"/>
      <c r="CX635" s="1082"/>
      <c r="CY635" s="1082"/>
      <c r="CZ635" s="1082"/>
      <c r="DA635" s="1082"/>
      <c r="DB635" s="1082"/>
      <c r="DC635" s="1082"/>
      <c r="DD635" s="1082"/>
      <c r="DE635" s="1082"/>
      <c r="DF635" s="1082"/>
      <c r="DG635" s="1082"/>
      <c r="DH635" s="1082"/>
      <c r="DI635" s="1082"/>
      <c r="DJ635" s="1082"/>
      <c r="DK635" s="1082"/>
      <c r="DL635" s="1082"/>
      <c r="DM635" s="1082"/>
      <c r="DN635" s="1082"/>
      <c r="DO635" s="1082"/>
      <c r="DP635" s="1082"/>
      <c r="DQ635" s="1082"/>
      <c r="DR635" s="1082"/>
      <c r="DS635" s="1082"/>
      <c r="DT635" s="1082"/>
      <c r="DU635" s="1082"/>
      <c r="DV635" s="1082"/>
      <c r="DW635" s="1082"/>
      <c r="DX635" s="1082"/>
      <c r="DY635" s="1082"/>
      <c r="DZ635" s="1082"/>
      <c r="EA635" s="1082"/>
      <c r="EB635" s="1082"/>
      <c r="EC635" s="1082"/>
      <c r="ED635" s="1082"/>
      <c r="EE635" s="1082"/>
      <c r="EF635" s="1082"/>
      <c r="EG635" s="1082"/>
      <c r="EH635" s="1082"/>
      <c r="EI635" s="1082"/>
      <c r="EJ635" s="1082"/>
      <c r="EK635" s="1082"/>
      <c r="EL635" s="1082"/>
      <c r="EM635" s="1082"/>
      <c r="EN635" s="1082"/>
      <c r="EO635" s="1082"/>
      <c r="EP635" s="1082"/>
      <c r="EQ635" s="1082"/>
      <c r="ER635" s="1082"/>
      <c r="ES635" s="1082"/>
      <c r="ET635" s="1082"/>
      <c r="EU635" s="1082"/>
      <c r="EV635" s="1082"/>
      <c r="EW635" s="1082"/>
      <c r="EX635" s="1082"/>
      <c r="EY635" s="1082"/>
      <c r="EZ635" s="1082"/>
      <c r="FA635" s="1082"/>
      <c r="FB635" s="1082"/>
      <c r="FC635" s="1225"/>
    </row>
    <row r="636" spans="1:159" s="1226" customFormat="1" ht="32.1" customHeight="1">
      <c r="A636" s="1223"/>
      <c r="B636" s="1224" t="s">
        <v>5306</v>
      </c>
      <c r="C636" s="1430">
        <f>IF(J636&gt;$P636,1,IF(J636&lt;$Q636,0,(J636-$Q636)/($P636-$Q636)))</f>
        <v>1</v>
      </c>
      <c r="D636" s="1430">
        <f t="shared" si="153"/>
        <v>0</v>
      </c>
      <c r="E636" s="1430">
        <f t="shared" si="153"/>
        <v>1</v>
      </c>
      <c r="F636" s="1430">
        <f t="shared" si="153"/>
        <v>0.61874999999999947</v>
      </c>
      <c r="G636" s="1430">
        <f t="shared" si="153"/>
        <v>0.81874999999999964</v>
      </c>
      <c r="H636" s="1430">
        <f t="shared" si="153"/>
        <v>0.80624999999999947</v>
      </c>
      <c r="I636" s="1195" t="s">
        <v>5295</v>
      </c>
      <c r="J636" s="1532">
        <v>95.9</v>
      </c>
      <c r="K636" s="1532">
        <v>76.400000000000006</v>
      </c>
      <c r="L636" s="1532">
        <v>94.3</v>
      </c>
      <c r="M636" s="1532">
        <v>86.3</v>
      </c>
      <c r="N636" s="1532">
        <v>89.5</v>
      </c>
      <c r="O636" s="1532">
        <v>89.3</v>
      </c>
      <c r="P636" s="1532">
        <v>92.4</v>
      </c>
      <c r="Q636" s="1532">
        <v>76.400000000000006</v>
      </c>
      <c r="R636" s="1081"/>
      <c r="S636" s="1082"/>
      <c r="T636" s="1082"/>
      <c r="U636" s="1082"/>
      <c r="V636" s="1082"/>
      <c r="W636" s="1082"/>
      <c r="X636" s="1082"/>
      <c r="Y636" s="1082"/>
      <c r="Z636" s="1082"/>
      <c r="AA636" s="1082"/>
      <c r="AB636" s="1082"/>
      <c r="AC636" s="1082"/>
      <c r="AD636" s="1082"/>
      <c r="AE636" s="1082"/>
      <c r="AF636" s="1082"/>
      <c r="AG636" s="1082"/>
      <c r="AH636" s="1082"/>
      <c r="AI636" s="1082"/>
      <c r="AJ636" s="1082"/>
      <c r="AK636" s="1082"/>
      <c r="AL636" s="1082"/>
      <c r="AM636" s="1082"/>
      <c r="AN636" s="1082"/>
      <c r="AO636" s="1082"/>
      <c r="AP636" s="1082"/>
      <c r="AQ636" s="1082"/>
      <c r="AR636" s="1082"/>
      <c r="AS636" s="1082"/>
      <c r="AT636" s="1082"/>
      <c r="AU636" s="1082"/>
      <c r="AV636" s="1082"/>
      <c r="AW636" s="1082"/>
      <c r="AX636" s="1082"/>
      <c r="AY636" s="1082"/>
      <c r="AZ636" s="1082"/>
      <c r="BA636" s="1082"/>
      <c r="BB636" s="1082"/>
      <c r="BC636" s="1082"/>
      <c r="BD636" s="1082"/>
      <c r="BE636" s="1082"/>
      <c r="BF636" s="1082"/>
      <c r="BG636" s="1082"/>
      <c r="BH636" s="1082"/>
      <c r="BI636" s="1082"/>
      <c r="BJ636" s="1082"/>
      <c r="BK636" s="1082"/>
      <c r="BL636" s="1082"/>
      <c r="BM636" s="1082"/>
      <c r="BN636" s="1082"/>
      <c r="BO636" s="1082"/>
      <c r="BP636" s="1082"/>
      <c r="BQ636" s="1082"/>
      <c r="BR636" s="1082"/>
      <c r="BS636" s="1082"/>
      <c r="BT636" s="1082"/>
      <c r="BU636" s="1082"/>
      <c r="BV636" s="1082"/>
      <c r="BW636" s="1082"/>
      <c r="BX636" s="1082"/>
      <c r="BY636" s="1082"/>
      <c r="BZ636" s="1082"/>
      <c r="CA636" s="1082"/>
      <c r="CB636" s="1082"/>
      <c r="CC636" s="1082"/>
      <c r="CD636" s="1082"/>
      <c r="CE636" s="1082"/>
      <c r="CF636" s="1082"/>
      <c r="CG636" s="1082"/>
      <c r="CH636" s="1082"/>
      <c r="CI636" s="1082"/>
      <c r="CJ636" s="1082"/>
      <c r="CK636" s="1082"/>
      <c r="CL636" s="1082"/>
      <c r="CM636" s="1082"/>
      <c r="CN636" s="1082"/>
      <c r="CO636" s="1082"/>
      <c r="CP636" s="1082"/>
      <c r="CQ636" s="1082"/>
      <c r="CR636" s="1082"/>
      <c r="CS636" s="1082"/>
      <c r="CT636" s="1082"/>
      <c r="CU636" s="1082"/>
      <c r="CV636" s="1082"/>
      <c r="CW636" s="1082"/>
      <c r="CX636" s="1082"/>
      <c r="CY636" s="1082"/>
      <c r="CZ636" s="1082"/>
      <c r="DA636" s="1082"/>
      <c r="DB636" s="1082"/>
      <c r="DC636" s="1082"/>
      <c r="DD636" s="1082"/>
      <c r="DE636" s="1082"/>
      <c r="DF636" s="1082"/>
      <c r="DG636" s="1082"/>
      <c r="DH636" s="1082"/>
      <c r="DI636" s="1082"/>
      <c r="DJ636" s="1082"/>
      <c r="DK636" s="1082"/>
      <c r="DL636" s="1082"/>
      <c r="DM636" s="1082"/>
      <c r="DN636" s="1082"/>
      <c r="DO636" s="1082"/>
      <c r="DP636" s="1082"/>
      <c r="DQ636" s="1082"/>
      <c r="DR636" s="1082"/>
      <c r="DS636" s="1082"/>
      <c r="DT636" s="1082"/>
      <c r="DU636" s="1082"/>
      <c r="DV636" s="1082"/>
      <c r="DW636" s="1082"/>
      <c r="DX636" s="1082"/>
      <c r="DY636" s="1082"/>
      <c r="DZ636" s="1082"/>
      <c r="EA636" s="1082"/>
      <c r="EB636" s="1082"/>
      <c r="EC636" s="1082"/>
      <c r="ED636" s="1082"/>
      <c r="EE636" s="1082"/>
      <c r="EF636" s="1082"/>
      <c r="EG636" s="1082"/>
      <c r="EH636" s="1082"/>
      <c r="EI636" s="1082"/>
      <c r="EJ636" s="1082"/>
      <c r="EK636" s="1082"/>
      <c r="EL636" s="1082"/>
      <c r="EM636" s="1082"/>
      <c r="EN636" s="1082"/>
      <c r="EO636" s="1082"/>
      <c r="EP636" s="1082"/>
      <c r="EQ636" s="1082"/>
      <c r="ER636" s="1082"/>
      <c r="ES636" s="1082"/>
      <c r="ET636" s="1082"/>
      <c r="EU636" s="1082"/>
      <c r="EV636" s="1082"/>
      <c r="EW636" s="1082"/>
      <c r="EX636" s="1082"/>
      <c r="EY636" s="1082"/>
      <c r="EZ636" s="1082"/>
      <c r="FA636" s="1082"/>
      <c r="FB636" s="1082"/>
      <c r="FC636" s="1225"/>
    </row>
    <row r="637" spans="1:159" s="1209" customFormat="1" ht="32.1" customHeight="1">
      <c r="A637" s="1603" t="s">
        <v>6853</v>
      </c>
      <c r="B637" s="1067" t="s">
        <v>5322</v>
      </c>
      <c r="C637" s="1431">
        <f>AVERAGE(C638:C642)</f>
        <v>0.8</v>
      </c>
      <c r="D637" s="1431">
        <f t="shared" ref="D637:H637" si="154">AVERAGE(D638:D642)</f>
        <v>0.60962566844919786</v>
      </c>
      <c r="E637" s="1431">
        <f t="shared" si="154"/>
        <v>0.8</v>
      </c>
      <c r="F637" s="1431">
        <f t="shared" si="154"/>
        <v>0.91600000000000004</v>
      </c>
      <c r="G637" s="1431">
        <f t="shared" si="154"/>
        <v>0.7824817518248175</v>
      </c>
      <c r="H637" s="1431">
        <f t="shared" si="154"/>
        <v>1</v>
      </c>
      <c r="I637" s="1465" t="s">
        <v>5296</v>
      </c>
      <c r="J637" s="1207"/>
      <c r="K637" s="1208"/>
      <c r="L637" s="1208"/>
      <c r="M637" s="1208"/>
      <c r="N637" s="1208"/>
      <c r="O637" s="1208"/>
      <c r="P637" s="1208"/>
      <c r="Q637" s="1208"/>
      <c r="R637" s="1081"/>
      <c r="S637" s="1082"/>
      <c r="T637" s="1082"/>
      <c r="U637" s="1082"/>
      <c r="V637" s="1082"/>
      <c r="W637" s="1082"/>
      <c r="X637" s="1082"/>
      <c r="Y637" s="1082"/>
      <c r="Z637" s="1082"/>
      <c r="AA637" s="1082"/>
      <c r="AB637" s="1082"/>
      <c r="AC637" s="1082"/>
      <c r="AD637" s="1082"/>
      <c r="AE637" s="1082"/>
      <c r="AF637" s="1082"/>
      <c r="AG637" s="1082"/>
      <c r="AH637" s="1082"/>
      <c r="AI637" s="1082"/>
      <c r="AJ637" s="1082"/>
      <c r="AK637" s="1082"/>
      <c r="AL637" s="1082"/>
      <c r="AM637" s="1082"/>
      <c r="AN637" s="1082"/>
      <c r="AO637" s="1082"/>
      <c r="AP637" s="1082"/>
      <c r="AQ637" s="1082"/>
      <c r="AR637" s="1082"/>
      <c r="AS637" s="1082"/>
      <c r="AT637" s="1082"/>
      <c r="AU637" s="1082"/>
      <c r="AV637" s="1082"/>
      <c r="AW637" s="1082"/>
      <c r="AX637" s="1082"/>
      <c r="AY637" s="1082"/>
      <c r="AZ637" s="1082"/>
      <c r="BA637" s="1082"/>
      <c r="BB637" s="1082"/>
      <c r="BC637" s="1082"/>
      <c r="BD637" s="1082"/>
      <c r="BE637" s="1082"/>
      <c r="BF637" s="1082"/>
      <c r="BG637" s="1082"/>
      <c r="BH637" s="1082"/>
      <c r="BI637" s="1082"/>
      <c r="BJ637" s="1082"/>
      <c r="BK637" s="1082"/>
      <c r="BL637" s="1082"/>
      <c r="BM637" s="1082"/>
      <c r="BN637" s="1082"/>
      <c r="BO637" s="1082"/>
      <c r="BP637" s="1082"/>
      <c r="BQ637" s="1082"/>
      <c r="BR637" s="1082"/>
      <c r="BS637" s="1082"/>
      <c r="BT637" s="1082"/>
      <c r="BU637" s="1082"/>
      <c r="BV637" s="1082"/>
      <c r="BW637" s="1082"/>
      <c r="BX637" s="1082"/>
      <c r="BY637" s="1082"/>
      <c r="BZ637" s="1082"/>
      <c r="CA637" s="1082"/>
      <c r="CB637" s="1082"/>
      <c r="CC637" s="1082"/>
      <c r="CD637" s="1082"/>
      <c r="CE637" s="1082"/>
      <c r="CF637" s="1082"/>
      <c r="CG637" s="1082"/>
      <c r="CH637" s="1082"/>
      <c r="CI637" s="1082"/>
      <c r="CJ637" s="1082"/>
      <c r="CK637" s="1082"/>
      <c r="CL637" s="1082"/>
      <c r="CM637" s="1082"/>
      <c r="CN637" s="1082"/>
      <c r="CO637" s="1082"/>
      <c r="CP637" s="1082"/>
      <c r="CQ637" s="1082"/>
      <c r="CR637" s="1082"/>
      <c r="CS637" s="1082"/>
      <c r="CT637" s="1082"/>
      <c r="CU637" s="1082"/>
      <c r="CV637" s="1082"/>
      <c r="CW637" s="1082"/>
      <c r="CX637" s="1082"/>
      <c r="CY637" s="1082"/>
      <c r="CZ637" s="1082"/>
      <c r="DA637" s="1082"/>
      <c r="DB637" s="1082"/>
      <c r="DC637" s="1082"/>
      <c r="DD637" s="1082"/>
      <c r="DE637" s="1082"/>
      <c r="DF637" s="1082"/>
      <c r="DG637" s="1082"/>
      <c r="DH637" s="1082"/>
      <c r="DI637" s="1082"/>
      <c r="DJ637" s="1082"/>
      <c r="DK637" s="1082"/>
      <c r="DL637" s="1082"/>
      <c r="DM637" s="1082"/>
      <c r="DN637" s="1082"/>
      <c r="DO637" s="1082"/>
      <c r="DP637" s="1082"/>
      <c r="DQ637" s="1082"/>
      <c r="DR637" s="1082"/>
      <c r="DS637" s="1082"/>
      <c r="DT637" s="1082"/>
      <c r="DU637" s="1082"/>
      <c r="DV637" s="1082"/>
      <c r="DW637" s="1082"/>
      <c r="DX637" s="1082"/>
      <c r="DY637" s="1082"/>
      <c r="DZ637" s="1082"/>
      <c r="EA637" s="1082"/>
      <c r="EB637" s="1082"/>
      <c r="EC637" s="1082"/>
      <c r="ED637" s="1082"/>
      <c r="EE637" s="1082"/>
      <c r="EF637" s="1082"/>
      <c r="EG637" s="1082"/>
      <c r="EH637" s="1082"/>
      <c r="EI637" s="1082"/>
      <c r="EJ637" s="1082"/>
      <c r="EK637" s="1082"/>
      <c r="EL637" s="1082"/>
      <c r="EM637" s="1082"/>
      <c r="EN637" s="1082"/>
      <c r="EO637" s="1082"/>
      <c r="EP637" s="1082"/>
      <c r="EQ637" s="1082"/>
      <c r="ER637" s="1082"/>
      <c r="ES637" s="1082"/>
      <c r="ET637" s="1082"/>
      <c r="EU637" s="1082"/>
      <c r="EV637" s="1082"/>
      <c r="EW637" s="1082"/>
      <c r="EX637" s="1082"/>
      <c r="EY637" s="1082"/>
      <c r="EZ637" s="1082"/>
      <c r="FA637" s="1082"/>
      <c r="FB637" s="1082"/>
    </row>
    <row r="638" spans="1:159" s="1222" customFormat="1" ht="32.1" customHeight="1">
      <c r="A638" s="1217"/>
      <c r="B638" s="1235" t="s">
        <v>6801</v>
      </c>
      <c r="C638" s="1429">
        <f>IF(J638&lt;$P638,1,IF(J638&gt;$Q638,0,(J638-$Q638)/($P638-$Q638)))</f>
        <v>1</v>
      </c>
      <c r="D638" s="1429">
        <f t="shared" ref="D638:H639" si="155">IF(K638&lt;$P638,1,IF(K638&gt;$Q638,0,(K638-$Q638)/($P638-$Q638)))</f>
        <v>1</v>
      </c>
      <c r="E638" s="1429">
        <f t="shared" si="155"/>
        <v>0</v>
      </c>
      <c r="F638" s="1429">
        <f t="shared" si="155"/>
        <v>1</v>
      </c>
      <c r="G638" s="1429">
        <f t="shared" si="155"/>
        <v>1</v>
      </c>
      <c r="H638" s="1429">
        <f t="shared" si="155"/>
        <v>1</v>
      </c>
      <c r="I638" s="1195" t="s">
        <v>5295</v>
      </c>
      <c r="J638" s="1620">
        <v>12.5</v>
      </c>
      <c r="K638" s="1620">
        <v>7.68</v>
      </c>
      <c r="L638" s="1620">
        <v>17.489999999999998</v>
      </c>
      <c r="M638" s="1620">
        <v>6.77</v>
      </c>
      <c r="N638" s="1620">
        <v>11.09</v>
      </c>
      <c r="O638" s="1620">
        <v>9.17</v>
      </c>
      <c r="P638" s="1620">
        <v>15.3</v>
      </c>
      <c r="Q638" s="1620">
        <v>17.489999999999998</v>
      </c>
      <c r="R638" s="1219"/>
      <c r="S638" s="1220"/>
      <c r="T638" s="1220"/>
      <c r="U638" s="1220"/>
      <c r="V638" s="1220"/>
      <c r="W638" s="1220"/>
      <c r="X638" s="1220"/>
      <c r="Y638" s="1220"/>
      <c r="Z638" s="1220"/>
      <c r="AA638" s="1220"/>
      <c r="AB638" s="1220"/>
      <c r="AC638" s="1220"/>
      <c r="AD638" s="1220"/>
      <c r="AE638" s="1220"/>
      <c r="AF638" s="1220"/>
      <c r="AG638" s="1220"/>
      <c r="AH638" s="1220"/>
      <c r="AI638" s="1220"/>
      <c r="AJ638" s="1220"/>
      <c r="AK638" s="1220"/>
      <c r="AL638" s="1220"/>
      <c r="AM638" s="1220"/>
      <c r="AN638" s="1220"/>
      <c r="AO638" s="1220"/>
      <c r="AP638" s="1220"/>
      <c r="AQ638" s="1220"/>
      <c r="AR638" s="1220"/>
      <c r="AS638" s="1220"/>
      <c r="AT638" s="1220"/>
      <c r="AU638" s="1220"/>
      <c r="AV638" s="1220"/>
      <c r="AW638" s="1220"/>
      <c r="AX638" s="1220"/>
      <c r="AY638" s="1220"/>
      <c r="AZ638" s="1220"/>
      <c r="BA638" s="1220"/>
      <c r="BB638" s="1220"/>
      <c r="BC638" s="1220"/>
      <c r="BD638" s="1220"/>
      <c r="BE638" s="1220"/>
      <c r="BF638" s="1220"/>
      <c r="BG638" s="1220"/>
      <c r="BH638" s="1220"/>
      <c r="BI638" s="1220"/>
      <c r="BJ638" s="1220"/>
      <c r="BK638" s="1220"/>
      <c r="BL638" s="1220"/>
      <c r="BM638" s="1220"/>
      <c r="BN638" s="1220"/>
      <c r="BO638" s="1220"/>
      <c r="BP638" s="1220"/>
      <c r="BQ638" s="1220"/>
      <c r="BR638" s="1220"/>
      <c r="BS638" s="1220"/>
      <c r="BT638" s="1220"/>
      <c r="BU638" s="1220"/>
      <c r="BV638" s="1220"/>
      <c r="BW638" s="1220"/>
      <c r="BX638" s="1220"/>
      <c r="BY638" s="1220"/>
      <c r="BZ638" s="1220"/>
      <c r="CA638" s="1220"/>
      <c r="CB638" s="1220"/>
      <c r="CC638" s="1220"/>
      <c r="CD638" s="1220"/>
      <c r="CE638" s="1220"/>
      <c r="CF638" s="1220"/>
      <c r="CG638" s="1220"/>
      <c r="CH638" s="1220"/>
      <c r="CI638" s="1220"/>
      <c r="CJ638" s="1220"/>
      <c r="CK638" s="1220"/>
      <c r="CL638" s="1220"/>
      <c r="CM638" s="1220"/>
      <c r="CN638" s="1220"/>
      <c r="CO638" s="1220"/>
      <c r="CP638" s="1220"/>
      <c r="CQ638" s="1220"/>
      <c r="CR638" s="1220"/>
      <c r="CS638" s="1220"/>
      <c r="CT638" s="1220"/>
      <c r="CU638" s="1220"/>
      <c r="CV638" s="1220"/>
      <c r="CW638" s="1220"/>
      <c r="CX638" s="1220"/>
      <c r="CY638" s="1220"/>
      <c r="CZ638" s="1220"/>
      <c r="DA638" s="1220"/>
      <c r="DB638" s="1220"/>
      <c r="DC638" s="1220"/>
      <c r="DD638" s="1220"/>
      <c r="DE638" s="1220"/>
      <c r="DF638" s="1220"/>
      <c r="DG638" s="1220"/>
      <c r="DH638" s="1220"/>
      <c r="DI638" s="1220"/>
      <c r="DJ638" s="1220"/>
      <c r="DK638" s="1220"/>
      <c r="DL638" s="1220"/>
      <c r="DM638" s="1220"/>
      <c r="DN638" s="1220"/>
      <c r="DO638" s="1220"/>
      <c r="DP638" s="1220"/>
      <c r="DQ638" s="1220"/>
      <c r="DR638" s="1220"/>
      <c r="DS638" s="1220"/>
      <c r="DT638" s="1220"/>
      <c r="DU638" s="1220"/>
      <c r="DV638" s="1220"/>
      <c r="DW638" s="1220"/>
      <c r="DX638" s="1220"/>
      <c r="DY638" s="1220"/>
      <c r="DZ638" s="1220"/>
      <c r="EA638" s="1220"/>
      <c r="EB638" s="1220"/>
      <c r="EC638" s="1220"/>
      <c r="ED638" s="1220"/>
      <c r="EE638" s="1220"/>
      <c r="EF638" s="1220"/>
      <c r="EG638" s="1220"/>
      <c r="EH638" s="1220"/>
      <c r="EI638" s="1220"/>
      <c r="EJ638" s="1220"/>
      <c r="EK638" s="1220"/>
      <c r="EL638" s="1220"/>
      <c r="EM638" s="1220"/>
      <c r="EN638" s="1220"/>
      <c r="EO638" s="1220"/>
      <c r="EP638" s="1220"/>
      <c r="EQ638" s="1220"/>
      <c r="ER638" s="1220"/>
      <c r="ES638" s="1220"/>
      <c r="ET638" s="1220"/>
      <c r="EU638" s="1220"/>
      <c r="EV638" s="1220"/>
      <c r="EW638" s="1220"/>
      <c r="EX638" s="1220"/>
      <c r="EY638" s="1220"/>
      <c r="EZ638" s="1220"/>
      <c r="FA638" s="1220"/>
      <c r="FB638" s="1220"/>
      <c r="FC638" s="1221"/>
    </row>
    <row r="639" spans="1:159" s="1222" customFormat="1" ht="32.1" customHeight="1">
      <c r="A639" s="1217"/>
      <c r="B639" s="1236" t="s">
        <v>5307</v>
      </c>
      <c r="C639" s="1534">
        <f>IF(J639&lt;$P639,1,IF(J639&gt;$Q639,0,(J639-$Q639)/($P639-$Q639)))</f>
        <v>0</v>
      </c>
      <c r="D639" s="1534">
        <f t="shared" si="155"/>
        <v>4.8128342245989601E-2</v>
      </c>
      <c r="E639" s="1534">
        <f t="shared" si="155"/>
        <v>1</v>
      </c>
      <c r="F639" s="1534">
        <f t="shared" si="155"/>
        <v>1</v>
      </c>
      <c r="G639" s="1534">
        <f t="shared" si="155"/>
        <v>1</v>
      </c>
      <c r="H639" s="1534">
        <f t="shared" si="155"/>
        <v>1</v>
      </c>
      <c r="I639" s="1195" t="s">
        <v>5295</v>
      </c>
      <c r="J639" s="1536">
        <v>56.2</v>
      </c>
      <c r="K639" s="1536">
        <v>55.3</v>
      </c>
      <c r="L639" s="1536">
        <v>27.9</v>
      </c>
      <c r="M639" s="1536">
        <v>6.6</v>
      </c>
      <c r="N639" s="1536">
        <v>15.7</v>
      </c>
      <c r="O639" s="1536">
        <v>23.3</v>
      </c>
      <c r="P639" s="1536">
        <v>37.5</v>
      </c>
      <c r="Q639" s="1536">
        <v>56.2</v>
      </c>
      <c r="R639" s="1219"/>
      <c r="S639" s="1220"/>
      <c r="T639" s="1220"/>
      <c r="U639" s="1220"/>
      <c r="V639" s="1220"/>
      <c r="W639" s="1220"/>
      <c r="X639" s="1220"/>
      <c r="Y639" s="1220"/>
      <c r="Z639" s="1220"/>
      <c r="AA639" s="1220"/>
      <c r="AB639" s="1220"/>
      <c r="AC639" s="1220"/>
      <c r="AD639" s="1220"/>
      <c r="AE639" s="1220"/>
      <c r="AF639" s="1220"/>
      <c r="AG639" s="1220"/>
      <c r="AH639" s="1220"/>
      <c r="AI639" s="1220"/>
      <c r="AJ639" s="1220"/>
      <c r="AK639" s="1220"/>
      <c r="AL639" s="1220"/>
      <c r="AM639" s="1220"/>
      <c r="AN639" s="1220"/>
      <c r="AO639" s="1220"/>
      <c r="AP639" s="1220"/>
      <c r="AQ639" s="1220"/>
      <c r="AR639" s="1220"/>
      <c r="AS639" s="1220"/>
      <c r="AT639" s="1220"/>
      <c r="AU639" s="1220"/>
      <c r="AV639" s="1220"/>
      <c r="AW639" s="1220"/>
      <c r="AX639" s="1220"/>
      <c r="AY639" s="1220"/>
      <c r="AZ639" s="1220"/>
      <c r="BA639" s="1220"/>
      <c r="BB639" s="1220"/>
      <c r="BC639" s="1220"/>
      <c r="BD639" s="1220"/>
      <c r="BE639" s="1220"/>
      <c r="BF639" s="1220"/>
      <c r="BG639" s="1220"/>
      <c r="BH639" s="1220"/>
      <c r="BI639" s="1220"/>
      <c r="BJ639" s="1220"/>
      <c r="BK639" s="1220"/>
      <c r="BL639" s="1220"/>
      <c r="BM639" s="1220"/>
      <c r="BN639" s="1220"/>
      <c r="BO639" s="1220"/>
      <c r="BP639" s="1220"/>
      <c r="BQ639" s="1220"/>
      <c r="BR639" s="1220"/>
      <c r="BS639" s="1220"/>
      <c r="BT639" s="1220"/>
      <c r="BU639" s="1220"/>
      <c r="BV639" s="1220"/>
      <c r="BW639" s="1220"/>
      <c r="BX639" s="1220"/>
      <c r="BY639" s="1220"/>
      <c r="BZ639" s="1220"/>
      <c r="CA639" s="1220"/>
      <c r="CB639" s="1220"/>
      <c r="CC639" s="1220"/>
      <c r="CD639" s="1220"/>
      <c r="CE639" s="1220"/>
      <c r="CF639" s="1220"/>
      <c r="CG639" s="1220"/>
      <c r="CH639" s="1220"/>
      <c r="CI639" s="1220"/>
      <c r="CJ639" s="1220"/>
      <c r="CK639" s="1220"/>
      <c r="CL639" s="1220"/>
      <c r="CM639" s="1220"/>
      <c r="CN639" s="1220"/>
      <c r="CO639" s="1220"/>
      <c r="CP639" s="1220"/>
      <c r="CQ639" s="1220"/>
      <c r="CR639" s="1220"/>
      <c r="CS639" s="1220"/>
      <c r="CT639" s="1220"/>
      <c r="CU639" s="1220"/>
      <c r="CV639" s="1220"/>
      <c r="CW639" s="1220"/>
      <c r="CX639" s="1220"/>
      <c r="CY639" s="1220"/>
      <c r="CZ639" s="1220"/>
      <c r="DA639" s="1220"/>
      <c r="DB639" s="1220"/>
      <c r="DC639" s="1220"/>
      <c r="DD639" s="1220"/>
      <c r="DE639" s="1220"/>
      <c r="DF639" s="1220"/>
      <c r="DG639" s="1220"/>
      <c r="DH639" s="1220"/>
      <c r="DI639" s="1220"/>
      <c r="DJ639" s="1220"/>
      <c r="DK639" s="1220"/>
      <c r="DL639" s="1220"/>
      <c r="DM639" s="1220"/>
      <c r="DN639" s="1220"/>
      <c r="DO639" s="1220"/>
      <c r="DP639" s="1220"/>
      <c r="DQ639" s="1220"/>
      <c r="DR639" s="1220"/>
      <c r="DS639" s="1220"/>
      <c r="DT639" s="1220"/>
      <c r="DU639" s="1220"/>
      <c r="DV639" s="1220"/>
      <c r="DW639" s="1220"/>
      <c r="DX639" s="1220"/>
      <c r="DY639" s="1220"/>
      <c r="DZ639" s="1220"/>
      <c r="EA639" s="1220"/>
      <c r="EB639" s="1220"/>
      <c r="EC639" s="1220"/>
      <c r="ED639" s="1220"/>
      <c r="EE639" s="1220"/>
      <c r="EF639" s="1220"/>
      <c r="EG639" s="1220"/>
      <c r="EH639" s="1220"/>
      <c r="EI639" s="1220"/>
      <c r="EJ639" s="1220"/>
      <c r="EK639" s="1220"/>
      <c r="EL639" s="1220"/>
      <c r="EM639" s="1220"/>
      <c r="EN639" s="1220"/>
      <c r="EO639" s="1220"/>
      <c r="EP639" s="1220"/>
      <c r="EQ639" s="1220"/>
      <c r="ER639" s="1220"/>
      <c r="ES639" s="1220"/>
      <c r="ET639" s="1220"/>
      <c r="EU639" s="1220"/>
      <c r="EV639" s="1220"/>
      <c r="EW639" s="1220"/>
      <c r="EX639" s="1220"/>
      <c r="EY639" s="1220"/>
      <c r="EZ639" s="1220"/>
      <c r="FA639" s="1220"/>
      <c r="FB639" s="1220"/>
      <c r="FC639" s="1221"/>
    </row>
    <row r="640" spans="1:159" s="1222" customFormat="1" ht="32.1" customHeight="1">
      <c r="A640" s="1217"/>
      <c r="B640" s="1628" t="s">
        <v>6899</v>
      </c>
      <c r="C640" s="1534">
        <f>IF(J640&gt;$P640,1,IF(J640&lt;$Q640,0,(J640-$Q640)/($P640-$Q640)))</f>
        <v>1</v>
      </c>
      <c r="D640" s="1534">
        <f t="shared" ref="D640:H640" si="156">IF(K640&gt;$P640,1,IF(K640&lt;$Q640,0,(K640-$Q640)/($P640-$Q640)))</f>
        <v>1</v>
      </c>
      <c r="E640" s="1534">
        <f t="shared" si="156"/>
        <v>1</v>
      </c>
      <c r="F640" s="1534">
        <f t="shared" si="156"/>
        <v>1</v>
      </c>
      <c r="G640" s="1534">
        <f t="shared" si="156"/>
        <v>1</v>
      </c>
      <c r="H640" s="1534">
        <f t="shared" si="156"/>
        <v>1</v>
      </c>
      <c r="I640" s="1195" t="s">
        <v>5295</v>
      </c>
      <c r="J640" s="1629">
        <v>13.7</v>
      </c>
      <c r="K640" s="1629">
        <v>14.3</v>
      </c>
      <c r="L640" s="1630">
        <v>7.9</v>
      </c>
      <c r="M640" s="1630">
        <v>9.3000000000000007</v>
      </c>
      <c r="N640" s="1629">
        <v>17.8</v>
      </c>
      <c r="O640" s="1629">
        <v>6</v>
      </c>
      <c r="P640" s="1629">
        <v>3.3</v>
      </c>
      <c r="Q640" s="1535" t="s">
        <v>6902</v>
      </c>
      <c r="R640" s="1219"/>
      <c r="S640" s="1220"/>
      <c r="T640" s="1220"/>
      <c r="U640" s="1220"/>
      <c r="V640" s="1220"/>
      <c r="W640" s="1220"/>
      <c r="X640" s="1220"/>
      <c r="Y640" s="1220"/>
      <c r="Z640" s="1220"/>
      <c r="AA640" s="1220"/>
      <c r="AB640" s="1220"/>
      <c r="AC640" s="1220"/>
      <c r="AD640" s="1220"/>
      <c r="AE640" s="1220"/>
      <c r="AF640" s="1220"/>
      <c r="AG640" s="1220"/>
      <c r="AH640" s="1220"/>
      <c r="AI640" s="1220"/>
      <c r="AJ640" s="1220"/>
      <c r="AK640" s="1220"/>
      <c r="AL640" s="1220"/>
      <c r="AM640" s="1220"/>
      <c r="AN640" s="1220"/>
      <c r="AO640" s="1220"/>
      <c r="AP640" s="1220"/>
      <c r="AQ640" s="1220"/>
      <c r="AR640" s="1220"/>
      <c r="AS640" s="1220"/>
      <c r="AT640" s="1220"/>
      <c r="AU640" s="1220"/>
      <c r="AV640" s="1220"/>
      <c r="AW640" s="1220"/>
      <c r="AX640" s="1220"/>
      <c r="AY640" s="1220"/>
      <c r="AZ640" s="1220"/>
      <c r="BA640" s="1220"/>
      <c r="BB640" s="1220"/>
      <c r="BC640" s="1220"/>
      <c r="BD640" s="1220"/>
      <c r="BE640" s="1220"/>
      <c r="BF640" s="1220"/>
      <c r="BG640" s="1220"/>
      <c r="BH640" s="1220"/>
      <c r="BI640" s="1220"/>
      <c r="BJ640" s="1220"/>
      <c r="BK640" s="1220"/>
      <c r="BL640" s="1220"/>
      <c r="BM640" s="1220"/>
      <c r="BN640" s="1220"/>
      <c r="BO640" s="1220"/>
      <c r="BP640" s="1220"/>
      <c r="BQ640" s="1220"/>
      <c r="BR640" s="1220"/>
      <c r="BS640" s="1220"/>
      <c r="BT640" s="1220"/>
      <c r="BU640" s="1220"/>
      <c r="BV640" s="1220"/>
      <c r="BW640" s="1220"/>
      <c r="BX640" s="1220"/>
      <c r="BY640" s="1220"/>
      <c r="BZ640" s="1220"/>
      <c r="CA640" s="1220"/>
      <c r="CB640" s="1220"/>
      <c r="CC640" s="1220"/>
      <c r="CD640" s="1220"/>
      <c r="CE640" s="1220"/>
      <c r="CF640" s="1220"/>
      <c r="CG640" s="1220"/>
      <c r="CH640" s="1220"/>
      <c r="CI640" s="1220"/>
      <c r="CJ640" s="1220"/>
      <c r="CK640" s="1220"/>
      <c r="CL640" s="1220"/>
      <c r="CM640" s="1220"/>
      <c r="CN640" s="1220"/>
      <c r="CO640" s="1220"/>
      <c r="CP640" s="1220"/>
      <c r="CQ640" s="1220"/>
      <c r="CR640" s="1220"/>
      <c r="CS640" s="1220"/>
      <c r="CT640" s="1220"/>
      <c r="CU640" s="1220"/>
      <c r="CV640" s="1220"/>
      <c r="CW640" s="1220"/>
      <c r="CX640" s="1220"/>
      <c r="CY640" s="1220"/>
      <c r="CZ640" s="1220"/>
      <c r="DA640" s="1220"/>
      <c r="DB640" s="1220"/>
      <c r="DC640" s="1220"/>
      <c r="DD640" s="1220"/>
      <c r="DE640" s="1220"/>
      <c r="DF640" s="1220"/>
      <c r="DG640" s="1220"/>
      <c r="DH640" s="1220"/>
      <c r="DI640" s="1220"/>
      <c r="DJ640" s="1220"/>
      <c r="DK640" s="1220"/>
      <c r="DL640" s="1220"/>
      <c r="DM640" s="1220"/>
      <c r="DN640" s="1220"/>
      <c r="DO640" s="1220"/>
      <c r="DP640" s="1220"/>
      <c r="DQ640" s="1220"/>
      <c r="DR640" s="1220"/>
      <c r="DS640" s="1220"/>
      <c r="DT640" s="1220"/>
      <c r="DU640" s="1220"/>
      <c r="DV640" s="1220"/>
      <c r="DW640" s="1220"/>
      <c r="DX640" s="1220"/>
      <c r="DY640" s="1220"/>
      <c r="DZ640" s="1220"/>
      <c r="EA640" s="1220"/>
      <c r="EB640" s="1220"/>
      <c r="EC640" s="1220"/>
      <c r="ED640" s="1220"/>
      <c r="EE640" s="1220"/>
      <c r="EF640" s="1220"/>
      <c r="EG640" s="1220"/>
      <c r="EH640" s="1220"/>
      <c r="EI640" s="1220"/>
      <c r="EJ640" s="1220"/>
      <c r="EK640" s="1220"/>
      <c r="EL640" s="1220"/>
      <c r="EM640" s="1220"/>
      <c r="EN640" s="1220"/>
      <c r="EO640" s="1220"/>
      <c r="EP640" s="1220"/>
      <c r="EQ640" s="1220"/>
      <c r="ER640" s="1220"/>
      <c r="ES640" s="1220"/>
      <c r="ET640" s="1220"/>
      <c r="EU640" s="1220"/>
      <c r="EV640" s="1220"/>
      <c r="EW640" s="1220"/>
      <c r="EX640" s="1220"/>
      <c r="EY640" s="1220"/>
      <c r="EZ640" s="1220"/>
      <c r="FA640" s="1220"/>
      <c r="FB640" s="1220"/>
      <c r="FC640" s="1221"/>
    </row>
    <row r="641" spans="1:159" s="1222" customFormat="1" ht="32.1" customHeight="1">
      <c r="A641" s="1217"/>
      <c r="B641" s="1236" t="s">
        <v>5308</v>
      </c>
      <c r="C641" s="1534">
        <f>IF(J641&lt;$P641,1,IF(J641&gt;$Q641,0,(J641-$Q641)/($P641-$Q641)))</f>
        <v>1</v>
      </c>
      <c r="D641" s="1534">
        <f t="shared" ref="D641:H641" si="157">IF(K641&lt;$P641,1,IF(K641&gt;$Q641,0,(K641-$Q641)/($P641-$Q641)))</f>
        <v>1</v>
      </c>
      <c r="E641" s="1534">
        <f t="shared" si="157"/>
        <v>1</v>
      </c>
      <c r="F641" s="1534">
        <f t="shared" si="157"/>
        <v>0.57999999999999985</v>
      </c>
      <c r="G641" s="1534">
        <f t="shared" si="157"/>
        <v>0</v>
      </c>
      <c r="H641" s="1534">
        <f t="shared" si="157"/>
        <v>1</v>
      </c>
      <c r="I641" s="1195" t="s">
        <v>5295</v>
      </c>
      <c r="J641" s="1536">
        <v>4.5</v>
      </c>
      <c r="K641" s="1536">
        <v>0.2</v>
      </c>
      <c r="L641" s="1536">
        <v>0.5</v>
      </c>
      <c r="M641" s="1536">
        <v>6.7</v>
      </c>
      <c r="N641" s="1536">
        <v>9.6</v>
      </c>
      <c r="O641" s="1536">
        <v>2.6</v>
      </c>
      <c r="P641" s="1536">
        <v>4.5999999999999996</v>
      </c>
      <c r="Q641" s="1536">
        <v>9.6</v>
      </c>
      <c r="R641" s="1219"/>
      <c r="S641" s="1220"/>
      <c r="T641" s="1220"/>
      <c r="U641" s="1220"/>
      <c r="V641" s="1220"/>
      <c r="W641" s="1220"/>
      <c r="X641" s="1220"/>
      <c r="Y641" s="1220"/>
      <c r="Z641" s="1220"/>
      <c r="AA641" s="1220"/>
      <c r="AB641" s="1220"/>
      <c r="AC641" s="1220"/>
      <c r="AD641" s="1220"/>
      <c r="AE641" s="1220"/>
      <c r="AF641" s="1220"/>
      <c r="AG641" s="1220"/>
      <c r="AH641" s="1220"/>
      <c r="AI641" s="1220"/>
      <c r="AJ641" s="1220"/>
      <c r="AK641" s="1220"/>
      <c r="AL641" s="1220"/>
      <c r="AM641" s="1220"/>
      <c r="AN641" s="1220"/>
      <c r="AO641" s="1220"/>
      <c r="AP641" s="1220"/>
      <c r="AQ641" s="1220"/>
      <c r="AR641" s="1220"/>
      <c r="AS641" s="1220"/>
      <c r="AT641" s="1220"/>
      <c r="AU641" s="1220"/>
      <c r="AV641" s="1220"/>
      <c r="AW641" s="1220"/>
      <c r="AX641" s="1220"/>
      <c r="AY641" s="1220"/>
      <c r="AZ641" s="1220"/>
      <c r="BA641" s="1220"/>
      <c r="BB641" s="1220"/>
      <c r="BC641" s="1220"/>
      <c r="BD641" s="1220"/>
      <c r="BE641" s="1220"/>
      <c r="BF641" s="1220"/>
      <c r="BG641" s="1220"/>
      <c r="BH641" s="1220"/>
      <c r="BI641" s="1220"/>
      <c r="BJ641" s="1220"/>
      <c r="BK641" s="1220"/>
      <c r="BL641" s="1220"/>
      <c r="BM641" s="1220"/>
      <c r="BN641" s="1220"/>
      <c r="BO641" s="1220"/>
      <c r="BP641" s="1220"/>
      <c r="BQ641" s="1220"/>
      <c r="BR641" s="1220"/>
      <c r="BS641" s="1220"/>
      <c r="BT641" s="1220"/>
      <c r="BU641" s="1220"/>
      <c r="BV641" s="1220"/>
      <c r="BW641" s="1220"/>
      <c r="BX641" s="1220"/>
      <c r="BY641" s="1220"/>
      <c r="BZ641" s="1220"/>
      <c r="CA641" s="1220"/>
      <c r="CB641" s="1220"/>
      <c r="CC641" s="1220"/>
      <c r="CD641" s="1220"/>
      <c r="CE641" s="1220"/>
      <c r="CF641" s="1220"/>
      <c r="CG641" s="1220"/>
      <c r="CH641" s="1220"/>
      <c r="CI641" s="1220"/>
      <c r="CJ641" s="1220"/>
      <c r="CK641" s="1220"/>
      <c r="CL641" s="1220"/>
      <c r="CM641" s="1220"/>
      <c r="CN641" s="1220"/>
      <c r="CO641" s="1220"/>
      <c r="CP641" s="1220"/>
      <c r="CQ641" s="1220"/>
      <c r="CR641" s="1220"/>
      <c r="CS641" s="1220"/>
      <c r="CT641" s="1220"/>
      <c r="CU641" s="1220"/>
      <c r="CV641" s="1220"/>
      <c r="CW641" s="1220"/>
      <c r="CX641" s="1220"/>
      <c r="CY641" s="1220"/>
      <c r="CZ641" s="1220"/>
      <c r="DA641" s="1220"/>
      <c r="DB641" s="1220"/>
      <c r="DC641" s="1220"/>
      <c r="DD641" s="1220"/>
      <c r="DE641" s="1220"/>
      <c r="DF641" s="1220"/>
      <c r="DG641" s="1220"/>
      <c r="DH641" s="1220"/>
      <c r="DI641" s="1220"/>
      <c r="DJ641" s="1220"/>
      <c r="DK641" s="1220"/>
      <c r="DL641" s="1220"/>
      <c r="DM641" s="1220"/>
      <c r="DN641" s="1220"/>
      <c r="DO641" s="1220"/>
      <c r="DP641" s="1220"/>
      <c r="DQ641" s="1220"/>
      <c r="DR641" s="1220"/>
      <c r="DS641" s="1220"/>
      <c r="DT641" s="1220"/>
      <c r="DU641" s="1220"/>
      <c r="DV641" s="1220"/>
      <c r="DW641" s="1220"/>
      <c r="DX641" s="1220"/>
      <c r="DY641" s="1220"/>
      <c r="DZ641" s="1220"/>
      <c r="EA641" s="1220"/>
      <c r="EB641" s="1220"/>
      <c r="EC641" s="1220"/>
      <c r="ED641" s="1220"/>
      <c r="EE641" s="1220"/>
      <c r="EF641" s="1220"/>
      <c r="EG641" s="1220"/>
      <c r="EH641" s="1220"/>
      <c r="EI641" s="1220"/>
      <c r="EJ641" s="1220"/>
      <c r="EK641" s="1220"/>
      <c r="EL641" s="1220"/>
      <c r="EM641" s="1220"/>
      <c r="EN641" s="1220"/>
      <c r="EO641" s="1220"/>
      <c r="EP641" s="1220"/>
      <c r="EQ641" s="1220"/>
      <c r="ER641" s="1220"/>
      <c r="ES641" s="1220"/>
      <c r="ET641" s="1220"/>
      <c r="EU641" s="1220"/>
      <c r="EV641" s="1220"/>
      <c r="EW641" s="1220"/>
      <c r="EX641" s="1220"/>
      <c r="EY641" s="1220"/>
      <c r="EZ641" s="1220"/>
      <c r="FA641" s="1220"/>
      <c r="FB641" s="1220"/>
      <c r="FC641" s="1221"/>
    </row>
    <row r="642" spans="1:159" s="1222" customFormat="1" ht="32.1" customHeight="1">
      <c r="A642" s="1217"/>
      <c r="B642" s="1236" t="s">
        <v>5309</v>
      </c>
      <c r="C642" s="1534">
        <f>IF(J642&gt;$P642,1,IF(J642&lt;$Q642,0,(J642-$Q642)/($P642-$Q642)))</f>
        <v>1</v>
      </c>
      <c r="D642" s="1534">
        <f t="shared" ref="D642:H642" si="158">IF(K642&gt;$P642,1,IF(K642&lt;$Q642,0,(K642-$Q642)/($P642-$Q642)))</f>
        <v>0</v>
      </c>
      <c r="E642" s="1534">
        <f t="shared" si="158"/>
        <v>1</v>
      </c>
      <c r="F642" s="1534">
        <f t="shared" si="158"/>
        <v>1</v>
      </c>
      <c r="G642" s="1534">
        <f t="shared" si="158"/>
        <v>0.91240875912408737</v>
      </c>
      <c r="H642" s="1534">
        <f t="shared" si="158"/>
        <v>1</v>
      </c>
      <c r="I642" s="1195" t="s">
        <v>5295</v>
      </c>
      <c r="J642" s="1536">
        <v>53.7</v>
      </c>
      <c r="K642" s="1536">
        <v>40</v>
      </c>
      <c r="L642" s="1536">
        <v>60.4</v>
      </c>
      <c r="M642" s="1536">
        <v>59.1</v>
      </c>
      <c r="N642" s="1536">
        <v>52.5</v>
      </c>
      <c r="O642" s="1536">
        <v>61.8</v>
      </c>
      <c r="P642" s="1536">
        <v>53.7</v>
      </c>
      <c r="Q642" s="1537">
        <v>40</v>
      </c>
      <c r="R642" s="1219"/>
      <c r="S642" s="1220"/>
      <c r="T642" s="1220"/>
      <c r="U642" s="1220"/>
      <c r="V642" s="1220"/>
      <c r="W642" s="1220"/>
      <c r="X642" s="1220"/>
      <c r="Y642" s="1220"/>
      <c r="Z642" s="1220"/>
      <c r="AA642" s="1220"/>
      <c r="AB642" s="1220"/>
      <c r="AC642" s="1220"/>
      <c r="AD642" s="1220"/>
      <c r="AE642" s="1220"/>
      <c r="AF642" s="1220"/>
      <c r="AG642" s="1220"/>
      <c r="AH642" s="1220"/>
      <c r="AI642" s="1220"/>
      <c r="AJ642" s="1220"/>
      <c r="AK642" s="1220"/>
      <c r="AL642" s="1220"/>
      <c r="AM642" s="1220"/>
      <c r="AN642" s="1220"/>
      <c r="AO642" s="1220"/>
      <c r="AP642" s="1220"/>
      <c r="AQ642" s="1220"/>
      <c r="AR642" s="1220"/>
      <c r="AS642" s="1220"/>
      <c r="AT642" s="1220"/>
      <c r="AU642" s="1220"/>
      <c r="AV642" s="1220"/>
      <c r="AW642" s="1220"/>
      <c r="AX642" s="1220"/>
      <c r="AY642" s="1220"/>
      <c r="AZ642" s="1220"/>
      <c r="BA642" s="1220"/>
      <c r="BB642" s="1220"/>
      <c r="BC642" s="1220"/>
      <c r="BD642" s="1220"/>
      <c r="BE642" s="1220"/>
      <c r="BF642" s="1220"/>
      <c r="BG642" s="1220"/>
      <c r="BH642" s="1220"/>
      <c r="BI642" s="1220"/>
      <c r="BJ642" s="1220"/>
      <c r="BK642" s="1220"/>
      <c r="BL642" s="1220"/>
      <c r="BM642" s="1220"/>
      <c r="BN642" s="1220"/>
      <c r="BO642" s="1220"/>
      <c r="BP642" s="1220"/>
      <c r="BQ642" s="1220"/>
      <c r="BR642" s="1220"/>
      <c r="BS642" s="1220"/>
      <c r="BT642" s="1220"/>
      <c r="BU642" s="1220"/>
      <c r="BV642" s="1220"/>
      <c r="BW642" s="1220"/>
      <c r="BX642" s="1220"/>
      <c r="BY642" s="1220"/>
      <c r="BZ642" s="1220"/>
      <c r="CA642" s="1220"/>
      <c r="CB642" s="1220"/>
      <c r="CC642" s="1220"/>
      <c r="CD642" s="1220"/>
      <c r="CE642" s="1220"/>
      <c r="CF642" s="1220"/>
      <c r="CG642" s="1220"/>
      <c r="CH642" s="1220"/>
      <c r="CI642" s="1220"/>
      <c r="CJ642" s="1220"/>
      <c r="CK642" s="1220"/>
      <c r="CL642" s="1220"/>
      <c r="CM642" s="1220"/>
      <c r="CN642" s="1220"/>
      <c r="CO642" s="1220"/>
      <c r="CP642" s="1220"/>
      <c r="CQ642" s="1220"/>
      <c r="CR642" s="1220"/>
      <c r="CS642" s="1220"/>
      <c r="CT642" s="1220"/>
      <c r="CU642" s="1220"/>
      <c r="CV642" s="1220"/>
      <c r="CW642" s="1220"/>
      <c r="CX642" s="1220"/>
      <c r="CY642" s="1220"/>
      <c r="CZ642" s="1220"/>
      <c r="DA642" s="1220"/>
      <c r="DB642" s="1220"/>
      <c r="DC642" s="1220"/>
      <c r="DD642" s="1220"/>
      <c r="DE642" s="1220"/>
      <c r="DF642" s="1220"/>
      <c r="DG642" s="1220"/>
      <c r="DH642" s="1220"/>
      <c r="DI642" s="1220"/>
      <c r="DJ642" s="1220"/>
      <c r="DK642" s="1220"/>
      <c r="DL642" s="1220"/>
      <c r="DM642" s="1220"/>
      <c r="DN642" s="1220"/>
      <c r="DO642" s="1220"/>
      <c r="DP642" s="1220"/>
      <c r="DQ642" s="1220"/>
      <c r="DR642" s="1220"/>
      <c r="DS642" s="1220"/>
      <c r="DT642" s="1220"/>
      <c r="DU642" s="1220"/>
      <c r="DV642" s="1220"/>
      <c r="DW642" s="1220"/>
      <c r="DX642" s="1220"/>
      <c r="DY642" s="1220"/>
      <c r="DZ642" s="1220"/>
      <c r="EA642" s="1220"/>
      <c r="EB642" s="1220"/>
      <c r="EC642" s="1220"/>
      <c r="ED642" s="1220"/>
      <c r="EE642" s="1220"/>
      <c r="EF642" s="1220"/>
      <c r="EG642" s="1220"/>
      <c r="EH642" s="1220"/>
      <c r="EI642" s="1220"/>
      <c r="EJ642" s="1220"/>
      <c r="EK642" s="1220"/>
      <c r="EL642" s="1220"/>
      <c r="EM642" s="1220"/>
      <c r="EN642" s="1220"/>
      <c r="EO642" s="1220"/>
      <c r="EP642" s="1220"/>
      <c r="EQ642" s="1220"/>
      <c r="ER642" s="1220"/>
      <c r="ES642" s="1220"/>
      <c r="ET642" s="1220"/>
      <c r="EU642" s="1220"/>
      <c r="EV642" s="1220"/>
      <c r="EW642" s="1220"/>
      <c r="EX642" s="1220"/>
      <c r="EY642" s="1220"/>
      <c r="EZ642" s="1220"/>
      <c r="FA642" s="1220"/>
      <c r="FB642" s="1220"/>
      <c r="FC642" s="1221"/>
    </row>
    <row r="643" spans="1:159" s="1209" customFormat="1" ht="32.1" customHeight="1">
      <c r="A643" s="1603" t="s">
        <v>6854</v>
      </c>
      <c r="B643" s="1602" t="s">
        <v>6861</v>
      </c>
      <c r="C643" s="1431">
        <f>AVERAGE(C644:C650)</f>
        <v>0.67694500363118837</v>
      </c>
      <c r="D643" s="1431">
        <f t="shared" ref="D643:H643" si="159">AVERAGE(D644:D650)</f>
        <v>0.44186062582927915</v>
      </c>
      <c r="E643" s="1431">
        <f t="shared" si="159"/>
        <v>0.72047182575330637</v>
      </c>
      <c r="F643" s="1431">
        <f t="shared" si="159"/>
        <v>0.51156922894422296</v>
      </c>
      <c r="G643" s="1431">
        <f t="shared" si="159"/>
        <v>0.50248400361919643</v>
      </c>
      <c r="H643" s="1431">
        <f t="shared" si="159"/>
        <v>0.41179138321995473</v>
      </c>
      <c r="I643" s="1781"/>
      <c r="J643" s="1207"/>
      <c r="K643" s="1208"/>
      <c r="L643" s="1208"/>
      <c r="M643" s="1208"/>
      <c r="N643" s="1208"/>
      <c r="O643" s="1208"/>
      <c r="P643" s="1208"/>
      <c r="Q643" s="1208"/>
      <c r="R643" s="1081"/>
      <c r="S643" s="1082"/>
      <c r="T643" s="1082"/>
      <c r="U643" s="1082"/>
      <c r="V643" s="1082"/>
      <c r="W643" s="1082"/>
      <c r="X643" s="1082"/>
      <c r="Y643" s="1082"/>
      <c r="Z643" s="1082"/>
      <c r="AA643" s="1082"/>
      <c r="AB643" s="1082"/>
      <c r="AC643" s="1082"/>
      <c r="AD643" s="1082"/>
      <c r="AE643" s="1082"/>
      <c r="AF643" s="1082"/>
      <c r="AG643" s="1082"/>
      <c r="AH643" s="1082"/>
      <c r="AI643" s="1082"/>
      <c r="AJ643" s="1082"/>
      <c r="AK643" s="1082"/>
      <c r="AL643" s="1082"/>
      <c r="AM643" s="1082"/>
      <c r="AN643" s="1082"/>
      <c r="AO643" s="1082"/>
      <c r="AP643" s="1082"/>
      <c r="AQ643" s="1082"/>
      <c r="AR643" s="1082"/>
      <c r="AS643" s="1082"/>
      <c r="AT643" s="1082"/>
      <c r="AU643" s="1082"/>
      <c r="AV643" s="1082"/>
      <c r="AW643" s="1082"/>
      <c r="AX643" s="1082"/>
      <c r="AY643" s="1082"/>
      <c r="AZ643" s="1082"/>
      <c r="BA643" s="1082"/>
      <c r="BB643" s="1082"/>
      <c r="BC643" s="1082"/>
      <c r="BD643" s="1082"/>
      <c r="BE643" s="1082"/>
      <c r="BF643" s="1082"/>
      <c r="BG643" s="1082"/>
      <c r="BH643" s="1082"/>
      <c r="BI643" s="1082"/>
      <c r="BJ643" s="1082"/>
      <c r="BK643" s="1082"/>
      <c r="BL643" s="1082"/>
      <c r="BM643" s="1082"/>
      <c r="BN643" s="1082"/>
      <c r="BO643" s="1082"/>
      <c r="BP643" s="1082"/>
      <c r="BQ643" s="1082"/>
      <c r="BR643" s="1082"/>
      <c r="BS643" s="1082"/>
      <c r="BT643" s="1082"/>
      <c r="BU643" s="1082"/>
      <c r="BV643" s="1082"/>
      <c r="BW643" s="1082"/>
      <c r="BX643" s="1082"/>
      <c r="BY643" s="1082"/>
      <c r="BZ643" s="1082"/>
      <c r="CA643" s="1082"/>
      <c r="CB643" s="1082"/>
      <c r="CC643" s="1082"/>
      <c r="CD643" s="1082"/>
      <c r="CE643" s="1082"/>
      <c r="CF643" s="1082"/>
      <c r="CG643" s="1082"/>
      <c r="CH643" s="1082"/>
      <c r="CI643" s="1082"/>
      <c r="CJ643" s="1082"/>
      <c r="CK643" s="1082"/>
      <c r="CL643" s="1082"/>
      <c r="CM643" s="1082"/>
      <c r="CN643" s="1082"/>
      <c r="CO643" s="1082"/>
      <c r="CP643" s="1082"/>
      <c r="CQ643" s="1082"/>
      <c r="CR643" s="1082"/>
      <c r="CS643" s="1082"/>
      <c r="CT643" s="1082"/>
      <c r="CU643" s="1082"/>
      <c r="CV643" s="1082"/>
      <c r="CW643" s="1082"/>
      <c r="CX643" s="1082"/>
      <c r="CY643" s="1082"/>
      <c r="CZ643" s="1082"/>
      <c r="DA643" s="1082"/>
      <c r="DB643" s="1082"/>
      <c r="DC643" s="1082"/>
      <c r="DD643" s="1082"/>
      <c r="DE643" s="1082"/>
      <c r="DF643" s="1082"/>
      <c r="DG643" s="1082"/>
      <c r="DH643" s="1082"/>
      <c r="DI643" s="1082"/>
      <c r="DJ643" s="1082"/>
      <c r="DK643" s="1082"/>
      <c r="DL643" s="1082"/>
      <c r="DM643" s="1082"/>
      <c r="DN643" s="1082"/>
      <c r="DO643" s="1082"/>
      <c r="DP643" s="1082"/>
      <c r="DQ643" s="1082"/>
      <c r="DR643" s="1082"/>
      <c r="DS643" s="1082"/>
      <c r="DT643" s="1082"/>
      <c r="DU643" s="1082"/>
      <c r="DV643" s="1082"/>
      <c r="DW643" s="1082"/>
      <c r="DX643" s="1082"/>
      <c r="DY643" s="1082"/>
      <c r="DZ643" s="1082"/>
      <c r="EA643" s="1082"/>
      <c r="EB643" s="1082"/>
      <c r="EC643" s="1082"/>
      <c r="ED643" s="1082"/>
      <c r="EE643" s="1082"/>
      <c r="EF643" s="1082"/>
      <c r="EG643" s="1082"/>
      <c r="EH643" s="1082"/>
      <c r="EI643" s="1082"/>
      <c r="EJ643" s="1082"/>
      <c r="EK643" s="1082"/>
      <c r="EL643" s="1082"/>
      <c r="EM643" s="1082"/>
      <c r="EN643" s="1082"/>
      <c r="EO643" s="1082"/>
      <c r="EP643" s="1082"/>
      <c r="EQ643" s="1082"/>
      <c r="ER643" s="1082"/>
      <c r="ES643" s="1082"/>
      <c r="ET643" s="1082"/>
      <c r="EU643" s="1082"/>
      <c r="EV643" s="1082"/>
      <c r="EW643" s="1082"/>
      <c r="EX643" s="1082"/>
      <c r="EY643" s="1082"/>
      <c r="EZ643" s="1082"/>
      <c r="FA643" s="1082"/>
      <c r="FB643" s="1082"/>
    </row>
    <row r="644" spans="1:159" s="1238" customFormat="1" ht="32.1" customHeight="1">
      <c r="A644" s="1217"/>
      <c r="B644" s="1742" t="s">
        <v>6900</v>
      </c>
      <c r="C644" s="2571">
        <f>IF(J644&gt;$P644,1,IF(J644&lt;$Q644,0,(J644-$Q644)/($P644-$Q644)))</f>
        <v>0.88888888888888906</v>
      </c>
      <c r="D644" s="2571">
        <f t="shared" ref="C644:H650" si="160">IF(K644&gt;$P644,1,IF(K644&lt;$Q644,0,(K644-$Q644)/($P644-$Q644)))</f>
        <v>0</v>
      </c>
      <c r="E644" s="2571">
        <f t="shared" si="160"/>
        <v>1</v>
      </c>
      <c r="F644" s="2571">
        <f t="shared" si="160"/>
        <v>0.77083333333333326</v>
      </c>
      <c r="G644" s="2571">
        <f t="shared" si="160"/>
        <v>0.91666666666666674</v>
      </c>
      <c r="H644" s="2571">
        <f t="shared" si="160"/>
        <v>1</v>
      </c>
      <c r="I644" s="1195" t="s">
        <v>5295</v>
      </c>
      <c r="J644" s="1630">
        <v>27.1</v>
      </c>
      <c r="K644" s="1629">
        <v>14.3</v>
      </c>
      <c r="L644" s="1629">
        <v>36.1</v>
      </c>
      <c r="M644" s="1630">
        <v>25.4</v>
      </c>
      <c r="N644" s="1629">
        <v>27.5</v>
      </c>
      <c r="O644" s="1631">
        <v>51.7</v>
      </c>
      <c r="P644" s="1629">
        <v>28.7</v>
      </c>
      <c r="Q644" s="1620">
        <v>14.3</v>
      </c>
      <c r="R644" s="1219"/>
      <c r="S644" s="1220"/>
      <c r="T644" s="1220"/>
      <c r="U644" s="1220"/>
      <c r="V644" s="1220"/>
      <c r="W644" s="1220"/>
      <c r="X644" s="1220"/>
      <c r="Y644" s="1220"/>
      <c r="Z644" s="1220"/>
      <c r="AA644" s="1220"/>
      <c r="AB644" s="1220"/>
      <c r="AC644" s="1220"/>
      <c r="AD644" s="1220"/>
      <c r="AE644" s="1220"/>
      <c r="AF644" s="1220"/>
      <c r="AG644" s="1220"/>
      <c r="AH644" s="1220"/>
      <c r="AI644" s="1220"/>
      <c r="AJ644" s="1220"/>
      <c r="AK644" s="1220"/>
      <c r="AL644" s="1220"/>
      <c r="AM644" s="1220"/>
      <c r="AN644" s="1220"/>
      <c r="AO644" s="1220"/>
      <c r="AP644" s="1220"/>
      <c r="AQ644" s="1220"/>
      <c r="AR644" s="1220"/>
      <c r="AS644" s="1220"/>
      <c r="AT644" s="1220"/>
      <c r="AU644" s="1220"/>
      <c r="AV644" s="1220"/>
      <c r="AW644" s="1220"/>
      <c r="AX644" s="1220"/>
      <c r="AY644" s="1220"/>
      <c r="AZ644" s="1220"/>
      <c r="BA644" s="1220"/>
      <c r="BB644" s="1220"/>
      <c r="BC644" s="1220"/>
      <c r="BD644" s="1220"/>
      <c r="BE644" s="1220"/>
      <c r="BF644" s="1220"/>
      <c r="BG644" s="1220"/>
      <c r="BH644" s="1220"/>
      <c r="BI644" s="1220"/>
      <c r="BJ644" s="1220"/>
      <c r="BK644" s="1220"/>
      <c r="BL644" s="1220"/>
      <c r="BM644" s="1220"/>
      <c r="BN644" s="1220"/>
      <c r="BO644" s="1220"/>
      <c r="BP644" s="1220"/>
      <c r="BQ644" s="1220"/>
      <c r="BR644" s="1220"/>
      <c r="BS644" s="1220"/>
      <c r="BT644" s="1220"/>
      <c r="BU644" s="1220"/>
      <c r="BV644" s="1220"/>
      <c r="BW644" s="1220"/>
      <c r="BX644" s="1220"/>
      <c r="BY644" s="1220"/>
      <c r="BZ644" s="1220"/>
      <c r="CA644" s="1220"/>
      <c r="CB644" s="1220"/>
      <c r="CC644" s="1220"/>
      <c r="CD644" s="1220"/>
      <c r="CE644" s="1220"/>
      <c r="CF644" s="1220"/>
      <c r="CG644" s="1220"/>
      <c r="CH644" s="1220"/>
      <c r="CI644" s="1220"/>
      <c r="CJ644" s="1220"/>
      <c r="CK644" s="1220"/>
      <c r="CL644" s="1220"/>
      <c r="CM644" s="1220"/>
      <c r="CN644" s="1220"/>
      <c r="CO644" s="1220"/>
      <c r="CP644" s="1220"/>
      <c r="CQ644" s="1220"/>
      <c r="CR644" s="1220"/>
      <c r="CS644" s="1220"/>
      <c r="CT644" s="1220"/>
      <c r="CU644" s="1220"/>
      <c r="CV644" s="1220"/>
      <c r="CW644" s="1220"/>
      <c r="CX644" s="1220"/>
      <c r="CY644" s="1220"/>
      <c r="CZ644" s="1220"/>
      <c r="DA644" s="1220"/>
      <c r="DB644" s="1220"/>
      <c r="DC644" s="1220"/>
      <c r="DD644" s="1220"/>
      <c r="DE644" s="1220"/>
      <c r="DF644" s="1220"/>
      <c r="DG644" s="1220"/>
      <c r="DH644" s="1220"/>
      <c r="DI644" s="1220"/>
      <c r="DJ644" s="1220"/>
      <c r="DK644" s="1220"/>
      <c r="DL644" s="1220"/>
      <c r="DM644" s="1220"/>
      <c r="DN644" s="1220"/>
      <c r="DO644" s="1220"/>
      <c r="DP644" s="1220"/>
      <c r="DQ644" s="1220"/>
      <c r="DR644" s="1220"/>
      <c r="DS644" s="1220"/>
      <c r="DT644" s="1220"/>
      <c r="DU644" s="1220"/>
      <c r="DV644" s="1220"/>
      <c r="DW644" s="1220"/>
      <c r="DX644" s="1220"/>
      <c r="DY644" s="1220"/>
      <c r="DZ644" s="1220"/>
      <c r="EA644" s="1220"/>
      <c r="EB644" s="1220"/>
      <c r="EC644" s="1220"/>
      <c r="ED644" s="1220"/>
      <c r="EE644" s="1220"/>
      <c r="EF644" s="1220"/>
      <c r="EG644" s="1220"/>
      <c r="EH644" s="1220"/>
      <c r="EI644" s="1220"/>
      <c r="EJ644" s="1220"/>
      <c r="EK644" s="1220"/>
      <c r="EL644" s="1220"/>
      <c r="EM644" s="1220"/>
      <c r="EN644" s="1220"/>
      <c r="EO644" s="1220"/>
      <c r="EP644" s="1220"/>
      <c r="EQ644" s="1220"/>
      <c r="ER644" s="1220"/>
      <c r="ES644" s="1220"/>
      <c r="ET644" s="1220"/>
      <c r="EU644" s="1220"/>
      <c r="EV644" s="1220"/>
      <c r="EW644" s="1220"/>
      <c r="EX644" s="1220"/>
      <c r="EY644" s="1220"/>
      <c r="EZ644" s="1220"/>
      <c r="FA644" s="1220"/>
      <c r="FB644" s="1220"/>
      <c r="FC644" s="1237"/>
    </row>
    <row r="645" spans="1:159" s="1238" customFormat="1" ht="32.1" customHeight="1">
      <c r="A645" s="1217"/>
      <c r="B645" s="1742" t="s">
        <v>6901</v>
      </c>
      <c r="C645" s="2571">
        <f>IF(J645&gt;$P645,1,IF(J645&lt;$Q645,0,(J645-$Q645)/($P645-$Q645)))</f>
        <v>0.6575875486381324</v>
      </c>
      <c r="D645" s="2571">
        <f t="shared" si="160"/>
        <v>1</v>
      </c>
      <c r="E645" s="2571">
        <f t="shared" si="160"/>
        <v>0.5330739299610896</v>
      </c>
      <c r="F645" s="2571">
        <f t="shared" si="160"/>
        <v>0.89883268482490297</v>
      </c>
      <c r="G645" s="2571">
        <f t="shared" si="160"/>
        <v>0.48249027237354103</v>
      </c>
      <c r="H645" s="2571">
        <f t="shared" si="160"/>
        <v>0</v>
      </c>
      <c r="I645" s="1195" t="s">
        <v>5295</v>
      </c>
      <c r="J645" s="1632">
        <v>59.2</v>
      </c>
      <c r="K645" s="1633">
        <v>71.400000000000006</v>
      </c>
      <c r="L645" s="1633">
        <v>56</v>
      </c>
      <c r="M645" s="1632">
        <v>65.400000000000006</v>
      </c>
      <c r="N645" s="1633">
        <v>54.7</v>
      </c>
      <c r="O645" s="1632">
        <v>42.3</v>
      </c>
      <c r="P645" s="1633">
        <v>68</v>
      </c>
      <c r="Q645" s="1634">
        <v>42.3</v>
      </c>
      <c r="R645" s="1219"/>
      <c r="S645" s="1220"/>
      <c r="T645" s="1220"/>
      <c r="U645" s="1220"/>
      <c r="V645" s="1220"/>
      <c r="W645" s="1220"/>
      <c r="X645" s="1220"/>
      <c r="Y645" s="1220"/>
      <c r="Z645" s="1220"/>
      <c r="AA645" s="1220"/>
      <c r="AB645" s="1220"/>
      <c r="AC645" s="1220"/>
      <c r="AD645" s="1220"/>
      <c r="AE645" s="1220"/>
      <c r="AF645" s="1220"/>
      <c r="AG645" s="1220"/>
      <c r="AH645" s="1220"/>
      <c r="AI645" s="1220"/>
      <c r="AJ645" s="1220"/>
      <c r="AK645" s="1220"/>
      <c r="AL645" s="1220"/>
      <c r="AM645" s="1220"/>
      <c r="AN645" s="1220"/>
      <c r="AO645" s="1220"/>
      <c r="AP645" s="1220"/>
      <c r="AQ645" s="1220"/>
      <c r="AR645" s="1220"/>
      <c r="AS645" s="1220"/>
      <c r="AT645" s="1220"/>
      <c r="AU645" s="1220"/>
      <c r="AV645" s="1220"/>
      <c r="AW645" s="1220"/>
      <c r="AX645" s="1220"/>
      <c r="AY645" s="1220"/>
      <c r="AZ645" s="1220"/>
      <c r="BA645" s="1220"/>
      <c r="BB645" s="1220"/>
      <c r="BC645" s="1220"/>
      <c r="BD645" s="1220"/>
      <c r="BE645" s="1220"/>
      <c r="BF645" s="1220"/>
      <c r="BG645" s="1220"/>
      <c r="BH645" s="1220"/>
      <c r="BI645" s="1220"/>
      <c r="BJ645" s="1220"/>
      <c r="BK645" s="1220"/>
      <c r="BL645" s="1220"/>
      <c r="BM645" s="1220"/>
      <c r="BN645" s="1220"/>
      <c r="BO645" s="1220"/>
      <c r="BP645" s="1220"/>
      <c r="BQ645" s="1220"/>
      <c r="BR645" s="1220"/>
      <c r="BS645" s="1220"/>
      <c r="BT645" s="1220"/>
      <c r="BU645" s="1220"/>
      <c r="BV645" s="1220"/>
      <c r="BW645" s="1220"/>
      <c r="BX645" s="1220"/>
      <c r="BY645" s="1220"/>
      <c r="BZ645" s="1220"/>
      <c r="CA645" s="1220"/>
      <c r="CB645" s="1220"/>
      <c r="CC645" s="1220"/>
      <c r="CD645" s="1220"/>
      <c r="CE645" s="1220"/>
      <c r="CF645" s="1220"/>
      <c r="CG645" s="1220"/>
      <c r="CH645" s="1220"/>
      <c r="CI645" s="1220"/>
      <c r="CJ645" s="1220"/>
      <c r="CK645" s="1220"/>
      <c r="CL645" s="1220"/>
      <c r="CM645" s="1220"/>
      <c r="CN645" s="1220"/>
      <c r="CO645" s="1220"/>
      <c r="CP645" s="1220"/>
      <c r="CQ645" s="1220"/>
      <c r="CR645" s="1220"/>
      <c r="CS645" s="1220"/>
      <c r="CT645" s="1220"/>
      <c r="CU645" s="1220"/>
      <c r="CV645" s="1220"/>
      <c r="CW645" s="1220"/>
      <c r="CX645" s="1220"/>
      <c r="CY645" s="1220"/>
      <c r="CZ645" s="1220"/>
      <c r="DA645" s="1220"/>
      <c r="DB645" s="1220"/>
      <c r="DC645" s="1220"/>
      <c r="DD645" s="1220"/>
      <c r="DE645" s="1220"/>
      <c r="DF645" s="1220"/>
      <c r="DG645" s="1220"/>
      <c r="DH645" s="1220"/>
      <c r="DI645" s="1220"/>
      <c r="DJ645" s="1220"/>
      <c r="DK645" s="1220"/>
      <c r="DL645" s="1220"/>
      <c r="DM645" s="1220"/>
      <c r="DN645" s="1220"/>
      <c r="DO645" s="1220"/>
      <c r="DP645" s="1220"/>
      <c r="DQ645" s="1220"/>
      <c r="DR645" s="1220"/>
      <c r="DS645" s="1220"/>
      <c r="DT645" s="1220"/>
      <c r="DU645" s="1220"/>
      <c r="DV645" s="1220"/>
      <c r="DW645" s="1220"/>
      <c r="DX645" s="1220"/>
      <c r="DY645" s="1220"/>
      <c r="DZ645" s="1220"/>
      <c r="EA645" s="1220"/>
      <c r="EB645" s="1220"/>
      <c r="EC645" s="1220"/>
      <c r="ED645" s="1220"/>
      <c r="EE645" s="1220"/>
      <c r="EF645" s="1220"/>
      <c r="EG645" s="1220"/>
      <c r="EH645" s="1220"/>
      <c r="EI645" s="1220"/>
      <c r="EJ645" s="1220"/>
      <c r="EK645" s="1220"/>
      <c r="EL645" s="1220"/>
      <c r="EM645" s="1220"/>
      <c r="EN645" s="1220"/>
      <c r="EO645" s="1220"/>
      <c r="EP645" s="1220"/>
      <c r="EQ645" s="1220"/>
      <c r="ER645" s="1220"/>
      <c r="ES645" s="1220"/>
      <c r="ET645" s="1220"/>
      <c r="EU645" s="1220"/>
      <c r="EV645" s="1220"/>
      <c r="EW645" s="1220"/>
      <c r="EX645" s="1220"/>
      <c r="EY645" s="1220"/>
      <c r="EZ645" s="1220"/>
      <c r="FA645" s="1220"/>
      <c r="FB645" s="1220"/>
      <c r="FC645" s="1237"/>
    </row>
    <row r="646" spans="1:159" s="1238" customFormat="1" ht="32.1" customHeight="1">
      <c r="A646" s="1217"/>
      <c r="B646" s="1235" t="s">
        <v>5310</v>
      </c>
      <c r="C646" s="2571">
        <f>IF(J646&gt;$P646,1,IF(J646&lt;$Q646,0,(J646-$Q646)/($P646-$Q646)))</f>
        <v>0.66666666666666663</v>
      </c>
      <c r="D646" s="2571">
        <f t="shared" si="160"/>
        <v>0.33333333333333337</v>
      </c>
      <c r="E646" s="2571">
        <f t="shared" si="160"/>
        <v>0.66666666666666663</v>
      </c>
      <c r="F646" s="2571">
        <f t="shared" si="160"/>
        <v>0</v>
      </c>
      <c r="G646" s="2571">
        <f t="shared" si="160"/>
        <v>0.11111111111111112</v>
      </c>
      <c r="H646" s="2571">
        <f t="shared" si="160"/>
        <v>0.11111111111111112</v>
      </c>
      <c r="I646" s="1195" t="s">
        <v>5295</v>
      </c>
      <c r="J646" s="1539">
        <v>0.7</v>
      </c>
      <c r="K646" s="1539">
        <v>0.4</v>
      </c>
      <c r="L646" s="1539">
        <v>0.7</v>
      </c>
      <c r="M646" s="1539">
        <v>0.1</v>
      </c>
      <c r="N646" s="1539">
        <v>0.2</v>
      </c>
      <c r="O646" s="1539">
        <v>0.2</v>
      </c>
      <c r="P646" s="1592">
        <v>1</v>
      </c>
      <c r="Q646" s="1539">
        <v>0.1</v>
      </c>
      <c r="R646" s="1219"/>
      <c r="S646" s="1220"/>
      <c r="T646" s="1220"/>
      <c r="U646" s="1220"/>
      <c r="V646" s="1220"/>
      <c r="W646" s="1220"/>
      <c r="X646" s="1220"/>
      <c r="Y646" s="1220"/>
      <c r="Z646" s="1220"/>
      <c r="AA646" s="1220"/>
      <c r="AB646" s="1220"/>
      <c r="AC646" s="1220"/>
      <c r="AD646" s="1220"/>
      <c r="AE646" s="1220"/>
      <c r="AF646" s="1220"/>
      <c r="AG646" s="1220"/>
      <c r="AH646" s="1220"/>
      <c r="AI646" s="1220"/>
      <c r="AJ646" s="1220"/>
      <c r="AK646" s="1220"/>
      <c r="AL646" s="1220"/>
      <c r="AM646" s="1220"/>
      <c r="AN646" s="1220"/>
      <c r="AO646" s="1220"/>
      <c r="AP646" s="1220"/>
      <c r="AQ646" s="1220"/>
      <c r="AR646" s="1220"/>
      <c r="AS646" s="1220"/>
      <c r="AT646" s="1220"/>
      <c r="AU646" s="1220"/>
      <c r="AV646" s="1220"/>
      <c r="AW646" s="1220"/>
      <c r="AX646" s="1220"/>
      <c r="AY646" s="1220"/>
      <c r="AZ646" s="1220"/>
      <c r="BA646" s="1220"/>
      <c r="BB646" s="1220"/>
      <c r="BC646" s="1220"/>
      <c r="BD646" s="1220"/>
      <c r="BE646" s="1220"/>
      <c r="BF646" s="1220"/>
      <c r="BG646" s="1220"/>
      <c r="BH646" s="1220"/>
      <c r="BI646" s="1220"/>
      <c r="BJ646" s="1220"/>
      <c r="BK646" s="1220"/>
      <c r="BL646" s="1220"/>
      <c r="BM646" s="1220"/>
      <c r="BN646" s="1220"/>
      <c r="BO646" s="1220"/>
      <c r="BP646" s="1220"/>
      <c r="BQ646" s="1220"/>
      <c r="BR646" s="1220"/>
      <c r="BS646" s="1220"/>
      <c r="BT646" s="1220"/>
      <c r="BU646" s="1220"/>
      <c r="BV646" s="1220"/>
      <c r="BW646" s="1220"/>
      <c r="BX646" s="1220"/>
      <c r="BY646" s="1220"/>
      <c r="BZ646" s="1220"/>
      <c r="CA646" s="1220"/>
      <c r="CB646" s="1220"/>
      <c r="CC646" s="1220"/>
      <c r="CD646" s="1220"/>
      <c r="CE646" s="1220"/>
      <c r="CF646" s="1220"/>
      <c r="CG646" s="1220"/>
      <c r="CH646" s="1220"/>
      <c r="CI646" s="1220"/>
      <c r="CJ646" s="1220"/>
      <c r="CK646" s="1220"/>
      <c r="CL646" s="1220"/>
      <c r="CM646" s="1220"/>
      <c r="CN646" s="1220"/>
      <c r="CO646" s="1220"/>
      <c r="CP646" s="1220"/>
      <c r="CQ646" s="1220"/>
      <c r="CR646" s="1220"/>
      <c r="CS646" s="1220"/>
      <c r="CT646" s="1220"/>
      <c r="CU646" s="1220"/>
      <c r="CV646" s="1220"/>
      <c r="CW646" s="1220"/>
      <c r="CX646" s="1220"/>
      <c r="CY646" s="1220"/>
      <c r="CZ646" s="1220"/>
      <c r="DA646" s="1220"/>
      <c r="DB646" s="1220"/>
      <c r="DC646" s="1220"/>
      <c r="DD646" s="1220"/>
      <c r="DE646" s="1220"/>
      <c r="DF646" s="1220"/>
      <c r="DG646" s="1220"/>
      <c r="DH646" s="1220"/>
      <c r="DI646" s="1220"/>
      <c r="DJ646" s="1220"/>
      <c r="DK646" s="1220"/>
      <c r="DL646" s="1220"/>
      <c r="DM646" s="1220"/>
      <c r="DN646" s="1220"/>
      <c r="DO646" s="1220"/>
      <c r="DP646" s="1220"/>
      <c r="DQ646" s="1220"/>
      <c r="DR646" s="1220"/>
      <c r="DS646" s="1220"/>
      <c r="DT646" s="1220"/>
      <c r="DU646" s="1220"/>
      <c r="DV646" s="1220"/>
      <c r="DW646" s="1220"/>
      <c r="DX646" s="1220"/>
      <c r="DY646" s="1220"/>
      <c r="DZ646" s="1220"/>
      <c r="EA646" s="1220"/>
      <c r="EB646" s="1220"/>
      <c r="EC646" s="1220"/>
      <c r="ED646" s="1220"/>
      <c r="EE646" s="1220"/>
      <c r="EF646" s="1220"/>
      <c r="EG646" s="1220"/>
      <c r="EH646" s="1220"/>
      <c r="EI646" s="1220"/>
      <c r="EJ646" s="1220"/>
      <c r="EK646" s="1220"/>
      <c r="EL646" s="1220"/>
      <c r="EM646" s="1220"/>
      <c r="EN646" s="1220"/>
      <c r="EO646" s="1220"/>
      <c r="EP646" s="1220"/>
      <c r="EQ646" s="1220"/>
      <c r="ER646" s="1220"/>
      <c r="ES646" s="1220"/>
      <c r="ET646" s="1220"/>
      <c r="EU646" s="1220"/>
      <c r="EV646" s="1220"/>
      <c r="EW646" s="1220"/>
      <c r="EX646" s="1220"/>
      <c r="EY646" s="1220"/>
      <c r="EZ646" s="1220"/>
      <c r="FA646" s="1220"/>
      <c r="FB646" s="1220"/>
      <c r="FC646" s="1237"/>
    </row>
    <row r="647" spans="1:159" s="1238" customFormat="1" ht="32.1" customHeight="1">
      <c r="A647" s="1239"/>
      <c r="B647" s="1621" t="s">
        <v>5311</v>
      </c>
      <c r="C647" s="2571">
        <f>IF(J647&gt;$P647,1,IF(J647&lt;$Q647,0,(J647-$Q647)/($P647-$Q647)))</f>
        <v>0.52220394736842135</v>
      </c>
      <c r="D647" s="2571">
        <f t="shared" si="160"/>
        <v>0.85773026315789491</v>
      </c>
      <c r="E647" s="2571">
        <f t="shared" si="160"/>
        <v>0.66858552631578927</v>
      </c>
      <c r="F647" s="2571">
        <f t="shared" si="160"/>
        <v>0.30674342105263142</v>
      </c>
      <c r="G647" s="2571">
        <f t="shared" si="160"/>
        <v>0.59292763157894757</v>
      </c>
      <c r="H647" s="2571">
        <f t="shared" si="160"/>
        <v>0</v>
      </c>
      <c r="I647" s="1195" t="s">
        <v>5295</v>
      </c>
      <c r="J647" s="1539">
        <v>36.450000000000003</v>
      </c>
      <c r="K647" s="1539">
        <v>40.53</v>
      </c>
      <c r="L647" s="1539">
        <v>38.229999999999997</v>
      </c>
      <c r="M647" s="1539">
        <v>33.83</v>
      </c>
      <c r="N647" s="1539">
        <v>37.31</v>
      </c>
      <c r="O647" s="1539">
        <v>30.1</v>
      </c>
      <c r="P647" s="1539">
        <v>42.26</v>
      </c>
      <c r="Q647" s="1539">
        <v>30.1</v>
      </c>
      <c r="R647" s="1219"/>
      <c r="S647" s="1220"/>
      <c r="T647" s="1220"/>
      <c r="U647" s="1220"/>
      <c r="V647" s="1220"/>
      <c r="W647" s="1220"/>
      <c r="X647" s="1220"/>
      <c r="Y647" s="1220"/>
      <c r="Z647" s="1220"/>
      <c r="AA647" s="1220"/>
      <c r="AB647" s="1220"/>
      <c r="AC647" s="1220"/>
      <c r="AD647" s="1220"/>
      <c r="AE647" s="1220"/>
      <c r="AF647" s="1220"/>
      <c r="AG647" s="1220"/>
      <c r="AH647" s="1220"/>
      <c r="AI647" s="1220"/>
      <c r="AJ647" s="1220"/>
      <c r="AK647" s="1220"/>
      <c r="AL647" s="1220"/>
      <c r="AM647" s="1220"/>
      <c r="AN647" s="1220"/>
      <c r="AO647" s="1220"/>
      <c r="AP647" s="1220"/>
      <c r="AQ647" s="1220"/>
      <c r="AR647" s="1220"/>
      <c r="AS647" s="1220"/>
      <c r="AT647" s="1220"/>
      <c r="AU647" s="1220"/>
      <c r="AV647" s="1220"/>
      <c r="AW647" s="1220"/>
      <c r="AX647" s="1220"/>
      <c r="AY647" s="1220"/>
      <c r="AZ647" s="1220"/>
      <c r="BA647" s="1220"/>
      <c r="BB647" s="1220"/>
      <c r="BC647" s="1220"/>
      <c r="BD647" s="1220"/>
      <c r="BE647" s="1220"/>
      <c r="BF647" s="1220"/>
      <c r="BG647" s="1220"/>
      <c r="BH647" s="1220"/>
      <c r="BI647" s="1220"/>
      <c r="BJ647" s="1220"/>
      <c r="BK647" s="1220"/>
      <c r="BL647" s="1220"/>
      <c r="BM647" s="1220"/>
      <c r="BN647" s="1220"/>
      <c r="BO647" s="1220"/>
      <c r="BP647" s="1220"/>
      <c r="BQ647" s="1220"/>
      <c r="BR647" s="1220"/>
      <c r="BS647" s="1220"/>
      <c r="BT647" s="1220"/>
      <c r="BU647" s="1220"/>
      <c r="BV647" s="1220"/>
      <c r="BW647" s="1220"/>
      <c r="BX647" s="1220"/>
      <c r="BY647" s="1220"/>
      <c r="BZ647" s="1220"/>
      <c r="CA647" s="1220"/>
      <c r="CB647" s="1220"/>
      <c r="CC647" s="1220"/>
      <c r="CD647" s="1220"/>
      <c r="CE647" s="1220"/>
      <c r="CF647" s="1220"/>
      <c r="CG647" s="1220"/>
      <c r="CH647" s="1220"/>
      <c r="CI647" s="1220"/>
      <c r="CJ647" s="1220"/>
      <c r="CK647" s="1220"/>
      <c r="CL647" s="1220"/>
      <c r="CM647" s="1220"/>
      <c r="CN647" s="1220"/>
      <c r="CO647" s="1220"/>
      <c r="CP647" s="1220"/>
      <c r="CQ647" s="1220"/>
      <c r="CR647" s="1220"/>
      <c r="CS647" s="1220"/>
      <c r="CT647" s="1220"/>
      <c r="CU647" s="1220"/>
      <c r="CV647" s="1220"/>
      <c r="CW647" s="1220"/>
      <c r="CX647" s="1220"/>
      <c r="CY647" s="1220"/>
      <c r="CZ647" s="1220"/>
      <c r="DA647" s="1220"/>
      <c r="DB647" s="1220"/>
      <c r="DC647" s="1220"/>
      <c r="DD647" s="1220"/>
      <c r="DE647" s="1220"/>
      <c r="DF647" s="1220"/>
      <c r="DG647" s="1220"/>
      <c r="DH647" s="1220"/>
      <c r="DI647" s="1220"/>
      <c r="DJ647" s="1220"/>
      <c r="DK647" s="1220"/>
      <c r="DL647" s="1220"/>
      <c r="DM647" s="1220"/>
      <c r="DN647" s="1220"/>
      <c r="DO647" s="1220"/>
      <c r="DP647" s="1220"/>
      <c r="DQ647" s="1220"/>
      <c r="DR647" s="1220"/>
      <c r="DS647" s="1220"/>
      <c r="DT647" s="1220"/>
      <c r="DU647" s="1220"/>
      <c r="DV647" s="1220"/>
      <c r="DW647" s="1220"/>
      <c r="DX647" s="1220"/>
      <c r="DY647" s="1220"/>
      <c r="DZ647" s="1220"/>
      <c r="EA647" s="1220"/>
      <c r="EB647" s="1220"/>
      <c r="EC647" s="1220"/>
      <c r="ED647" s="1220"/>
      <c r="EE647" s="1220"/>
      <c r="EF647" s="1220"/>
      <c r="EG647" s="1220"/>
      <c r="EH647" s="1220"/>
      <c r="EI647" s="1220"/>
      <c r="EJ647" s="1220"/>
      <c r="EK647" s="1220"/>
      <c r="EL647" s="1220"/>
      <c r="EM647" s="1220"/>
      <c r="EN647" s="1220"/>
      <c r="EO647" s="1220"/>
      <c r="EP647" s="1220"/>
      <c r="EQ647" s="1220"/>
      <c r="ER647" s="1220"/>
      <c r="ES647" s="1220"/>
      <c r="ET647" s="1220"/>
      <c r="EU647" s="1220"/>
      <c r="EV647" s="1220"/>
      <c r="EW647" s="1220"/>
      <c r="EX647" s="1220"/>
      <c r="EY647" s="1220"/>
      <c r="EZ647" s="1220"/>
      <c r="FA647" s="1220"/>
      <c r="FB647" s="1220"/>
      <c r="FC647" s="1237"/>
    </row>
    <row r="648" spans="1:159" s="1241" customFormat="1" ht="32.1" customHeight="1">
      <c r="A648" s="1223"/>
      <c r="B648" s="1628" t="s">
        <v>6898</v>
      </c>
      <c r="C648" s="2571">
        <f t="shared" si="160"/>
        <v>0.28104575163398698</v>
      </c>
      <c r="D648" s="2571">
        <f t="shared" si="160"/>
        <v>0.90196078431372551</v>
      </c>
      <c r="E648" s="2571">
        <f t="shared" si="160"/>
        <v>0.90196078431372551</v>
      </c>
      <c r="F648" s="2571">
        <f t="shared" si="160"/>
        <v>0.21568627450980396</v>
      </c>
      <c r="G648" s="2571">
        <f t="shared" si="160"/>
        <v>0.60784313725490202</v>
      </c>
      <c r="H648" s="2571">
        <f t="shared" si="160"/>
        <v>1</v>
      </c>
      <c r="I648" s="1195" t="s">
        <v>5295</v>
      </c>
      <c r="J648" s="1630">
        <v>52</v>
      </c>
      <c r="K648" s="1630">
        <v>71</v>
      </c>
      <c r="L648" s="1630">
        <v>71</v>
      </c>
      <c r="M648" s="1630">
        <v>50</v>
      </c>
      <c r="N648" s="1630">
        <v>62</v>
      </c>
      <c r="O648" s="1635">
        <v>78</v>
      </c>
      <c r="P648" s="1630">
        <v>74</v>
      </c>
      <c r="Q648" s="1636">
        <v>43.4</v>
      </c>
      <c r="R648" s="1081"/>
      <c r="S648" s="1082"/>
      <c r="T648" s="1082"/>
      <c r="U648" s="1082"/>
      <c r="V648" s="1082"/>
      <c r="W648" s="1082"/>
      <c r="X648" s="1082"/>
      <c r="Y648" s="1082"/>
      <c r="Z648" s="1082"/>
      <c r="AA648" s="1082"/>
      <c r="AB648" s="1082"/>
      <c r="AC648" s="1082"/>
      <c r="AD648" s="1082"/>
      <c r="AE648" s="1082"/>
      <c r="AF648" s="1082"/>
      <c r="AG648" s="1082"/>
      <c r="AH648" s="1082"/>
      <c r="AI648" s="1082"/>
      <c r="AJ648" s="1082"/>
      <c r="AK648" s="1082"/>
      <c r="AL648" s="1082"/>
      <c r="AM648" s="1082"/>
      <c r="AN648" s="1082"/>
      <c r="AO648" s="1082"/>
      <c r="AP648" s="1082"/>
      <c r="AQ648" s="1082"/>
      <c r="AR648" s="1082"/>
      <c r="AS648" s="1082"/>
      <c r="AT648" s="1082"/>
      <c r="AU648" s="1082"/>
      <c r="AV648" s="1082"/>
      <c r="AW648" s="1082"/>
      <c r="AX648" s="1082"/>
      <c r="AY648" s="1082"/>
      <c r="AZ648" s="1082"/>
      <c r="BA648" s="1082"/>
      <c r="BB648" s="1082"/>
      <c r="BC648" s="1082"/>
      <c r="BD648" s="1082"/>
      <c r="BE648" s="1082"/>
      <c r="BF648" s="1082"/>
      <c r="BG648" s="1082"/>
      <c r="BH648" s="1082"/>
      <c r="BI648" s="1082"/>
      <c r="BJ648" s="1082"/>
      <c r="BK648" s="1082"/>
      <c r="BL648" s="1082"/>
      <c r="BM648" s="1082"/>
      <c r="BN648" s="1082"/>
      <c r="BO648" s="1082"/>
      <c r="BP648" s="1082"/>
      <c r="BQ648" s="1082"/>
      <c r="BR648" s="1082"/>
      <c r="BS648" s="1082"/>
      <c r="BT648" s="1082"/>
      <c r="BU648" s="1082"/>
      <c r="BV648" s="1082"/>
      <c r="BW648" s="1082"/>
      <c r="BX648" s="1082"/>
      <c r="BY648" s="1082"/>
      <c r="BZ648" s="1082"/>
      <c r="CA648" s="1082"/>
      <c r="CB648" s="1082"/>
      <c r="CC648" s="1082"/>
      <c r="CD648" s="1082"/>
      <c r="CE648" s="1082"/>
      <c r="CF648" s="1082"/>
      <c r="CG648" s="1082"/>
      <c r="CH648" s="1082"/>
      <c r="CI648" s="1082"/>
      <c r="CJ648" s="1082"/>
      <c r="CK648" s="1082"/>
      <c r="CL648" s="1082"/>
      <c r="CM648" s="1082"/>
      <c r="CN648" s="1082"/>
      <c r="CO648" s="1082"/>
      <c r="CP648" s="1082"/>
      <c r="CQ648" s="1082"/>
      <c r="CR648" s="1082"/>
      <c r="CS648" s="1082"/>
      <c r="CT648" s="1082"/>
      <c r="CU648" s="1082"/>
      <c r="CV648" s="1082"/>
      <c r="CW648" s="1082"/>
      <c r="CX648" s="1082"/>
      <c r="CY648" s="1082"/>
      <c r="CZ648" s="1082"/>
      <c r="DA648" s="1082"/>
      <c r="DB648" s="1082"/>
      <c r="DC648" s="1082"/>
      <c r="DD648" s="1082"/>
      <c r="DE648" s="1082"/>
      <c r="DF648" s="1082"/>
      <c r="DG648" s="1082"/>
      <c r="DH648" s="1082"/>
      <c r="DI648" s="1082"/>
      <c r="DJ648" s="1082"/>
      <c r="DK648" s="1082"/>
      <c r="DL648" s="1082"/>
      <c r="DM648" s="1082"/>
      <c r="DN648" s="1082"/>
      <c r="DO648" s="1082"/>
      <c r="DP648" s="1082"/>
      <c r="DQ648" s="1082"/>
      <c r="DR648" s="1082"/>
      <c r="DS648" s="1082"/>
      <c r="DT648" s="1082"/>
      <c r="DU648" s="1082"/>
      <c r="DV648" s="1082"/>
      <c r="DW648" s="1082"/>
      <c r="DX648" s="1082"/>
      <c r="DY648" s="1082"/>
      <c r="DZ648" s="1082"/>
      <c r="EA648" s="1082"/>
      <c r="EB648" s="1082"/>
      <c r="EC648" s="1082"/>
      <c r="ED648" s="1082"/>
      <c r="EE648" s="1082"/>
      <c r="EF648" s="1082"/>
      <c r="EG648" s="1082"/>
      <c r="EH648" s="1082"/>
      <c r="EI648" s="1082"/>
      <c r="EJ648" s="1082"/>
      <c r="EK648" s="1082"/>
      <c r="EL648" s="1082"/>
      <c r="EM648" s="1082"/>
      <c r="EN648" s="1082"/>
      <c r="EO648" s="1082"/>
      <c r="EP648" s="1082"/>
      <c r="EQ648" s="1082"/>
      <c r="ER648" s="1082"/>
      <c r="ES648" s="1082"/>
      <c r="ET648" s="1082"/>
      <c r="EU648" s="1082"/>
      <c r="EV648" s="1082"/>
      <c r="EW648" s="1082"/>
      <c r="EX648" s="1082"/>
      <c r="EY648" s="1082"/>
      <c r="EZ648" s="1082"/>
      <c r="FA648" s="1082"/>
      <c r="FB648" s="1082"/>
      <c r="FC648" s="1240"/>
    </row>
    <row r="649" spans="1:159" s="1226" customFormat="1" ht="32.1" customHeight="1">
      <c r="A649" s="1223"/>
      <c r="B649" s="1743" t="s">
        <v>6940</v>
      </c>
      <c r="C649" s="2571">
        <f t="shared" si="160"/>
        <v>0.72222222222222221</v>
      </c>
      <c r="D649" s="2571">
        <f t="shared" si="160"/>
        <v>0</v>
      </c>
      <c r="E649" s="2571">
        <f t="shared" si="160"/>
        <v>0.77777777777777801</v>
      </c>
      <c r="F649" s="2571">
        <f t="shared" si="160"/>
        <v>0.72222222222222221</v>
      </c>
      <c r="G649" s="2571">
        <f t="shared" si="160"/>
        <v>0.55555555555555558</v>
      </c>
      <c r="H649" s="2571">
        <f t="shared" si="160"/>
        <v>0.66666666666666685</v>
      </c>
      <c r="I649" s="1195" t="s">
        <v>5295</v>
      </c>
      <c r="J649" s="1539">
        <v>4.5999999999999996</v>
      </c>
      <c r="K649" s="1539">
        <v>3.3</v>
      </c>
      <c r="L649" s="1539">
        <v>4.7</v>
      </c>
      <c r="M649" s="1539">
        <v>4.5999999999999996</v>
      </c>
      <c r="N649" s="1539">
        <v>4.3</v>
      </c>
      <c r="O649" s="1539">
        <v>4.5</v>
      </c>
      <c r="P649" s="1539">
        <v>5.0999999999999996</v>
      </c>
      <c r="Q649" s="1540">
        <v>3.3</v>
      </c>
      <c r="R649" s="1081"/>
      <c r="S649" s="1082"/>
      <c r="T649" s="1082"/>
      <c r="U649" s="1082"/>
      <c r="V649" s="1082"/>
      <c r="W649" s="1082"/>
      <c r="X649" s="1082"/>
      <c r="Y649" s="1082"/>
      <c r="Z649" s="1082"/>
      <c r="AA649" s="1082"/>
      <c r="AB649" s="1082"/>
      <c r="AC649" s="1082"/>
      <c r="AD649" s="1082"/>
      <c r="AE649" s="1082"/>
      <c r="AF649" s="1082"/>
      <c r="AG649" s="1082"/>
      <c r="AH649" s="1082"/>
      <c r="AI649" s="1082"/>
      <c r="AJ649" s="1082"/>
      <c r="AK649" s="1082"/>
      <c r="AL649" s="1082"/>
      <c r="AM649" s="1082"/>
      <c r="AN649" s="1082"/>
      <c r="AO649" s="1082"/>
      <c r="AP649" s="1082"/>
      <c r="AQ649" s="1082"/>
      <c r="AR649" s="1082"/>
      <c r="AS649" s="1082"/>
      <c r="AT649" s="1082"/>
      <c r="AU649" s="1082"/>
      <c r="AV649" s="1082"/>
      <c r="AW649" s="1082"/>
      <c r="AX649" s="1082"/>
      <c r="AY649" s="1082"/>
      <c r="AZ649" s="1082"/>
      <c r="BA649" s="1082"/>
      <c r="BB649" s="1082"/>
      <c r="BC649" s="1082"/>
      <c r="BD649" s="1082"/>
      <c r="BE649" s="1082"/>
      <c r="BF649" s="1082"/>
      <c r="BG649" s="1082"/>
      <c r="BH649" s="1082"/>
      <c r="BI649" s="1082"/>
      <c r="BJ649" s="1082"/>
      <c r="BK649" s="1082"/>
      <c r="BL649" s="1082"/>
      <c r="BM649" s="1082"/>
      <c r="BN649" s="1082"/>
      <c r="BO649" s="1082"/>
      <c r="BP649" s="1082"/>
      <c r="BQ649" s="1082"/>
      <c r="BR649" s="1082"/>
      <c r="BS649" s="1082"/>
      <c r="BT649" s="1082"/>
      <c r="BU649" s="1082"/>
      <c r="BV649" s="1082"/>
      <c r="BW649" s="1082"/>
      <c r="BX649" s="1082"/>
      <c r="BY649" s="1082"/>
      <c r="BZ649" s="1082"/>
      <c r="CA649" s="1082"/>
      <c r="CB649" s="1082"/>
      <c r="CC649" s="1082"/>
      <c r="CD649" s="1082"/>
      <c r="CE649" s="1082"/>
      <c r="CF649" s="1082"/>
      <c r="CG649" s="1082"/>
      <c r="CH649" s="1082"/>
      <c r="CI649" s="1082"/>
      <c r="CJ649" s="1082"/>
      <c r="CK649" s="1082"/>
      <c r="CL649" s="1082"/>
      <c r="CM649" s="1082"/>
      <c r="CN649" s="1082"/>
      <c r="CO649" s="1082"/>
      <c r="CP649" s="1082"/>
      <c r="CQ649" s="1082"/>
      <c r="CR649" s="1082"/>
      <c r="CS649" s="1082"/>
      <c r="CT649" s="1082"/>
      <c r="CU649" s="1082"/>
      <c r="CV649" s="1082"/>
      <c r="CW649" s="1082"/>
      <c r="CX649" s="1082"/>
      <c r="CY649" s="1082"/>
      <c r="CZ649" s="1082"/>
      <c r="DA649" s="1082"/>
      <c r="DB649" s="1082"/>
      <c r="DC649" s="1082"/>
      <c r="DD649" s="1082"/>
      <c r="DE649" s="1082"/>
      <c r="DF649" s="1082"/>
      <c r="DG649" s="1082"/>
      <c r="DH649" s="1082"/>
      <c r="DI649" s="1082"/>
      <c r="DJ649" s="1082"/>
      <c r="DK649" s="1082"/>
      <c r="DL649" s="1082"/>
      <c r="DM649" s="1082"/>
      <c r="DN649" s="1082"/>
      <c r="DO649" s="1082"/>
      <c r="DP649" s="1082"/>
      <c r="DQ649" s="1082"/>
      <c r="DR649" s="1082"/>
      <c r="DS649" s="1082"/>
      <c r="DT649" s="1082"/>
      <c r="DU649" s="1082"/>
      <c r="DV649" s="1082"/>
      <c r="DW649" s="1082"/>
      <c r="DX649" s="1082"/>
      <c r="DY649" s="1082"/>
      <c r="DZ649" s="1082"/>
      <c r="EA649" s="1082"/>
      <c r="EB649" s="1082"/>
      <c r="EC649" s="1082"/>
      <c r="ED649" s="1082"/>
      <c r="EE649" s="1082"/>
      <c r="EF649" s="1082"/>
      <c r="EG649" s="1082"/>
      <c r="EH649" s="1082"/>
      <c r="EI649" s="1082"/>
      <c r="EJ649" s="1082"/>
      <c r="EK649" s="1082"/>
      <c r="EL649" s="1082"/>
      <c r="EM649" s="1082"/>
      <c r="EN649" s="1082"/>
      <c r="EO649" s="1082"/>
      <c r="EP649" s="1082"/>
      <c r="EQ649" s="1082"/>
      <c r="ER649" s="1082"/>
      <c r="ES649" s="1082"/>
      <c r="ET649" s="1082"/>
      <c r="EU649" s="1082"/>
      <c r="EV649" s="1082"/>
      <c r="EW649" s="1082"/>
      <c r="EX649" s="1082"/>
      <c r="EY649" s="1082"/>
      <c r="EZ649" s="1082"/>
      <c r="FA649" s="1082"/>
      <c r="FB649" s="1082"/>
      <c r="FC649" s="1225"/>
    </row>
    <row r="650" spans="1:159" s="1242" customFormat="1" ht="32.1" customHeight="1">
      <c r="A650" s="1223"/>
      <c r="B650" s="1593" t="s">
        <v>5312</v>
      </c>
      <c r="C650" s="2571">
        <f t="shared" si="160"/>
        <v>1</v>
      </c>
      <c r="D650" s="2571">
        <f t="shared" si="160"/>
        <v>0</v>
      </c>
      <c r="E650" s="2571">
        <f t="shared" si="160"/>
        <v>0.49523809523809503</v>
      </c>
      <c r="F650" s="2571">
        <f t="shared" si="160"/>
        <v>0.66666666666666663</v>
      </c>
      <c r="G650" s="2571">
        <f t="shared" si="160"/>
        <v>0.25079365079365096</v>
      </c>
      <c r="H650" s="2571">
        <f t="shared" si="160"/>
        <v>0.10476190476190467</v>
      </c>
      <c r="I650" s="1195" t="s">
        <v>5295</v>
      </c>
      <c r="J650" s="1592">
        <v>144</v>
      </c>
      <c r="K650" s="1592">
        <v>108</v>
      </c>
      <c r="L650" s="1539">
        <v>123.6</v>
      </c>
      <c r="M650" s="1592">
        <v>129</v>
      </c>
      <c r="N650" s="1539">
        <v>115.9</v>
      </c>
      <c r="O650" s="1539">
        <v>111.3</v>
      </c>
      <c r="P650" s="1539">
        <v>139.5</v>
      </c>
      <c r="Q650" s="1540">
        <v>108</v>
      </c>
      <c r="R650" s="1081"/>
      <c r="S650" s="1082"/>
      <c r="T650" s="1082"/>
      <c r="U650" s="1082"/>
      <c r="V650" s="1082"/>
      <c r="W650" s="1082"/>
      <c r="X650" s="1082"/>
      <c r="Y650" s="1082"/>
      <c r="Z650" s="1082"/>
      <c r="AA650" s="1082"/>
      <c r="AB650" s="1082"/>
      <c r="AC650" s="1082"/>
      <c r="AD650" s="1082"/>
      <c r="AE650" s="1082"/>
      <c r="AF650" s="1082"/>
      <c r="AG650" s="1082"/>
      <c r="AH650" s="1082"/>
      <c r="AI650" s="1082"/>
      <c r="AJ650" s="1082"/>
      <c r="AK650" s="1082"/>
      <c r="AL650" s="1082"/>
      <c r="AM650" s="1082"/>
      <c r="AN650" s="1082"/>
      <c r="AO650" s="1082"/>
      <c r="AP650" s="1082"/>
      <c r="AQ650" s="1082"/>
      <c r="AR650" s="1082"/>
      <c r="AS650" s="1082"/>
      <c r="AT650" s="1082"/>
      <c r="AU650" s="1082"/>
      <c r="AV650" s="1082"/>
      <c r="AW650" s="1082"/>
      <c r="AX650" s="1082"/>
      <c r="AY650" s="1082"/>
      <c r="AZ650" s="1082"/>
      <c r="BA650" s="1082"/>
      <c r="BB650" s="1082"/>
      <c r="BC650" s="1082"/>
      <c r="BD650" s="1082"/>
      <c r="BE650" s="1082"/>
      <c r="BF650" s="1082"/>
      <c r="BG650" s="1082"/>
      <c r="BH650" s="1082"/>
      <c r="BI650" s="1082"/>
      <c r="BJ650" s="1082"/>
      <c r="BK650" s="1082"/>
      <c r="BL650" s="1082"/>
      <c r="BM650" s="1082"/>
      <c r="BN650" s="1082"/>
      <c r="BO650" s="1082"/>
      <c r="BP650" s="1082"/>
      <c r="BQ650" s="1082"/>
      <c r="BR650" s="1082"/>
      <c r="BS650" s="1082"/>
      <c r="BT650" s="1082"/>
      <c r="BU650" s="1082"/>
      <c r="BV650" s="1082"/>
      <c r="BW650" s="1082"/>
      <c r="BX650" s="1082"/>
      <c r="BY650" s="1082"/>
      <c r="BZ650" s="1082"/>
      <c r="CA650" s="1082"/>
      <c r="CB650" s="1082"/>
      <c r="CC650" s="1082"/>
      <c r="CD650" s="1082"/>
      <c r="CE650" s="1082"/>
      <c r="CF650" s="1082"/>
      <c r="CG650" s="1082"/>
      <c r="CH650" s="1082"/>
      <c r="CI650" s="1082"/>
      <c r="CJ650" s="1082"/>
      <c r="CK650" s="1082"/>
      <c r="CL650" s="1082"/>
      <c r="CM650" s="1082"/>
      <c r="CN650" s="1082"/>
      <c r="CO650" s="1082"/>
      <c r="CP650" s="1082"/>
      <c r="CQ650" s="1082"/>
      <c r="CR650" s="1082"/>
      <c r="CS650" s="1082"/>
      <c r="CT650" s="1082"/>
      <c r="CU650" s="1082"/>
      <c r="CV650" s="1082"/>
      <c r="CW650" s="1082"/>
      <c r="CX650" s="1082"/>
      <c r="CY650" s="1082"/>
      <c r="CZ650" s="1082"/>
      <c r="DA650" s="1082"/>
      <c r="DB650" s="1082"/>
      <c r="DC650" s="1082"/>
      <c r="DD650" s="1082"/>
      <c r="DE650" s="1082"/>
      <c r="DF650" s="1082"/>
      <c r="DG650" s="1082"/>
      <c r="DH650" s="1082"/>
      <c r="DI650" s="1082"/>
      <c r="DJ650" s="1082"/>
      <c r="DK650" s="1082"/>
      <c r="DL650" s="1082"/>
      <c r="DM650" s="1082"/>
      <c r="DN650" s="1082"/>
      <c r="DO650" s="1082"/>
      <c r="DP650" s="1082"/>
      <c r="DQ650" s="1082"/>
      <c r="DR650" s="1082"/>
      <c r="DS650" s="1082"/>
      <c r="DT650" s="1082"/>
      <c r="DU650" s="1082"/>
      <c r="DV650" s="1082"/>
      <c r="DW650" s="1082"/>
      <c r="DX650" s="1082"/>
      <c r="DY650" s="1082"/>
      <c r="DZ650" s="1082"/>
      <c r="EA650" s="1082"/>
      <c r="EB650" s="1082"/>
      <c r="EC650" s="1082"/>
      <c r="ED650" s="1082"/>
      <c r="EE650" s="1082"/>
      <c r="EF650" s="1082"/>
      <c r="EG650" s="1082"/>
      <c r="EH650" s="1082"/>
      <c r="EI650" s="1082"/>
      <c r="EJ650" s="1082"/>
      <c r="EK650" s="1082"/>
      <c r="EL650" s="1082"/>
      <c r="EM650" s="1082"/>
      <c r="EN650" s="1082"/>
      <c r="EO650" s="1082"/>
      <c r="EP650" s="1082"/>
      <c r="EQ650" s="1082"/>
      <c r="ER650" s="1082"/>
      <c r="ES650" s="1082"/>
      <c r="ET650" s="1082"/>
      <c r="EU650" s="1082"/>
      <c r="EV650" s="1082"/>
      <c r="EW650" s="1082"/>
      <c r="EX650" s="1082"/>
      <c r="EY650" s="1082"/>
      <c r="EZ650" s="1082"/>
      <c r="FA650" s="1082"/>
      <c r="FB650" s="1082"/>
    </row>
    <row r="651" spans="1:159" s="1209" customFormat="1" ht="32.1" customHeight="1">
      <c r="A651" s="1603" t="s">
        <v>6855</v>
      </c>
      <c r="B651" s="1067" t="s">
        <v>5324</v>
      </c>
      <c r="C651" s="1500">
        <f t="shared" ref="C651:H651" si="161">AVERAGE(C652,C653,C654)</f>
        <v>0.75</v>
      </c>
      <c r="D651" s="1500">
        <f t="shared" si="161"/>
        <v>0.75</v>
      </c>
      <c r="E651" s="1500">
        <f t="shared" si="161"/>
        <v>0.5</v>
      </c>
      <c r="F651" s="1500">
        <f t="shared" si="161"/>
        <v>0.5</v>
      </c>
      <c r="G651" s="1500">
        <f t="shared" si="161"/>
        <v>0.75</v>
      </c>
      <c r="H651" s="1500">
        <f t="shared" si="161"/>
        <v>0.5</v>
      </c>
      <c r="I651" s="1465" t="s">
        <v>495</v>
      </c>
      <c r="J651" s="1207"/>
      <c r="K651" s="1208"/>
      <c r="L651" s="1208"/>
      <c r="M651" s="1208"/>
      <c r="N651" s="1208"/>
      <c r="O651" s="1208"/>
      <c r="P651" s="1208"/>
      <c r="Q651" s="1208"/>
      <c r="R651" s="1081"/>
      <c r="S651" s="1082"/>
      <c r="T651" s="1082"/>
      <c r="U651" s="1082"/>
      <c r="V651" s="1082"/>
      <c r="W651" s="1082"/>
      <c r="X651" s="1082"/>
      <c r="Y651" s="1082"/>
      <c r="Z651" s="1082"/>
      <c r="AA651" s="1082"/>
      <c r="AB651" s="1082"/>
      <c r="AC651" s="1082"/>
      <c r="AD651" s="1082"/>
      <c r="AE651" s="1082"/>
      <c r="AF651" s="1082"/>
      <c r="AG651" s="1082"/>
      <c r="AH651" s="1082"/>
      <c r="AI651" s="1082"/>
      <c r="AJ651" s="1082"/>
      <c r="AK651" s="1082"/>
      <c r="AL651" s="1082"/>
      <c r="AM651" s="1082"/>
      <c r="AN651" s="1082"/>
      <c r="AO651" s="1082"/>
      <c r="AP651" s="1082"/>
      <c r="AQ651" s="1082"/>
      <c r="AR651" s="1082"/>
      <c r="AS651" s="1082"/>
      <c r="AT651" s="1082"/>
      <c r="AU651" s="1082"/>
      <c r="AV651" s="1082"/>
      <c r="AW651" s="1082"/>
      <c r="AX651" s="1082"/>
      <c r="AY651" s="1082"/>
      <c r="AZ651" s="1082"/>
      <c r="BA651" s="1082"/>
      <c r="BB651" s="1082"/>
      <c r="BC651" s="1082"/>
      <c r="BD651" s="1082"/>
      <c r="BE651" s="1082"/>
      <c r="BF651" s="1082"/>
      <c r="BG651" s="1082"/>
      <c r="BH651" s="1082"/>
      <c r="BI651" s="1082"/>
      <c r="BJ651" s="1082"/>
      <c r="BK651" s="1082"/>
      <c r="BL651" s="1082"/>
      <c r="BM651" s="1082"/>
      <c r="BN651" s="1082"/>
      <c r="BO651" s="1082"/>
      <c r="BP651" s="1082"/>
      <c r="BQ651" s="1082"/>
      <c r="BR651" s="1082"/>
      <c r="BS651" s="1082"/>
      <c r="BT651" s="1082"/>
      <c r="BU651" s="1082"/>
      <c r="BV651" s="1082"/>
      <c r="BW651" s="1082"/>
      <c r="BX651" s="1082"/>
      <c r="BY651" s="1082"/>
      <c r="BZ651" s="1082"/>
      <c r="CA651" s="1082"/>
      <c r="CB651" s="1082"/>
      <c r="CC651" s="1082"/>
      <c r="CD651" s="1082"/>
      <c r="CE651" s="1082"/>
      <c r="CF651" s="1082"/>
      <c r="CG651" s="1082"/>
      <c r="CH651" s="1082"/>
      <c r="CI651" s="1082"/>
      <c r="CJ651" s="1082"/>
      <c r="CK651" s="1082"/>
      <c r="CL651" s="1082"/>
      <c r="CM651" s="1082"/>
      <c r="CN651" s="1082"/>
      <c r="CO651" s="1082"/>
      <c r="CP651" s="1082"/>
      <c r="CQ651" s="1082"/>
      <c r="CR651" s="1082"/>
      <c r="CS651" s="1082"/>
      <c r="CT651" s="1082"/>
      <c r="CU651" s="1082"/>
      <c r="CV651" s="1082"/>
      <c r="CW651" s="1082"/>
      <c r="CX651" s="1082"/>
      <c r="CY651" s="1082"/>
      <c r="CZ651" s="1082"/>
      <c r="DA651" s="1082"/>
      <c r="DB651" s="1082"/>
      <c r="DC651" s="1082"/>
      <c r="DD651" s="1082"/>
      <c r="DE651" s="1082"/>
      <c r="DF651" s="1082"/>
      <c r="DG651" s="1082"/>
      <c r="DH651" s="1082"/>
      <c r="DI651" s="1082"/>
      <c r="DJ651" s="1082"/>
      <c r="DK651" s="1082"/>
      <c r="DL651" s="1082"/>
      <c r="DM651" s="1082"/>
      <c r="DN651" s="1082"/>
      <c r="DO651" s="1082"/>
      <c r="DP651" s="1082"/>
      <c r="DQ651" s="1082"/>
      <c r="DR651" s="1082"/>
      <c r="DS651" s="1082"/>
      <c r="DT651" s="1082"/>
      <c r="DU651" s="1082"/>
      <c r="DV651" s="1082"/>
      <c r="DW651" s="1082"/>
      <c r="DX651" s="1082"/>
      <c r="DY651" s="1082"/>
      <c r="DZ651" s="1082"/>
      <c r="EA651" s="1082"/>
      <c r="EB651" s="1082"/>
      <c r="EC651" s="1082"/>
      <c r="ED651" s="1082"/>
      <c r="EE651" s="1082"/>
      <c r="EF651" s="1082"/>
      <c r="EG651" s="1082"/>
      <c r="EH651" s="1082"/>
      <c r="EI651" s="1082"/>
      <c r="EJ651" s="1082"/>
      <c r="EK651" s="1082"/>
      <c r="EL651" s="1082"/>
      <c r="EM651" s="1082"/>
      <c r="EN651" s="1082"/>
      <c r="EO651" s="1082"/>
      <c r="EP651" s="1082"/>
      <c r="EQ651" s="1082"/>
      <c r="ER651" s="1082"/>
      <c r="ES651" s="1082"/>
      <c r="ET651" s="1082"/>
      <c r="EU651" s="1082"/>
      <c r="EV651" s="1082"/>
      <c r="EW651" s="1082"/>
      <c r="EX651" s="1082"/>
      <c r="EY651" s="1082"/>
      <c r="EZ651" s="1082"/>
      <c r="FA651" s="1082"/>
      <c r="FB651" s="1082"/>
    </row>
    <row r="652" spans="1:159" s="1226" customFormat="1" ht="32.1" customHeight="1">
      <c r="A652" s="1217"/>
      <c r="B652" s="1236" t="s">
        <v>5313</v>
      </c>
      <c r="C652" s="1538">
        <f>IF(J652&lt;$P652,1,IF(J652&gt;$Q652,0,(J652-$Q652)/($P652-$Q652)))</f>
        <v>1</v>
      </c>
      <c r="D652" s="1538">
        <f t="shared" ref="D652:H652" si="162">IF(K652&lt;$P652,1,IF(K652&gt;$Q652,0,(K652-$Q652)/($P652-$Q652)))</f>
        <v>1</v>
      </c>
      <c r="E652" s="1538">
        <f t="shared" si="162"/>
        <v>1</v>
      </c>
      <c r="F652" s="1538">
        <f t="shared" si="162"/>
        <v>1</v>
      </c>
      <c r="G652" s="1538">
        <f t="shared" si="162"/>
        <v>1</v>
      </c>
      <c r="H652" s="1538">
        <f t="shared" si="162"/>
        <v>1</v>
      </c>
      <c r="I652" s="1195" t="s">
        <v>5295</v>
      </c>
      <c r="J652" s="1542">
        <v>7.01</v>
      </c>
      <c r="K652" s="1542">
        <v>0.52</v>
      </c>
      <c r="L652" s="1542">
        <v>0.05</v>
      </c>
      <c r="M652" s="1542">
        <v>6.76</v>
      </c>
      <c r="N652" s="1542">
        <v>4.83</v>
      </c>
      <c r="O652" s="1542">
        <v>4.47</v>
      </c>
      <c r="P652" s="1542">
        <v>25.15</v>
      </c>
      <c r="Q652" s="1543">
        <v>7.01</v>
      </c>
      <c r="R652" s="1081"/>
      <c r="S652" s="1082"/>
      <c r="T652" s="1082"/>
      <c r="U652" s="1082"/>
      <c r="V652" s="1082"/>
      <c r="W652" s="1082"/>
      <c r="X652" s="1082"/>
      <c r="Y652" s="1082"/>
      <c r="Z652" s="1082"/>
      <c r="AA652" s="1082"/>
      <c r="AB652" s="1082"/>
      <c r="AC652" s="1082"/>
      <c r="AD652" s="1082"/>
      <c r="AE652" s="1082"/>
      <c r="AF652" s="1082"/>
      <c r="AG652" s="1082"/>
      <c r="AH652" s="1082"/>
      <c r="AI652" s="1082"/>
      <c r="AJ652" s="1082"/>
      <c r="AK652" s="1082"/>
      <c r="AL652" s="1082"/>
      <c r="AM652" s="1082"/>
      <c r="AN652" s="1082"/>
      <c r="AO652" s="1082"/>
      <c r="AP652" s="1082"/>
      <c r="AQ652" s="1082"/>
      <c r="AR652" s="1082"/>
      <c r="AS652" s="1082"/>
      <c r="AT652" s="1082"/>
      <c r="AU652" s="1082"/>
      <c r="AV652" s="1082"/>
      <c r="AW652" s="1082"/>
      <c r="AX652" s="1082"/>
      <c r="AY652" s="1082"/>
      <c r="AZ652" s="1082"/>
      <c r="BA652" s="1082"/>
      <c r="BB652" s="1082"/>
      <c r="BC652" s="1082"/>
      <c r="BD652" s="1082"/>
      <c r="BE652" s="1082"/>
      <c r="BF652" s="1082"/>
      <c r="BG652" s="1082"/>
      <c r="BH652" s="1082"/>
      <c r="BI652" s="1082"/>
      <c r="BJ652" s="1082"/>
      <c r="BK652" s="1082"/>
      <c r="BL652" s="1082"/>
      <c r="BM652" s="1082"/>
      <c r="BN652" s="1082"/>
      <c r="BO652" s="1082"/>
      <c r="BP652" s="1082"/>
      <c r="BQ652" s="1082"/>
      <c r="BR652" s="1082"/>
      <c r="BS652" s="1082"/>
      <c r="BT652" s="1082"/>
      <c r="BU652" s="1082"/>
      <c r="BV652" s="1082"/>
      <c r="BW652" s="1082"/>
      <c r="BX652" s="1082"/>
      <c r="BY652" s="1082"/>
      <c r="BZ652" s="1082"/>
      <c r="CA652" s="1082"/>
      <c r="CB652" s="1082"/>
      <c r="CC652" s="1082"/>
      <c r="CD652" s="1082"/>
      <c r="CE652" s="1082"/>
      <c r="CF652" s="1082"/>
      <c r="CG652" s="1082"/>
      <c r="CH652" s="1082"/>
      <c r="CI652" s="1082"/>
      <c r="CJ652" s="1082"/>
      <c r="CK652" s="1082"/>
      <c r="CL652" s="1082"/>
      <c r="CM652" s="1082"/>
      <c r="CN652" s="1082"/>
      <c r="CO652" s="1082"/>
      <c r="CP652" s="1082"/>
      <c r="CQ652" s="1082"/>
      <c r="CR652" s="1082"/>
      <c r="CS652" s="1082"/>
      <c r="CT652" s="1082"/>
      <c r="CU652" s="1082"/>
      <c r="CV652" s="1082"/>
      <c r="CW652" s="1082"/>
      <c r="CX652" s="1082"/>
      <c r="CY652" s="1082"/>
      <c r="CZ652" s="1082"/>
      <c r="DA652" s="1082"/>
      <c r="DB652" s="1082"/>
      <c r="DC652" s="1082"/>
      <c r="DD652" s="1082"/>
      <c r="DE652" s="1082"/>
      <c r="DF652" s="1082"/>
      <c r="DG652" s="1082"/>
      <c r="DH652" s="1082"/>
      <c r="DI652" s="1082"/>
      <c r="DJ652" s="1082"/>
      <c r="DK652" s="1082"/>
      <c r="DL652" s="1082"/>
      <c r="DM652" s="1082"/>
      <c r="DN652" s="1082"/>
      <c r="DO652" s="1082"/>
      <c r="DP652" s="1082"/>
      <c r="DQ652" s="1082"/>
      <c r="DR652" s="1082"/>
      <c r="DS652" s="1082"/>
      <c r="DT652" s="1082"/>
      <c r="DU652" s="1082"/>
      <c r="DV652" s="1082"/>
      <c r="DW652" s="1082"/>
      <c r="DX652" s="1082"/>
      <c r="DY652" s="1082"/>
      <c r="DZ652" s="1082"/>
      <c r="EA652" s="1082"/>
      <c r="EB652" s="1082"/>
      <c r="EC652" s="1082"/>
      <c r="ED652" s="1082"/>
      <c r="EE652" s="1082"/>
      <c r="EF652" s="1082"/>
      <c r="EG652" s="1082"/>
      <c r="EH652" s="1082"/>
      <c r="EI652" s="1082"/>
      <c r="EJ652" s="1082"/>
      <c r="EK652" s="1082"/>
      <c r="EL652" s="1082"/>
      <c r="EM652" s="1082"/>
      <c r="EN652" s="1082"/>
      <c r="EO652" s="1082"/>
      <c r="EP652" s="1082"/>
      <c r="EQ652" s="1082"/>
      <c r="ER652" s="1082"/>
      <c r="ES652" s="1082"/>
      <c r="ET652" s="1082"/>
      <c r="EU652" s="1082"/>
      <c r="EV652" s="1082"/>
      <c r="EW652" s="1082"/>
      <c r="EX652" s="1082"/>
      <c r="EY652" s="1082"/>
      <c r="EZ652" s="1082"/>
      <c r="FA652" s="1082"/>
      <c r="FB652" s="1082"/>
      <c r="FC652" s="1225"/>
    </row>
    <row r="653" spans="1:159" s="1226" customFormat="1" ht="32.1" customHeight="1">
      <c r="A653" s="1223"/>
      <c r="B653" s="1244" t="s">
        <v>5314</v>
      </c>
      <c r="C653" s="1428"/>
      <c r="D653" s="1428"/>
      <c r="E653" s="1428"/>
      <c r="F653" s="1428"/>
      <c r="G653" s="1428"/>
      <c r="H653" s="1428"/>
      <c r="I653" s="1195" t="s">
        <v>5295</v>
      </c>
      <c r="J653" s="1245" t="s">
        <v>6725</v>
      </c>
      <c r="K653" s="1243"/>
      <c r="L653" s="1243"/>
      <c r="M653" s="1243"/>
      <c r="N653" s="1243"/>
      <c r="O653" s="1243"/>
      <c r="P653" s="1243"/>
      <c r="Q653" s="1243"/>
      <c r="R653" s="1081"/>
      <c r="S653" s="1082"/>
      <c r="T653" s="1082"/>
      <c r="U653" s="1082"/>
      <c r="V653" s="1082"/>
      <c r="W653" s="1082"/>
      <c r="X653" s="1082"/>
      <c r="Y653" s="1082"/>
      <c r="Z653" s="1082"/>
      <c r="AA653" s="1082"/>
      <c r="AB653" s="1082"/>
      <c r="AC653" s="1082"/>
      <c r="AD653" s="1082"/>
      <c r="AE653" s="1082"/>
      <c r="AF653" s="1082"/>
      <c r="AG653" s="1082"/>
      <c r="AH653" s="1082"/>
      <c r="AI653" s="1082"/>
      <c r="AJ653" s="1082"/>
      <c r="AK653" s="1082"/>
      <c r="AL653" s="1082"/>
      <c r="AM653" s="1082"/>
      <c r="AN653" s="1082"/>
      <c r="AO653" s="1082"/>
      <c r="AP653" s="1082"/>
      <c r="AQ653" s="1082"/>
      <c r="AR653" s="1082"/>
      <c r="AS653" s="1082"/>
      <c r="AT653" s="1082"/>
      <c r="AU653" s="1082"/>
      <c r="AV653" s="1082"/>
      <c r="AW653" s="1082"/>
      <c r="AX653" s="1082"/>
      <c r="AY653" s="1082"/>
      <c r="AZ653" s="1082"/>
      <c r="BA653" s="1082"/>
      <c r="BB653" s="1082"/>
      <c r="BC653" s="1082"/>
      <c r="BD653" s="1082"/>
      <c r="BE653" s="1082"/>
      <c r="BF653" s="1082"/>
      <c r="BG653" s="1082"/>
      <c r="BH653" s="1082"/>
      <c r="BI653" s="1082"/>
      <c r="BJ653" s="1082"/>
      <c r="BK653" s="1082"/>
      <c r="BL653" s="1082"/>
      <c r="BM653" s="1082"/>
      <c r="BN653" s="1082"/>
      <c r="BO653" s="1082"/>
      <c r="BP653" s="1082"/>
      <c r="BQ653" s="1082"/>
      <c r="BR653" s="1082"/>
      <c r="BS653" s="1082"/>
      <c r="BT653" s="1082"/>
      <c r="BU653" s="1082"/>
      <c r="BV653" s="1082"/>
      <c r="BW653" s="1082"/>
      <c r="BX653" s="1082"/>
      <c r="BY653" s="1082"/>
      <c r="BZ653" s="1082"/>
      <c r="CA653" s="1082"/>
      <c r="CB653" s="1082"/>
      <c r="CC653" s="1082"/>
      <c r="CD653" s="1082"/>
      <c r="CE653" s="1082"/>
      <c r="CF653" s="1082"/>
      <c r="CG653" s="1082"/>
      <c r="CH653" s="1082"/>
      <c r="CI653" s="1082"/>
      <c r="CJ653" s="1082"/>
      <c r="CK653" s="1082"/>
      <c r="CL653" s="1082"/>
      <c r="CM653" s="1082"/>
      <c r="CN653" s="1082"/>
      <c r="CO653" s="1082"/>
      <c r="CP653" s="1082"/>
      <c r="CQ653" s="1082"/>
      <c r="CR653" s="1082"/>
      <c r="CS653" s="1082"/>
      <c r="CT653" s="1082"/>
      <c r="CU653" s="1082"/>
      <c r="CV653" s="1082"/>
      <c r="CW653" s="1082"/>
      <c r="CX653" s="1082"/>
      <c r="CY653" s="1082"/>
      <c r="CZ653" s="1082"/>
      <c r="DA653" s="1082"/>
      <c r="DB653" s="1082"/>
      <c r="DC653" s="1082"/>
      <c r="DD653" s="1082"/>
      <c r="DE653" s="1082"/>
      <c r="DF653" s="1082"/>
      <c r="DG653" s="1082"/>
      <c r="DH653" s="1082"/>
      <c r="DI653" s="1082"/>
      <c r="DJ653" s="1082"/>
      <c r="DK653" s="1082"/>
      <c r="DL653" s="1082"/>
      <c r="DM653" s="1082"/>
      <c r="DN653" s="1082"/>
      <c r="DO653" s="1082"/>
      <c r="DP653" s="1082"/>
      <c r="DQ653" s="1082"/>
      <c r="DR653" s="1082"/>
      <c r="DS653" s="1082"/>
      <c r="DT653" s="1082"/>
      <c r="DU653" s="1082"/>
      <c r="DV653" s="1082"/>
      <c r="DW653" s="1082"/>
      <c r="DX653" s="1082"/>
      <c r="DY653" s="1082"/>
      <c r="DZ653" s="1082"/>
      <c r="EA653" s="1082"/>
      <c r="EB653" s="1082"/>
      <c r="EC653" s="1082"/>
      <c r="ED653" s="1082"/>
      <c r="EE653" s="1082"/>
      <c r="EF653" s="1082"/>
      <c r="EG653" s="1082"/>
      <c r="EH653" s="1082"/>
      <c r="EI653" s="1082"/>
      <c r="EJ653" s="1082"/>
      <c r="EK653" s="1082"/>
      <c r="EL653" s="1082"/>
      <c r="EM653" s="1082"/>
      <c r="EN653" s="1082"/>
      <c r="EO653" s="1082"/>
      <c r="EP653" s="1082"/>
      <c r="EQ653" s="1082"/>
      <c r="ER653" s="1082"/>
      <c r="ES653" s="1082"/>
      <c r="ET653" s="1082"/>
      <c r="EU653" s="1082"/>
      <c r="EV653" s="1082"/>
      <c r="EW653" s="1082"/>
      <c r="EX653" s="1082"/>
      <c r="EY653" s="1082"/>
      <c r="EZ653" s="1082"/>
      <c r="FA653" s="1082"/>
      <c r="FB653" s="1082"/>
      <c r="FC653" s="1225"/>
    </row>
    <row r="654" spans="1:159" s="1231" customFormat="1" ht="32.1" customHeight="1">
      <c r="A654" s="1228"/>
      <c r="B654" s="1246" t="s">
        <v>5315</v>
      </c>
      <c r="C654" s="1432">
        <f t="shared" ref="C654:H654" si="163">AVERAGE(C655,C656)</f>
        <v>0.5</v>
      </c>
      <c r="D654" s="1432">
        <f t="shared" si="163"/>
        <v>0.5</v>
      </c>
      <c r="E654" s="1432">
        <f t="shared" si="163"/>
        <v>0</v>
      </c>
      <c r="F654" s="1432">
        <f t="shared" si="163"/>
        <v>0</v>
      </c>
      <c r="G654" s="1432">
        <f t="shared" si="163"/>
        <v>0.5</v>
      </c>
      <c r="H654" s="1432">
        <f t="shared" si="163"/>
        <v>0</v>
      </c>
      <c r="I654" s="1469" t="s">
        <v>495</v>
      </c>
      <c r="J654" s="1213"/>
      <c r="K654" s="1075" t="s">
        <v>6449</v>
      </c>
      <c r="L654" s="1113"/>
      <c r="M654" s="1113" t="s">
        <v>748</v>
      </c>
      <c r="N654" s="1113"/>
      <c r="O654" s="1104" t="s">
        <v>5742</v>
      </c>
      <c r="P654" s="1213"/>
      <c r="Q654" s="1213"/>
      <c r="R654" s="1081"/>
      <c r="S654" s="1082"/>
      <c r="T654" s="1082"/>
      <c r="U654" s="1082"/>
      <c r="V654" s="1082"/>
      <c r="W654" s="1082"/>
      <c r="X654" s="1082"/>
      <c r="Y654" s="1082"/>
      <c r="Z654" s="1082"/>
      <c r="AA654" s="1082"/>
      <c r="AB654" s="1082"/>
      <c r="AC654" s="1082"/>
      <c r="AD654" s="1082"/>
      <c r="AE654" s="1082"/>
      <c r="AF654" s="1082"/>
      <c r="AG654" s="1082"/>
      <c r="AH654" s="1082"/>
      <c r="AI654" s="1082"/>
      <c r="AJ654" s="1082"/>
      <c r="AK654" s="1082"/>
      <c r="AL654" s="1082"/>
      <c r="AM654" s="1082"/>
      <c r="AN654" s="1082"/>
      <c r="AO654" s="1082"/>
      <c r="AP654" s="1082"/>
      <c r="AQ654" s="1082"/>
      <c r="AR654" s="1082"/>
      <c r="AS654" s="1082"/>
      <c r="AT654" s="1082"/>
      <c r="AU654" s="1082"/>
      <c r="AV654" s="1082"/>
      <c r="AW654" s="1082"/>
      <c r="AX654" s="1082"/>
      <c r="AY654" s="1082"/>
      <c r="AZ654" s="1082"/>
      <c r="BA654" s="1082"/>
      <c r="BB654" s="1082"/>
      <c r="BC654" s="1082"/>
      <c r="BD654" s="1082"/>
      <c r="BE654" s="1082"/>
      <c r="BF654" s="1082"/>
      <c r="BG654" s="1082"/>
      <c r="BH654" s="1082"/>
      <c r="BI654" s="1082"/>
      <c r="BJ654" s="1082"/>
      <c r="BK654" s="1082"/>
      <c r="BL654" s="1082"/>
      <c r="BM654" s="1082"/>
      <c r="BN654" s="1082"/>
      <c r="BO654" s="1082"/>
      <c r="BP654" s="1082"/>
      <c r="BQ654" s="1082"/>
      <c r="BR654" s="1082"/>
      <c r="BS654" s="1082"/>
      <c r="BT654" s="1082"/>
      <c r="BU654" s="1082"/>
      <c r="BV654" s="1082"/>
      <c r="BW654" s="1082"/>
      <c r="BX654" s="1082"/>
      <c r="BY654" s="1082"/>
      <c r="BZ654" s="1082"/>
      <c r="CA654" s="1082"/>
      <c r="CB654" s="1082"/>
      <c r="CC654" s="1082"/>
      <c r="CD654" s="1082"/>
      <c r="CE654" s="1082"/>
      <c r="CF654" s="1082"/>
      <c r="CG654" s="1082"/>
      <c r="CH654" s="1082"/>
      <c r="CI654" s="1082"/>
      <c r="CJ654" s="1082"/>
      <c r="CK654" s="1082"/>
      <c r="CL654" s="1082"/>
      <c r="CM654" s="1082"/>
      <c r="CN654" s="1082"/>
      <c r="CO654" s="1082"/>
      <c r="CP654" s="1082"/>
      <c r="CQ654" s="1082"/>
      <c r="CR654" s="1082"/>
      <c r="CS654" s="1082"/>
      <c r="CT654" s="1082"/>
      <c r="CU654" s="1082"/>
      <c r="CV654" s="1082"/>
      <c r="CW654" s="1082"/>
      <c r="CX654" s="1082"/>
      <c r="CY654" s="1082"/>
      <c r="CZ654" s="1082"/>
      <c r="DA654" s="1082"/>
      <c r="DB654" s="1082"/>
      <c r="DC654" s="1082"/>
      <c r="DD654" s="1082"/>
      <c r="DE654" s="1082"/>
      <c r="DF654" s="1082"/>
      <c r="DG654" s="1082"/>
      <c r="DH654" s="1082"/>
      <c r="DI654" s="1082"/>
      <c r="DJ654" s="1082"/>
      <c r="DK654" s="1082"/>
      <c r="DL654" s="1082"/>
      <c r="DM654" s="1082"/>
      <c r="DN654" s="1082"/>
      <c r="DO654" s="1082"/>
      <c r="DP654" s="1082"/>
      <c r="DQ654" s="1082"/>
      <c r="DR654" s="1082"/>
      <c r="DS654" s="1082"/>
      <c r="DT654" s="1082"/>
      <c r="DU654" s="1082"/>
      <c r="DV654" s="1082"/>
      <c r="DW654" s="1082"/>
      <c r="DX654" s="1082"/>
      <c r="DY654" s="1082"/>
      <c r="DZ654" s="1082"/>
      <c r="EA654" s="1082"/>
      <c r="EB654" s="1082"/>
      <c r="EC654" s="1082"/>
      <c r="ED654" s="1082"/>
      <c r="EE654" s="1082"/>
      <c r="EF654" s="1082"/>
      <c r="EG654" s="1082"/>
      <c r="EH654" s="1082"/>
      <c r="EI654" s="1082"/>
      <c r="EJ654" s="1082"/>
      <c r="EK654" s="1082"/>
      <c r="EL654" s="1082"/>
      <c r="EM654" s="1082"/>
      <c r="EN654" s="1082"/>
      <c r="EO654" s="1082"/>
      <c r="EP654" s="1082"/>
      <c r="EQ654" s="1082"/>
      <c r="ER654" s="1082"/>
      <c r="ES654" s="1082"/>
      <c r="ET654" s="1082"/>
      <c r="EU654" s="1082"/>
      <c r="EV654" s="1082"/>
      <c r="EW654" s="1082"/>
      <c r="EX654" s="1082"/>
      <c r="EY654" s="1082"/>
      <c r="EZ654" s="1082"/>
      <c r="FA654" s="1082"/>
      <c r="FB654" s="1082"/>
      <c r="FC654" s="1230"/>
    </row>
    <row r="655" spans="1:159" s="1231" customFormat="1" ht="32.1" customHeight="1">
      <c r="A655" s="1228"/>
      <c r="B655" s="1247" t="s">
        <v>5316</v>
      </c>
      <c r="C655" s="1541">
        <v>0.5</v>
      </c>
      <c r="D655" s="1541">
        <v>0.5</v>
      </c>
      <c r="E655" s="1541">
        <v>0</v>
      </c>
      <c r="F655" s="1541">
        <v>0</v>
      </c>
      <c r="G655" s="1541">
        <v>0.5</v>
      </c>
      <c r="H655" s="1541">
        <v>0</v>
      </c>
      <c r="I655" s="1782"/>
      <c r="J655" s="1546">
        <v>0.5</v>
      </c>
      <c r="K655" s="1594" t="s">
        <v>6450</v>
      </c>
      <c r="L655" s="1546"/>
      <c r="M655" s="1546" t="s">
        <v>748</v>
      </c>
      <c r="N655" s="1545" t="s">
        <v>5502</v>
      </c>
      <c r="O655" s="1546" t="s">
        <v>748</v>
      </c>
      <c r="P655" s="1547">
        <v>0.5</v>
      </c>
      <c r="Q655" s="1547">
        <v>0</v>
      </c>
      <c r="R655" s="1081"/>
      <c r="S655" s="1082"/>
      <c r="T655" s="1082"/>
      <c r="U655" s="1082"/>
      <c r="V655" s="1082"/>
      <c r="W655" s="1082"/>
      <c r="X655" s="1082"/>
      <c r="Y655" s="1082"/>
      <c r="Z655" s="1082"/>
      <c r="AA655" s="1082"/>
      <c r="AB655" s="1082"/>
      <c r="AC655" s="1082"/>
      <c r="AD655" s="1082"/>
      <c r="AE655" s="1082"/>
      <c r="AF655" s="1082"/>
      <c r="AG655" s="1082"/>
      <c r="AH655" s="1082"/>
      <c r="AI655" s="1082"/>
      <c r="AJ655" s="1082"/>
      <c r="AK655" s="1082"/>
      <c r="AL655" s="1082"/>
      <c r="AM655" s="1082"/>
      <c r="AN655" s="1082"/>
      <c r="AO655" s="1082"/>
      <c r="AP655" s="1082"/>
      <c r="AQ655" s="1082"/>
      <c r="AR655" s="1082"/>
      <c r="AS655" s="1082"/>
      <c r="AT655" s="1082"/>
      <c r="AU655" s="1082"/>
      <c r="AV655" s="1082"/>
      <c r="AW655" s="1082"/>
      <c r="AX655" s="1082"/>
      <c r="AY655" s="1082"/>
      <c r="AZ655" s="1082"/>
      <c r="BA655" s="1082"/>
      <c r="BB655" s="1082"/>
      <c r="BC655" s="1082"/>
      <c r="BD655" s="1082"/>
      <c r="BE655" s="1082"/>
      <c r="BF655" s="1082"/>
      <c r="BG655" s="1082"/>
      <c r="BH655" s="1082"/>
      <c r="BI655" s="1082"/>
      <c r="BJ655" s="1082"/>
      <c r="BK655" s="1082"/>
      <c r="BL655" s="1082"/>
      <c r="BM655" s="1082"/>
      <c r="BN655" s="1082"/>
      <c r="BO655" s="1082"/>
      <c r="BP655" s="1082"/>
      <c r="BQ655" s="1082"/>
      <c r="BR655" s="1082"/>
      <c r="BS655" s="1082"/>
      <c r="BT655" s="1082"/>
      <c r="BU655" s="1082"/>
      <c r="BV655" s="1082"/>
      <c r="BW655" s="1082"/>
      <c r="BX655" s="1082"/>
      <c r="BY655" s="1082"/>
      <c r="BZ655" s="1082"/>
      <c r="CA655" s="1082"/>
      <c r="CB655" s="1082"/>
      <c r="CC655" s="1082"/>
      <c r="CD655" s="1082"/>
      <c r="CE655" s="1082"/>
      <c r="CF655" s="1082"/>
      <c r="CG655" s="1082"/>
      <c r="CH655" s="1082"/>
      <c r="CI655" s="1082"/>
      <c r="CJ655" s="1082"/>
      <c r="CK655" s="1082"/>
      <c r="CL655" s="1082"/>
      <c r="CM655" s="1082"/>
      <c r="CN655" s="1082"/>
      <c r="CO655" s="1082"/>
      <c r="CP655" s="1082"/>
      <c r="CQ655" s="1082"/>
      <c r="CR655" s="1082"/>
      <c r="CS655" s="1082"/>
      <c r="CT655" s="1082"/>
      <c r="CU655" s="1082"/>
      <c r="CV655" s="1082"/>
      <c r="CW655" s="1082"/>
      <c r="CX655" s="1082"/>
      <c r="CY655" s="1082"/>
      <c r="CZ655" s="1082"/>
      <c r="DA655" s="1082"/>
      <c r="DB655" s="1082"/>
      <c r="DC655" s="1082"/>
      <c r="DD655" s="1082"/>
      <c r="DE655" s="1082"/>
      <c r="DF655" s="1082"/>
      <c r="DG655" s="1082"/>
      <c r="DH655" s="1082"/>
      <c r="DI655" s="1082"/>
      <c r="DJ655" s="1082"/>
      <c r="DK655" s="1082"/>
      <c r="DL655" s="1082"/>
      <c r="DM655" s="1082"/>
      <c r="DN655" s="1082"/>
      <c r="DO655" s="1082"/>
      <c r="DP655" s="1082"/>
      <c r="DQ655" s="1082"/>
      <c r="DR655" s="1082"/>
      <c r="DS655" s="1082"/>
      <c r="DT655" s="1082"/>
      <c r="DU655" s="1082"/>
      <c r="DV655" s="1082"/>
      <c r="DW655" s="1082"/>
      <c r="DX655" s="1082"/>
      <c r="DY655" s="1082"/>
      <c r="DZ655" s="1082"/>
      <c r="EA655" s="1082"/>
      <c r="EB655" s="1082"/>
      <c r="EC655" s="1082"/>
      <c r="ED655" s="1082"/>
      <c r="EE655" s="1082"/>
      <c r="EF655" s="1082"/>
      <c r="EG655" s="1082"/>
      <c r="EH655" s="1082"/>
      <c r="EI655" s="1082"/>
      <c r="EJ655" s="1082"/>
      <c r="EK655" s="1082"/>
      <c r="EL655" s="1082"/>
      <c r="EM655" s="1082"/>
      <c r="EN655" s="1082"/>
      <c r="EO655" s="1082"/>
      <c r="EP655" s="1082"/>
      <c r="EQ655" s="1082"/>
      <c r="ER655" s="1082"/>
      <c r="ES655" s="1082"/>
      <c r="ET655" s="1082"/>
      <c r="EU655" s="1082"/>
      <c r="EV655" s="1082"/>
      <c r="EW655" s="1082"/>
      <c r="EX655" s="1082"/>
      <c r="EY655" s="1082"/>
      <c r="EZ655" s="1082"/>
      <c r="FA655" s="1082"/>
      <c r="FB655" s="1082"/>
      <c r="FC655" s="1230"/>
    </row>
    <row r="656" spans="1:159" s="1231" customFormat="1" ht="32.1" customHeight="1">
      <c r="A656" s="1228"/>
      <c r="B656" s="1247" t="s">
        <v>5317</v>
      </c>
      <c r="C656" s="1541">
        <v>0.5</v>
      </c>
      <c r="D656" s="1541">
        <v>0.5</v>
      </c>
      <c r="E656" s="1541">
        <v>0</v>
      </c>
      <c r="F656" s="1541">
        <v>0</v>
      </c>
      <c r="G656" s="1541">
        <v>0.5</v>
      </c>
      <c r="H656" s="1541">
        <v>0</v>
      </c>
      <c r="I656" s="1782"/>
      <c r="J656" s="1546">
        <v>0.5</v>
      </c>
      <c r="K656" s="1544" t="s">
        <v>6451</v>
      </c>
      <c r="L656" s="1546"/>
      <c r="M656" s="1546" t="s">
        <v>748</v>
      </c>
      <c r="N656" s="1545" t="s">
        <v>5502</v>
      </c>
      <c r="O656" s="1546" t="s">
        <v>748</v>
      </c>
      <c r="P656" s="1547">
        <v>0.5</v>
      </c>
      <c r="Q656" s="1547">
        <v>0</v>
      </c>
      <c r="R656" s="1081"/>
      <c r="S656" s="1082"/>
      <c r="T656" s="1082"/>
      <c r="U656" s="1082"/>
      <c r="V656" s="1082"/>
      <c r="W656" s="1082"/>
      <c r="X656" s="1082"/>
      <c r="Y656" s="1082"/>
      <c r="Z656" s="1082"/>
      <c r="AA656" s="1082"/>
      <c r="AB656" s="1082"/>
      <c r="AC656" s="1082"/>
      <c r="AD656" s="1082"/>
      <c r="AE656" s="1082"/>
      <c r="AF656" s="1082"/>
      <c r="AG656" s="1082"/>
      <c r="AH656" s="1082"/>
      <c r="AI656" s="1082"/>
      <c r="AJ656" s="1082"/>
      <c r="AK656" s="1082"/>
      <c r="AL656" s="1082"/>
      <c r="AM656" s="1082"/>
      <c r="AN656" s="1082"/>
      <c r="AO656" s="1082"/>
      <c r="AP656" s="1082"/>
      <c r="AQ656" s="1082"/>
      <c r="AR656" s="1082"/>
      <c r="AS656" s="1082"/>
      <c r="AT656" s="1082"/>
      <c r="AU656" s="1082"/>
      <c r="AV656" s="1082"/>
      <c r="AW656" s="1082"/>
      <c r="AX656" s="1082"/>
      <c r="AY656" s="1082"/>
      <c r="AZ656" s="1082"/>
      <c r="BA656" s="1082"/>
      <c r="BB656" s="1082"/>
      <c r="BC656" s="1082"/>
      <c r="BD656" s="1082"/>
      <c r="BE656" s="1082"/>
      <c r="BF656" s="1082"/>
      <c r="BG656" s="1082"/>
      <c r="BH656" s="1082"/>
      <c r="BI656" s="1082"/>
      <c r="BJ656" s="1082"/>
      <c r="BK656" s="1082"/>
      <c r="BL656" s="1082"/>
      <c r="BM656" s="1082"/>
      <c r="BN656" s="1082"/>
      <c r="BO656" s="1082"/>
      <c r="BP656" s="1082"/>
      <c r="BQ656" s="1082"/>
      <c r="BR656" s="1082"/>
      <c r="BS656" s="1082"/>
      <c r="BT656" s="1082"/>
      <c r="BU656" s="1082"/>
      <c r="BV656" s="1082"/>
      <c r="BW656" s="1082"/>
      <c r="BX656" s="1082"/>
      <c r="BY656" s="1082"/>
      <c r="BZ656" s="1082"/>
      <c r="CA656" s="1082"/>
      <c r="CB656" s="1082"/>
      <c r="CC656" s="1082"/>
      <c r="CD656" s="1082"/>
      <c r="CE656" s="1082"/>
      <c r="CF656" s="1082"/>
      <c r="CG656" s="1082"/>
      <c r="CH656" s="1082"/>
      <c r="CI656" s="1082"/>
      <c r="CJ656" s="1082"/>
      <c r="CK656" s="1082"/>
      <c r="CL656" s="1082"/>
      <c r="CM656" s="1082"/>
      <c r="CN656" s="1082"/>
      <c r="CO656" s="1082"/>
      <c r="CP656" s="1082"/>
      <c r="CQ656" s="1082"/>
      <c r="CR656" s="1082"/>
      <c r="CS656" s="1082"/>
      <c r="CT656" s="1082"/>
      <c r="CU656" s="1082"/>
      <c r="CV656" s="1082"/>
      <c r="CW656" s="1082"/>
      <c r="CX656" s="1082"/>
      <c r="CY656" s="1082"/>
      <c r="CZ656" s="1082"/>
      <c r="DA656" s="1082"/>
      <c r="DB656" s="1082"/>
      <c r="DC656" s="1082"/>
      <c r="DD656" s="1082"/>
      <c r="DE656" s="1082"/>
      <c r="DF656" s="1082"/>
      <c r="DG656" s="1082"/>
      <c r="DH656" s="1082"/>
      <c r="DI656" s="1082"/>
      <c r="DJ656" s="1082"/>
      <c r="DK656" s="1082"/>
      <c r="DL656" s="1082"/>
      <c r="DM656" s="1082"/>
      <c r="DN656" s="1082"/>
      <c r="DO656" s="1082"/>
      <c r="DP656" s="1082"/>
      <c r="DQ656" s="1082"/>
      <c r="DR656" s="1082"/>
      <c r="DS656" s="1082"/>
      <c r="DT656" s="1082"/>
      <c r="DU656" s="1082"/>
      <c r="DV656" s="1082"/>
      <c r="DW656" s="1082"/>
      <c r="DX656" s="1082"/>
      <c r="DY656" s="1082"/>
      <c r="DZ656" s="1082"/>
      <c r="EA656" s="1082"/>
      <c r="EB656" s="1082"/>
      <c r="EC656" s="1082"/>
      <c r="ED656" s="1082"/>
      <c r="EE656" s="1082"/>
      <c r="EF656" s="1082"/>
      <c r="EG656" s="1082"/>
      <c r="EH656" s="1082"/>
      <c r="EI656" s="1082"/>
      <c r="EJ656" s="1082"/>
      <c r="EK656" s="1082"/>
      <c r="EL656" s="1082"/>
      <c r="EM656" s="1082"/>
      <c r="EN656" s="1082"/>
      <c r="EO656" s="1082"/>
      <c r="EP656" s="1082"/>
      <c r="EQ656" s="1082"/>
      <c r="ER656" s="1082"/>
      <c r="ES656" s="1082"/>
      <c r="ET656" s="1082"/>
      <c r="EU656" s="1082"/>
      <c r="EV656" s="1082"/>
      <c r="EW656" s="1082"/>
      <c r="EX656" s="1082"/>
      <c r="EY656" s="1082"/>
      <c r="EZ656" s="1082"/>
      <c r="FA656" s="1082"/>
      <c r="FB656" s="1082"/>
      <c r="FC656" s="1230"/>
    </row>
    <row r="657" spans="1:159" s="1209" customFormat="1" ht="32.1" customHeight="1">
      <c r="A657" s="1603" t="s">
        <v>6856</v>
      </c>
      <c r="B657" s="1067" t="s">
        <v>443</v>
      </c>
      <c r="C657" s="1500">
        <f t="shared" ref="C657:H657" si="164">AVERAGE(C658:C660)</f>
        <v>0.64123343768775898</v>
      </c>
      <c r="D657" s="1500">
        <f t="shared" si="164"/>
        <v>0.38366062675900453</v>
      </c>
      <c r="E657" s="1500">
        <f t="shared" si="164"/>
        <v>0.77587386946320447</v>
      </c>
      <c r="F657" s="1500">
        <f t="shared" si="164"/>
        <v>0.64632545931758534</v>
      </c>
      <c r="G657" s="1500">
        <f t="shared" si="164"/>
        <v>0.67847769028871385</v>
      </c>
      <c r="H657" s="1500">
        <f t="shared" si="164"/>
        <v>0.66666666666666663</v>
      </c>
      <c r="I657" s="1781"/>
      <c r="J657" s="1207"/>
      <c r="K657" s="1208"/>
      <c r="L657" s="1208"/>
      <c r="M657" s="1208"/>
      <c r="N657" s="1208"/>
      <c r="O657" s="1208"/>
      <c r="P657" s="1208"/>
      <c r="Q657" s="1208"/>
      <c r="R657" s="1081"/>
      <c r="S657" s="1082"/>
      <c r="T657" s="1082"/>
      <c r="U657" s="1082"/>
      <c r="V657" s="1082"/>
      <c r="W657" s="1082"/>
      <c r="X657" s="1082"/>
      <c r="Y657" s="1082"/>
      <c r="Z657" s="1082"/>
      <c r="AA657" s="1082"/>
      <c r="AB657" s="1082"/>
      <c r="AC657" s="1082"/>
      <c r="AD657" s="1082"/>
      <c r="AE657" s="1082"/>
      <c r="AF657" s="1082"/>
      <c r="AG657" s="1082"/>
      <c r="AH657" s="1082"/>
      <c r="AI657" s="1082"/>
      <c r="AJ657" s="1082"/>
      <c r="AK657" s="1082"/>
      <c r="AL657" s="1082"/>
      <c r="AM657" s="1082"/>
      <c r="AN657" s="1082"/>
      <c r="AO657" s="1082"/>
      <c r="AP657" s="1082"/>
      <c r="AQ657" s="1082"/>
      <c r="AR657" s="1082"/>
      <c r="AS657" s="1082"/>
      <c r="AT657" s="1082"/>
      <c r="AU657" s="1082"/>
      <c r="AV657" s="1082"/>
      <c r="AW657" s="1082"/>
      <c r="AX657" s="1082"/>
      <c r="AY657" s="1082"/>
      <c r="AZ657" s="1082"/>
      <c r="BA657" s="1082"/>
      <c r="BB657" s="1082"/>
      <c r="BC657" s="1082"/>
      <c r="BD657" s="1082"/>
      <c r="BE657" s="1082"/>
      <c r="BF657" s="1082"/>
      <c r="BG657" s="1082"/>
      <c r="BH657" s="1082"/>
      <c r="BI657" s="1082"/>
      <c r="BJ657" s="1082"/>
      <c r="BK657" s="1082"/>
      <c r="BL657" s="1082"/>
      <c r="BM657" s="1082"/>
      <c r="BN657" s="1082"/>
      <c r="BO657" s="1082"/>
      <c r="BP657" s="1082"/>
      <c r="BQ657" s="1082"/>
      <c r="BR657" s="1082"/>
      <c r="BS657" s="1082"/>
      <c r="BT657" s="1082"/>
      <c r="BU657" s="1082"/>
      <c r="BV657" s="1082"/>
      <c r="BW657" s="1082"/>
      <c r="BX657" s="1082"/>
      <c r="BY657" s="1082"/>
      <c r="BZ657" s="1082"/>
      <c r="CA657" s="1082"/>
      <c r="CB657" s="1082"/>
      <c r="CC657" s="1082"/>
      <c r="CD657" s="1082"/>
      <c r="CE657" s="1082"/>
      <c r="CF657" s="1082"/>
      <c r="CG657" s="1082"/>
      <c r="CH657" s="1082"/>
      <c r="CI657" s="1082"/>
      <c r="CJ657" s="1082"/>
      <c r="CK657" s="1082"/>
      <c r="CL657" s="1082"/>
      <c r="CM657" s="1082"/>
      <c r="CN657" s="1082"/>
      <c r="CO657" s="1082"/>
      <c r="CP657" s="1082"/>
      <c r="CQ657" s="1082"/>
      <c r="CR657" s="1082"/>
      <c r="CS657" s="1082"/>
      <c r="CT657" s="1082"/>
      <c r="CU657" s="1082"/>
      <c r="CV657" s="1082"/>
      <c r="CW657" s="1082"/>
      <c r="CX657" s="1082"/>
      <c r="CY657" s="1082"/>
      <c r="CZ657" s="1082"/>
      <c r="DA657" s="1082"/>
      <c r="DB657" s="1082"/>
      <c r="DC657" s="1082"/>
      <c r="DD657" s="1082"/>
      <c r="DE657" s="1082"/>
      <c r="DF657" s="1082"/>
      <c r="DG657" s="1082"/>
      <c r="DH657" s="1082"/>
      <c r="DI657" s="1082"/>
      <c r="DJ657" s="1082"/>
      <c r="DK657" s="1082"/>
      <c r="DL657" s="1082"/>
      <c r="DM657" s="1082"/>
      <c r="DN657" s="1082"/>
      <c r="DO657" s="1082"/>
      <c r="DP657" s="1082"/>
      <c r="DQ657" s="1082"/>
      <c r="DR657" s="1082"/>
      <c r="DS657" s="1082"/>
      <c r="DT657" s="1082"/>
      <c r="DU657" s="1082"/>
      <c r="DV657" s="1082"/>
      <c r="DW657" s="1082"/>
      <c r="DX657" s="1082"/>
      <c r="DY657" s="1082"/>
      <c r="DZ657" s="1082"/>
      <c r="EA657" s="1082"/>
      <c r="EB657" s="1082"/>
      <c r="EC657" s="1082"/>
      <c r="ED657" s="1082"/>
      <c r="EE657" s="1082"/>
      <c r="EF657" s="1082"/>
      <c r="EG657" s="1082"/>
      <c r="EH657" s="1082"/>
      <c r="EI657" s="1082"/>
      <c r="EJ657" s="1082"/>
      <c r="EK657" s="1082"/>
      <c r="EL657" s="1082"/>
      <c r="EM657" s="1082"/>
      <c r="EN657" s="1082"/>
      <c r="EO657" s="1082"/>
      <c r="EP657" s="1082"/>
      <c r="EQ657" s="1082"/>
      <c r="ER657" s="1082"/>
      <c r="ES657" s="1082"/>
      <c r="ET657" s="1082"/>
      <c r="EU657" s="1082"/>
      <c r="EV657" s="1082"/>
      <c r="EW657" s="1082"/>
      <c r="EX657" s="1082"/>
      <c r="EY657" s="1082"/>
      <c r="EZ657" s="1082"/>
      <c r="FA657" s="1082"/>
      <c r="FB657" s="1082"/>
    </row>
    <row r="658" spans="1:159" s="1231" customFormat="1" ht="32.1" customHeight="1">
      <c r="A658" s="1228"/>
      <c r="B658" s="1623" t="s">
        <v>444</v>
      </c>
      <c r="C658" s="1533">
        <f>IF(J658&lt;$P658,1,IF(J658&gt;$Q658,0,(J658-$Q658)/($P658-$Q658)))</f>
        <v>0.82972440944881898</v>
      </c>
      <c r="D658" s="1533">
        <f t="shared" ref="D658:H659" si="165">IF(K658&lt;$P658,1,IF(K658&gt;$Q658,0,(K658-$Q658)/($P658-$Q658)))</f>
        <v>0.68110236220472442</v>
      </c>
      <c r="E658" s="1533">
        <f t="shared" si="165"/>
        <v>1</v>
      </c>
      <c r="F658" s="1533">
        <f t="shared" si="165"/>
        <v>0.9389763779527559</v>
      </c>
      <c r="G658" s="1533">
        <f t="shared" si="165"/>
        <v>3.5433070866141815E-2</v>
      </c>
      <c r="H658" s="1533">
        <f t="shared" si="165"/>
        <v>0</v>
      </c>
      <c r="I658" s="1195" t="s">
        <v>5295</v>
      </c>
      <c r="J658" s="1548">
        <v>10.45</v>
      </c>
      <c r="K658" s="1548">
        <v>18</v>
      </c>
      <c r="L658" s="1548">
        <v>1</v>
      </c>
      <c r="M658" s="1548">
        <v>4.9000000000000004</v>
      </c>
      <c r="N658" s="1549">
        <v>50.8</v>
      </c>
      <c r="O658" s="1548">
        <v>52.6</v>
      </c>
      <c r="P658" s="1551">
        <v>1.8</v>
      </c>
      <c r="Q658" s="1550">
        <v>52.6</v>
      </c>
      <c r="R658" s="1081"/>
      <c r="S658" s="1082"/>
      <c r="T658" s="1082"/>
      <c r="U658" s="1082"/>
      <c r="V658" s="1082"/>
      <c r="W658" s="1082"/>
      <c r="X658" s="1082"/>
      <c r="Y658" s="1082"/>
      <c r="Z658" s="1082"/>
      <c r="AA658" s="1082"/>
      <c r="AB658" s="1082"/>
      <c r="AC658" s="1082"/>
      <c r="AD658" s="1082"/>
      <c r="AE658" s="1082"/>
      <c r="AF658" s="1082"/>
      <c r="AG658" s="1082"/>
      <c r="AH658" s="1082"/>
      <c r="AI658" s="1082"/>
      <c r="AJ658" s="1082"/>
      <c r="AK658" s="1082"/>
      <c r="AL658" s="1082"/>
      <c r="AM658" s="1082"/>
      <c r="AN658" s="1082"/>
      <c r="AO658" s="1082"/>
      <c r="AP658" s="1082"/>
      <c r="AQ658" s="1082"/>
      <c r="AR658" s="1082"/>
      <c r="AS658" s="1082"/>
      <c r="AT658" s="1082"/>
      <c r="AU658" s="1082"/>
      <c r="AV658" s="1082"/>
      <c r="AW658" s="1082"/>
      <c r="AX658" s="1082"/>
      <c r="AY658" s="1082"/>
      <c r="AZ658" s="1082"/>
      <c r="BA658" s="1082"/>
      <c r="BB658" s="1082"/>
      <c r="BC658" s="1082"/>
      <c r="BD658" s="1082"/>
      <c r="BE658" s="1082"/>
      <c r="BF658" s="1082"/>
      <c r="BG658" s="1082"/>
      <c r="BH658" s="1082"/>
      <c r="BI658" s="1082"/>
      <c r="BJ658" s="1082"/>
      <c r="BK658" s="1082"/>
      <c r="BL658" s="1082"/>
      <c r="BM658" s="1082"/>
      <c r="BN658" s="1082"/>
      <c r="BO658" s="1082"/>
      <c r="BP658" s="1082"/>
      <c r="BQ658" s="1082"/>
      <c r="BR658" s="1082"/>
      <c r="BS658" s="1082"/>
      <c r="BT658" s="1082"/>
      <c r="BU658" s="1082"/>
      <c r="BV658" s="1082"/>
      <c r="BW658" s="1082"/>
      <c r="BX658" s="1082"/>
      <c r="BY658" s="1082"/>
      <c r="BZ658" s="1082"/>
      <c r="CA658" s="1082"/>
      <c r="CB658" s="1082"/>
      <c r="CC658" s="1082"/>
      <c r="CD658" s="1082"/>
      <c r="CE658" s="1082"/>
      <c r="CF658" s="1082"/>
      <c r="CG658" s="1082"/>
      <c r="CH658" s="1082"/>
      <c r="CI658" s="1082"/>
      <c r="CJ658" s="1082"/>
      <c r="CK658" s="1082"/>
      <c r="CL658" s="1082"/>
      <c r="CM658" s="1082"/>
      <c r="CN658" s="1082"/>
      <c r="CO658" s="1082"/>
      <c r="CP658" s="1082"/>
      <c r="CQ658" s="1082"/>
      <c r="CR658" s="1082"/>
      <c r="CS658" s="1082"/>
      <c r="CT658" s="1082"/>
      <c r="CU658" s="1082"/>
      <c r="CV658" s="1082"/>
      <c r="CW658" s="1082"/>
      <c r="CX658" s="1082"/>
      <c r="CY658" s="1082"/>
      <c r="CZ658" s="1082"/>
      <c r="DA658" s="1082"/>
      <c r="DB658" s="1082"/>
      <c r="DC658" s="1082"/>
      <c r="DD658" s="1082"/>
      <c r="DE658" s="1082"/>
      <c r="DF658" s="1082"/>
      <c r="DG658" s="1082"/>
      <c r="DH658" s="1082"/>
      <c r="DI658" s="1082"/>
      <c r="DJ658" s="1082"/>
      <c r="DK658" s="1082"/>
      <c r="DL658" s="1082"/>
      <c r="DM658" s="1082"/>
      <c r="DN658" s="1082"/>
      <c r="DO658" s="1082"/>
      <c r="DP658" s="1082"/>
      <c r="DQ658" s="1082"/>
      <c r="DR658" s="1082"/>
      <c r="DS658" s="1082"/>
      <c r="DT658" s="1082"/>
      <c r="DU658" s="1082"/>
      <c r="DV658" s="1082"/>
      <c r="DW658" s="1082"/>
      <c r="DX658" s="1082"/>
      <c r="DY658" s="1082"/>
      <c r="DZ658" s="1082"/>
      <c r="EA658" s="1082"/>
      <c r="EB658" s="1082"/>
      <c r="EC658" s="1082"/>
      <c r="ED658" s="1082"/>
      <c r="EE658" s="1082"/>
      <c r="EF658" s="1082"/>
      <c r="EG658" s="1082"/>
      <c r="EH658" s="1082"/>
      <c r="EI658" s="1082"/>
      <c r="EJ658" s="1082"/>
      <c r="EK658" s="1082"/>
      <c r="EL658" s="1082"/>
      <c r="EM658" s="1082"/>
      <c r="EN658" s="1082"/>
      <c r="EO658" s="1082"/>
      <c r="EP658" s="1082"/>
      <c r="EQ658" s="1082"/>
      <c r="ER658" s="1082"/>
      <c r="ES658" s="1082"/>
      <c r="ET658" s="1082"/>
      <c r="EU658" s="1082"/>
      <c r="EV658" s="1082"/>
      <c r="EW658" s="1082"/>
      <c r="EX658" s="1082"/>
      <c r="EY658" s="1082"/>
      <c r="EZ658" s="1082"/>
      <c r="FA658" s="1082"/>
      <c r="FB658" s="1082"/>
      <c r="FC658" s="1230"/>
    </row>
    <row r="659" spans="1:159" s="1082" customFormat="1" ht="32.1" customHeight="1">
      <c r="A659" s="1228"/>
      <c r="B659" s="1249" t="s">
        <v>445</v>
      </c>
      <c r="C659" s="1533">
        <f>IF(J659&lt;$P659,1,IF(J659&gt;$Q659,0,(J659-$Q659)/($P659-$Q659)))</f>
        <v>1</v>
      </c>
      <c r="D659" s="1533">
        <f t="shared" si="165"/>
        <v>0</v>
      </c>
      <c r="E659" s="1533">
        <f t="shared" si="165"/>
        <v>0.99199338119512126</v>
      </c>
      <c r="F659" s="1533">
        <f t="shared" si="165"/>
        <v>1</v>
      </c>
      <c r="G659" s="1533">
        <f t="shared" si="165"/>
        <v>1</v>
      </c>
      <c r="H659" s="1533">
        <f t="shared" si="165"/>
        <v>1</v>
      </c>
      <c r="I659" s="1195" t="s">
        <v>5295</v>
      </c>
      <c r="J659" s="1548">
        <v>267.69782664399355</v>
      </c>
      <c r="K659" s="1548">
        <v>822.69</v>
      </c>
      <c r="L659" s="1548">
        <v>451</v>
      </c>
      <c r="M659" s="1548">
        <v>257</v>
      </c>
      <c r="N659" s="1552">
        <v>162.6</v>
      </c>
      <c r="O659" s="1548">
        <v>163</v>
      </c>
      <c r="P659" s="1554">
        <v>448</v>
      </c>
      <c r="Q659" s="1553">
        <v>822.69</v>
      </c>
      <c r="R659" s="1081"/>
    </row>
    <row r="660" spans="1:159" s="1082" customFormat="1" ht="32.1" customHeight="1">
      <c r="A660" s="1228"/>
      <c r="B660" s="1250" t="s">
        <v>446</v>
      </c>
      <c r="C660" s="1533">
        <f>IF(J660&gt;$P660,1,IF(J660&lt;$Q660,0,(J660-$Q660)/($P660-$Q660)))</f>
        <v>9.3975903614457831E-2</v>
      </c>
      <c r="D660" s="1533">
        <f t="shared" ref="D660:H660" si="166">IF(K660&gt;$P660,1,IF(K660&lt;$Q660,0,(K660-$Q660)/($P660-$Q660)))</f>
        <v>0.46987951807228917</v>
      </c>
      <c r="E660" s="1533">
        <f t="shared" si="166"/>
        <v>0.33562822719449226</v>
      </c>
      <c r="F660" s="1533">
        <f t="shared" si="166"/>
        <v>0</v>
      </c>
      <c r="G660" s="1533">
        <f t="shared" si="166"/>
        <v>1</v>
      </c>
      <c r="H660" s="1533">
        <f t="shared" si="166"/>
        <v>1</v>
      </c>
      <c r="I660" s="1195" t="s">
        <v>5295</v>
      </c>
      <c r="J660" s="1548">
        <v>4.2</v>
      </c>
      <c r="K660" s="1548">
        <v>21</v>
      </c>
      <c r="L660" s="1548">
        <v>15</v>
      </c>
      <c r="M660" s="1548">
        <v>0</v>
      </c>
      <c r="N660" s="1552" t="s">
        <v>6826</v>
      </c>
      <c r="O660" s="1553" t="s">
        <v>6827</v>
      </c>
      <c r="P660" s="1554">
        <v>44.692307692307693</v>
      </c>
      <c r="Q660" s="1553">
        <v>0</v>
      </c>
      <c r="R660" s="1081"/>
    </row>
    <row r="661" spans="1:159" s="1209" customFormat="1" ht="32.1" customHeight="1">
      <c r="A661" s="1603" t="s">
        <v>6857</v>
      </c>
      <c r="B661" s="1067" t="s">
        <v>447</v>
      </c>
      <c r="C661" s="1500">
        <f t="shared" ref="C661:H661" si="167">AVERAGE(C662:C667)</f>
        <v>0.49554997677960461</v>
      </c>
      <c r="D661" s="1500">
        <f t="shared" si="167"/>
        <v>0.65619364305997208</v>
      </c>
      <c r="E661" s="1500">
        <f t="shared" si="167"/>
        <v>0.58593196852187124</v>
      </c>
      <c r="F661" s="1500">
        <f t="shared" si="167"/>
        <v>0.6969861915551786</v>
      </c>
      <c r="G661" s="1500">
        <f t="shared" si="167"/>
        <v>0.65451208237534375</v>
      </c>
      <c r="H661" s="1500">
        <f t="shared" si="167"/>
        <v>0.85678905552958062</v>
      </c>
      <c r="I661" s="1465"/>
      <c r="J661" s="1207"/>
      <c r="K661" s="1208"/>
      <c r="L661" s="1208"/>
      <c r="M661" s="1208"/>
      <c r="N661" s="1208"/>
      <c r="O661" s="1208"/>
      <c r="P661" s="1208"/>
      <c r="Q661" s="1208"/>
      <c r="R661" s="1081"/>
      <c r="S661" s="1082"/>
      <c r="T661" s="1082"/>
      <c r="U661" s="1082"/>
      <c r="V661" s="1082"/>
      <c r="W661" s="1082"/>
      <c r="X661" s="1082"/>
      <c r="Y661" s="1082"/>
      <c r="Z661" s="1082"/>
      <c r="AA661" s="1082"/>
      <c r="AB661" s="1082"/>
      <c r="AC661" s="1082"/>
      <c r="AD661" s="1082"/>
      <c r="AE661" s="1082"/>
      <c r="AF661" s="1082"/>
      <c r="AG661" s="1082"/>
      <c r="AH661" s="1082"/>
      <c r="AI661" s="1082"/>
      <c r="AJ661" s="1082"/>
      <c r="AK661" s="1082"/>
      <c r="AL661" s="1082"/>
      <c r="AM661" s="1082"/>
      <c r="AN661" s="1082"/>
      <c r="AO661" s="1082"/>
      <c r="AP661" s="1082"/>
      <c r="AQ661" s="1082"/>
      <c r="AR661" s="1082"/>
      <c r="AS661" s="1082"/>
      <c r="AT661" s="1082"/>
      <c r="AU661" s="1082"/>
      <c r="AV661" s="1082"/>
      <c r="AW661" s="1082"/>
      <c r="AX661" s="1082"/>
      <c r="AY661" s="1082"/>
      <c r="AZ661" s="1082"/>
      <c r="BA661" s="1082"/>
      <c r="BB661" s="1082"/>
      <c r="BC661" s="1082"/>
      <c r="BD661" s="1082"/>
      <c r="BE661" s="1082"/>
      <c r="BF661" s="1082"/>
      <c r="BG661" s="1082"/>
      <c r="BH661" s="1082"/>
      <c r="BI661" s="1082"/>
      <c r="BJ661" s="1082"/>
      <c r="BK661" s="1082"/>
      <c r="BL661" s="1082"/>
      <c r="BM661" s="1082"/>
      <c r="BN661" s="1082"/>
      <c r="BO661" s="1082"/>
      <c r="BP661" s="1082"/>
      <c r="BQ661" s="1082"/>
      <c r="BR661" s="1082"/>
      <c r="BS661" s="1082"/>
      <c r="BT661" s="1082"/>
      <c r="BU661" s="1082"/>
      <c r="BV661" s="1082"/>
      <c r="BW661" s="1082"/>
      <c r="BX661" s="1082"/>
      <c r="BY661" s="1082"/>
      <c r="BZ661" s="1082"/>
      <c r="CA661" s="1082"/>
      <c r="CB661" s="1082"/>
      <c r="CC661" s="1082"/>
      <c r="CD661" s="1082"/>
      <c r="CE661" s="1082"/>
      <c r="CF661" s="1082"/>
      <c r="CG661" s="1082"/>
      <c r="CH661" s="1082"/>
      <c r="CI661" s="1082"/>
      <c r="CJ661" s="1082"/>
      <c r="CK661" s="1082"/>
      <c r="CL661" s="1082"/>
      <c r="CM661" s="1082"/>
      <c r="CN661" s="1082"/>
      <c r="CO661" s="1082"/>
      <c r="CP661" s="1082"/>
      <c r="CQ661" s="1082"/>
      <c r="CR661" s="1082"/>
      <c r="CS661" s="1082"/>
      <c r="CT661" s="1082"/>
      <c r="CU661" s="1082"/>
      <c r="CV661" s="1082"/>
      <c r="CW661" s="1082"/>
      <c r="CX661" s="1082"/>
      <c r="CY661" s="1082"/>
      <c r="CZ661" s="1082"/>
      <c r="DA661" s="1082"/>
      <c r="DB661" s="1082"/>
      <c r="DC661" s="1082"/>
      <c r="DD661" s="1082"/>
      <c r="DE661" s="1082"/>
      <c r="DF661" s="1082"/>
      <c r="DG661" s="1082"/>
      <c r="DH661" s="1082"/>
      <c r="DI661" s="1082"/>
      <c r="DJ661" s="1082"/>
      <c r="DK661" s="1082"/>
      <c r="DL661" s="1082"/>
      <c r="DM661" s="1082"/>
      <c r="DN661" s="1082"/>
      <c r="DO661" s="1082"/>
      <c r="DP661" s="1082"/>
      <c r="DQ661" s="1082"/>
      <c r="DR661" s="1082"/>
      <c r="DS661" s="1082"/>
      <c r="DT661" s="1082"/>
      <c r="DU661" s="1082"/>
      <c r="DV661" s="1082"/>
      <c r="DW661" s="1082"/>
      <c r="DX661" s="1082"/>
      <c r="DY661" s="1082"/>
      <c r="DZ661" s="1082"/>
      <c r="EA661" s="1082"/>
      <c r="EB661" s="1082"/>
      <c r="EC661" s="1082"/>
      <c r="ED661" s="1082"/>
      <c r="EE661" s="1082"/>
      <c r="EF661" s="1082"/>
      <c r="EG661" s="1082"/>
      <c r="EH661" s="1082"/>
      <c r="EI661" s="1082"/>
      <c r="EJ661" s="1082"/>
      <c r="EK661" s="1082"/>
      <c r="EL661" s="1082"/>
      <c r="EM661" s="1082"/>
      <c r="EN661" s="1082"/>
      <c r="EO661" s="1082"/>
      <c r="EP661" s="1082"/>
      <c r="EQ661" s="1082"/>
      <c r="ER661" s="1082"/>
      <c r="ES661" s="1082"/>
      <c r="ET661" s="1082"/>
      <c r="EU661" s="1082"/>
      <c r="EV661" s="1082"/>
      <c r="EW661" s="1082"/>
      <c r="EX661" s="1082"/>
      <c r="EY661" s="1082"/>
      <c r="EZ661" s="1082"/>
      <c r="FA661" s="1082"/>
      <c r="FB661" s="1082"/>
    </row>
    <row r="662" spans="1:159" s="1082" customFormat="1" ht="32.1" customHeight="1">
      <c r="A662" s="1228"/>
      <c r="B662" s="1625" t="s">
        <v>5318</v>
      </c>
      <c r="C662" s="1533">
        <f>IF(J662&lt;$P662,1,IF(J662&gt;$Q662,0,(J662-$Q662)/($P662-$Q662)))</f>
        <v>9.3378251123294911E-2</v>
      </c>
      <c r="D662" s="1533">
        <f t="shared" ref="D662:H667" si="168">IF(K662&lt;$P662,1,IF(K662&gt;$Q662,0,(K662-$Q662)/($P662-$Q662)))</f>
        <v>0.68490020213157876</v>
      </c>
      <c r="E662" s="1533">
        <f t="shared" si="168"/>
        <v>0</v>
      </c>
      <c r="F662" s="1533">
        <f t="shared" si="168"/>
        <v>0.87610150855997782</v>
      </c>
      <c r="G662" s="1533">
        <f t="shared" si="168"/>
        <v>0</v>
      </c>
      <c r="H662" s="1533">
        <f t="shared" si="168"/>
        <v>0.88466276108662256</v>
      </c>
      <c r="I662" s="1195" t="s">
        <v>5295</v>
      </c>
      <c r="J662" s="1548">
        <v>0.50727876528603311</v>
      </c>
      <c r="K662" s="1548">
        <v>0.3</v>
      </c>
      <c r="L662" s="1548">
        <v>0.54</v>
      </c>
      <c r="M662" s="1548">
        <v>0.23300000000000001</v>
      </c>
      <c r="N662" s="1552" t="s">
        <v>1073</v>
      </c>
      <c r="O662" s="1549">
        <v>0.23</v>
      </c>
      <c r="P662" s="1555">
        <v>0.18958398427528464</v>
      </c>
      <c r="Q662" s="1553">
        <v>0.54</v>
      </c>
      <c r="R662" s="1081"/>
    </row>
    <row r="663" spans="1:159" s="1082" customFormat="1" ht="32.1" customHeight="1">
      <c r="A663" s="1251"/>
      <c r="B663" s="1624" t="s">
        <v>5319</v>
      </c>
      <c r="C663" s="1533">
        <f t="shared" ref="C663:C667" si="169">IF(J663&lt;$P663,1,IF(J663&gt;$Q663,0,(J663-$Q663)/($P663-$Q663)))</f>
        <v>1</v>
      </c>
      <c r="D663" s="1533">
        <f t="shared" si="168"/>
        <v>1</v>
      </c>
      <c r="E663" s="1533">
        <f t="shared" si="168"/>
        <v>1</v>
      </c>
      <c r="F663" s="1533">
        <f t="shared" si="168"/>
        <v>0</v>
      </c>
      <c r="G663" s="1533">
        <f t="shared" si="168"/>
        <v>1</v>
      </c>
      <c r="H663" s="1533">
        <f t="shared" si="168"/>
        <v>1</v>
      </c>
      <c r="I663" s="1195" t="s">
        <v>5295</v>
      </c>
      <c r="J663" s="1548">
        <v>16.376567471457982</v>
      </c>
      <c r="K663" s="1548">
        <v>17.559999999999999</v>
      </c>
      <c r="L663" s="1548">
        <v>0.7</v>
      </c>
      <c r="M663" s="1548">
        <v>34</v>
      </c>
      <c r="N663" s="1549">
        <v>16.3</v>
      </c>
      <c r="O663" s="1548">
        <v>5.3</v>
      </c>
      <c r="P663" s="1555">
        <v>23.3</v>
      </c>
      <c r="Q663" s="1553">
        <v>34</v>
      </c>
      <c r="R663" s="1081"/>
    </row>
    <row r="664" spans="1:159" s="1082" customFormat="1" ht="32.1" customHeight="1">
      <c r="A664" s="1251"/>
      <c r="B664" s="1252" t="s">
        <v>448</v>
      </c>
      <c r="C664" s="1533">
        <f t="shared" si="169"/>
        <v>0</v>
      </c>
      <c r="D664" s="1533">
        <f t="shared" si="168"/>
        <v>1</v>
      </c>
      <c r="E664" s="1533">
        <f t="shared" si="168"/>
        <v>1</v>
      </c>
      <c r="F664" s="1533">
        <f t="shared" si="168"/>
        <v>1</v>
      </c>
      <c r="G664" s="1533">
        <f t="shared" si="168"/>
        <v>0.51823463760627253</v>
      </c>
      <c r="H664" s="1533">
        <f t="shared" si="168"/>
        <v>1</v>
      </c>
      <c r="I664" s="1195" t="s">
        <v>5295</v>
      </c>
      <c r="J664" s="1548">
        <v>19.893312213189219</v>
      </c>
      <c r="K664" s="1548">
        <v>1.18</v>
      </c>
      <c r="L664" s="1548">
        <v>5.98</v>
      </c>
      <c r="M664" s="1548">
        <v>2.12</v>
      </c>
      <c r="N664" s="1549">
        <v>12.9</v>
      </c>
      <c r="O664" s="1548">
        <v>0.4</v>
      </c>
      <c r="P664" s="1555">
        <v>6.4019011876804832</v>
      </c>
      <c r="Q664" s="1553">
        <v>19.89</v>
      </c>
      <c r="R664" s="1081"/>
    </row>
    <row r="665" spans="1:159" s="1082" customFormat="1" ht="32.1" customHeight="1">
      <c r="A665" s="1251"/>
      <c r="B665" s="1252" t="s">
        <v>5320</v>
      </c>
      <c r="C665" s="1533">
        <f t="shared" si="169"/>
        <v>0.90831418724268498</v>
      </c>
      <c r="D665" s="1533">
        <f t="shared" si="168"/>
        <v>1</v>
      </c>
      <c r="E665" s="1533">
        <f t="shared" si="168"/>
        <v>0</v>
      </c>
      <c r="F665" s="1533">
        <f t="shared" si="168"/>
        <v>1</v>
      </c>
      <c r="G665" s="1533">
        <f t="shared" si="168"/>
        <v>1</v>
      </c>
      <c r="H665" s="1533">
        <f t="shared" si="168"/>
        <v>1</v>
      </c>
      <c r="I665" s="1195" t="s">
        <v>5295</v>
      </c>
      <c r="J665" s="1548">
        <v>10.552307298096858</v>
      </c>
      <c r="K665" s="1548">
        <v>5.0999999999999996</v>
      </c>
      <c r="L665" s="1548">
        <v>14.73</v>
      </c>
      <c r="M665" s="1548">
        <v>9.1199999999999992</v>
      </c>
      <c r="N665" s="1552">
        <v>5</v>
      </c>
      <c r="O665" s="1548">
        <v>2</v>
      </c>
      <c r="P665" s="1555">
        <v>10.13060833511242</v>
      </c>
      <c r="Q665" s="1553">
        <v>14.73</v>
      </c>
      <c r="R665" s="1081"/>
    </row>
    <row r="666" spans="1:159" s="1082" customFormat="1" ht="32.1" customHeight="1">
      <c r="A666" s="1228"/>
      <c r="B666" s="1253" t="s">
        <v>452</v>
      </c>
      <c r="C666" s="1533">
        <f t="shared" si="169"/>
        <v>0</v>
      </c>
      <c r="D666" s="1533">
        <f t="shared" si="168"/>
        <v>0.25226165622825331</v>
      </c>
      <c r="E666" s="1533">
        <f t="shared" si="168"/>
        <v>0.53235908141962429</v>
      </c>
      <c r="F666" s="1533">
        <f t="shared" si="168"/>
        <v>0.39144050104384137</v>
      </c>
      <c r="G666" s="1533">
        <f t="shared" si="168"/>
        <v>0.40883785664578987</v>
      </c>
      <c r="H666" s="1744">
        <f t="shared" si="168"/>
        <v>0.74634655532359084</v>
      </c>
      <c r="I666" s="1195" t="s">
        <v>5295</v>
      </c>
      <c r="J666" s="1548">
        <v>57.5</v>
      </c>
      <c r="K666" s="1548">
        <v>43</v>
      </c>
      <c r="L666" s="1548">
        <v>26.9</v>
      </c>
      <c r="M666" s="1548">
        <v>35</v>
      </c>
      <c r="N666" s="1549">
        <v>34</v>
      </c>
      <c r="O666" s="1548">
        <v>14.6</v>
      </c>
      <c r="P666" s="1555">
        <v>0.02</v>
      </c>
      <c r="Q666" s="1553">
        <v>57.5</v>
      </c>
      <c r="R666" s="1081"/>
    </row>
    <row r="667" spans="1:159" s="1231" customFormat="1" ht="32.1" customHeight="1">
      <c r="A667" s="1228"/>
      <c r="B667" s="1249" t="s">
        <v>453</v>
      </c>
      <c r="C667" s="1533">
        <f t="shared" si="169"/>
        <v>0.97160742231164754</v>
      </c>
      <c r="D667" s="1533">
        <f t="shared" si="168"/>
        <v>0</v>
      </c>
      <c r="E667" s="1533">
        <f t="shared" si="168"/>
        <v>0.98323272971160292</v>
      </c>
      <c r="F667" s="1533">
        <f t="shared" si="168"/>
        <v>0.91437513972725248</v>
      </c>
      <c r="G667" s="1533">
        <f t="shared" si="168"/>
        <v>1</v>
      </c>
      <c r="H667" s="1533">
        <f t="shared" si="168"/>
        <v>0.50972501676727022</v>
      </c>
      <c r="I667" s="1195" t="s">
        <v>5295</v>
      </c>
      <c r="J667" s="1548">
        <v>2.34</v>
      </c>
      <c r="K667" s="1548">
        <v>45.8</v>
      </c>
      <c r="L667" s="1548">
        <v>1.82</v>
      </c>
      <c r="M667" s="1548">
        <v>4.9000000000000004</v>
      </c>
      <c r="N667" s="1549">
        <v>0.95</v>
      </c>
      <c r="O667" s="1548">
        <v>23</v>
      </c>
      <c r="P667" s="1555">
        <v>1.07</v>
      </c>
      <c r="Q667" s="1553">
        <v>45.8</v>
      </c>
      <c r="R667" s="1081"/>
      <c r="S667" s="1082"/>
      <c r="T667" s="1082"/>
      <c r="U667" s="1082"/>
      <c r="V667" s="1082"/>
      <c r="W667" s="1082"/>
      <c r="X667" s="1082"/>
      <c r="Y667" s="1082"/>
      <c r="Z667" s="1082"/>
      <c r="AA667" s="1082"/>
      <c r="AB667" s="1082"/>
      <c r="AC667" s="1082"/>
      <c r="AD667" s="1082"/>
      <c r="AE667" s="1082"/>
      <c r="AF667" s="1082"/>
      <c r="AG667" s="1082"/>
      <c r="AH667" s="1082"/>
      <c r="AI667" s="1082"/>
      <c r="AJ667" s="1082"/>
      <c r="AK667" s="1082"/>
      <c r="AL667" s="1082"/>
      <c r="AM667" s="1082"/>
      <c r="AN667" s="1082"/>
      <c r="AO667" s="1082"/>
      <c r="AP667" s="1082"/>
      <c r="AQ667" s="1082"/>
      <c r="AR667" s="1082"/>
      <c r="AS667" s="1082"/>
      <c r="AT667" s="1082"/>
      <c r="AU667" s="1082"/>
      <c r="AV667" s="1082"/>
      <c r="AW667" s="1082"/>
      <c r="AX667" s="1082"/>
      <c r="AY667" s="1082"/>
      <c r="AZ667" s="1082"/>
      <c r="BA667" s="1082"/>
      <c r="BB667" s="1082"/>
      <c r="BC667" s="1082"/>
      <c r="BD667" s="1082"/>
      <c r="BE667" s="1082"/>
      <c r="BF667" s="1082"/>
      <c r="BG667" s="1082"/>
      <c r="BH667" s="1082"/>
      <c r="BI667" s="1082"/>
      <c r="BJ667" s="1082"/>
      <c r="BK667" s="1082"/>
      <c r="BL667" s="1082"/>
      <c r="BM667" s="1082"/>
      <c r="BN667" s="1082"/>
      <c r="BO667" s="1082"/>
      <c r="BP667" s="1082"/>
      <c r="BQ667" s="1082"/>
      <c r="BR667" s="1082"/>
      <c r="BS667" s="1082"/>
      <c r="BT667" s="1082"/>
      <c r="BU667" s="1082"/>
      <c r="BV667" s="1082"/>
      <c r="BW667" s="1082"/>
      <c r="BX667" s="1082"/>
      <c r="BY667" s="1082"/>
      <c r="BZ667" s="1082"/>
      <c r="CA667" s="1082"/>
      <c r="CB667" s="1082"/>
      <c r="CC667" s="1082"/>
      <c r="CD667" s="1082"/>
      <c r="CE667" s="1082"/>
      <c r="CF667" s="1082"/>
      <c r="CG667" s="1082"/>
      <c r="CH667" s="1082"/>
      <c r="CI667" s="1082"/>
      <c r="CJ667" s="1082"/>
      <c r="CK667" s="1082"/>
      <c r="CL667" s="1082"/>
      <c r="CM667" s="1082"/>
      <c r="CN667" s="1082"/>
      <c r="CO667" s="1082"/>
      <c r="CP667" s="1082"/>
      <c r="CQ667" s="1082"/>
      <c r="CR667" s="1082"/>
      <c r="CS667" s="1082"/>
      <c r="CT667" s="1082"/>
      <c r="CU667" s="1082"/>
      <c r="CV667" s="1082"/>
      <c r="CW667" s="1082"/>
      <c r="CX667" s="1082"/>
      <c r="CY667" s="1082"/>
      <c r="CZ667" s="1082"/>
      <c r="DA667" s="1082"/>
      <c r="DB667" s="1082"/>
      <c r="DC667" s="1082"/>
      <c r="DD667" s="1082"/>
      <c r="DE667" s="1082"/>
      <c r="DF667" s="1082"/>
      <c r="DG667" s="1082"/>
      <c r="DH667" s="1082"/>
      <c r="DI667" s="1082"/>
      <c r="DJ667" s="1082"/>
      <c r="DK667" s="1082"/>
      <c r="DL667" s="1082"/>
      <c r="DM667" s="1082"/>
      <c r="DN667" s="1082"/>
      <c r="DO667" s="1082"/>
      <c r="DP667" s="1082"/>
      <c r="DQ667" s="1082"/>
      <c r="DR667" s="1082"/>
      <c r="DS667" s="1082"/>
      <c r="DT667" s="1082"/>
      <c r="DU667" s="1082"/>
      <c r="DV667" s="1082"/>
      <c r="DW667" s="1082"/>
      <c r="DX667" s="1082"/>
      <c r="DY667" s="1082"/>
      <c r="DZ667" s="1082"/>
      <c r="EA667" s="1082"/>
      <c r="EB667" s="1082"/>
      <c r="EC667" s="1082"/>
      <c r="ED667" s="1082"/>
      <c r="EE667" s="1082"/>
      <c r="EF667" s="1082"/>
      <c r="EG667" s="1082"/>
      <c r="EH667" s="1082"/>
      <c r="EI667" s="1082"/>
      <c r="EJ667" s="1082"/>
      <c r="EK667" s="1082"/>
      <c r="EL667" s="1082"/>
      <c r="EM667" s="1082"/>
      <c r="EN667" s="1082"/>
      <c r="EO667" s="1082"/>
      <c r="EP667" s="1082"/>
      <c r="EQ667" s="1082"/>
      <c r="ER667" s="1082"/>
      <c r="ES667" s="1082"/>
      <c r="ET667" s="1082"/>
      <c r="EU667" s="1082"/>
      <c r="EV667" s="1082"/>
      <c r="EW667" s="1082"/>
      <c r="EX667" s="1082"/>
      <c r="EY667" s="1082"/>
      <c r="EZ667" s="1082"/>
      <c r="FA667" s="1082"/>
      <c r="FB667" s="1082"/>
      <c r="FC667" s="1230"/>
    </row>
    <row r="668" spans="1:159" s="1209" customFormat="1" ht="32.1" customHeight="1">
      <c r="A668" s="1603" t="s">
        <v>6858</v>
      </c>
      <c r="B668" s="1067" t="s">
        <v>5325</v>
      </c>
      <c r="C668" s="1463">
        <f t="shared" ref="C668:H668" si="170">AVERAGE(C669,C672)</f>
        <v>0.32677471875098613</v>
      </c>
      <c r="D668" s="1463">
        <f t="shared" si="170"/>
        <v>0.5</v>
      </c>
      <c r="E668" s="1463">
        <f t="shared" si="170"/>
        <v>0.62301587301587302</v>
      </c>
      <c r="F668" s="1463">
        <f t="shared" si="170"/>
        <v>0.71626984126984128</v>
      </c>
      <c r="G668" s="1463">
        <f t="shared" si="170"/>
        <v>0.75045076761652307</v>
      </c>
      <c r="H668" s="1463">
        <f t="shared" si="170"/>
        <v>0.43930119678752882</v>
      </c>
      <c r="I668" s="1465"/>
      <c r="J668" s="1207"/>
      <c r="K668" s="1208"/>
      <c r="L668" s="1208"/>
      <c r="M668" s="1208"/>
      <c r="N668" s="1208"/>
      <c r="O668" s="1208"/>
      <c r="P668" s="1208"/>
      <c r="Q668" s="1208"/>
      <c r="R668" s="1081"/>
      <c r="S668" s="1082"/>
      <c r="T668" s="1082"/>
      <c r="U668" s="1082"/>
      <c r="V668" s="1082"/>
      <c r="W668" s="1082"/>
      <c r="X668" s="1082"/>
      <c r="Y668" s="1082"/>
      <c r="Z668" s="1082"/>
      <c r="AA668" s="1082"/>
      <c r="AB668" s="1082"/>
      <c r="AC668" s="1082"/>
      <c r="AD668" s="1082"/>
      <c r="AE668" s="1082"/>
      <c r="AF668" s="1082"/>
      <c r="AG668" s="1082"/>
      <c r="AH668" s="1082"/>
      <c r="AI668" s="1082"/>
      <c r="AJ668" s="1082"/>
      <c r="AK668" s="1082"/>
      <c r="AL668" s="1082"/>
      <c r="AM668" s="1082"/>
      <c r="AN668" s="1082"/>
      <c r="AO668" s="1082"/>
      <c r="AP668" s="1082"/>
      <c r="AQ668" s="1082"/>
      <c r="AR668" s="1082"/>
      <c r="AS668" s="1082"/>
      <c r="AT668" s="1082"/>
      <c r="AU668" s="1082"/>
      <c r="AV668" s="1082"/>
      <c r="AW668" s="1082"/>
      <c r="AX668" s="1082"/>
      <c r="AY668" s="1082"/>
      <c r="AZ668" s="1082"/>
      <c r="BA668" s="1082"/>
      <c r="BB668" s="1082"/>
      <c r="BC668" s="1082"/>
      <c r="BD668" s="1082"/>
      <c r="BE668" s="1082"/>
      <c r="BF668" s="1082"/>
      <c r="BG668" s="1082"/>
      <c r="BH668" s="1082"/>
      <c r="BI668" s="1082"/>
      <c r="BJ668" s="1082"/>
      <c r="BK668" s="1082"/>
      <c r="BL668" s="1082"/>
      <c r="BM668" s="1082"/>
      <c r="BN668" s="1082"/>
      <c r="BO668" s="1082"/>
      <c r="BP668" s="1082"/>
      <c r="BQ668" s="1082"/>
      <c r="BR668" s="1082"/>
      <c r="BS668" s="1082"/>
      <c r="BT668" s="1082"/>
      <c r="BU668" s="1082"/>
      <c r="BV668" s="1082"/>
      <c r="BW668" s="1082"/>
      <c r="BX668" s="1082"/>
      <c r="BY668" s="1082"/>
      <c r="BZ668" s="1082"/>
      <c r="CA668" s="1082"/>
      <c r="CB668" s="1082"/>
      <c r="CC668" s="1082"/>
      <c r="CD668" s="1082"/>
      <c r="CE668" s="1082"/>
      <c r="CF668" s="1082"/>
      <c r="CG668" s="1082"/>
      <c r="CH668" s="1082"/>
      <c r="CI668" s="1082"/>
      <c r="CJ668" s="1082"/>
      <c r="CK668" s="1082"/>
      <c r="CL668" s="1082"/>
      <c r="CM668" s="1082"/>
      <c r="CN668" s="1082"/>
      <c r="CO668" s="1082"/>
      <c r="CP668" s="1082"/>
      <c r="CQ668" s="1082"/>
      <c r="CR668" s="1082"/>
      <c r="CS668" s="1082"/>
      <c r="CT668" s="1082"/>
      <c r="CU668" s="1082"/>
      <c r="CV668" s="1082"/>
      <c r="CW668" s="1082"/>
      <c r="CX668" s="1082"/>
      <c r="CY668" s="1082"/>
      <c r="CZ668" s="1082"/>
      <c r="DA668" s="1082"/>
      <c r="DB668" s="1082"/>
      <c r="DC668" s="1082"/>
      <c r="DD668" s="1082"/>
      <c r="DE668" s="1082"/>
      <c r="DF668" s="1082"/>
      <c r="DG668" s="1082"/>
      <c r="DH668" s="1082"/>
      <c r="DI668" s="1082"/>
      <c r="DJ668" s="1082"/>
      <c r="DK668" s="1082"/>
      <c r="DL668" s="1082"/>
      <c r="DM668" s="1082"/>
      <c r="DN668" s="1082"/>
      <c r="DO668" s="1082"/>
      <c r="DP668" s="1082"/>
      <c r="DQ668" s="1082"/>
      <c r="DR668" s="1082"/>
      <c r="DS668" s="1082"/>
      <c r="DT668" s="1082"/>
      <c r="DU668" s="1082"/>
      <c r="DV668" s="1082"/>
      <c r="DW668" s="1082"/>
      <c r="DX668" s="1082"/>
      <c r="DY668" s="1082"/>
      <c r="DZ668" s="1082"/>
      <c r="EA668" s="1082"/>
      <c r="EB668" s="1082"/>
      <c r="EC668" s="1082"/>
      <c r="ED668" s="1082"/>
      <c r="EE668" s="1082"/>
      <c r="EF668" s="1082"/>
      <c r="EG668" s="1082"/>
      <c r="EH668" s="1082"/>
      <c r="EI668" s="1082"/>
      <c r="EJ668" s="1082"/>
      <c r="EK668" s="1082"/>
      <c r="EL668" s="1082"/>
      <c r="EM668" s="1082"/>
      <c r="EN668" s="1082"/>
      <c r="EO668" s="1082"/>
      <c r="EP668" s="1082"/>
      <c r="EQ668" s="1082"/>
      <c r="ER668" s="1082"/>
      <c r="ES668" s="1082"/>
      <c r="ET668" s="1082"/>
      <c r="EU668" s="1082"/>
      <c r="EV668" s="1082"/>
      <c r="EW668" s="1082"/>
      <c r="EX668" s="1082"/>
      <c r="EY668" s="1082"/>
      <c r="EZ668" s="1082"/>
      <c r="FA668" s="1082"/>
      <c r="FB668" s="1082"/>
    </row>
    <row r="669" spans="1:159" s="1648" customFormat="1" ht="32.1" customHeight="1">
      <c r="A669" s="1637" t="s">
        <v>6903</v>
      </c>
      <c r="B669" s="1638" t="s">
        <v>6905</v>
      </c>
      <c r="C669" s="1639">
        <f t="shared" ref="C669:H669" si="171">AVERAGE(C670,C671)</f>
        <v>0.10593038988292471</v>
      </c>
      <c r="D669" s="1639">
        <f t="shared" si="171"/>
        <v>0.5</v>
      </c>
      <c r="E669" s="1639">
        <f t="shared" si="171"/>
        <v>0.5</v>
      </c>
      <c r="F669" s="1639">
        <f t="shared" si="171"/>
        <v>0.75</v>
      </c>
      <c r="G669" s="1639">
        <f t="shared" si="171"/>
        <v>0.50090153523304615</v>
      </c>
      <c r="H669" s="1639">
        <f t="shared" si="171"/>
        <v>0.26352302849569254</v>
      </c>
      <c r="I669" s="1783" t="s">
        <v>5295</v>
      </c>
      <c r="J669" s="1640"/>
      <c r="K669" s="1640"/>
      <c r="L669" s="1641"/>
      <c r="M669" s="1640"/>
      <c r="N669" s="1642"/>
      <c r="O669" s="1640"/>
      <c r="P669" s="1643"/>
      <c r="Q669" s="1644"/>
      <c r="R669" s="1645"/>
      <c r="S669" s="1646"/>
      <c r="T669" s="1646"/>
      <c r="U669" s="1646"/>
      <c r="V669" s="1646"/>
      <c r="W669" s="1646"/>
      <c r="X669" s="1646"/>
      <c r="Y669" s="1646"/>
      <c r="Z669" s="1646"/>
      <c r="AA669" s="1646"/>
      <c r="AB669" s="1646"/>
      <c r="AC669" s="1646"/>
      <c r="AD669" s="1646"/>
      <c r="AE669" s="1646"/>
      <c r="AF669" s="1646"/>
      <c r="AG669" s="1646"/>
      <c r="AH669" s="1646"/>
      <c r="AI669" s="1646"/>
      <c r="AJ669" s="1646"/>
      <c r="AK669" s="1646"/>
      <c r="AL669" s="1646"/>
      <c r="AM669" s="1646"/>
      <c r="AN669" s="1646"/>
      <c r="AO669" s="1646"/>
      <c r="AP669" s="1646"/>
      <c r="AQ669" s="1646"/>
      <c r="AR669" s="1646"/>
      <c r="AS669" s="1646"/>
      <c r="AT669" s="1646"/>
      <c r="AU669" s="1646"/>
      <c r="AV669" s="1646"/>
      <c r="AW669" s="1646"/>
      <c r="AX669" s="1646"/>
      <c r="AY669" s="1646"/>
      <c r="AZ669" s="1646"/>
      <c r="BA669" s="1646"/>
      <c r="BB669" s="1646"/>
      <c r="BC669" s="1646"/>
      <c r="BD669" s="1646"/>
      <c r="BE669" s="1646"/>
      <c r="BF669" s="1646"/>
      <c r="BG669" s="1646"/>
      <c r="BH669" s="1646"/>
      <c r="BI669" s="1646"/>
      <c r="BJ669" s="1646"/>
      <c r="BK669" s="1646"/>
      <c r="BL669" s="1646"/>
      <c r="BM669" s="1646"/>
      <c r="BN669" s="1646"/>
      <c r="BO669" s="1646"/>
      <c r="BP669" s="1646"/>
      <c r="BQ669" s="1646"/>
      <c r="BR669" s="1646"/>
      <c r="BS669" s="1646"/>
      <c r="BT669" s="1646"/>
      <c r="BU669" s="1646"/>
      <c r="BV669" s="1646"/>
      <c r="BW669" s="1646"/>
      <c r="BX669" s="1646"/>
      <c r="BY669" s="1646"/>
      <c r="BZ669" s="1646"/>
      <c r="CA669" s="1646"/>
      <c r="CB669" s="1646"/>
      <c r="CC669" s="1646"/>
      <c r="CD669" s="1646"/>
      <c r="CE669" s="1646"/>
      <c r="CF669" s="1646"/>
      <c r="CG669" s="1646"/>
      <c r="CH669" s="1646"/>
      <c r="CI669" s="1646"/>
      <c r="CJ669" s="1646"/>
      <c r="CK669" s="1646"/>
      <c r="CL669" s="1646"/>
      <c r="CM669" s="1646"/>
      <c r="CN669" s="1646"/>
      <c r="CO669" s="1646"/>
      <c r="CP669" s="1646"/>
      <c r="CQ669" s="1646"/>
      <c r="CR669" s="1646"/>
      <c r="CS669" s="1646"/>
      <c r="CT669" s="1646"/>
      <c r="CU669" s="1646"/>
      <c r="CV669" s="1646"/>
      <c r="CW669" s="1646"/>
      <c r="CX669" s="1646"/>
      <c r="CY669" s="1646"/>
      <c r="CZ669" s="1646"/>
      <c r="DA669" s="1646"/>
      <c r="DB669" s="1646"/>
      <c r="DC669" s="1646"/>
      <c r="DD669" s="1646"/>
      <c r="DE669" s="1646"/>
      <c r="DF669" s="1646"/>
      <c r="DG669" s="1646"/>
      <c r="DH669" s="1646"/>
      <c r="DI669" s="1646"/>
      <c r="DJ669" s="1646"/>
      <c r="DK669" s="1646"/>
      <c r="DL669" s="1646"/>
      <c r="DM669" s="1646"/>
      <c r="DN669" s="1646"/>
      <c r="DO669" s="1646"/>
      <c r="DP669" s="1646"/>
      <c r="DQ669" s="1646"/>
      <c r="DR669" s="1646"/>
      <c r="DS669" s="1646"/>
      <c r="DT669" s="1646"/>
      <c r="DU669" s="1646"/>
      <c r="DV669" s="1646"/>
      <c r="DW669" s="1646"/>
      <c r="DX669" s="1646"/>
      <c r="DY669" s="1646"/>
      <c r="DZ669" s="1646"/>
      <c r="EA669" s="1646"/>
      <c r="EB669" s="1646"/>
      <c r="EC669" s="1646"/>
      <c r="ED669" s="1646"/>
      <c r="EE669" s="1646"/>
      <c r="EF669" s="1646"/>
      <c r="EG669" s="1646"/>
      <c r="EH669" s="1646"/>
      <c r="EI669" s="1646"/>
      <c r="EJ669" s="1646"/>
      <c r="EK669" s="1646"/>
      <c r="EL669" s="1646"/>
      <c r="EM669" s="1646"/>
      <c r="EN669" s="1646"/>
      <c r="EO669" s="1646"/>
      <c r="EP669" s="1646"/>
      <c r="EQ669" s="1646"/>
      <c r="ER669" s="1646"/>
      <c r="ES669" s="1646"/>
      <c r="ET669" s="1646"/>
      <c r="EU669" s="1646"/>
      <c r="EV669" s="1646"/>
      <c r="EW669" s="1646"/>
      <c r="EX669" s="1646"/>
      <c r="EY669" s="1646"/>
      <c r="EZ669" s="1646"/>
      <c r="FA669" s="1646"/>
      <c r="FB669" s="1646"/>
      <c r="FC669" s="1647"/>
    </row>
    <row r="670" spans="1:159" s="1255" customFormat="1" ht="32.1" customHeight="1">
      <c r="A670" s="1745"/>
      <c r="B670" s="1746" t="s">
        <v>6909</v>
      </c>
      <c r="C670" s="1744">
        <f>IF(J670&gt;$P670,1,IF(J670&lt;$Q670,0,(J670-$Q670)/($P670-$Q670)))</f>
        <v>0.21186077976584941</v>
      </c>
      <c r="D670" s="1744">
        <f t="shared" ref="D670:H670" si="172">IF(K670&gt;$P670,1,IF(K670&lt;$Q670,0,(K670-$Q670)/($P670-$Q670)))</f>
        <v>0</v>
      </c>
      <c r="E670" s="1744">
        <f t="shared" si="172"/>
        <v>1</v>
      </c>
      <c r="F670" s="1744">
        <f t="shared" si="172"/>
        <v>1</v>
      </c>
      <c r="G670" s="1744">
        <f t="shared" si="172"/>
        <v>1.8030704660923766E-3</v>
      </c>
      <c r="H670" s="1744">
        <f t="shared" si="172"/>
        <v>2.7046056991385087E-2</v>
      </c>
      <c r="I670" s="1195" t="s">
        <v>5295</v>
      </c>
      <c r="J670" s="1558">
        <v>15.9</v>
      </c>
      <c r="K670" s="1558">
        <v>11.2</v>
      </c>
      <c r="L670" s="1557">
        <v>39.9</v>
      </c>
      <c r="M670" s="1558">
        <v>40.5</v>
      </c>
      <c r="N670" s="1556">
        <v>11.24</v>
      </c>
      <c r="O670" s="1558">
        <v>11.8</v>
      </c>
      <c r="P670" s="1559">
        <v>33.384379785604899</v>
      </c>
      <c r="Q670" s="1560">
        <v>11.2</v>
      </c>
      <c r="R670" s="1219"/>
      <c r="S670" s="1220"/>
      <c r="T670" s="1220"/>
      <c r="U670" s="1220"/>
      <c r="V670" s="1220"/>
      <c r="W670" s="1220"/>
      <c r="X670" s="1220"/>
      <c r="Y670" s="1220"/>
      <c r="Z670" s="1220"/>
      <c r="AA670" s="1220"/>
      <c r="AB670" s="1220"/>
      <c r="AC670" s="1220"/>
      <c r="AD670" s="1220"/>
      <c r="AE670" s="1220"/>
      <c r="AF670" s="1220"/>
      <c r="AG670" s="1220"/>
      <c r="AH670" s="1220"/>
      <c r="AI670" s="1220"/>
      <c r="AJ670" s="1220"/>
      <c r="AK670" s="1220"/>
      <c r="AL670" s="1220"/>
      <c r="AM670" s="1220"/>
      <c r="AN670" s="1220"/>
      <c r="AO670" s="1220"/>
      <c r="AP670" s="1220"/>
      <c r="AQ670" s="1220"/>
      <c r="AR670" s="1220"/>
      <c r="AS670" s="1220"/>
      <c r="AT670" s="1220"/>
      <c r="AU670" s="1220"/>
      <c r="AV670" s="1220"/>
      <c r="AW670" s="1220"/>
      <c r="AX670" s="1220"/>
      <c r="AY670" s="1220"/>
      <c r="AZ670" s="1220"/>
      <c r="BA670" s="1220"/>
      <c r="BB670" s="1220"/>
      <c r="BC670" s="1220"/>
      <c r="BD670" s="1220"/>
      <c r="BE670" s="1220"/>
      <c r="BF670" s="1220"/>
      <c r="BG670" s="1220"/>
      <c r="BH670" s="1220"/>
      <c r="BI670" s="1220"/>
      <c r="BJ670" s="1220"/>
      <c r="BK670" s="1220"/>
      <c r="BL670" s="1220"/>
      <c r="BM670" s="1220"/>
      <c r="BN670" s="1220"/>
      <c r="BO670" s="1220"/>
      <c r="BP670" s="1220"/>
      <c r="BQ670" s="1220"/>
      <c r="BR670" s="1220"/>
      <c r="BS670" s="1220"/>
      <c r="BT670" s="1220"/>
      <c r="BU670" s="1220"/>
      <c r="BV670" s="1220"/>
      <c r="BW670" s="1220"/>
      <c r="BX670" s="1220"/>
      <c r="BY670" s="1220"/>
      <c r="BZ670" s="1220"/>
      <c r="CA670" s="1220"/>
      <c r="CB670" s="1220"/>
      <c r="CC670" s="1220"/>
      <c r="CD670" s="1220"/>
      <c r="CE670" s="1220"/>
      <c r="CF670" s="1220"/>
      <c r="CG670" s="1220"/>
      <c r="CH670" s="1220"/>
      <c r="CI670" s="1220"/>
      <c r="CJ670" s="1220"/>
      <c r="CK670" s="1220"/>
      <c r="CL670" s="1220"/>
      <c r="CM670" s="1220"/>
      <c r="CN670" s="1220"/>
      <c r="CO670" s="1220"/>
      <c r="CP670" s="1220"/>
      <c r="CQ670" s="1220"/>
      <c r="CR670" s="1220"/>
      <c r="CS670" s="1220"/>
      <c r="CT670" s="1220"/>
      <c r="CU670" s="1220"/>
      <c r="CV670" s="1220"/>
      <c r="CW670" s="1220"/>
      <c r="CX670" s="1220"/>
      <c r="CY670" s="1220"/>
      <c r="CZ670" s="1220"/>
      <c r="DA670" s="1220"/>
      <c r="DB670" s="1220"/>
      <c r="DC670" s="1220"/>
      <c r="DD670" s="1220"/>
      <c r="DE670" s="1220"/>
      <c r="DF670" s="1220"/>
      <c r="DG670" s="1220"/>
      <c r="DH670" s="1220"/>
      <c r="DI670" s="1220"/>
      <c r="DJ670" s="1220"/>
      <c r="DK670" s="1220"/>
      <c r="DL670" s="1220"/>
      <c r="DM670" s="1220"/>
      <c r="DN670" s="1220"/>
      <c r="DO670" s="1220"/>
      <c r="DP670" s="1220"/>
      <c r="DQ670" s="1220"/>
      <c r="DR670" s="1220"/>
      <c r="DS670" s="1220"/>
      <c r="DT670" s="1220"/>
      <c r="DU670" s="1220"/>
      <c r="DV670" s="1220"/>
      <c r="DW670" s="1220"/>
      <c r="DX670" s="1220"/>
      <c r="DY670" s="1220"/>
      <c r="DZ670" s="1220"/>
      <c r="EA670" s="1220"/>
      <c r="EB670" s="1220"/>
      <c r="EC670" s="1220"/>
      <c r="ED670" s="1220"/>
      <c r="EE670" s="1220"/>
      <c r="EF670" s="1220"/>
      <c r="EG670" s="1220"/>
      <c r="EH670" s="1220"/>
      <c r="EI670" s="1220"/>
      <c r="EJ670" s="1220"/>
      <c r="EK670" s="1220"/>
      <c r="EL670" s="1220"/>
      <c r="EM670" s="1220"/>
      <c r="EN670" s="1220"/>
      <c r="EO670" s="1220"/>
      <c r="EP670" s="1220"/>
      <c r="EQ670" s="1220"/>
      <c r="ER670" s="1220"/>
      <c r="ES670" s="1220"/>
      <c r="ET670" s="1220"/>
      <c r="EU670" s="1220"/>
      <c r="EV670" s="1220"/>
      <c r="EW670" s="1220"/>
      <c r="EX670" s="1220"/>
      <c r="EY670" s="1220"/>
      <c r="EZ670" s="1220"/>
      <c r="FA670" s="1220"/>
      <c r="FB670" s="1220"/>
      <c r="FC670" s="1254"/>
    </row>
    <row r="671" spans="1:159" s="1255" customFormat="1" ht="32.1" customHeight="1">
      <c r="A671" s="1745"/>
      <c r="B671" s="1746" t="s">
        <v>6910</v>
      </c>
      <c r="C671" s="1744">
        <v>0</v>
      </c>
      <c r="D671" s="1744">
        <v>1</v>
      </c>
      <c r="E671" s="1744">
        <v>0</v>
      </c>
      <c r="F671" s="1744">
        <v>0.5</v>
      </c>
      <c r="G671" s="1744">
        <v>1</v>
      </c>
      <c r="H671" s="1744">
        <v>0.5</v>
      </c>
      <c r="I671" s="1195" t="s">
        <v>6906</v>
      </c>
      <c r="J671" s="1649">
        <f>(J670/17.6)-1</f>
        <v>-9.6590909090909172E-2</v>
      </c>
      <c r="K671" s="1649">
        <f>(K670/11.1)-1</f>
        <v>9.009009009008917E-3</v>
      </c>
      <c r="L671" s="1649">
        <f>(L670/41.6)-1</f>
        <v>-4.0865384615384692E-2</v>
      </c>
      <c r="M671" s="1649">
        <f>(M670/40.5)-1</f>
        <v>0</v>
      </c>
      <c r="N671" s="1649">
        <f>(N670/11)-1</f>
        <v>2.1818181818181737E-2</v>
      </c>
      <c r="O671" s="1649">
        <f>(O670/11.8)-1</f>
        <v>0</v>
      </c>
      <c r="P671" s="1559"/>
      <c r="Q671" s="1650"/>
      <c r="R671" s="1219"/>
      <c r="S671" s="1220"/>
      <c r="T671" s="1220"/>
      <c r="U671" s="1220"/>
      <c r="V671" s="1220"/>
      <c r="W671" s="1220"/>
      <c r="X671" s="1220"/>
      <c r="Y671" s="1220"/>
      <c r="Z671" s="1220"/>
      <c r="AA671" s="1220"/>
      <c r="AB671" s="1220"/>
      <c r="AC671" s="1220"/>
      <c r="AD671" s="1220"/>
      <c r="AE671" s="1220"/>
      <c r="AF671" s="1220"/>
      <c r="AG671" s="1220"/>
      <c r="AH671" s="1220"/>
      <c r="AI671" s="1220"/>
      <c r="AJ671" s="1220"/>
      <c r="AK671" s="1220"/>
      <c r="AL671" s="1220"/>
      <c r="AM671" s="1220"/>
      <c r="AN671" s="1220"/>
      <c r="AO671" s="1220"/>
      <c r="AP671" s="1220"/>
      <c r="AQ671" s="1220"/>
      <c r="AR671" s="1220"/>
      <c r="AS671" s="1220"/>
      <c r="AT671" s="1220"/>
      <c r="AU671" s="1220"/>
      <c r="AV671" s="1220"/>
      <c r="AW671" s="1220"/>
      <c r="AX671" s="1220"/>
      <c r="AY671" s="1220"/>
      <c r="AZ671" s="1220"/>
      <c r="BA671" s="1220"/>
      <c r="BB671" s="1220"/>
      <c r="BC671" s="1220"/>
      <c r="BD671" s="1220"/>
      <c r="BE671" s="1220"/>
      <c r="BF671" s="1220"/>
      <c r="BG671" s="1220"/>
      <c r="BH671" s="1220"/>
      <c r="BI671" s="1220"/>
      <c r="BJ671" s="1220"/>
      <c r="BK671" s="1220"/>
      <c r="BL671" s="1220"/>
      <c r="BM671" s="1220"/>
      <c r="BN671" s="1220"/>
      <c r="BO671" s="1220"/>
      <c r="BP671" s="1220"/>
      <c r="BQ671" s="1220"/>
      <c r="BR671" s="1220"/>
      <c r="BS671" s="1220"/>
      <c r="BT671" s="1220"/>
      <c r="BU671" s="1220"/>
      <c r="BV671" s="1220"/>
      <c r="BW671" s="1220"/>
      <c r="BX671" s="1220"/>
      <c r="BY671" s="1220"/>
      <c r="BZ671" s="1220"/>
      <c r="CA671" s="1220"/>
      <c r="CB671" s="1220"/>
      <c r="CC671" s="1220"/>
      <c r="CD671" s="1220"/>
      <c r="CE671" s="1220"/>
      <c r="CF671" s="1220"/>
      <c r="CG671" s="1220"/>
      <c r="CH671" s="1220"/>
      <c r="CI671" s="1220"/>
      <c r="CJ671" s="1220"/>
      <c r="CK671" s="1220"/>
      <c r="CL671" s="1220"/>
      <c r="CM671" s="1220"/>
      <c r="CN671" s="1220"/>
      <c r="CO671" s="1220"/>
      <c r="CP671" s="1220"/>
      <c r="CQ671" s="1220"/>
      <c r="CR671" s="1220"/>
      <c r="CS671" s="1220"/>
      <c r="CT671" s="1220"/>
      <c r="CU671" s="1220"/>
      <c r="CV671" s="1220"/>
      <c r="CW671" s="1220"/>
      <c r="CX671" s="1220"/>
      <c r="CY671" s="1220"/>
      <c r="CZ671" s="1220"/>
      <c r="DA671" s="1220"/>
      <c r="DB671" s="1220"/>
      <c r="DC671" s="1220"/>
      <c r="DD671" s="1220"/>
      <c r="DE671" s="1220"/>
      <c r="DF671" s="1220"/>
      <c r="DG671" s="1220"/>
      <c r="DH671" s="1220"/>
      <c r="DI671" s="1220"/>
      <c r="DJ671" s="1220"/>
      <c r="DK671" s="1220"/>
      <c r="DL671" s="1220"/>
      <c r="DM671" s="1220"/>
      <c r="DN671" s="1220"/>
      <c r="DO671" s="1220"/>
      <c r="DP671" s="1220"/>
      <c r="DQ671" s="1220"/>
      <c r="DR671" s="1220"/>
      <c r="DS671" s="1220"/>
      <c r="DT671" s="1220"/>
      <c r="DU671" s="1220"/>
      <c r="DV671" s="1220"/>
      <c r="DW671" s="1220"/>
      <c r="DX671" s="1220"/>
      <c r="DY671" s="1220"/>
      <c r="DZ671" s="1220"/>
      <c r="EA671" s="1220"/>
      <c r="EB671" s="1220"/>
      <c r="EC671" s="1220"/>
      <c r="ED671" s="1220"/>
      <c r="EE671" s="1220"/>
      <c r="EF671" s="1220"/>
      <c r="EG671" s="1220"/>
      <c r="EH671" s="1220"/>
      <c r="EI671" s="1220"/>
      <c r="EJ671" s="1220"/>
      <c r="EK671" s="1220"/>
      <c r="EL671" s="1220"/>
      <c r="EM671" s="1220"/>
      <c r="EN671" s="1220"/>
      <c r="EO671" s="1220"/>
      <c r="EP671" s="1220"/>
      <c r="EQ671" s="1220"/>
      <c r="ER671" s="1220"/>
      <c r="ES671" s="1220"/>
      <c r="ET671" s="1220"/>
      <c r="EU671" s="1220"/>
      <c r="EV671" s="1220"/>
      <c r="EW671" s="1220"/>
      <c r="EX671" s="1220"/>
      <c r="EY671" s="1220"/>
      <c r="EZ671" s="1220"/>
      <c r="FA671" s="1220"/>
      <c r="FB671" s="1220"/>
      <c r="FC671" s="1254"/>
    </row>
    <row r="672" spans="1:159" s="1666" customFormat="1" ht="32.1" customHeight="1">
      <c r="A672" s="1658" t="s">
        <v>6904</v>
      </c>
      <c r="B672" s="1659" t="s">
        <v>451</v>
      </c>
      <c r="C672" s="1639">
        <f t="shared" ref="C672:H672" si="173">AVERAGE(C673,C674)</f>
        <v>0.54761904761904756</v>
      </c>
      <c r="D672" s="1639">
        <f t="shared" si="173"/>
        <v>0.5</v>
      </c>
      <c r="E672" s="1639">
        <f t="shared" si="173"/>
        <v>0.74603174603174605</v>
      </c>
      <c r="F672" s="1639">
        <f t="shared" si="173"/>
        <v>0.68253968253968256</v>
      </c>
      <c r="G672" s="1639">
        <f t="shared" si="173"/>
        <v>1</v>
      </c>
      <c r="H672" s="1639">
        <f t="shared" si="173"/>
        <v>0.61507936507936511</v>
      </c>
      <c r="I672" s="1784" t="s">
        <v>5295</v>
      </c>
      <c r="J672" s="1660">
        <v>6.3</v>
      </c>
      <c r="K672" s="1660">
        <v>5.7</v>
      </c>
      <c r="L672" s="1661">
        <v>8.8000000000000007</v>
      </c>
      <c r="M672" s="1660">
        <v>8</v>
      </c>
      <c r="N672" s="1662">
        <v>13</v>
      </c>
      <c r="O672" s="1660">
        <v>10.3</v>
      </c>
      <c r="P672" s="1663">
        <v>12</v>
      </c>
      <c r="Q672" s="1664">
        <v>5.7</v>
      </c>
      <c r="R672" s="1645"/>
      <c r="S672" s="1646"/>
      <c r="T672" s="1646"/>
      <c r="U672" s="1646"/>
      <c r="V672" s="1646"/>
      <c r="W672" s="1646"/>
      <c r="X672" s="1646"/>
      <c r="Y672" s="1646"/>
      <c r="Z672" s="1646"/>
      <c r="AA672" s="1646"/>
      <c r="AB672" s="1646"/>
      <c r="AC672" s="1646"/>
      <c r="AD672" s="1646"/>
      <c r="AE672" s="1646"/>
      <c r="AF672" s="1646"/>
      <c r="AG672" s="1646"/>
      <c r="AH672" s="1646"/>
      <c r="AI672" s="1646"/>
      <c r="AJ672" s="1646"/>
      <c r="AK672" s="1646"/>
      <c r="AL672" s="1646"/>
      <c r="AM672" s="1646"/>
      <c r="AN672" s="1646"/>
      <c r="AO672" s="1646"/>
      <c r="AP672" s="1646"/>
      <c r="AQ672" s="1646"/>
      <c r="AR672" s="1646"/>
      <c r="AS672" s="1646"/>
      <c r="AT672" s="1646"/>
      <c r="AU672" s="1646"/>
      <c r="AV672" s="1646"/>
      <c r="AW672" s="1646"/>
      <c r="AX672" s="1646"/>
      <c r="AY672" s="1646"/>
      <c r="AZ672" s="1646"/>
      <c r="BA672" s="1646"/>
      <c r="BB672" s="1646"/>
      <c r="BC672" s="1646"/>
      <c r="BD672" s="1646"/>
      <c r="BE672" s="1646"/>
      <c r="BF672" s="1646"/>
      <c r="BG672" s="1646"/>
      <c r="BH672" s="1646"/>
      <c r="BI672" s="1646"/>
      <c r="BJ672" s="1646"/>
      <c r="BK672" s="1646"/>
      <c r="BL672" s="1646"/>
      <c r="BM672" s="1646"/>
      <c r="BN672" s="1646"/>
      <c r="BO672" s="1646"/>
      <c r="BP672" s="1646"/>
      <c r="BQ672" s="1646"/>
      <c r="BR672" s="1646"/>
      <c r="BS672" s="1646"/>
      <c r="BT672" s="1646"/>
      <c r="BU672" s="1646"/>
      <c r="BV672" s="1646"/>
      <c r="BW672" s="1646"/>
      <c r="BX672" s="1646"/>
      <c r="BY672" s="1646"/>
      <c r="BZ672" s="1646"/>
      <c r="CA672" s="1646"/>
      <c r="CB672" s="1646"/>
      <c r="CC672" s="1646"/>
      <c r="CD672" s="1646"/>
      <c r="CE672" s="1646"/>
      <c r="CF672" s="1646"/>
      <c r="CG672" s="1646"/>
      <c r="CH672" s="1646"/>
      <c r="CI672" s="1646"/>
      <c r="CJ672" s="1646"/>
      <c r="CK672" s="1646"/>
      <c r="CL672" s="1646"/>
      <c r="CM672" s="1646"/>
      <c r="CN672" s="1646"/>
      <c r="CO672" s="1646"/>
      <c r="CP672" s="1646"/>
      <c r="CQ672" s="1646"/>
      <c r="CR672" s="1646"/>
      <c r="CS672" s="1646"/>
      <c r="CT672" s="1646"/>
      <c r="CU672" s="1646"/>
      <c r="CV672" s="1646"/>
      <c r="CW672" s="1646"/>
      <c r="CX672" s="1646"/>
      <c r="CY672" s="1646"/>
      <c r="CZ672" s="1646"/>
      <c r="DA672" s="1646"/>
      <c r="DB672" s="1646"/>
      <c r="DC672" s="1646"/>
      <c r="DD672" s="1646"/>
      <c r="DE672" s="1646"/>
      <c r="DF672" s="1646"/>
      <c r="DG672" s="1646"/>
      <c r="DH672" s="1646"/>
      <c r="DI672" s="1646"/>
      <c r="DJ672" s="1646"/>
      <c r="DK672" s="1646"/>
      <c r="DL672" s="1646"/>
      <c r="DM672" s="1646"/>
      <c r="DN672" s="1646"/>
      <c r="DO672" s="1646"/>
      <c r="DP672" s="1646"/>
      <c r="DQ672" s="1646"/>
      <c r="DR672" s="1646"/>
      <c r="DS672" s="1646"/>
      <c r="DT672" s="1646"/>
      <c r="DU672" s="1646"/>
      <c r="DV672" s="1646"/>
      <c r="DW672" s="1646"/>
      <c r="DX672" s="1646"/>
      <c r="DY672" s="1646"/>
      <c r="DZ672" s="1646"/>
      <c r="EA672" s="1646"/>
      <c r="EB672" s="1646"/>
      <c r="EC672" s="1646"/>
      <c r="ED672" s="1646"/>
      <c r="EE672" s="1646"/>
      <c r="EF672" s="1646"/>
      <c r="EG672" s="1646"/>
      <c r="EH672" s="1646"/>
      <c r="EI672" s="1646"/>
      <c r="EJ672" s="1646"/>
      <c r="EK672" s="1646"/>
      <c r="EL672" s="1646"/>
      <c r="EM672" s="1646"/>
      <c r="EN672" s="1646"/>
      <c r="EO672" s="1646"/>
      <c r="EP672" s="1646"/>
      <c r="EQ672" s="1646"/>
      <c r="ER672" s="1646"/>
      <c r="ES672" s="1646"/>
      <c r="ET672" s="1646"/>
      <c r="EU672" s="1646"/>
      <c r="EV672" s="1646"/>
      <c r="EW672" s="1646"/>
      <c r="EX672" s="1646"/>
      <c r="EY672" s="1646"/>
      <c r="EZ672" s="1646"/>
      <c r="FA672" s="1646"/>
      <c r="FB672" s="1646"/>
      <c r="FC672" s="1665"/>
    </row>
    <row r="673" spans="1:159" s="1671" customFormat="1" ht="32.1" customHeight="1">
      <c r="A673" s="1668"/>
      <c r="B673" s="1747" t="s">
        <v>6908</v>
      </c>
      <c r="C673" s="1669">
        <f>IF(J673&gt;$P673,1,IF(J673&lt;$Q673,0,(J673-$Q673)/($P673-$Q673)))</f>
        <v>9.5238095238095191E-2</v>
      </c>
      <c r="D673" s="1669">
        <f t="shared" ref="D673:H673" si="174">IF(K673&gt;$P673,1,IF(K673&lt;$Q673,0,(K673-$Q673)/($P673-$Q673)))</f>
        <v>0</v>
      </c>
      <c r="E673" s="1669">
        <f t="shared" si="174"/>
        <v>0.49206349206349215</v>
      </c>
      <c r="F673" s="1669">
        <f t="shared" si="174"/>
        <v>0.36507936507936506</v>
      </c>
      <c r="G673" s="1669">
        <f t="shared" si="174"/>
        <v>1</v>
      </c>
      <c r="H673" s="1669">
        <f t="shared" si="174"/>
        <v>0.73015873015873023</v>
      </c>
      <c r="I673" s="1195" t="s">
        <v>5295</v>
      </c>
      <c r="J673" s="1651">
        <v>6.3</v>
      </c>
      <c r="K673" s="1651">
        <v>5.7</v>
      </c>
      <c r="L673" s="1652">
        <v>8.8000000000000007</v>
      </c>
      <c r="M673" s="1651">
        <v>8</v>
      </c>
      <c r="N673" s="1653">
        <v>13</v>
      </c>
      <c r="O673" s="1651">
        <v>10.3</v>
      </c>
      <c r="P673" s="1654">
        <v>12</v>
      </c>
      <c r="Q673" s="1655">
        <v>5.7</v>
      </c>
      <c r="R673" s="1656"/>
      <c r="S673" s="1657"/>
      <c r="T673" s="1657"/>
      <c r="U673" s="1657"/>
      <c r="V673" s="1657"/>
      <c r="W673" s="1657"/>
      <c r="X673" s="1657"/>
      <c r="Y673" s="1657"/>
      <c r="Z673" s="1657"/>
      <c r="AA673" s="1657"/>
      <c r="AB673" s="1657"/>
      <c r="AC673" s="1657"/>
      <c r="AD673" s="1657"/>
      <c r="AE673" s="1657"/>
      <c r="AF673" s="1657"/>
      <c r="AG673" s="1657"/>
      <c r="AH673" s="1657"/>
      <c r="AI673" s="1657"/>
      <c r="AJ673" s="1657"/>
      <c r="AK673" s="1657"/>
      <c r="AL673" s="1657"/>
      <c r="AM673" s="1657"/>
      <c r="AN673" s="1657"/>
      <c r="AO673" s="1657"/>
      <c r="AP673" s="1657"/>
      <c r="AQ673" s="1657"/>
      <c r="AR673" s="1657"/>
      <c r="AS673" s="1657"/>
      <c r="AT673" s="1657"/>
      <c r="AU673" s="1657"/>
      <c r="AV673" s="1657"/>
      <c r="AW673" s="1657"/>
      <c r="AX673" s="1657"/>
      <c r="AY673" s="1657"/>
      <c r="AZ673" s="1657"/>
      <c r="BA673" s="1657"/>
      <c r="BB673" s="1657"/>
      <c r="BC673" s="1657"/>
      <c r="BD673" s="1657"/>
      <c r="BE673" s="1657"/>
      <c r="BF673" s="1657"/>
      <c r="BG673" s="1657"/>
      <c r="BH673" s="1657"/>
      <c r="BI673" s="1657"/>
      <c r="BJ673" s="1657"/>
      <c r="BK673" s="1657"/>
      <c r="BL673" s="1657"/>
      <c r="BM673" s="1657"/>
      <c r="BN673" s="1657"/>
      <c r="BO673" s="1657"/>
      <c r="BP673" s="1657"/>
      <c r="BQ673" s="1657"/>
      <c r="BR673" s="1657"/>
      <c r="BS673" s="1657"/>
      <c r="BT673" s="1657"/>
      <c r="BU673" s="1657"/>
      <c r="BV673" s="1657"/>
      <c r="BW673" s="1657"/>
      <c r="BX673" s="1657"/>
      <c r="BY673" s="1657"/>
      <c r="BZ673" s="1657"/>
      <c r="CA673" s="1657"/>
      <c r="CB673" s="1657"/>
      <c r="CC673" s="1657"/>
      <c r="CD673" s="1657"/>
      <c r="CE673" s="1657"/>
      <c r="CF673" s="1657"/>
      <c r="CG673" s="1657"/>
      <c r="CH673" s="1657"/>
      <c r="CI673" s="1657"/>
      <c r="CJ673" s="1657"/>
      <c r="CK673" s="1657"/>
      <c r="CL673" s="1657"/>
      <c r="CM673" s="1657"/>
      <c r="CN673" s="1657"/>
      <c r="CO673" s="1657"/>
      <c r="CP673" s="1657"/>
      <c r="CQ673" s="1657"/>
      <c r="CR673" s="1657"/>
      <c r="CS673" s="1657"/>
      <c r="CT673" s="1657"/>
      <c r="CU673" s="1657"/>
      <c r="CV673" s="1657"/>
      <c r="CW673" s="1657"/>
      <c r="CX673" s="1657"/>
      <c r="CY673" s="1657"/>
      <c r="CZ673" s="1657"/>
      <c r="DA673" s="1657"/>
      <c r="DB673" s="1657"/>
      <c r="DC673" s="1657"/>
      <c r="DD673" s="1657"/>
      <c r="DE673" s="1657"/>
      <c r="DF673" s="1657"/>
      <c r="DG673" s="1657"/>
      <c r="DH673" s="1657"/>
      <c r="DI673" s="1657"/>
      <c r="DJ673" s="1657"/>
      <c r="DK673" s="1657"/>
      <c r="DL673" s="1657"/>
      <c r="DM673" s="1657"/>
      <c r="DN673" s="1657"/>
      <c r="DO673" s="1657"/>
      <c r="DP673" s="1657"/>
      <c r="DQ673" s="1657"/>
      <c r="DR673" s="1657"/>
      <c r="DS673" s="1657"/>
      <c r="DT673" s="1657"/>
      <c r="DU673" s="1657"/>
      <c r="DV673" s="1657"/>
      <c r="DW673" s="1657"/>
      <c r="DX673" s="1657"/>
      <c r="DY673" s="1657"/>
      <c r="DZ673" s="1657"/>
      <c r="EA673" s="1657"/>
      <c r="EB673" s="1657"/>
      <c r="EC673" s="1657"/>
      <c r="ED673" s="1657"/>
      <c r="EE673" s="1657"/>
      <c r="EF673" s="1657"/>
      <c r="EG673" s="1657"/>
      <c r="EH673" s="1657"/>
      <c r="EI673" s="1657"/>
      <c r="EJ673" s="1657"/>
      <c r="EK673" s="1657"/>
      <c r="EL673" s="1657"/>
      <c r="EM673" s="1657"/>
      <c r="EN673" s="1657"/>
      <c r="EO673" s="1657"/>
      <c r="EP673" s="1657"/>
      <c r="EQ673" s="1657"/>
      <c r="ER673" s="1657"/>
      <c r="ES673" s="1657"/>
      <c r="ET673" s="1657"/>
      <c r="EU673" s="1657"/>
      <c r="EV673" s="1657"/>
      <c r="EW673" s="1657"/>
      <c r="EX673" s="1657"/>
      <c r="EY673" s="1657"/>
      <c r="EZ673" s="1657"/>
      <c r="FA673" s="1657"/>
      <c r="FB673" s="1657"/>
      <c r="FC673" s="1670"/>
    </row>
    <row r="674" spans="1:159" s="1671" customFormat="1" ht="32.1" customHeight="1">
      <c r="A674" s="1668"/>
      <c r="B674" s="1747" t="s">
        <v>6907</v>
      </c>
      <c r="C674" s="1669">
        <v>1</v>
      </c>
      <c r="D674" s="1669">
        <v>1</v>
      </c>
      <c r="E674" s="1669">
        <v>1</v>
      </c>
      <c r="F674" s="1669">
        <v>1</v>
      </c>
      <c r="G674" s="1669">
        <v>1</v>
      </c>
      <c r="H674" s="1669">
        <v>0.5</v>
      </c>
      <c r="I674" s="1195" t="s">
        <v>6906</v>
      </c>
      <c r="J674" s="1649">
        <f>(J673/6.05)-1</f>
        <v>4.1322314049586861E-2</v>
      </c>
      <c r="K674" s="1649">
        <f>(K673/4.76)-1</f>
        <v>0.19747899159663884</v>
      </c>
      <c r="L674" s="1649">
        <f>(L673/7.8)-1</f>
        <v>0.12820512820512842</v>
      </c>
      <c r="M674" s="1649">
        <f>(M673/7.5)-1</f>
        <v>6.6666666666666652E-2</v>
      </c>
      <c r="N674" s="1649">
        <f>(N673/12.9)-1</f>
        <v>7.7519379844961378E-3</v>
      </c>
      <c r="O674" s="1649">
        <f>(O673/10.3)-1</f>
        <v>0</v>
      </c>
      <c r="P674" s="1654"/>
      <c r="Q674" s="1655"/>
      <c r="R674" s="1656"/>
      <c r="S674" s="1657"/>
      <c r="T674" s="1657"/>
      <c r="U674" s="1657"/>
      <c r="V674" s="1657"/>
      <c r="W674" s="1657"/>
      <c r="X674" s="1657"/>
      <c r="Y674" s="1657"/>
      <c r="Z674" s="1657"/>
      <c r="AA674" s="1657"/>
      <c r="AB674" s="1657"/>
      <c r="AC674" s="1657"/>
      <c r="AD674" s="1657"/>
      <c r="AE674" s="1657"/>
      <c r="AF674" s="1657"/>
      <c r="AG674" s="1657"/>
      <c r="AH674" s="1657"/>
      <c r="AI674" s="1657"/>
      <c r="AJ674" s="1657"/>
      <c r="AK674" s="1657"/>
      <c r="AL674" s="1657"/>
      <c r="AM674" s="1657"/>
      <c r="AN674" s="1657"/>
      <c r="AO674" s="1657"/>
      <c r="AP674" s="1657"/>
      <c r="AQ674" s="1657"/>
      <c r="AR674" s="1657"/>
      <c r="AS674" s="1657"/>
      <c r="AT674" s="1657"/>
      <c r="AU674" s="1657"/>
      <c r="AV674" s="1657"/>
      <c r="AW674" s="1657"/>
      <c r="AX674" s="1657"/>
      <c r="AY674" s="1657"/>
      <c r="AZ674" s="1657"/>
      <c r="BA674" s="1657"/>
      <c r="BB674" s="1657"/>
      <c r="BC674" s="1657"/>
      <c r="BD674" s="1657"/>
      <c r="BE674" s="1657"/>
      <c r="BF674" s="1657"/>
      <c r="BG674" s="1657"/>
      <c r="BH674" s="1657"/>
      <c r="BI674" s="1657"/>
      <c r="BJ674" s="1657"/>
      <c r="BK674" s="1657"/>
      <c r="BL674" s="1657"/>
      <c r="BM674" s="1657"/>
      <c r="BN674" s="1657"/>
      <c r="BO674" s="1657"/>
      <c r="BP674" s="1657"/>
      <c r="BQ674" s="1657"/>
      <c r="BR674" s="1657"/>
      <c r="BS674" s="1657"/>
      <c r="BT674" s="1657"/>
      <c r="BU674" s="1657"/>
      <c r="BV674" s="1657"/>
      <c r="BW674" s="1657"/>
      <c r="BX674" s="1657"/>
      <c r="BY674" s="1657"/>
      <c r="BZ674" s="1657"/>
      <c r="CA674" s="1657"/>
      <c r="CB674" s="1657"/>
      <c r="CC674" s="1657"/>
      <c r="CD674" s="1657"/>
      <c r="CE674" s="1657"/>
      <c r="CF674" s="1657"/>
      <c r="CG674" s="1657"/>
      <c r="CH674" s="1657"/>
      <c r="CI674" s="1657"/>
      <c r="CJ674" s="1657"/>
      <c r="CK674" s="1657"/>
      <c r="CL674" s="1657"/>
      <c r="CM674" s="1657"/>
      <c r="CN674" s="1657"/>
      <c r="CO674" s="1657"/>
      <c r="CP674" s="1657"/>
      <c r="CQ674" s="1657"/>
      <c r="CR674" s="1657"/>
      <c r="CS674" s="1657"/>
      <c r="CT674" s="1657"/>
      <c r="CU674" s="1657"/>
      <c r="CV674" s="1657"/>
      <c r="CW674" s="1657"/>
      <c r="CX674" s="1657"/>
      <c r="CY674" s="1657"/>
      <c r="CZ674" s="1657"/>
      <c r="DA674" s="1657"/>
      <c r="DB674" s="1657"/>
      <c r="DC674" s="1657"/>
      <c r="DD674" s="1657"/>
      <c r="DE674" s="1657"/>
      <c r="DF674" s="1657"/>
      <c r="DG674" s="1657"/>
      <c r="DH674" s="1657"/>
      <c r="DI674" s="1657"/>
      <c r="DJ674" s="1657"/>
      <c r="DK674" s="1657"/>
      <c r="DL674" s="1657"/>
      <c r="DM674" s="1657"/>
      <c r="DN674" s="1657"/>
      <c r="DO674" s="1657"/>
      <c r="DP674" s="1657"/>
      <c r="DQ674" s="1657"/>
      <c r="DR674" s="1657"/>
      <c r="DS674" s="1657"/>
      <c r="DT674" s="1657"/>
      <c r="DU674" s="1657"/>
      <c r="DV674" s="1657"/>
      <c r="DW674" s="1657"/>
      <c r="DX674" s="1657"/>
      <c r="DY674" s="1657"/>
      <c r="DZ674" s="1657"/>
      <c r="EA674" s="1657"/>
      <c r="EB674" s="1657"/>
      <c r="EC674" s="1657"/>
      <c r="ED674" s="1657"/>
      <c r="EE674" s="1657"/>
      <c r="EF674" s="1657"/>
      <c r="EG674" s="1657"/>
      <c r="EH674" s="1657"/>
      <c r="EI674" s="1657"/>
      <c r="EJ674" s="1657"/>
      <c r="EK674" s="1657"/>
      <c r="EL674" s="1657"/>
      <c r="EM674" s="1657"/>
      <c r="EN674" s="1657"/>
      <c r="EO674" s="1657"/>
      <c r="EP674" s="1657"/>
      <c r="EQ674" s="1657"/>
      <c r="ER674" s="1657"/>
      <c r="ES674" s="1657"/>
      <c r="ET674" s="1657"/>
      <c r="EU674" s="1657"/>
      <c r="EV674" s="1657"/>
      <c r="EW674" s="1657"/>
      <c r="EX674" s="1657"/>
      <c r="EY674" s="1657"/>
      <c r="EZ674" s="1657"/>
      <c r="FA674" s="1657"/>
      <c r="FB674" s="1657"/>
      <c r="FC674" s="1670"/>
    </row>
    <row r="675" spans="1:159" ht="32.1" customHeight="1">
      <c r="A675" s="1256">
        <v>3.3</v>
      </c>
      <c r="B675" s="1257" t="s">
        <v>454</v>
      </c>
      <c r="C675" s="1503">
        <f t="shared" ref="C675:H675" si="175">AVERAGE(C676,C694)</f>
        <v>0.99305555555555558</v>
      </c>
      <c r="D675" s="1503">
        <f t="shared" si="175"/>
        <v>0.81634030000627633</v>
      </c>
      <c r="E675" s="1503">
        <f t="shared" si="175"/>
        <v>0.47063484591727855</v>
      </c>
      <c r="F675" s="1503">
        <f t="shared" si="175"/>
        <v>0.95215511830791444</v>
      </c>
      <c r="G675" s="1503">
        <f t="shared" si="175"/>
        <v>0.79779650201887065</v>
      </c>
      <c r="H675" s="1503">
        <f t="shared" si="175"/>
        <v>0.78144940270716967</v>
      </c>
      <c r="I675" s="1785"/>
      <c r="J675" s="1667"/>
      <c r="K675" s="1667"/>
      <c r="L675" s="1667"/>
      <c r="M675" s="1667"/>
      <c r="N675" s="1667"/>
      <c r="O675" s="1667"/>
      <c r="P675" s="1667"/>
      <c r="Q675" s="1667"/>
    </row>
    <row r="676" spans="1:159" ht="32.1" customHeight="1">
      <c r="A676" s="1604" t="s">
        <v>689</v>
      </c>
      <c r="B676" s="1067" t="s">
        <v>455</v>
      </c>
      <c r="C676" s="1478">
        <f t="shared" ref="C676:H676" si="176">AVERAGE(C677,C678,C679,C682,C685,C690,C691,C692,C693)</f>
        <v>0.98611111111111116</v>
      </c>
      <c r="D676" s="1478">
        <f t="shared" si="176"/>
        <v>0.88268060001255255</v>
      </c>
      <c r="E676" s="1478">
        <f t="shared" si="176"/>
        <v>0.44126969183455717</v>
      </c>
      <c r="F676" s="1478">
        <f t="shared" si="176"/>
        <v>0.90431023661582877</v>
      </c>
      <c r="G676" s="1478">
        <f t="shared" si="176"/>
        <v>0.84559300403774129</v>
      </c>
      <c r="H676" s="1478">
        <f t="shared" si="176"/>
        <v>0.81289880541433923</v>
      </c>
      <c r="I676" s="1195"/>
      <c r="J676" s="1068"/>
      <c r="K676" s="1068"/>
      <c r="L676" s="1068"/>
      <c r="M676" s="1068"/>
      <c r="N676" s="1068"/>
      <c r="O676" s="1068"/>
      <c r="P676" s="1068"/>
      <c r="Q676" s="1068"/>
    </row>
    <row r="677" spans="1:159" ht="32.1" customHeight="1">
      <c r="A677" s="1086"/>
      <c r="B677" s="1053" t="s">
        <v>456</v>
      </c>
      <c r="C677" s="1498">
        <v>1</v>
      </c>
      <c r="D677" s="1498">
        <v>1</v>
      </c>
      <c r="E677" s="1487">
        <v>0.5</v>
      </c>
      <c r="F677" s="1449">
        <v>1</v>
      </c>
      <c r="G677" s="1449">
        <v>1</v>
      </c>
      <c r="H677" s="1449">
        <v>1</v>
      </c>
      <c r="I677" s="1195" t="s">
        <v>457</v>
      </c>
      <c r="J677" s="1070" t="s">
        <v>6684</v>
      </c>
      <c r="K677" s="1075" t="s">
        <v>6452</v>
      </c>
      <c r="L677" s="1124">
        <v>0.5</v>
      </c>
      <c r="M677" s="1154">
        <v>1</v>
      </c>
      <c r="N677" s="1154" t="s">
        <v>5503</v>
      </c>
      <c r="O677" s="1069" t="s">
        <v>2518</v>
      </c>
      <c r="P677" s="1070">
        <v>1</v>
      </c>
      <c r="Q677" s="1070">
        <v>0</v>
      </c>
    </row>
    <row r="678" spans="1:159" ht="32.1" customHeight="1">
      <c r="A678" s="1086"/>
      <c r="B678" s="1053" t="s">
        <v>458</v>
      </c>
      <c r="C678" s="1498">
        <v>1</v>
      </c>
      <c r="D678" s="1449">
        <v>1</v>
      </c>
      <c r="E678" s="1449">
        <v>0</v>
      </c>
      <c r="F678" s="1449">
        <v>1</v>
      </c>
      <c r="G678" s="1449">
        <v>1</v>
      </c>
      <c r="H678" s="1449">
        <v>1</v>
      </c>
      <c r="I678" s="1195" t="s">
        <v>459</v>
      </c>
      <c r="J678" s="1070" t="s">
        <v>6685</v>
      </c>
      <c r="K678" s="1075" t="s">
        <v>6453</v>
      </c>
      <c r="L678" s="1070">
        <v>0</v>
      </c>
      <c r="M678" s="1154">
        <v>1</v>
      </c>
      <c r="N678" s="1075" t="s">
        <v>5504</v>
      </c>
      <c r="O678" s="1154" t="s">
        <v>5743</v>
      </c>
      <c r="P678" s="1070">
        <v>1</v>
      </c>
      <c r="Q678" s="1070">
        <v>0</v>
      </c>
    </row>
    <row r="679" spans="1:159" ht="32.1" customHeight="1">
      <c r="A679" s="1086"/>
      <c r="B679" s="1053" t="s">
        <v>460</v>
      </c>
      <c r="C679" s="1449">
        <f t="shared" ref="C679:H679" si="177">AVERAGE(C680:C681)</f>
        <v>1</v>
      </c>
      <c r="D679" s="1449">
        <f t="shared" si="177"/>
        <v>1</v>
      </c>
      <c r="E679" s="1449">
        <f t="shared" si="177"/>
        <v>0.5</v>
      </c>
      <c r="F679" s="1449">
        <f t="shared" si="177"/>
        <v>1</v>
      </c>
      <c r="G679" s="1449">
        <f t="shared" si="177"/>
        <v>1</v>
      </c>
      <c r="H679" s="1449">
        <f t="shared" si="177"/>
        <v>1</v>
      </c>
      <c r="I679" s="1195"/>
      <c r="J679" s="1160"/>
      <c r="K679" s="1070"/>
      <c r="L679" s="1070"/>
      <c r="M679" s="1160"/>
      <c r="N679" s="1154"/>
      <c r="O679" s="1154"/>
      <c r="P679" s="1070"/>
      <c r="Q679" s="1070"/>
    </row>
    <row r="680" spans="1:159" ht="32.1" customHeight="1">
      <c r="A680" s="1086"/>
      <c r="B680" s="1145" t="s">
        <v>461</v>
      </c>
      <c r="C680" s="1449">
        <v>1</v>
      </c>
      <c r="D680" s="1449">
        <v>1</v>
      </c>
      <c r="E680" s="1449">
        <v>0.5</v>
      </c>
      <c r="F680" s="1449">
        <v>1</v>
      </c>
      <c r="G680" s="1498">
        <v>1</v>
      </c>
      <c r="H680" s="1498">
        <v>1</v>
      </c>
      <c r="I680" s="1195" t="s">
        <v>462</v>
      </c>
      <c r="J680" s="1154" t="s">
        <v>6686</v>
      </c>
      <c r="K680" s="1075" t="s">
        <v>2526</v>
      </c>
      <c r="L680" s="1073">
        <v>0.5</v>
      </c>
      <c r="M680" s="1154">
        <v>1</v>
      </c>
      <c r="N680" s="1154" t="s">
        <v>5505</v>
      </c>
      <c r="O680" s="1069" t="s">
        <v>2530</v>
      </c>
      <c r="P680" s="1070">
        <v>1</v>
      </c>
      <c r="Q680" s="1070">
        <v>0</v>
      </c>
    </row>
    <row r="681" spans="1:159" ht="32.1" customHeight="1">
      <c r="A681" s="1086"/>
      <c r="B681" s="1145" t="s">
        <v>463</v>
      </c>
      <c r="C681" s="1449">
        <v>1</v>
      </c>
      <c r="D681" s="1449">
        <v>1</v>
      </c>
      <c r="E681" s="1449">
        <v>0.5</v>
      </c>
      <c r="F681" s="1449">
        <v>1</v>
      </c>
      <c r="G681" s="1498">
        <v>1</v>
      </c>
      <c r="H681" s="1498">
        <v>1</v>
      </c>
      <c r="I681" s="1195" t="s">
        <v>462</v>
      </c>
      <c r="J681" s="1070" t="s">
        <v>6686</v>
      </c>
      <c r="K681" s="1075" t="s">
        <v>2532</v>
      </c>
      <c r="L681" s="1124">
        <v>0.5</v>
      </c>
      <c r="M681" s="1154">
        <v>1</v>
      </c>
      <c r="N681" s="1075" t="s">
        <v>5506</v>
      </c>
      <c r="O681" s="1069" t="s">
        <v>2536</v>
      </c>
      <c r="P681" s="1070">
        <v>1</v>
      </c>
      <c r="Q681" s="1070">
        <v>0</v>
      </c>
    </row>
    <row r="682" spans="1:159" ht="32.1" customHeight="1">
      <c r="A682" s="1086"/>
      <c r="B682" s="1053" t="s">
        <v>464</v>
      </c>
      <c r="C682" s="1449">
        <f t="shared" ref="C682:H682" si="178">AVERAGE(C683:C684)</f>
        <v>1</v>
      </c>
      <c r="D682" s="1449">
        <f t="shared" si="178"/>
        <v>1</v>
      </c>
      <c r="E682" s="1449">
        <f t="shared" si="178"/>
        <v>0.5</v>
      </c>
      <c r="F682" s="1449">
        <f t="shared" si="178"/>
        <v>1</v>
      </c>
      <c r="G682" s="1449">
        <f t="shared" si="178"/>
        <v>1</v>
      </c>
      <c r="H682" s="1449">
        <f t="shared" si="178"/>
        <v>0.75</v>
      </c>
      <c r="I682" s="1195"/>
      <c r="J682" s="1160"/>
      <c r="K682" s="1124"/>
      <c r="L682" s="1154"/>
      <c r="M682" s="1160">
        <v>1</v>
      </c>
      <c r="N682" s="1154"/>
      <c r="O682" s="1154"/>
      <c r="P682" s="1070"/>
      <c r="Q682" s="1070"/>
    </row>
    <row r="683" spans="1:159" ht="32.1" customHeight="1">
      <c r="A683" s="1086"/>
      <c r="B683" s="1145" t="s">
        <v>465</v>
      </c>
      <c r="C683" s="1498">
        <v>1</v>
      </c>
      <c r="D683" s="1487">
        <v>1</v>
      </c>
      <c r="E683" s="1498">
        <v>0.5</v>
      </c>
      <c r="F683" s="1498">
        <v>1</v>
      </c>
      <c r="G683" s="1498">
        <v>1</v>
      </c>
      <c r="H683" s="1498">
        <v>0.5</v>
      </c>
      <c r="I683" s="1195" t="s">
        <v>466</v>
      </c>
      <c r="J683" s="1154" t="s">
        <v>6832</v>
      </c>
      <c r="K683" s="1075" t="s">
        <v>6454</v>
      </c>
      <c r="L683" s="1154">
        <v>0.5</v>
      </c>
      <c r="M683" s="1154">
        <v>1</v>
      </c>
      <c r="N683" s="1075" t="s">
        <v>5507</v>
      </c>
      <c r="O683" s="1069" t="s">
        <v>5744</v>
      </c>
      <c r="P683" s="1070">
        <v>1</v>
      </c>
      <c r="Q683" s="1070">
        <v>0</v>
      </c>
    </row>
    <row r="684" spans="1:159" ht="32.1" customHeight="1">
      <c r="A684" s="1086"/>
      <c r="B684" s="1145" t="s">
        <v>467</v>
      </c>
      <c r="C684" s="1487">
        <v>1</v>
      </c>
      <c r="D684" s="1487">
        <v>1</v>
      </c>
      <c r="E684" s="1487">
        <v>0.5</v>
      </c>
      <c r="F684" s="1487">
        <v>1</v>
      </c>
      <c r="G684" s="1487">
        <v>1</v>
      </c>
      <c r="H684" s="1487">
        <v>1</v>
      </c>
      <c r="I684" s="1195" t="s">
        <v>466</v>
      </c>
      <c r="J684" s="1070" t="s">
        <v>6687</v>
      </c>
      <c r="K684" s="1077" t="s">
        <v>877</v>
      </c>
      <c r="L684" s="1154">
        <v>0.5</v>
      </c>
      <c r="M684" s="1083" t="s">
        <v>6753</v>
      </c>
      <c r="N684" s="1077" t="s">
        <v>2546</v>
      </c>
      <c r="O684" s="1162" t="s">
        <v>5745</v>
      </c>
      <c r="P684" s="1070">
        <v>1</v>
      </c>
      <c r="Q684" s="1070">
        <v>0</v>
      </c>
    </row>
    <row r="685" spans="1:159" ht="32.1" customHeight="1">
      <c r="A685" s="1111"/>
      <c r="B685" s="1053" t="s">
        <v>468</v>
      </c>
      <c r="C685" s="1498">
        <f t="shared" ref="C685:H685" si="179">AVERAGE(C686:C689)</f>
        <v>0.875</v>
      </c>
      <c r="D685" s="1498">
        <f t="shared" si="179"/>
        <v>0.75</v>
      </c>
      <c r="E685" s="1498">
        <f t="shared" si="179"/>
        <v>0.25</v>
      </c>
      <c r="F685" s="1498">
        <f t="shared" si="179"/>
        <v>0.875</v>
      </c>
      <c r="G685" s="1498">
        <f t="shared" si="179"/>
        <v>0.5</v>
      </c>
      <c r="H685" s="1498">
        <f t="shared" si="179"/>
        <v>0.5</v>
      </c>
      <c r="I685" s="1760"/>
      <c r="J685" s="1070"/>
      <c r="K685" s="1077"/>
      <c r="L685" s="1077"/>
      <c r="M685" s="1258"/>
      <c r="N685" s="1077"/>
      <c r="O685" s="1077"/>
      <c r="P685" s="1070"/>
      <c r="Q685" s="1070"/>
    </row>
    <row r="686" spans="1:159" ht="32.1" customHeight="1">
      <c r="A686" s="1111"/>
      <c r="B686" s="1145" t="s">
        <v>469</v>
      </c>
      <c r="C686" s="1498">
        <v>1</v>
      </c>
      <c r="D686" s="1498">
        <v>0.5</v>
      </c>
      <c r="E686" s="1498">
        <v>0</v>
      </c>
      <c r="F686" s="1498">
        <v>1</v>
      </c>
      <c r="G686" s="1498">
        <v>0.5</v>
      </c>
      <c r="H686" s="1498">
        <v>0.5</v>
      </c>
      <c r="I686" s="1760" t="s">
        <v>462</v>
      </c>
      <c r="J686" s="1070" t="s">
        <v>6688</v>
      </c>
      <c r="K686" s="1070" t="s">
        <v>6455</v>
      </c>
      <c r="L686" s="1070">
        <v>0</v>
      </c>
      <c r="M686" s="1083" t="s">
        <v>6773</v>
      </c>
      <c r="N686" s="1149" t="s">
        <v>5508</v>
      </c>
      <c r="O686" s="1069" t="s">
        <v>5746</v>
      </c>
      <c r="P686" s="1070">
        <v>1</v>
      </c>
      <c r="Q686" s="1070">
        <v>0</v>
      </c>
    </row>
    <row r="687" spans="1:159" ht="32.1" customHeight="1">
      <c r="A687" s="1111"/>
      <c r="B687" s="1145" t="s">
        <v>470</v>
      </c>
      <c r="C687" s="1498">
        <v>1</v>
      </c>
      <c r="D687" s="1498">
        <v>1</v>
      </c>
      <c r="E687" s="1498">
        <v>0</v>
      </c>
      <c r="F687" s="1498">
        <v>1</v>
      </c>
      <c r="G687" s="1498">
        <v>0.5</v>
      </c>
      <c r="H687" s="1498">
        <v>0.5</v>
      </c>
      <c r="I687" s="1760" t="s">
        <v>462</v>
      </c>
      <c r="J687" s="1070" t="s">
        <v>6689</v>
      </c>
      <c r="K687" s="1070" t="s">
        <v>6456</v>
      </c>
      <c r="L687" s="1070">
        <v>0</v>
      </c>
      <c r="M687" s="1072">
        <v>0.9</v>
      </c>
      <c r="N687" s="1149" t="s">
        <v>5509</v>
      </c>
      <c r="O687" s="1069" t="s">
        <v>5747</v>
      </c>
      <c r="P687" s="1070">
        <v>1</v>
      </c>
      <c r="Q687" s="1070">
        <v>0</v>
      </c>
    </row>
    <row r="688" spans="1:159" ht="32.1" customHeight="1">
      <c r="A688" s="1111"/>
      <c r="B688" s="1145" t="s">
        <v>471</v>
      </c>
      <c r="C688" s="1498">
        <v>0.5</v>
      </c>
      <c r="D688" s="1498">
        <v>0.5</v>
      </c>
      <c r="E688" s="1498">
        <v>0.5</v>
      </c>
      <c r="F688" s="1498">
        <v>0.5</v>
      </c>
      <c r="G688" s="1498">
        <v>0.5</v>
      </c>
      <c r="H688" s="1498">
        <v>0.5</v>
      </c>
      <c r="I688" s="1760"/>
      <c r="J688" s="1070" t="s">
        <v>6690</v>
      </c>
      <c r="K688" s="1070" t="s">
        <v>6457</v>
      </c>
      <c r="L688" s="1070">
        <v>0.5</v>
      </c>
      <c r="M688" s="1077">
        <v>0.5</v>
      </c>
      <c r="N688" s="1149" t="s">
        <v>2564</v>
      </c>
      <c r="O688" s="1069" t="s">
        <v>5748</v>
      </c>
      <c r="P688" s="1070">
        <v>1</v>
      </c>
      <c r="Q688" s="1070">
        <v>0</v>
      </c>
    </row>
    <row r="689" spans="1:25" ht="32.1" customHeight="1">
      <c r="A689" s="1111"/>
      <c r="B689" s="1145" t="s">
        <v>472</v>
      </c>
      <c r="C689" s="1498">
        <v>1</v>
      </c>
      <c r="D689" s="1498">
        <v>1</v>
      </c>
      <c r="E689" s="1498">
        <v>0.5</v>
      </c>
      <c r="F689" s="1498">
        <v>1</v>
      </c>
      <c r="G689" s="1498">
        <v>0.5</v>
      </c>
      <c r="H689" s="1498">
        <v>0.5</v>
      </c>
      <c r="I689" s="1760" t="s">
        <v>462</v>
      </c>
      <c r="J689" s="1070" t="s">
        <v>6691</v>
      </c>
      <c r="K689" s="1070" t="s">
        <v>6458</v>
      </c>
      <c r="L689" s="1070">
        <v>0.5</v>
      </c>
      <c r="M689" s="1077">
        <v>1</v>
      </c>
      <c r="N689" s="1149" t="s">
        <v>5509</v>
      </c>
      <c r="O689" s="1069" t="s">
        <v>5749</v>
      </c>
      <c r="P689" s="1070">
        <v>1</v>
      </c>
      <c r="Q689" s="1070">
        <v>0</v>
      </c>
    </row>
    <row r="690" spans="1:25" ht="32.1" customHeight="1">
      <c r="A690" s="1111"/>
      <c r="B690" s="1053" t="s">
        <v>473</v>
      </c>
      <c r="C690" s="1498">
        <v>1</v>
      </c>
      <c r="D690" s="1498">
        <v>1</v>
      </c>
      <c r="E690" s="1498">
        <v>1</v>
      </c>
      <c r="F690" s="1498">
        <v>1</v>
      </c>
      <c r="G690" s="1498">
        <v>1</v>
      </c>
      <c r="H690" s="1498">
        <v>1</v>
      </c>
      <c r="I690" s="1786" t="s">
        <v>474</v>
      </c>
      <c r="J690" s="1070" t="s">
        <v>6692</v>
      </c>
      <c r="K690" s="1073" t="s">
        <v>6459</v>
      </c>
      <c r="L690" s="1073">
        <v>1</v>
      </c>
      <c r="M690" s="1072">
        <v>0.8</v>
      </c>
      <c r="N690" s="1149" t="s">
        <v>2576</v>
      </c>
      <c r="O690" s="1077" t="s">
        <v>5750</v>
      </c>
      <c r="P690" s="1070">
        <v>1</v>
      </c>
      <c r="Q690" s="1070">
        <v>0</v>
      </c>
      <c r="R690" s="1595" t="s">
        <v>6840</v>
      </c>
      <c r="S690" s="1596" t="s">
        <v>6841</v>
      </c>
      <c r="T690" s="1596" t="s">
        <v>6842</v>
      </c>
      <c r="U690" s="1596" t="s">
        <v>6843</v>
      </c>
      <c r="V690" s="1596" t="s">
        <v>6844</v>
      </c>
      <c r="W690" s="1596" t="s">
        <v>6845</v>
      </c>
      <c r="X690" s="1596" t="s">
        <v>6846</v>
      </c>
      <c r="Y690" s="1596" t="s">
        <v>6847</v>
      </c>
    </row>
    <row r="691" spans="1:25" ht="32.1" customHeight="1">
      <c r="A691" s="1086"/>
      <c r="B691" s="1404" t="s">
        <v>475</v>
      </c>
      <c r="C691" s="1498">
        <v>1</v>
      </c>
      <c r="D691" s="1533">
        <f t="shared" ref="D691:H691" si="180">IF(S691&gt;$X691,1,IF(S691&lt;$Y691,0,(S691-$Y691)/($X691-$Y691)))</f>
        <v>0.19412540011297305</v>
      </c>
      <c r="E691" s="1533">
        <f t="shared" si="180"/>
        <v>0.22142722651101487</v>
      </c>
      <c r="F691" s="1533">
        <f t="shared" si="180"/>
        <v>0.26379212954245906</v>
      </c>
      <c r="G691" s="1533">
        <f t="shared" si="180"/>
        <v>0.11033703633967239</v>
      </c>
      <c r="H691" s="1533">
        <f t="shared" si="180"/>
        <v>6.6089248729052905E-2</v>
      </c>
      <c r="I691" s="1195" t="s">
        <v>476</v>
      </c>
      <c r="J691" s="1393" t="s">
        <v>6756</v>
      </c>
      <c r="K691" s="1073" t="s">
        <v>6460</v>
      </c>
      <c r="L691" s="1156" t="s">
        <v>6757</v>
      </c>
      <c r="M691" s="1083" t="s">
        <v>6758</v>
      </c>
      <c r="N691" s="1393" t="s">
        <v>6839</v>
      </c>
      <c r="O691" s="1070" t="s">
        <v>5751</v>
      </c>
      <c r="P691" s="1070" t="s">
        <v>6806</v>
      </c>
      <c r="Q691" s="1070">
        <v>0</v>
      </c>
      <c r="R691" s="1393">
        <v>5</v>
      </c>
      <c r="S691" s="1394">
        <v>4.26</v>
      </c>
      <c r="T691" s="1156">
        <v>4.55</v>
      </c>
      <c r="U691" s="1083">
        <v>5</v>
      </c>
      <c r="V691" s="1393">
        <v>3.37</v>
      </c>
      <c r="W691" s="1393">
        <v>2.9</v>
      </c>
      <c r="X691" s="1393">
        <v>12.82</v>
      </c>
      <c r="Y691" s="1070">
        <v>2.198</v>
      </c>
    </row>
    <row r="692" spans="1:25" ht="32.1" customHeight="1">
      <c r="A692" s="1111"/>
      <c r="B692" s="1053" t="s">
        <v>477</v>
      </c>
      <c r="C692" s="1498">
        <v>1</v>
      </c>
      <c r="D692" s="1498">
        <v>1</v>
      </c>
      <c r="E692" s="1498">
        <v>0.5</v>
      </c>
      <c r="F692" s="1498">
        <v>1</v>
      </c>
      <c r="G692" s="1498">
        <v>1</v>
      </c>
      <c r="H692" s="1498">
        <v>1</v>
      </c>
      <c r="I692" s="1760" t="s">
        <v>462</v>
      </c>
      <c r="J692" s="1070" t="s">
        <v>6693</v>
      </c>
      <c r="K692" s="1077" t="s">
        <v>6461</v>
      </c>
      <c r="L692" s="1070">
        <v>0.5</v>
      </c>
      <c r="M692" s="1072">
        <v>0.8</v>
      </c>
      <c r="N692" s="1149" t="s">
        <v>2589</v>
      </c>
      <c r="O692" s="1077" t="s">
        <v>5752</v>
      </c>
      <c r="P692" s="1070">
        <v>1</v>
      </c>
      <c r="Q692" s="1070">
        <v>0</v>
      </c>
    </row>
    <row r="693" spans="1:25" ht="32.1" customHeight="1">
      <c r="A693" s="1111"/>
      <c r="B693" s="1053" t="s">
        <v>478</v>
      </c>
      <c r="C693" s="1498">
        <v>1</v>
      </c>
      <c r="D693" s="1498">
        <v>1</v>
      </c>
      <c r="E693" s="1498">
        <v>0.5</v>
      </c>
      <c r="F693" s="1498">
        <v>1</v>
      </c>
      <c r="G693" s="1498">
        <v>1</v>
      </c>
      <c r="H693" s="1498">
        <v>1</v>
      </c>
      <c r="I693" s="1760" t="s">
        <v>462</v>
      </c>
      <c r="J693" s="1070" t="s">
        <v>6694</v>
      </c>
      <c r="K693" s="1077" t="s">
        <v>6462</v>
      </c>
      <c r="L693" s="1077">
        <v>0.5</v>
      </c>
      <c r="M693" s="1401" t="s">
        <v>6848</v>
      </c>
      <c r="N693" s="1149" t="s">
        <v>2594</v>
      </c>
      <c r="O693" s="1077" t="s">
        <v>5753</v>
      </c>
      <c r="P693" s="1070">
        <v>1</v>
      </c>
      <c r="Q693" s="1070">
        <v>0</v>
      </c>
    </row>
    <row r="694" spans="1:25" ht="32.1" customHeight="1">
      <c r="A694" s="1605" t="s">
        <v>702</v>
      </c>
      <c r="B694" s="1172" t="s">
        <v>479</v>
      </c>
      <c r="C694" s="1427">
        <f t="shared" ref="C694:H694" si="181">AVERAGE(C695,C696,C697,C698)</f>
        <v>1</v>
      </c>
      <c r="D694" s="1427">
        <f t="shared" si="181"/>
        <v>0.75</v>
      </c>
      <c r="E694" s="1427">
        <f t="shared" si="181"/>
        <v>0.5</v>
      </c>
      <c r="F694" s="1427">
        <f t="shared" si="181"/>
        <v>1</v>
      </c>
      <c r="G694" s="1427">
        <f t="shared" si="181"/>
        <v>0.75</v>
      </c>
      <c r="H694" s="1427">
        <f t="shared" si="181"/>
        <v>0.75</v>
      </c>
      <c r="I694" s="1762"/>
      <c r="J694" s="1068"/>
      <c r="K694" s="1126"/>
      <c r="L694" s="1126"/>
      <c r="M694" s="1126"/>
      <c r="N694" s="1126"/>
      <c r="O694" s="1126"/>
      <c r="P694" s="1126"/>
      <c r="Q694" s="1126"/>
    </row>
    <row r="695" spans="1:25" ht="32.1" customHeight="1">
      <c r="A695" s="1086"/>
      <c r="B695" s="1053" t="s">
        <v>480</v>
      </c>
      <c r="C695" s="1426">
        <v>1</v>
      </c>
      <c r="D695" s="1426">
        <v>1</v>
      </c>
      <c r="E695" s="1426">
        <v>1</v>
      </c>
      <c r="F695" s="1504">
        <v>1</v>
      </c>
      <c r="G695" s="1426">
        <v>1</v>
      </c>
      <c r="H695" s="1426">
        <v>1</v>
      </c>
      <c r="I695" s="1195" t="s">
        <v>481</v>
      </c>
      <c r="J695" s="1077" t="s">
        <v>6695</v>
      </c>
      <c r="K695" s="1077" t="s">
        <v>6463</v>
      </c>
      <c r="L695" s="1079" t="s">
        <v>5969</v>
      </c>
      <c r="M695" s="1104">
        <v>1</v>
      </c>
      <c r="N695" s="1069" t="s">
        <v>2599</v>
      </c>
      <c r="O695" s="1069" t="s">
        <v>2600</v>
      </c>
      <c r="P695" s="1070">
        <v>1</v>
      </c>
      <c r="Q695" s="1070">
        <v>0</v>
      </c>
    </row>
    <row r="696" spans="1:25" ht="32.1" customHeight="1">
      <c r="A696" s="1086"/>
      <c r="B696" s="1053" t="s">
        <v>482</v>
      </c>
      <c r="C696" s="1449">
        <v>1</v>
      </c>
      <c r="D696" s="1449">
        <v>1</v>
      </c>
      <c r="E696" s="1498">
        <v>0</v>
      </c>
      <c r="F696" s="1498">
        <v>1</v>
      </c>
      <c r="G696" s="1449">
        <v>1</v>
      </c>
      <c r="H696" s="1449">
        <v>1</v>
      </c>
      <c r="I696" s="1195" t="s">
        <v>123</v>
      </c>
      <c r="J696" s="1070" t="s">
        <v>6696</v>
      </c>
      <c r="K696" s="1077" t="s">
        <v>6464</v>
      </c>
      <c r="L696" s="1079" t="s">
        <v>2602</v>
      </c>
      <c r="M696" s="1072" t="s">
        <v>6774</v>
      </c>
      <c r="N696" s="1075" t="s">
        <v>2603</v>
      </c>
      <c r="O696" s="1084" t="s">
        <v>811</v>
      </c>
      <c r="P696" s="1070">
        <v>1</v>
      </c>
      <c r="Q696" s="1070">
        <v>0</v>
      </c>
    </row>
    <row r="697" spans="1:25" ht="32.1" customHeight="1">
      <c r="A697" s="1086"/>
      <c r="B697" s="1404" t="s">
        <v>483</v>
      </c>
      <c r="C697" s="1449">
        <v>1</v>
      </c>
      <c r="D697" s="1449">
        <v>1</v>
      </c>
      <c r="E697" s="1449">
        <v>1</v>
      </c>
      <c r="F697" s="1459">
        <v>1</v>
      </c>
      <c r="G697" s="1449">
        <v>1</v>
      </c>
      <c r="H697" s="1449">
        <v>1</v>
      </c>
      <c r="I697" s="1195" t="s">
        <v>484</v>
      </c>
      <c r="J697" s="1070" t="s">
        <v>6697</v>
      </c>
      <c r="K697" s="1084" t="s">
        <v>6465</v>
      </c>
      <c r="L697" s="1079" t="s">
        <v>2605</v>
      </c>
      <c r="M697" s="1401" t="s">
        <v>6775</v>
      </c>
      <c r="N697" s="1069" t="s">
        <v>2607</v>
      </c>
      <c r="O697" s="1069" t="s">
        <v>2608</v>
      </c>
      <c r="P697" s="1070">
        <v>1</v>
      </c>
      <c r="Q697" s="1070">
        <v>0</v>
      </c>
    </row>
    <row r="698" spans="1:25" ht="32.1" customHeight="1">
      <c r="A698" s="1086"/>
      <c r="B698" s="1053" t="s">
        <v>485</v>
      </c>
      <c r="C698" s="1449">
        <v>1</v>
      </c>
      <c r="D698" s="1449">
        <v>0</v>
      </c>
      <c r="E698" s="1449">
        <v>0</v>
      </c>
      <c r="F698" s="1449">
        <v>1</v>
      </c>
      <c r="G698" s="1449">
        <v>0</v>
      </c>
      <c r="H698" s="1449">
        <v>0</v>
      </c>
      <c r="I698" s="1195" t="s">
        <v>123</v>
      </c>
      <c r="J698" s="1070" t="s">
        <v>6698</v>
      </c>
      <c r="K698" s="1077" t="s">
        <v>6466</v>
      </c>
      <c r="L698" s="1079" t="s">
        <v>748</v>
      </c>
      <c r="M698" s="1401" t="s">
        <v>6776</v>
      </c>
      <c r="N698" s="1069" t="s">
        <v>748</v>
      </c>
      <c r="O698" s="1070" t="s">
        <v>748</v>
      </c>
      <c r="P698" s="1070">
        <v>1</v>
      </c>
      <c r="Q698" s="1070">
        <v>0</v>
      </c>
    </row>
    <row r="699" spans="1:25" ht="32.1" customHeight="1">
      <c r="A699" s="1605" t="s">
        <v>6859</v>
      </c>
      <c r="B699" s="1172" t="s">
        <v>486</v>
      </c>
      <c r="C699" s="1505">
        <f t="shared" ref="C699:H699" si="182">AVERAGE(C700,C701,C702,C703)</f>
        <v>1</v>
      </c>
      <c r="D699" s="1505">
        <f t="shared" si="182"/>
        <v>0.875</v>
      </c>
      <c r="E699" s="1505">
        <f t="shared" si="182"/>
        <v>1</v>
      </c>
      <c r="F699" s="1505">
        <f t="shared" si="182"/>
        <v>1</v>
      </c>
      <c r="G699" s="1505">
        <f t="shared" si="182"/>
        <v>0.875</v>
      </c>
      <c r="H699" s="1505">
        <f t="shared" si="182"/>
        <v>1</v>
      </c>
      <c r="I699" s="1787"/>
      <c r="J699" s="1068"/>
      <c r="K699" s="1126"/>
      <c r="L699" s="1068"/>
      <c r="M699" s="1126"/>
      <c r="N699" s="1126"/>
      <c r="O699" s="1126"/>
      <c r="P699" s="1126"/>
      <c r="Q699" s="1126"/>
    </row>
    <row r="700" spans="1:25" ht="32.1" customHeight="1">
      <c r="A700" s="1111"/>
      <c r="B700" s="1053" t="s">
        <v>487</v>
      </c>
      <c r="C700" s="1504">
        <v>1</v>
      </c>
      <c r="D700" s="1504">
        <v>1</v>
      </c>
      <c r="E700" s="1504">
        <v>1</v>
      </c>
      <c r="F700" s="1504">
        <v>1</v>
      </c>
      <c r="G700" s="1504">
        <v>1</v>
      </c>
      <c r="H700" s="1504">
        <v>1</v>
      </c>
      <c r="I700" s="1760" t="s">
        <v>481</v>
      </c>
      <c r="J700" s="1070" t="s">
        <v>6699</v>
      </c>
      <c r="K700" s="1070" t="s">
        <v>6467</v>
      </c>
      <c r="L700" s="1071" t="s">
        <v>811</v>
      </c>
      <c r="M700" s="1070">
        <v>1</v>
      </c>
      <c r="N700" s="1069" t="s">
        <v>5510</v>
      </c>
      <c r="O700" s="1070" t="s">
        <v>5754</v>
      </c>
      <c r="P700" s="1070">
        <v>1</v>
      </c>
      <c r="Q700" s="1070">
        <v>0</v>
      </c>
    </row>
    <row r="701" spans="1:25" ht="32.1" customHeight="1">
      <c r="A701" s="1086"/>
      <c r="B701" s="1053" t="s">
        <v>488</v>
      </c>
      <c r="C701" s="1449">
        <v>1</v>
      </c>
      <c r="D701" s="1459">
        <v>0.5</v>
      </c>
      <c r="E701" s="1449">
        <v>1</v>
      </c>
      <c r="F701" s="1449">
        <v>1</v>
      </c>
      <c r="G701" s="1449">
        <v>1</v>
      </c>
      <c r="H701" s="1449">
        <v>1</v>
      </c>
      <c r="I701" s="1195" t="s">
        <v>123</v>
      </c>
      <c r="J701" s="1070" t="s">
        <v>6700</v>
      </c>
      <c r="K701" s="1393" t="s">
        <v>6468</v>
      </c>
      <c r="L701" s="1392" t="s">
        <v>5970</v>
      </c>
      <c r="M701" s="1070">
        <v>1</v>
      </c>
      <c r="N701" s="1075" t="s">
        <v>5511</v>
      </c>
      <c r="O701" s="1084" t="s">
        <v>811</v>
      </c>
      <c r="P701" s="1070">
        <v>1</v>
      </c>
      <c r="Q701" s="1070">
        <v>0</v>
      </c>
    </row>
    <row r="702" spans="1:25" ht="32.1" customHeight="1">
      <c r="A702" s="1086"/>
      <c r="B702" s="1053" t="s">
        <v>489</v>
      </c>
      <c r="C702" s="1449">
        <v>1</v>
      </c>
      <c r="D702" s="1449">
        <v>1</v>
      </c>
      <c r="E702" s="1498">
        <v>1</v>
      </c>
      <c r="F702" s="1449">
        <v>1</v>
      </c>
      <c r="G702" s="1449">
        <v>0.5</v>
      </c>
      <c r="H702" s="1449">
        <v>1</v>
      </c>
      <c r="I702" s="1195" t="s">
        <v>481</v>
      </c>
      <c r="J702" s="1070" t="s">
        <v>6701</v>
      </c>
      <c r="K702" s="1072" t="s">
        <v>6469</v>
      </c>
      <c r="L702" s="1071" t="s">
        <v>5971</v>
      </c>
      <c r="M702" s="1070">
        <v>1</v>
      </c>
      <c r="N702" s="1075" t="s">
        <v>2619</v>
      </c>
      <c r="O702" s="1069" t="s">
        <v>2620</v>
      </c>
      <c r="P702" s="1070">
        <v>1</v>
      </c>
      <c r="Q702" s="1070">
        <v>0</v>
      </c>
    </row>
    <row r="703" spans="1:25" ht="32.1" customHeight="1">
      <c r="A703" s="1086"/>
      <c r="B703" s="1053" t="s">
        <v>490</v>
      </c>
      <c r="C703" s="1449">
        <v>1</v>
      </c>
      <c r="D703" s="1449">
        <v>1</v>
      </c>
      <c r="E703" s="1449">
        <v>1</v>
      </c>
      <c r="F703" s="1449">
        <v>1</v>
      </c>
      <c r="G703" s="1449">
        <v>1</v>
      </c>
      <c r="H703" s="1449">
        <v>1</v>
      </c>
      <c r="I703" s="1195" t="s">
        <v>123</v>
      </c>
      <c r="J703" s="1070" t="s">
        <v>6702</v>
      </c>
      <c r="K703" s="1072" t="s">
        <v>6470</v>
      </c>
      <c r="L703" s="1071" t="s">
        <v>811</v>
      </c>
      <c r="M703" s="1072">
        <v>0.8</v>
      </c>
      <c r="N703" s="1069" t="s">
        <v>5512</v>
      </c>
      <c r="O703" s="1070" t="s">
        <v>5755</v>
      </c>
      <c r="P703" s="1070">
        <v>1</v>
      </c>
      <c r="Q703" s="1070">
        <v>0</v>
      </c>
    </row>
    <row r="704" spans="1:25" ht="32.1" customHeight="1">
      <c r="A704" s="1689"/>
      <c r="B704" s="1690"/>
      <c r="C704" s="1691"/>
      <c r="D704" s="1691"/>
      <c r="E704" s="1691"/>
      <c r="F704" s="1691"/>
      <c r="G704" s="1691"/>
      <c r="H704" s="1691"/>
      <c r="I704" s="1774"/>
      <c r="J704" s="1204"/>
      <c r="K704" s="1204"/>
      <c r="L704" s="1204"/>
      <c r="M704" s="1345"/>
      <c r="N704" s="1204"/>
      <c r="O704" s="1204"/>
      <c r="P704" s="1204"/>
      <c r="Q704" s="1204"/>
    </row>
    <row r="705" spans="1:256" s="1365" customFormat="1" ht="32.1" customHeight="1">
      <c r="A705" s="1317" t="s">
        <v>6762</v>
      </c>
      <c r="B705" s="1320"/>
      <c r="C705" s="1418"/>
      <c r="D705" s="1418"/>
      <c r="E705" s="1418"/>
      <c r="F705" s="1418"/>
      <c r="G705" s="1418"/>
      <c r="H705" s="1418"/>
      <c r="I705" s="1360"/>
      <c r="J705" s="1361" t="s">
        <v>2</v>
      </c>
      <c r="K705" s="1361" t="s">
        <v>3</v>
      </c>
      <c r="L705" s="1361" t="s">
        <v>4</v>
      </c>
      <c r="M705" s="1361" t="s">
        <v>5</v>
      </c>
      <c r="N705" s="1361" t="s">
        <v>6</v>
      </c>
      <c r="O705" s="1361" t="s">
        <v>7</v>
      </c>
      <c r="P705" s="1361" t="s">
        <v>6768</v>
      </c>
      <c r="Q705" s="1361"/>
      <c r="R705" s="1362"/>
      <c r="S705" s="1363"/>
      <c r="T705" s="1363"/>
      <c r="U705" s="1363"/>
      <c r="V705" s="1363"/>
      <c r="W705" s="1363"/>
      <c r="X705" s="1363"/>
      <c r="Y705" s="1363"/>
      <c r="Z705" s="1363"/>
      <c r="AA705" s="1363"/>
      <c r="AB705" s="1363"/>
      <c r="AC705" s="1363"/>
      <c r="AD705" s="1364"/>
      <c r="AE705" s="1364"/>
      <c r="AF705" s="1364"/>
      <c r="AG705" s="1364"/>
      <c r="AH705" s="1364"/>
      <c r="AI705" s="1364"/>
      <c r="AJ705" s="1364"/>
      <c r="AK705" s="1364"/>
      <c r="AL705" s="1364"/>
      <c r="AM705" s="1364"/>
      <c r="AN705" s="1364"/>
      <c r="AO705" s="1364"/>
      <c r="AP705" s="1364"/>
      <c r="AQ705" s="1364"/>
      <c r="AR705" s="1364"/>
      <c r="AS705" s="1364"/>
      <c r="AT705" s="1364"/>
      <c r="AU705" s="1364"/>
      <c r="AV705" s="1364"/>
      <c r="AW705" s="1364"/>
      <c r="AX705" s="1364"/>
      <c r="AY705" s="1364"/>
      <c r="AZ705" s="1364"/>
      <c r="BA705" s="1364"/>
      <c r="BB705" s="1364"/>
      <c r="BC705" s="1364"/>
      <c r="BD705" s="1364"/>
      <c r="BE705" s="1364"/>
      <c r="BF705" s="1364"/>
      <c r="BG705" s="1364"/>
      <c r="BH705" s="1364"/>
      <c r="BI705" s="1364"/>
      <c r="BJ705" s="1364"/>
      <c r="BK705" s="1364"/>
      <c r="BL705" s="1364"/>
      <c r="BM705" s="1364"/>
      <c r="BN705" s="1364"/>
      <c r="BO705" s="1364"/>
      <c r="BP705" s="1364"/>
      <c r="BQ705" s="1364"/>
      <c r="BR705" s="1364"/>
      <c r="BS705" s="1364"/>
      <c r="BT705" s="1364"/>
      <c r="BU705" s="1364"/>
      <c r="BV705" s="1364"/>
      <c r="BW705" s="1364"/>
      <c r="BX705" s="1364"/>
      <c r="BY705" s="1364"/>
      <c r="BZ705" s="1364"/>
      <c r="CA705" s="1364"/>
      <c r="CB705" s="1364"/>
      <c r="CC705" s="1364"/>
      <c r="CD705" s="1364"/>
      <c r="CE705" s="1364"/>
      <c r="CF705" s="1364"/>
      <c r="CG705" s="1364"/>
      <c r="CH705" s="1364"/>
      <c r="CI705" s="1364"/>
      <c r="CJ705" s="1364"/>
      <c r="CK705" s="1364"/>
      <c r="CL705" s="1364"/>
      <c r="CM705" s="1364"/>
      <c r="CN705" s="1364"/>
      <c r="CO705" s="1364"/>
      <c r="CP705" s="1364"/>
      <c r="CQ705" s="1364"/>
      <c r="CR705" s="1364"/>
      <c r="CS705" s="1364"/>
      <c r="CT705" s="1364"/>
      <c r="CU705" s="1364"/>
      <c r="CV705" s="1364"/>
      <c r="CW705" s="1364"/>
      <c r="CX705" s="1364"/>
      <c r="CY705" s="1364"/>
      <c r="CZ705" s="1364"/>
      <c r="DA705" s="1364"/>
      <c r="DB705" s="1364"/>
      <c r="DC705" s="1364"/>
      <c r="DD705" s="1364"/>
      <c r="DE705" s="1364"/>
      <c r="DF705" s="1364"/>
      <c r="DG705" s="1364"/>
      <c r="DH705" s="1364"/>
      <c r="DI705" s="1364"/>
      <c r="DJ705" s="1364"/>
      <c r="DK705" s="1364"/>
      <c r="DL705" s="1364"/>
      <c r="DM705" s="1364"/>
      <c r="DN705" s="1364"/>
      <c r="DO705" s="1364"/>
      <c r="DP705" s="1364"/>
      <c r="DQ705" s="1364"/>
      <c r="DR705" s="1364"/>
      <c r="DS705" s="1364"/>
      <c r="DT705" s="1364"/>
      <c r="DU705" s="1364"/>
      <c r="DV705" s="1364"/>
      <c r="DW705" s="1364"/>
      <c r="DX705" s="1364"/>
      <c r="DY705" s="1364"/>
      <c r="DZ705" s="1364"/>
      <c r="EA705" s="1364"/>
      <c r="EB705" s="1364"/>
      <c r="EC705" s="1364"/>
      <c r="ED705" s="1364"/>
      <c r="EE705" s="1364"/>
      <c r="EF705" s="1364"/>
      <c r="EG705" s="1364"/>
      <c r="EH705" s="1364"/>
      <c r="EI705" s="1364"/>
      <c r="EJ705" s="1364"/>
      <c r="EK705" s="1364"/>
      <c r="EL705" s="1364"/>
      <c r="EM705" s="1364"/>
      <c r="EN705" s="1364"/>
      <c r="EO705" s="1364"/>
      <c r="EP705" s="1364"/>
      <c r="EQ705" s="1364"/>
      <c r="ER705" s="1364"/>
      <c r="ES705" s="1364"/>
      <c r="ET705" s="1364"/>
      <c r="EU705" s="1364"/>
      <c r="EV705" s="1364"/>
      <c r="EW705" s="1364"/>
      <c r="EX705" s="1364"/>
      <c r="EY705" s="1364"/>
      <c r="EZ705" s="1364"/>
      <c r="FA705" s="1364"/>
      <c r="FB705" s="1364"/>
      <c r="FC705" s="1364"/>
      <c r="FD705" s="1364"/>
      <c r="FE705" s="1364"/>
      <c r="FF705" s="1364"/>
      <c r="FG705" s="1364"/>
      <c r="FH705" s="1364"/>
      <c r="FI705" s="1364"/>
      <c r="FJ705" s="1364"/>
      <c r="FK705" s="1364"/>
      <c r="FL705" s="1364"/>
      <c r="FM705" s="1364"/>
      <c r="FN705" s="1364"/>
      <c r="FO705" s="1364"/>
      <c r="FP705" s="1364"/>
      <c r="FQ705" s="1364"/>
      <c r="FR705" s="1364"/>
      <c r="FS705" s="1364"/>
      <c r="FT705" s="1364"/>
      <c r="FU705" s="1364"/>
      <c r="FV705" s="1364"/>
      <c r="FW705" s="1364"/>
      <c r="FX705" s="1364"/>
      <c r="FY705" s="1364"/>
      <c r="FZ705" s="1364"/>
      <c r="GA705" s="1364"/>
      <c r="GB705" s="1364"/>
      <c r="GC705" s="1364"/>
      <c r="GD705" s="1364"/>
      <c r="GE705" s="1364"/>
      <c r="GF705" s="1364"/>
      <c r="GG705" s="1364"/>
      <c r="GH705" s="1364"/>
      <c r="GI705" s="1364"/>
      <c r="GJ705" s="1364"/>
      <c r="GK705" s="1364"/>
      <c r="GL705" s="1364"/>
      <c r="GM705" s="1364"/>
      <c r="GN705" s="1364"/>
      <c r="GO705" s="1364"/>
      <c r="GP705" s="1364"/>
      <c r="GQ705" s="1364"/>
      <c r="GR705" s="1364"/>
      <c r="GS705" s="1364"/>
      <c r="GT705" s="1364"/>
      <c r="GU705" s="1364"/>
      <c r="GV705" s="1364"/>
      <c r="GW705" s="1364"/>
      <c r="GX705" s="1364"/>
      <c r="GY705" s="1364"/>
      <c r="GZ705" s="1364"/>
      <c r="HA705" s="1364"/>
      <c r="HB705" s="1364"/>
      <c r="HC705" s="1364"/>
      <c r="HD705" s="1364"/>
      <c r="HE705" s="1364"/>
      <c r="HF705" s="1364"/>
      <c r="HG705" s="1364"/>
      <c r="HH705" s="1364"/>
      <c r="HI705" s="1364"/>
      <c r="HJ705" s="1364"/>
      <c r="HK705" s="1364"/>
      <c r="HL705" s="1364"/>
      <c r="HM705" s="1364"/>
      <c r="HN705" s="1364"/>
      <c r="HO705" s="1364"/>
      <c r="HP705" s="1364"/>
      <c r="HQ705" s="1364"/>
      <c r="HR705" s="1364"/>
      <c r="HS705" s="1364"/>
      <c r="HT705" s="1364"/>
      <c r="HU705" s="1364"/>
      <c r="HV705" s="1364"/>
      <c r="HW705" s="1364"/>
      <c r="HX705" s="1364"/>
      <c r="HY705" s="1364"/>
      <c r="HZ705" s="1364"/>
      <c r="IA705" s="1364"/>
      <c r="IB705" s="1364"/>
      <c r="IC705" s="1364"/>
      <c r="ID705" s="1364"/>
      <c r="IE705" s="1364"/>
      <c r="IF705" s="1364"/>
      <c r="IG705" s="1364"/>
      <c r="IH705" s="1364"/>
      <c r="II705" s="1364"/>
      <c r="IJ705" s="1364"/>
      <c r="IK705" s="1364"/>
      <c r="IL705" s="1364"/>
      <c r="IM705" s="1364"/>
      <c r="IN705" s="1364"/>
      <c r="IO705" s="1364"/>
      <c r="IP705" s="1364"/>
      <c r="IQ705" s="1364"/>
      <c r="IR705" s="1364"/>
      <c r="IS705" s="1364"/>
      <c r="IT705" s="1364"/>
      <c r="IU705" s="1364"/>
      <c r="IV705" s="1364"/>
    </row>
    <row r="706" spans="1:256" s="1365" customFormat="1" ht="32.1" customHeight="1">
      <c r="A706" s="1366"/>
      <c r="B706" s="1367" t="s">
        <v>6763</v>
      </c>
      <c r="C706" s="1417"/>
      <c r="D706" s="1417"/>
      <c r="E706" s="1417"/>
      <c r="F706" s="1417"/>
      <c r="G706" s="1417"/>
      <c r="H706" s="1417"/>
      <c r="I706" s="1368"/>
      <c r="J706" s="1149">
        <v>45.1982</v>
      </c>
      <c r="K706" s="1149">
        <v>3.5541499999999999</v>
      </c>
      <c r="L706" s="1149">
        <v>9.5129999999999999</v>
      </c>
      <c r="M706" s="1149">
        <v>3.6789999999999998</v>
      </c>
      <c r="N706" s="1149">
        <v>3.017712</v>
      </c>
      <c r="O706" s="1149">
        <v>9.6513489999999997</v>
      </c>
      <c r="P706" s="1369">
        <v>2.9039999999999999</v>
      </c>
      <c r="Q706" s="1369"/>
      <c r="R706" s="1370"/>
      <c r="S706" s="1371"/>
      <c r="T706" s="1371"/>
      <c r="U706" s="1371"/>
      <c r="V706" s="1371"/>
      <c r="W706" s="1371"/>
      <c r="X706" s="1371"/>
      <c r="Y706" s="1371"/>
      <c r="Z706" s="1371"/>
      <c r="AA706" s="1371"/>
      <c r="AB706" s="1371"/>
      <c r="AC706" s="1371"/>
      <c r="AD706" s="1364"/>
      <c r="AE706" s="1364"/>
      <c r="AF706" s="1364"/>
      <c r="AG706" s="1364"/>
      <c r="AH706" s="1364"/>
      <c r="AI706" s="1364"/>
      <c r="AJ706" s="1364"/>
      <c r="AK706" s="1364"/>
      <c r="AL706" s="1364"/>
      <c r="AM706" s="1364"/>
      <c r="AN706" s="1364"/>
      <c r="AO706" s="1364"/>
      <c r="AP706" s="1364"/>
      <c r="AQ706" s="1364"/>
      <c r="AR706" s="1364"/>
      <c r="AS706" s="1364"/>
      <c r="AT706" s="1364"/>
      <c r="AU706" s="1364"/>
      <c r="AV706" s="1364"/>
      <c r="AW706" s="1364"/>
      <c r="AX706" s="1364"/>
      <c r="AY706" s="1364"/>
      <c r="AZ706" s="1364"/>
      <c r="BA706" s="1364"/>
      <c r="BB706" s="1364"/>
      <c r="BC706" s="1364"/>
      <c r="BD706" s="1364"/>
      <c r="BE706" s="1364"/>
      <c r="BF706" s="1364"/>
      <c r="BG706" s="1364"/>
      <c r="BH706" s="1364"/>
      <c r="BI706" s="1364"/>
      <c r="BJ706" s="1364"/>
      <c r="BK706" s="1364"/>
      <c r="BL706" s="1364"/>
      <c r="BM706" s="1364"/>
      <c r="BN706" s="1364"/>
      <c r="BO706" s="1364"/>
      <c r="BP706" s="1364"/>
      <c r="BQ706" s="1364"/>
      <c r="BR706" s="1364"/>
      <c r="BS706" s="1364"/>
      <c r="BT706" s="1364"/>
      <c r="BU706" s="1364"/>
      <c r="BV706" s="1364"/>
      <c r="BW706" s="1364"/>
      <c r="BX706" s="1364"/>
      <c r="BY706" s="1364"/>
      <c r="BZ706" s="1364"/>
      <c r="CA706" s="1364"/>
      <c r="CB706" s="1364"/>
      <c r="CC706" s="1364"/>
      <c r="CD706" s="1364"/>
      <c r="CE706" s="1364"/>
      <c r="CF706" s="1364"/>
      <c r="CG706" s="1364"/>
      <c r="CH706" s="1364"/>
      <c r="CI706" s="1364"/>
      <c r="CJ706" s="1364"/>
      <c r="CK706" s="1364"/>
      <c r="CL706" s="1364"/>
      <c r="CM706" s="1364"/>
      <c r="CN706" s="1364"/>
      <c r="CO706" s="1364"/>
      <c r="CP706" s="1364"/>
      <c r="CQ706" s="1364"/>
      <c r="CR706" s="1364"/>
      <c r="CS706" s="1364"/>
      <c r="CT706" s="1364"/>
      <c r="CU706" s="1364"/>
      <c r="CV706" s="1364"/>
      <c r="CW706" s="1364"/>
      <c r="CX706" s="1364"/>
      <c r="CY706" s="1364"/>
      <c r="CZ706" s="1364"/>
      <c r="DA706" s="1364"/>
      <c r="DB706" s="1364"/>
      <c r="DC706" s="1364"/>
      <c r="DD706" s="1364"/>
      <c r="DE706" s="1364"/>
      <c r="DF706" s="1364"/>
      <c r="DG706" s="1364"/>
      <c r="DH706" s="1364"/>
      <c r="DI706" s="1364"/>
      <c r="DJ706" s="1364"/>
      <c r="DK706" s="1364"/>
      <c r="DL706" s="1364"/>
      <c r="DM706" s="1364"/>
      <c r="DN706" s="1364"/>
      <c r="DO706" s="1364"/>
      <c r="DP706" s="1364"/>
      <c r="DQ706" s="1364"/>
      <c r="DR706" s="1364"/>
      <c r="DS706" s="1364"/>
      <c r="DT706" s="1364"/>
      <c r="DU706" s="1364"/>
      <c r="DV706" s="1364"/>
      <c r="DW706" s="1364"/>
      <c r="DX706" s="1364"/>
      <c r="DY706" s="1364"/>
      <c r="DZ706" s="1364"/>
      <c r="EA706" s="1364"/>
      <c r="EB706" s="1364"/>
      <c r="EC706" s="1364"/>
      <c r="ED706" s="1364"/>
      <c r="EE706" s="1364"/>
      <c r="EF706" s="1364"/>
      <c r="EG706" s="1364"/>
      <c r="EH706" s="1364"/>
      <c r="EI706" s="1364"/>
      <c r="EJ706" s="1364"/>
      <c r="EK706" s="1364"/>
      <c r="EL706" s="1364"/>
      <c r="EM706" s="1364"/>
      <c r="EN706" s="1364"/>
      <c r="EO706" s="1364"/>
      <c r="EP706" s="1364"/>
      <c r="EQ706" s="1364"/>
      <c r="ER706" s="1364"/>
      <c r="ES706" s="1364"/>
      <c r="ET706" s="1364"/>
      <c r="EU706" s="1364"/>
      <c r="EV706" s="1364"/>
      <c r="EW706" s="1364"/>
      <c r="EX706" s="1364"/>
      <c r="EY706" s="1364"/>
      <c r="EZ706" s="1364"/>
      <c r="FA706" s="1364"/>
      <c r="FB706" s="1364"/>
      <c r="FC706" s="1364"/>
      <c r="FD706" s="1364"/>
      <c r="FE706" s="1364"/>
      <c r="FF706" s="1364"/>
      <c r="FG706" s="1364"/>
      <c r="FH706" s="1364"/>
      <c r="FI706" s="1364"/>
      <c r="FJ706" s="1364"/>
      <c r="FK706" s="1364"/>
      <c r="FL706" s="1364"/>
      <c r="FM706" s="1364"/>
      <c r="FN706" s="1364"/>
      <c r="FO706" s="1364"/>
      <c r="FP706" s="1364"/>
      <c r="FQ706" s="1364"/>
      <c r="FR706" s="1364"/>
      <c r="FS706" s="1364"/>
      <c r="FT706" s="1364"/>
      <c r="FU706" s="1364"/>
      <c r="FV706" s="1364"/>
      <c r="FW706" s="1364"/>
      <c r="FX706" s="1364"/>
      <c r="FY706" s="1364"/>
      <c r="FZ706" s="1364"/>
      <c r="GA706" s="1364"/>
      <c r="GB706" s="1364"/>
      <c r="GC706" s="1364"/>
      <c r="GD706" s="1364"/>
      <c r="GE706" s="1364"/>
      <c r="GF706" s="1364"/>
      <c r="GG706" s="1364"/>
      <c r="GH706" s="1364"/>
      <c r="GI706" s="1364"/>
      <c r="GJ706" s="1364"/>
      <c r="GK706" s="1364"/>
      <c r="GL706" s="1364"/>
      <c r="GM706" s="1364"/>
      <c r="GN706" s="1364"/>
      <c r="GO706" s="1364"/>
      <c r="GP706" s="1364"/>
      <c r="GQ706" s="1364"/>
      <c r="GR706" s="1364"/>
      <c r="GS706" s="1364"/>
      <c r="GT706" s="1364"/>
      <c r="GU706" s="1364"/>
      <c r="GV706" s="1364"/>
      <c r="GW706" s="1364"/>
      <c r="GX706" s="1364"/>
      <c r="GY706" s="1364"/>
      <c r="GZ706" s="1364"/>
      <c r="HA706" s="1364"/>
      <c r="HB706" s="1364"/>
      <c r="HC706" s="1364"/>
      <c r="HD706" s="1364"/>
      <c r="HE706" s="1364"/>
      <c r="HF706" s="1364"/>
      <c r="HG706" s="1364"/>
      <c r="HH706" s="1364"/>
      <c r="HI706" s="1364"/>
      <c r="HJ706" s="1364"/>
      <c r="HK706" s="1364"/>
      <c r="HL706" s="1364"/>
      <c r="HM706" s="1364"/>
      <c r="HN706" s="1364"/>
      <c r="HO706" s="1364"/>
      <c r="HP706" s="1364"/>
      <c r="HQ706" s="1364"/>
      <c r="HR706" s="1364"/>
      <c r="HS706" s="1364"/>
      <c r="HT706" s="1364"/>
      <c r="HU706" s="1364"/>
      <c r="HV706" s="1364"/>
      <c r="HW706" s="1364"/>
      <c r="HX706" s="1364"/>
      <c r="HY706" s="1364"/>
      <c r="HZ706" s="1364"/>
      <c r="IA706" s="1364"/>
      <c r="IB706" s="1364"/>
      <c r="IC706" s="1364"/>
      <c r="ID706" s="1364"/>
      <c r="IE706" s="1364"/>
      <c r="IF706" s="1364"/>
      <c r="IG706" s="1364"/>
      <c r="IH706" s="1364"/>
      <c r="II706" s="1364"/>
      <c r="IJ706" s="1364"/>
      <c r="IK706" s="1364"/>
      <c r="IL706" s="1364"/>
      <c r="IM706" s="1364"/>
      <c r="IN706" s="1364"/>
      <c r="IO706" s="1364"/>
      <c r="IP706" s="1364"/>
      <c r="IQ706" s="1364"/>
      <c r="IR706" s="1364"/>
      <c r="IS706" s="1364"/>
      <c r="IT706" s="1364"/>
      <c r="IU706" s="1364"/>
      <c r="IV706" s="1364"/>
    </row>
    <row r="707" spans="1:256" s="1365" customFormat="1" ht="32.1" customHeight="1">
      <c r="A707" s="1372"/>
      <c r="B707" s="1373" t="s">
        <v>6764</v>
      </c>
      <c r="C707" s="1416"/>
      <c r="D707" s="1416"/>
      <c r="E707" s="1416"/>
      <c r="F707" s="1416"/>
      <c r="G707" s="1416"/>
      <c r="H707" s="1416"/>
      <c r="I707" s="1374"/>
      <c r="J707" s="1069">
        <v>90615.023323735266</v>
      </c>
      <c r="K707" s="1341">
        <v>6551.1614040935701</v>
      </c>
      <c r="L707" s="1069">
        <v>54608.962634990756</v>
      </c>
      <c r="M707" s="1341">
        <v>13965.3858017891</v>
      </c>
      <c r="N707" s="1341">
        <v>10561.401185097955</v>
      </c>
      <c r="O707" s="1341">
        <v>53047.14034745266</v>
      </c>
      <c r="P707" s="1375"/>
      <c r="Q707" s="1375"/>
      <c r="R707" s="1370"/>
      <c r="S707" s="1371"/>
      <c r="T707" s="1371"/>
      <c r="U707" s="1371"/>
      <c r="V707" s="1371"/>
      <c r="W707" s="1371"/>
      <c r="X707" s="1371"/>
      <c r="Y707" s="1371"/>
      <c r="Z707" s="1371"/>
      <c r="AA707" s="1371"/>
      <c r="AB707" s="1371"/>
      <c r="AC707" s="1371"/>
      <c r="AD707" s="1364"/>
      <c r="AE707" s="1364"/>
      <c r="AF707" s="1364"/>
      <c r="AG707" s="1364"/>
      <c r="AH707" s="1364"/>
      <c r="AI707" s="1364"/>
      <c r="AJ707" s="1364"/>
      <c r="AK707" s="1364"/>
      <c r="AL707" s="1364"/>
      <c r="AM707" s="1364"/>
      <c r="AN707" s="1364"/>
      <c r="AO707" s="1364"/>
      <c r="AP707" s="1364"/>
      <c r="AQ707" s="1364"/>
      <c r="AR707" s="1364"/>
      <c r="AS707" s="1364"/>
      <c r="AT707" s="1364"/>
      <c r="AU707" s="1364"/>
      <c r="AV707" s="1364"/>
      <c r="AW707" s="1364"/>
      <c r="AX707" s="1364"/>
      <c r="AY707" s="1364"/>
      <c r="AZ707" s="1364"/>
      <c r="BA707" s="1364"/>
      <c r="BB707" s="1364"/>
      <c r="BC707" s="1364"/>
      <c r="BD707" s="1364"/>
      <c r="BE707" s="1364"/>
      <c r="BF707" s="1364"/>
      <c r="BG707" s="1364"/>
      <c r="BH707" s="1364"/>
      <c r="BI707" s="1364"/>
      <c r="BJ707" s="1364"/>
      <c r="BK707" s="1364"/>
      <c r="BL707" s="1364"/>
      <c r="BM707" s="1364"/>
      <c r="BN707" s="1364"/>
      <c r="BO707" s="1364"/>
      <c r="BP707" s="1364"/>
      <c r="BQ707" s="1364"/>
      <c r="BR707" s="1364"/>
      <c r="BS707" s="1364"/>
      <c r="BT707" s="1364"/>
      <c r="BU707" s="1364"/>
      <c r="BV707" s="1364"/>
      <c r="BW707" s="1364"/>
      <c r="BX707" s="1364"/>
      <c r="BY707" s="1364"/>
      <c r="BZ707" s="1364"/>
      <c r="CA707" s="1364"/>
      <c r="CB707" s="1364"/>
      <c r="CC707" s="1364"/>
      <c r="CD707" s="1364"/>
      <c r="CE707" s="1364"/>
      <c r="CF707" s="1364"/>
      <c r="CG707" s="1364"/>
      <c r="CH707" s="1364"/>
      <c r="CI707" s="1364"/>
      <c r="CJ707" s="1364"/>
      <c r="CK707" s="1364"/>
      <c r="CL707" s="1364"/>
      <c r="CM707" s="1364"/>
      <c r="CN707" s="1364"/>
      <c r="CO707" s="1364"/>
      <c r="CP707" s="1364"/>
      <c r="CQ707" s="1364"/>
      <c r="CR707" s="1364"/>
      <c r="CS707" s="1364"/>
      <c r="CT707" s="1364"/>
      <c r="CU707" s="1364"/>
      <c r="CV707" s="1364"/>
      <c r="CW707" s="1364"/>
      <c r="CX707" s="1364"/>
      <c r="CY707" s="1364"/>
      <c r="CZ707" s="1364"/>
      <c r="DA707" s="1364"/>
      <c r="DB707" s="1364"/>
      <c r="DC707" s="1364"/>
      <c r="DD707" s="1364"/>
      <c r="DE707" s="1364"/>
      <c r="DF707" s="1364"/>
      <c r="DG707" s="1364"/>
      <c r="DH707" s="1364"/>
      <c r="DI707" s="1364"/>
      <c r="DJ707" s="1364"/>
      <c r="DK707" s="1364"/>
      <c r="DL707" s="1364"/>
      <c r="DM707" s="1364"/>
      <c r="DN707" s="1364"/>
      <c r="DO707" s="1364"/>
      <c r="DP707" s="1364"/>
      <c r="DQ707" s="1364"/>
      <c r="DR707" s="1364"/>
      <c r="DS707" s="1364"/>
      <c r="DT707" s="1364"/>
      <c r="DU707" s="1364"/>
      <c r="DV707" s="1364"/>
      <c r="DW707" s="1364"/>
      <c r="DX707" s="1364"/>
      <c r="DY707" s="1364"/>
      <c r="DZ707" s="1364"/>
      <c r="EA707" s="1364"/>
      <c r="EB707" s="1364"/>
      <c r="EC707" s="1364"/>
      <c r="ED707" s="1364"/>
      <c r="EE707" s="1364"/>
      <c r="EF707" s="1364"/>
      <c r="EG707" s="1364"/>
      <c r="EH707" s="1364"/>
      <c r="EI707" s="1364"/>
      <c r="EJ707" s="1364"/>
      <c r="EK707" s="1364"/>
      <c r="EL707" s="1364"/>
      <c r="EM707" s="1364"/>
      <c r="EN707" s="1364"/>
      <c r="EO707" s="1364"/>
      <c r="EP707" s="1364"/>
      <c r="EQ707" s="1364"/>
      <c r="ER707" s="1364"/>
      <c r="ES707" s="1364"/>
      <c r="ET707" s="1364"/>
      <c r="EU707" s="1364"/>
      <c r="EV707" s="1364"/>
      <c r="EW707" s="1364"/>
      <c r="EX707" s="1364"/>
      <c r="EY707" s="1364"/>
      <c r="EZ707" s="1364"/>
      <c r="FA707" s="1364"/>
      <c r="FB707" s="1364"/>
      <c r="FC707" s="1364"/>
      <c r="FD707" s="1364"/>
      <c r="FE707" s="1364"/>
      <c r="FF707" s="1364"/>
      <c r="FG707" s="1364"/>
      <c r="FH707" s="1364"/>
      <c r="FI707" s="1364"/>
      <c r="FJ707" s="1364"/>
      <c r="FK707" s="1364"/>
      <c r="FL707" s="1364"/>
      <c r="FM707" s="1364"/>
      <c r="FN707" s="1364"/>
      <c r="FO707" s="1364"/>
      <c r="FP707" s="1364"/>
      <c r="FQ707" s="1364"/>
      <c r="FR707" s="1364"/>
      <c r="FS707" s="1364"/>
      <c r="FT707" s="1364"/>
      <c r="FU707" s="1364"/>
      <c r="FV707" s="1364"/>
      <c r="FW707" s="1364"/>
      <c r="FX707" s="1364"/>
      <c r="FY707" s="1364"/>
      <c r="FZ707" s="1364"/>
      <c r="GA707" s="1364"/>
      <c r="GB707" s="1364"/>
      <c r="GC707" s="1364"/>
      <c r="GD707" s="1364"/>
      <c r="GE707" s="1364"/>
      <c r="GF707" s="1364"/>
      <c r="GG707" s="1364"/>
      <c r="GH707" s="1364"/>
      <c r="GI707" s="1364"/>
      <c r="GJ707" s="1364"/>
      <c r="GK707" s="1364"/>
      <c r="GL707" s="1364"/>
      <c r="GM707" s="1364"/>
      <c r="GN707" s="1364"/>
      <c r="GO707" s="1364"/>
      <c r="GP707" s="1364"/>
      <c r="GQ707" s="1364"/>
      <c r="GR707" s="1364"/>
      <c r="GS707" s="1364"/>
      <c r="GT707" s="1364"/>
      <c r="GU707" s="1364"/>
      <c r="GV707" s="1364"/>
      <c r="GW707" s="1364"/>
      <c r="GX707" s="1364"/>
      <c r="GY707" s="1364"/>
      <c r="GZ707" s="1364"/>
      <c r="HA707" s="1364"/>
      <c r="HB707" s="1364"/>
      <c r="HC707" s="1364"/>
      <c r="HD707" s="1364"/>
      <c r="HE707" s="1364"/>
      <c r="HF707" s="1364"/>
      <c r="HG707" s="1364"/>
      <c r="HH707" s="1364"/>
      <c r="HI707" s="1364"/>
      <c r="HJ707" s="1364"/>
      <c r="HK707" s="1364"/>
      <c r="HL707" s="1364"/>
      <c r="HM707" s="1364"/>
      <c r="HN707" s="1364"/>
      <c r="HO707" s="1364"/>
      <c r="HP707" s="1364"/>
      <c r="HQ707" s="1364"/>
      <c r="HR707" s="1364"/>
      <c r="HS707" s="1364"/>
      <c r="HT707" s="1364"/>
      <c r="HU707" s="1364"/>
      <c r="HV707" s="1364"/>
      <c r="HW707" s="1364"/>
      <c r="HX707" s="1364"/>
      <c r="HY707" s="1364"/>
      <c r="HZ707" s="1364"/>
      <c r="IA707" s="1364"/>
      <c r="IB707" s="1364"/>
      <c r="IC707" s="1364"/>
      <c r="ID707" s="1364"/>
      <c r="IE707" s="1364"/>
      <c r="IF707" s="1364"/>
      <c r="IG707" s="1364"/>
      <c r="IH707" s="1364"/>
      <c r="II707" s="1364"/>
      <c r="IJ707" s="1364"/>
      <c r="IK707" s="1364"/>
      <c r="IL707" s="1364"/>
      <c r="IM707" s="1364"/>
      <c r="IN707" s="1364"/>
      <c r="IO707" s="1364"/>
      <c r="IP707" s="1364"/>
      <c r="IQ707" s="1364"/>
      <c r="IR707" s="1364"/>
      <c r="IS707" s="1364"/>
      <c r="IT707" s="1364"/>
      <c r="IU707" s="1364"/>
      <c r="IV707" s="1364"/>
    </row>
    <row r="708" spans="1:256" s="1365" customFormat="1" ht="32.1" customHeight="1">
      <c r="A708" s="1372"/>
      <c r="B708" s="1376" t="s">
        <v>6765</v>
      </c>
      <c r="C708" s="1416"/>
      <c r="D708" s="1416"/>
      <c r="E708" s="1416"/>
      <c r="F708" s="1416"/>
      <c r="G708" s="1416"/>
      <c r="H708" s="1416"/>
      <c r="I708" s="1374"/>
      <c r="J708" s="1377"/>
      <c r="K708" s="1377"/>
      <c r="L708" s="1377"/>
      <c r="M708" s="1377"/>
      <c r="N708" s="1377"/>
      <c r="O708" s="1377"/>
      <c r="P708" s="1377"/>
      <c r="Q708" s="1377"/>
      <c r="R708" s="1370"/>
      <c r="S708" s="1371"/>
      <c r="T708" s="1371"/>
      <c r="U708" s="1371"/>
      <c r="V708" s="1371"/>
      <c r="W708" s="1371"/>
      <c r="X708" s="1371"/>
      <c r="Y708" s="1371"/>
      <c r="Z708" s="1371"/>
      <c r="AA708" s="1371"/>
      <c r="AB708" s="1371"/>
      <c r="AC708" s="1371"/>
      <c r="AD708" s="1364"/>
      <c r="AE708" s="1364"/>
      <c r="AF708" s="1364"/>
      <c r="AG708" s="1364"/>
      <c r="AH708" s="1364"/>
      <c r="AI708" s="1364"/>
      <c r="AJ708" s="1364"/>
      <c r="AK708" s="1364"/>
      <c r="AL708" s="1364"/>
      <c r="AM708" s="1364"/>
      <c r="AN708" s="1364"/>
      <c r="AO708" s="1364"/>
      <c r="AP708" s="1364"/>
      <c r="AQ708" s="1364"/>
      <c r="AR708" s="1364"/>
      <c r="AS708" s="1364"/>
      <c r="AT708" s="1364"/>
      <c r="AU708" s="1364"/>
      <c r="AV708" s="1364"/>
      <c r="AW708" s="1364"/>
      <c r="AX708" s="1364"/>
      <c r="AY708" s="1364"/>
      <c r="AZ708" s="1364"/>
      <c r="BA708" s="1364"/>
      <c r="BB708" s="1364"/>
      <c r="BC708" s="1364"/>
      <c r="BD708" s="1364"/>
      <c r="BE708" s="1364"/>
      <c r="BF708" s="1364"/>
      <c r="BG708" s="1364"/>
      <c r="BH708" s="1364"/>
      <c r="BI708" s="1364"/>
      <c r="BJ708" s="1364"/>
      <c r="BK708" s="1364"/>
      <c r="BL708" s="1364"/>
      <c r="BM708" s="1364"/>
      <c r="BN708" s="1364"/>
      <c r="BO708" s="1364"/>
      <c r="BP708" s="1364"/>
      <c r="BQ708" s="1364"/>
      <c r="BR708" s="1364"/>
      <c r="BS708" s="1364"/>
      <c r="BT708" s="1364"/>
      <c r="BU708" s="1364"/>
      <c r="BV708" s="1364"/>
      <c r="BW708" s="1364"/>
      <c r="BX708" s="1364"/>
      <c r="BY708" s="1364"/>
      <c r="BZ708" s="1364"/>
      <c r="CA708" s="1364"/>
      <c r="CB708" s="1364"/>
      <c r="CC708" s="1364"/>
      <c r="CD708" s="1364"/>
      <c r="CE708" s="1364"/>
      <c r="CF708" s="1364"/>
      <c r="CG708" s="1364"/>
      <c r="CH708" s="1364"/>
      <c r="CI708" s="1364"/>
      <c r="CJ708" s="1364"/>
      <c r="CK708" s="1364"/>
      <c r="CL708" s="1364"/>
      <c r="CM708" s="1364"/>
      <c r="CN708" s="1364"/>
      <c r="CO708" s="1364"/>
      <c r="CP708" s="1364"/>
      <c r="CQ708" s="1364"/>
      <c r="CR708" s="1364"/>
      <c r="CS708" s="1364"/>
      <c r="CT708" s="1364"/>
      <c r="CU708" s="1364"/>
      <c r="CV708" s="1364"/>
      <c r="CW708" s="1364"/>
      <c r="CX708" s="1364"/>
      <c r="CY708" s="1364"/>
      <c r="CZ708" s="1364"/>
      <c r="DA708" s="1364"/>
      <c r="DB708" s="1364"/>
      <c r="DC708" s="1364"/>
      <c r="DD708" s="1364"/>
      <c r="DE708" s="1364"/>
      <c r="DF708" s="1364"/>
      <c r="DG708" s="1364"/>
      <c r="DH708" s="1364"/>
      <c r="DI708" s="1364"/>
      <c r="DJ708" s="1364"/>
      <c r="DK708" s="1364"/>
      <c r="DL708" s="1364"/>
      <c r="DM708" s="1364"/>
      <c r="DN708" s="1364"/>
      <c r="DO708" s="1364"/>
      <c r="DP708" s="1364"/>
      <c r="DQ708" s="1364"/>
      <c r="DR708" s="1364"/>
      <c r="DS708" s="1364"/>
      <c r="DT708" s="1364"/>
      <c r="DU708" s="1364"/>
      <c r="DV708" s="1364"/>
      <c r="DW708" s="1364"/>
      <c r="DX708" s="1364"/>
      <c r="DY708" s="1364"/>
      <c r="DZ708" s="1364"/>
      <c r="EA708" s="1364"/>
      <c r="EB708" s="1364"/>
      <c r="EC708" s="1364"/>
      <c r="ED708" s="1364"/>
      <c r="EE708" s="1364"/>
      <c r="EF708" s="1364"/>
      <c r="EG708" s="1364"/>
      <c r="EH708" s="1364"/>
      <c r="EI708" s="1364"/>
      <c r="EJ708" s="1364"/>
      <c r="EK708" s="1364"/>
      <c r="EL708" s="1364"/>
      <c r="EM708" s="1364"/>
      <c r="EN708" s="1364"/>
      <c r="EO708" s="1364"/>
      <c r="EP708" s="1364"/>
      <c r="EQ708" s="1364"/>
      <c r="ER708" s="1364"/>
      <c r="ES708" s="1364"/>
      <c r="ET708" s="1364"/>
      <c r="EU708" s="1364"/>
      <c r="EV708" s="1364"/>
      <c r="EW708" s="1364"/>
      <c r="EX708" s="1364"/>
      <c r="EY708" s="1364"/>
      <c r="EZ708" s="1364"/>
      <c r="FA708" s="1364"/>
      <c r="FB708" s="1364"/>
      <c r="FC708" s="1364"/>
      <c r="FD708" s="1364"/>
      <c r="FE708" s="1364"/>
      <c r="FF708" s="1364"/>
      <c r="FG708" s="1364"/>
      <c r="FH708" s="1364"/>
      <c r="FI708" s="1364"/>
      <c r="FJ708" s="1364"/>
      <c r="FK708" s="1364"/>
      <c r="FL708" s="1364"/>
      <c r="FM708" s="1364"/>
      <c r="FN708" s="1364"/>
      <c r="FO708" s="1364"/>
      <c r="FP708" s="1364"/>
      <c r="FQ708" s="1364"/>
      <c r="FR708" s="1364"/>
      <c r="FS708" s="1364"/>
      <c r="FT708" s="1364"/>
      <c r="FU708" s="1364"/>
      <c r="FV708" s="1364"/>
      <c r="FW708" s="1364"/>
      <c r="FX708" s="1364"/>
      <c r="FY708" s="1364"/>
      <c r="FZ708" s="1364"/>
      <c r="GA708" s="1364"/>
      <c r="GB708" s="1364"/>
      <c r="GC708" s="1364"/>
      <c r="GD708" s="1364"/>
      <c r="GE708" s="1364"/>
      <c r="GF708" s="1364"/>
      <c r="GG708" s="1364"/>
      <c r="GH708" s="1364"/>
      <c r="GI708" s="1364"/>
      <c r="GJ708" s="1364"/>
      <c r="GK708" s="1364"/>
      <c r="GL708" s="1364"/>
      <c r="GM708" s="1364"/>
      <c r="GN708" s="1364"/>
      <c r="GO708" s="1364"/>
      <c r="GP708" s="1364"/>
      <c r="GQ708" s="1364"/>
      <c r="GR708" s="1364"/>
      <c r="GS708" s="1364"/>
      <c r="GT708" s="1364"/>
      <c r="GU708" s="1364"/>
      <c r="GV708" s="1364"/>
      <c r="GW708" s="1364"/>
      <c r="GX708" s="1364"/>
      <c r="GY708" s="1364"/>
      <c r="GZ708" s="1364"/>
      <c r="HA708" s="1364"/>
      <c r="HB708" s="1364"/>
      <c r="HC708" s="1364"/>
      <c r="HD708" s="1364"/>
      <c r="HE708" s="1364"/>
      <c r="HF708" s="1364"/>
      <c r="HG708" s="1364"/>
      <c r="HH708" s="1364"/>
      <c r="HI708" s="1364"/>
      <c r="HJ708" s="1364"/>
      <c r="HK708" s="1364"/>
      <c r="HL708" s="1364"/>
      <c r="HM708" s="1364"/>
      <c r="HN708" s="1364"/>
      <c r="HO708" s="1364"/>
      <c r="HP708" s="1364"/>
      <c r="HQ708" s="1364"/>
      <c r="HR708" s="1364"/>
      <c r="HS708" s="1364"/>
      <c r="HT708" s="1364"/>
      <c r="HU708" s="1364"/>
      <c r="HV708" s="1364"/>
      <c r="HW708" s="1364"/>
      <c r="HX708" s="1364"/>
      <c r="HY708" s="1364"/>
      <c r="HZ708" s="1364"/>
      <c r="IA708" s="1364"/>
      <c r="IB708" s="1364"/>
      <c r="IC708" s="1364"/>
      <c r="ID708" s="1364"/>
      <c r="IE708" s="1364"/>
      <c r="IF708" s="1364"/>
      <c r="IG708" s="1364"/>
      <c r="IH708" s="1364"/>
      <c r="II708" s="1364"/>
      <c r="IJ708" s="1364"/>
      <c r="IK708" s="1364"/>
      <c r="IL708" s="1364"/>
      <c r="IM708" s="1364"/>
      <c r="IN708" s="1364"/>
      <c r="IO708" s="1364"/>
      <c r="IP708" s="1364"/>
      <c r="IQ708" s="1364"/>
      <c r="IR708" s="1364"/>
      <c r="IS708" s="1364"/>
      <c r="IT708" s="1364"/>
      <c r="IU708" s="1364"/>
      <c r="IV708" s="1364"/>
    </row>
    <row r="709" spans="1:256" s="1365" customFormat="1" ht="32.1" customHeight="1">
      <c r="A709" s="1378"/>
      <c r="B709" s="1373" t="s">
        <v>6766</v>
      </c>
      <c r="C709" s="1415"/>
      <c r="D709" s="1414"/>
      <c r="E709" s="1414"/>
      <c r="F709" s="1414"/>
      <c r="G709" s="1415"/>
      <c r="H709" s="1415"/>
      <c r="I709" s="1360"/>
      <c r="J709" s="1069">
        <v>339154.69599767815</v>
      </c>
      <c r="K709" s="1341">
        <v>17907.592057814014</v>
      </c>
      <c r="L709" s="1341">
        <v>168008.58486993777</v>
      </c>
      <c r="M709" s="1341">
        <v>35609.731219117806</v>
      </c>
      <c r="N709" s="1341">
        <v>25329.20123817071</v>
      </c>
      <c r="O709" s="1341">
        <v>171214.49440193575</v>
      </c>
      <c r="P709" s="1118"/>
      <c r="Q709" s="1377"/>
      <c r="R709" s="1379"/>
      <c r="S709" s="1363"/>
      <c r="T709" s="1363"/>
      <c r="U709" s="1363"/>
      <c r="V709" s="1363"/>
      <c r="W709" s="1363"/>
      <c r="X709" s="1363"/>
      <c r="Y709" s="1363"/>
      <c r="Z709" s="1363"/>
      <c r="AA709" s="1363"/>
      <c r="AB709" s="1363"/>
      <c r="AC709" s="1363"/>
      <c r="AD709" s="1364"/>
      <c r="AE709" s="1364"/>
      <c r="AF709" s="1364"/>
      <c r="AG709" s="1364"/>
      <c r="AH709" s="1364"/>
      <c r="AI709" s="1364"/>
      <c r="AJ709" s="1364"/>
      <c r="AK709" s="1364"/>
      <c r="AL709" s="1364"/>
      <c r="AM709" s="1364"/>
      <c r="AN709" s="1364"/>
      <c r="AO709" s="1364"/>
      <c r="AP709" s="1364"/>
      <c r="AQ709" s="1364"/>
      <c r="AR709" s="1364"/>
      <c r="AS709" s="1364"/>
      <c r="AT709" s="1364"/>
      <c r="AU709" s="1364"/>
      <c r="AV709" s="1364"/>
      <c r="AW709" s="1364"/>
      <c r="AX709" s="1364"/>
      <c r="AY709" s="1364"/>
      <c r="AZ709" s="1364"/>
      <c r="BA709" s="1364"/>
      <c r="BB709" s="1364"/>
      <c r="BC709" s="1364"/>
      <c r="BD709" s="1364"/>
      <c r="BE709" s="1364"/>
      <c r="BF709" s="1364"/>
      <c r="BG709" s="1364"/>
      <c r="BH709" s="1364"/>
      <c r="BI709" s="1364"/>
      <c r="BJ709" s="1364"/>
      <c r="BK709" s="1364"/>
      <c r="BL709" s="1364"/>
      <c r="BM709" s="1364"/>
      <c r="BN709" s="1364"/>
      <c r="BO709" s="1364"/>
      <c r="BP709" s="1364"/>
      <c r="BQ709" s="1364"/>
      <c r="BR709" s="1364"/>
      <c r="BS709" s="1364"/>
      <c r="BT709" s="1364"/>
      <c r="BU709" s="1364"/>
      <c r="BV709" s="1364"/>
      <c r="BW709" s="1364"/>
      <c r="BX709" s="1364"/>
      <c r="BY709" s="1364"/>
      <c r="BZ709" s="1364"/>
      <c r="CA709" s="1364"/>
      <c r="CB709" s="1364"/>
      <c r="CC709" s="1364"/>
      <c r="CD709" s="1364"/>
      <c r="CE709" s="1364"/>
      <c r="CF709" s="1364"/>
      <c r="CG709" s="1364"/>
      <c r="CH709" s="1364"/>
      <c r="CI709" s="1364"/>
      <c r="CJ709" s="1364"/>
      <c r="CK709" s="1364"/>
      <c r="CL709" s="1364"/>
      <c r="CM709" s="1364"/>
      <c r="CN709" s="1364"/>
      <c r="CO709" s="1364"/>
      <c r="CP709" s="1364"/>
      <c r="CQ709" s="1364"/>
      <c r="CR709" s="1364"/>
      <c r="CS709" s="1364"/>
      <c r="CT709" s="1364"/>
      <c r="CU709" s="1364"/>
      <c r="CV709" s="1364"/>
      <c r="CW709" s="1364"/>
      <c r="CX709" s="1364"/>
      <c r="CY709" s="1364"/>
      <c r="CZ709" s="1364"/>
      <c r="DA709" s="1364"/>
      <c r="DB709" s="1364"/>
      <c r="DC709" s="1364"/>
      <c r="DD709" s="1364"/>
      <c r="DE709" s="1364"/>
      <c r="DF709" s="1364"/>
      <c r="DG709" s="1364"/>
      <c r="DH709" s="1364"/>
      <c r="DI709" s="1364"/>
      <c r="DJ709" s="1364"/>
      <c r="DK709" s="1364"/>
      <c r="DL709" s="1364"/>
      <c r="DM709" s="1364"/>
      <c r="DN709" s="1364"/>
      <c r="DO709" s="1364"/>
      <c r="DP709" s="1364"/>
      <c r="DQ709" s="1364"/>
      <c r="DR709" s="1364"/>
      <c r="DS709" s="1364"/>
      <c r="DT709" s="1364"/>
      <c r="DU709" s="1364"/>
      <c r="DV709" s="1364"/>
      <c r="DW709" s="1364"/>
      <c r="DX709" s="1364"/>
      <c r="DY709" s="1364"/>
      <c r="DZ709" s="1364"/>
      <c r="EA709" s="1364"/>
      <c r="EB709" s="1364"/>
      <c r="EC709" s="1364"/>
      <c r="ED709" s="1364"/>
      <c r="EE709" s="1364"/>
      <c r="EF709" s="1364"/>
      <c r="EG709" s="1364"/>
      <c r="EH709" s="1364"/>
      <c r="EI709" s="1364"/>
      <c r="EJ709" s="1364"/>
      <c r="EK709" s="1364"/>
      <c r="EL709" s="1364"/>
      <c r="EM709" s="1364"/>
      <c r="EN709" s="1364"/>
      <c r="EO709" s="1364"/>
      <c r="EP709" s="1364"/>
      <c r="EQ709" s="1364"/>
      <c r="ER709" s="1364"/>
      <c r="ES709" s="1364"/>
      <c r="ET709" s="1364"/>
      <c r="EU709" s="1364"/>
      <c r="EV709" s="1364"/>
      <c r="EW709" s="1364"/>
      <c r="EX709" s="1364"/>
      <c r="EY709" s="1364"/>
      <c r="EZ709" s="1364"/>
      <c r="FA709" s="1364"/>
      <c r="FB709" s="1364"/>
      <c r="FC709" s="1364"/>
      <c r="FD709" s="1364"/>
      <c r="FE709" s="1364"/>
      <c r="FF709" s="1364"/>
      <c r="FG709" s="1364"/>
      <c r="FH709" s="1364"/>
      <c r="FI709" s="1364"/>
      <c r="FJ709" s="1364"/>
      <c r="FK709" s="1364"/>
      <c r="FL709" s="1364"/>
      <c r="FM709" s="1364"/>
      <c r="FN709" s="1364"/>
      <c r="FO709" s="1364"/>
      <c r="FP709" s="1364"/>
      <c r="FQ709" s="1364"/>
      <c r="FR709" s="1364"/>
      <c r="FS709" s="1364"/>
      <c r="FT709" s="1364"/>
      <c r="FU709" s="1364"/>
      <c r="FV709" s="1364"/>
      <c r="FW709" s="1364"/>
      <c r="FX709" s="1364"/>
      <c r="FY709" s="1364"/>
      <c r="FZ709" s="1364"/>
      <c r="GA709" s="1364"/>
      <c r="GB709" s="1364"/>
      <c r="GC709" s="1364"/>
      <c r="GD709" s="1364"/>
      <c r="GE709" s="1364"/>
      <c r="GF709" s="1364"/>
      <c r="GG709" s="1364"/>
      <c r="GH709" s="1364"/>
      <c r="GI709" s="1364"/>
      <c r="GJ709" s="1364"/>
      <c r="GK709" s="1364"/>
      <c r="GL709" s="1364"/>
      <c r="GM709" s="1364"/>
      <c r="GN709" s="1364"/>
      <c r="GO709" s="1364"/>
      <c r="GP709" s="1364"/>
      <c r="GQ709" s="1364"/>
      <c r="GR709" s="1364"/>
      <c r="GS709" s="1364"/>
      <c r="GT709" s="1364"/>
      <c r="GU709" s="1364"/>
      <c r="GV709" s="1364"/>
      <c r="GW709" s="1364"/>
      <c r="GX709" s="1364"/>
      <c r="GY709" s="1364"/>
      <c r="GZ709" s="1364"/>
      <c r="HA709" s="1364"/>
      <c r="HB709" s="1364"/>
      <c r="HC709" s="1364"/>
      <c r="HD709" s="1364"/>
      <c r="HE709" s="1364"/>
      <c r="HF709" s="1364"/>
      <c r="HG709" s="1364"/>
      <c r="HH709" s="1364"/>
      <c r="HI709" s="1364"/>
      <c r="HJ709" s="1364"/>
      <c r="HK709" s="1364"/>
      <c r="HL709" s="1364"/>
      <c r="HM709" s="1364"/>
      <c r="HN709" s="1364"/>
      <c r="HO709" s="1364"/>
      <c r="HP709" s="1364"/>
      <c r="HQ709" s="1364"/>
      <c r="HR709" s="1364"/>
      <c r="HS709" s="1364"/>
      <c r="HT709" s="1364"/>
      <c r="HU709" s="1364"/>
      <c r="HV709" s="1364"/>
      <c r="HW709" s="1364"/>
      <c r="HX709" s="1364"/>
      <c r="HY709" s="1364"/>
      <c r="HZ709" s="1364"/>
      <c r="IA709" s="1364"/>
      <c r="IB709" s="1364"/>
      <c r="IC709" s="1364"/>
      <c r="ID709" s="1364"/>
      <c r="IE709" s="1364"/>
      <c r="IF709" s="1364"/>
      <c r="IG709" s="1364"/>
      <c r="IH709" s="1364"/>
      <c r="II709" s="1364"/>
      <c r="IJ709" s="1364"/>
      <c r="IK709" s="1364"/>
      <c r="IL709" s="1364"/>
      <c r="IM709" s="1364"/>
      <c r="IN709" s="1364"/>
      <c r="IO709" s="1364"/>
      <c r="IP709" s="1364"/>
      <c r="IQ709" s="1364"/>
      <c r="IR709" s="1364"/>
      <c r="IS709" s="1364"/>
      <c r="IT709" s="1364"/>
      <c r="IU709" s="1364"/>
      <c r="IV709" s="1364"/>
    </row>
    <row r="710" spans="1:256" s="1365" customFormat="1" ht="32.1" customHeight="1">
      <c r="A710" s="1378"/>
      <c r="B710" s="1380" t="s">
        <v>6767</v>
      </c>
      <c r="C710" s="1414"/>
      <c r="D710" s="1414"/>
      <c r="E710" s="1414"/>
      <c r="F710" s="1414"/>
      <c r="G710" s="1414"/>
      <c r="H710" s="1414"/>
      <c r="I710" s="1360"/>
      <c r="J710" s="1377"/>
      <c r="K710" s="1377"/>
      <c r="L710" s="1377"/>
      <c r="M710" s="1377"/>
      <c r="N710" s="1377"/>
      <c r="O710" s="1377"/>
      <c r="P710" s="1377"/>
      <c r="Q710" s="1377"/>
      <c r="R710" s="1379"/>
      <c r="S710" s="1363"/>
      <c r="T710" s="1363"/>
      <c r="U710" s="1363"/>
      <c r="V710" s="1363"/>
      <c r="W710" s="1363"/>
      <c r="X710" s="1363"/>
      <c r="Y710" s="1363"/>
      <c r="Z710" s="1363"/>
      <c r="AA710" s="1363"/>
      <c r="AB710" s="1363"/>
      <c r="AC710" s="1363"/>
      <c r="AD710" s="1364"/>
      <c r="AE710" s="1364"/>
      <c r="AF710" s="1364"/>
      <c r="AG710" s="1364"/>
      <c r="AH710" s="1364"/>
      <c r="AI710" s="1364"/>
      <c r="AJ710" s="1364"/>
      <c r="AK710" s="1364"/>
      <c r="AL710" s="1364"/>
      <c r="AM710" s="1364"/>
      <c r="AN710" s="1364"/>
      <c r="AO710" s="1364"/>
      <c r="AP710" s="1364"/>
      <c r="AQ710" s="1364"/>
      <c r="AR710" s="1364"/>
      <c r="AS710" s="1364"/>
      <c r="AT710" s="1364"/>
      <c r="AU710" s="1364"/>
      <c r="AV710" s="1364"/>
      <c r="AW710" s="1364"/>
      <c r="AX710" s="1364"/>
      <c r="AY710" s="1364"/>
      <c r="AZ710" s="1364"/>
      <c r="BA710" s="1364"/>
      <c r="BB710" s="1364"/>
      <c r="BC710" s="1364"/>
      <c r="BD710" s="1364"/>
      <c r="BE710" s="1364"/>
      <c r="BF710" s="1364"/>
      <c r="BG710" s="1364"/>
      <c r="BH710" s="1364"/>
      <c r="BI710" s="1364"/>
      <c r="BJ710" s="1364"/>
      <c r="BK710" s="1364"/>
      <c r="BL710" s="1364"/>
      <c r="BM710" s="1364"/>
      <c r="BN710" s="1364"/>
      <c r="BO710" s="1364"/>
      <c r="BP710" s="1364"/>
      <c r="BQ710" s="1364"/>
      <c r="BR710" s="1364"/>
      <c r="BS710" s="1364"/>
      <c r="BT710" s="1364"/>
      <c r="BU710" s="1364"/>
      <c r="BV710" s="1364"/>
      <c r="BW710" s="1364"/>
      <c r="BX710" s="1364"/>
      <c r="BY710" s="1364"/>
      <c r="BZ710" s="1364"/>
      <c r="CA710" s="1364"/>
      <c r="CB710" s="1364"/>
      <c r="CC710" s="1364"/>
      <c r="CD710" s="1364"/>
      <c r="CE710" s="1364"/>
      <c r="CF710" s="1364"/>
      <c r="CG710" s="1364"/>
      <c r="CH710" s="1364"/>
      <c r="CI710" s="1364"/>
      <c r="CJ710" s="1364"/>
      <c r="CK710" s="1364"/>
      <c r="CL710" s="1364"/>
      <c r="CM710" s="1364"/>
      <c r="CN710" s="1364"/>
      <c r="CO710" s="1364"/>
      <c r="CP710" s="1364"/>
      <c r="CQ710" s="1364"/>
      <c r="CR710" s="1364"/>
      <c r="CS710" s="1364"/>
      <c r="CT710" s="1364"/>
      <c r="CU710" s="1364"/>
      <c r="CV710" s="1364"/>
      <c r="CW710" s="1364"/>
      <c r="CX710" s="1364"/>
      <c r="CY710" s="1364"/>
      <c r="CZ710" s="1364"/>
      <c r="DA710" s="1364"/>
      <c r="DB710" s="1364"/>
      <c r="DC710" s="1364"/>
      <c r="DD710" s="1364"/>
      <c r="DE710" s="1364"/>
      <c r="DF710" s="1364"/>
      <c r="DG710" s="1364"/>
      <c r="DH710" s="1364"/>
      <c r="DI710" s="1364"/>
      <c r="DJ710" s="1364"/>
      <c r="DK710" s="1364"/>
      <c r="DL710" s="1364"/>
      <c r="DM710" s="1364"/>
      <c r="DN710" s="1364"/>
      <c r="DO710" s="1364"/>
      <c r="DP710" s="1364"/>
      <c r="DQ710" s="1364"/>
      <c r="DR710" s="1364"/>
      <c r="DS710" s="1364"/>
      <c r="DT710" s="1364"/>
      <c r="DU710" s="1364"/>
      <c r="DV710" s="1364"/>
      <c r="DW710" s="1364"/>
      <c r="DX710" s="1364"/>
      <c r="DY710" s="1364"/>
      <c r="DZ710" s="1364"/>
      <c r="EA710" s="1364"/>
      <c r="EB710" s="1364"/>
      <c r="EC710" s="1364"/>
      <c r="ED710" s="1364"/>
      <c r="EE710" s="1364"/>
      <c r="EF710" s="1364"/>
      <c r="EG710" s="1364"/>
      <c r="EH710" s="1364"/>
      <c r="EI710" s="1364"/>
      <c r="EJ710" s="1364"/>
      <c r="EK710" s="1364"/>
      <c r="EL710" s="1364"/>
      <c r="EM710" s="1364"/>
      <c r="EN710" s="1364"/>
      <c r="EO710" s="1364"/>
      <c r="EP710" s="1364"/>
      <c r="EQ710" s="1364"/>
      <c r="ER710" s="1364"/>
      <c r="ES710" s="1364"/>
      <c r="ET710" s="1364"/>
      <c r="EU710" s="1364"/>
      <c r="EV710" s="1364"/>
      <c r="EW710" s="1364"/>
      <c r="EX710" s="1364"/>
      <c r="EY710" s="1364"/>
      <c r="EZ710" s="1364"/>
      <c r="FA710" s="1364"/>
      <c r="FB710" s="1364"/>
      <c r="FC710" s="1364"/>
      <c r="FD710" s="1364"/>
      <c r="FE710" s="1364"/>
      <c r="FF710" s="1364"/>
      <c r="FG710" s="1364"/>
      <c r="FH710" s="1364"/>
      <c r="FI710" s="1364"/>
      <c r="FJ710" s="1364"/>
      <c r="FK710" s="1364"/>
      <c r="FL710" s="1364"/>
      <c r="FM710" s="1364"/>
      <c r="FN710" s="1364"/>
      <c r="FO710" s="1364"/>
      <c r="FP710" s="1364"/>
      <c r="FQ710" s="1364"/>
      <c r="FR710" s="1364"/>
      <c r="FS710" s="1364"/>
      <c r="FT710" s="1364"/>
      <c r="FU710" s="1364"/>
      <c r="FV710" s="1364"/>
      <c r="FW710" s="1364"/>
      <c r="FX710" s="1364"/>
      <c r="FY710" s="1364"/>
      <c r="FZ710" s="1364"/>
      <c r="GA710" s="1364"/>
      <c r="GB710" s="1364"/>
      <c r="GC710" s="1364"/>
      <c r="GD710" s="1364"/>
      <c r="GE710" s="1364"/>
      <c r="GF710" s="1364"/>
      <c r="GG710" s="1364"/>
      <c r="GH710" s="1364"/>
      <c r="GI710" s="1364"/>
      <c r="GJ710" s="1364"/>
      <c r="GK710" s="1364"/>
      <c r="GL710" s="1364"/>
      <c r="GM710" s="1364"/>
      <c r="GN710" s="1364"/>
      <c r="GO710" s="1364"/>
      <c r="GP710" s="1364"/>
      <c r="GQ710" s="1364"/>
      <c r="GR710" s="1364"/>
      <c r="GS710" s="1364"/>
      <c r="GT710" s="1364"/>
      <c r="GU710" s="1364"/>
      <c r="GV710" s="1364"/>
      <c r="GW710" s="1364"/>
      <c r="GX710" s="1364"/>
      <c r="GY710" s="1364"/>
      <c r="GZ710" s="1364"/>
      <c r="HA710" s="1364"/>
      <c r="HB710" s="1364"/>
      <c r="HC710" s="1364"/>
      <c r="HD710" s="1364"/>
      <c r="HE710" s="1364"/>
      <c r="HF710" s="1364"/>
      <c r="HG710" s="1364"/>
      <c r="HH710" s="1364"/>
      <c r="HI710" s="1364"/>
      <c r="HJ710" s="1364"/>
      <c r="HK710" s="1364"/>
      <c r="HL710" s="1364"/>
      <c r="HM710" s="1364"/>
      <c r="HN710" s="1364"/>
      <c r="HO710" s="1364"/>
      <c r="HP710" s="1364"/>
      <c r="HQ710" s="1364"/>
      <c r="HR710" s="1364"/>
      <c r="HS710" s="1364"/>
      <c r="HT710" s="1364"/>
      <c r="HU710" s="1364"/>
      <c r="HV710" s="1364"/>
      <c r="HW710" s="1364"/>
      <c r="HX710" s="1364"/>
      <c r="HY710" s="1364"/>
      <c r="HZ710" s="1364"/>
      <c r="IA710" s="1364"/>
      <c r="IB710" s="1364"/>
      <c r="IC710" s="1364"/>
      <c r="ID710" s="1364"/>
      <c r="IE710" s="1364"/>
      <c r="IF710" s="1364"/>
      <c r="IG710" s="1364"/>
      <c r="IH710" s="1364"/>
      <c r="II710" s="1364"/>
      <c r="IJ710" s="1364"/>
      <c r="IK710" s="1364"/>
      <c r="IL710" s="1364"/>
      <c r="IM710" s="1364"/>
      <c r="IN710" s="1364"/>
      <c r="IO710" s="1364"/>
      <c r="IP710" s="1364"/>
      <c r="IQ710" s="1364"/>
      <c r="IR710" s="1364"/>
      <c r="IS710" s="1364"/>
      <c r="IT710" s="1364"/>
      <c r="IU710" s="1364"/>
      <c r="IV710" s="1364"/>
    </row>
    <row r="711" spans="1:256" ht="32.1" customHeight="1">
      <c r="J711" s="1079"/>
      <c r="K711" s="1079"/>
      <c r="L711" s="1079"/>
      <c r="M711" s="1079"/>
      <c r="N711" s="1079"/>
      <c r="O711" s="1079"/>
      <c r="P711" s="1079"/>
      <c r="Q711" s="1079"/>
    </row>
    <row r="712" spans="1:256" ht="32.1" customHeight="1">
      <c r="J712" s="1079"/>
      <c r="K712" s="1079"/>
      <c r="L712" s="1079"/>
      <c r="M712" s="1079"/>
      <c r="N712" s="1079"/>
      <c r="O712" s="1079"/>
      <c r="P712" s="1079"/>
      <c r="Q712" s="1079"/>
    </row>
    <row r="713" spans="1:256" ht="32.1" customHeight="1">
      <c r="J713" s="1079"/>
      <c r="K713" s="1079"/>
      <c r="L713" s="1079"/>
      <c r="M713" s="1079"/>
      <c r="N713" s="1079"/>
      <c r="O713" s="1079"/>
      <c r="P713" s="1079"/>
      <c r="Q713" s="1079"/>
    </row>
    <row r="714" spans="1:256" ht="32.1" customHeight="1">
      <c r="J714" s="1079"/>
      <c r="K714" s="1079"/>
      <c r="L714" s="1079"/>
      <c r="M714" s="1079"/>
      <c r="N714" s="1079"/>
      <c r="O714" s="1079"/>
      <c r="P714" s="1079"/>
      <c r="Q714" s="1079"/>
    </row>
    <row r="715" spans="1:256" ht="32.1" customHeight="1">
      <c r="J715" s="1079"/>
      <c r="K715" s="1079"/>
      <c r="L715" s="1079"/>
      <c r="M715" s="1079"/>
      <c r="N715" s="1079"/>
      <c r="O715" s="1079"/>
      <c r="P715" s="1079"/>
      <c r="Q715" s="1079"/>
    </row>
    <row r="716" spans="1:256" ht="32.1" customHeight="1">
      <c r="J716" s="1079"/>
      <c r="K716" s="1079"/>
      <c r="L716" s="1079"/>
      <c r="M716" s="1079"/>
      <c r="N716" s="1079"/>
      <c r="O716" s="1079"/>
      <c r="P716" s="1079"/>
      <c r="Q716" s="1079"/>
    </row>
    <row r="717" spans="1:256" ht="32.1" customHeight="1">
      <c r="J717" s="1079"/>
      <c r="K717" s="1079"/>
      <c r="L717" s="1079"/>
      <c r="M717" s="1079"/>
      <c r="N717" s="1079"/>
      <c r="O717" s="1079"/>
      <c r="P717" s="1079"/>
      <c r="Q717" s="1079"/>
    </row>
    <row r="718" spans="1:256" ht="32.1" customHeight="1">
      <c r="J718" s="1079"/>
      <c r="K718" s="1079"/>
      <c r="L718" s="1079"/>
      <c r="M718" s="1079"/>
      <c r="N718" s="1079"/>
      <c r="O718" s="1079"/>
      <c r="P718" s="1079"/>
      <c r="Q718" s="1079"/>
    </row>
    <row r="719" spans="1:256" ht="32.1" customHeight="1">
      <c r="J719" s="1079"/>
      <c r="K719" s="1079"/>
      <c r="L719" s="1079"/>
      <c r="M719" s="1079"/>
      <c r="N719" s="1079"/>
      <c r="O719" s="1079"/>
      <c r="P719" s="1079"/>
      <c r="Q719" s="1079"/>
    </row>
    <row r="720" spans="1:256" ht="32.1" customHeight="1">
      <c r="J720" s="1079"/>
      <c r="K720" s="1079"/>
      <c r="L720" s="1079"/>
      <c r="M720" s="1079"/>
      <c r="N720" s="1079"/>
      <c r="O720" s="1079"/>
      <c r="P720" s="1079"/>
      <c r="Q720" s="1079"/>
    </row>
    <row r="721" spans="10:17" ht="32.1" customHeight="1">
      <c r="J721" s="1079"/>
      <c r="K721" s="1079"/>
      <c r="L721" s="1079"/>
      <c r="M721" s="1079"/>
      <c r="N721" s="1079"/>
      <c r="O721" s="1079"/>
      <c r="P721" s="1079"/>
      <c r="Q721" s="1079"/>
    </row>
    <row r="722" spans="10:17" ht="32.1" customHeight="1">
      <c r="J722" s="1079"/>
      <c r="K722" s="1079"/>
      <c r="L722" s="1079"/>
      <c r="M722" s="1079"/>
      <c r="N722" s="1079"/>
      <c r="O722" s="1079"/>
      <c r="P722" s="1079"/>
      <c r="Q722" s="1079"/>
    </row>
    <row r="723" spans="10:17" ht="32.1" customHeight="1">
      <c r="J723" s="1079"/>
      <c r="K723" s="1079"/>
      <c r="L723" s="1079"/>
      <c r="M723" s="1079"/>
      <c r="N723" s="1079"/>
      <c r="O723" s="1079"/>
      <c r="P723" s="1079"/>
      <c r="Q723" s="1079"/>
    </row>
    <row r="724" spans="10:17" ht="32.1" customHeight="1">
      <c r="J724" s="1079"/>
      <c r="K724" s="1079"/>
      <c r="L724" s="1079"/>
      <c r="M724" s="1079"/>
      <c r="N724" s="1079"/>
      <c r="O724" s="1079"/>
      <c r="P724" s="1079"/>
      <c r="Q724" s="1079"/>
    </row>
    <row r="725" spans="10:17" ht="32.1" customHeight="1">
      <c r="J725" s="1079"/>
      <c r="K725" s="1079"/>
      <c r="L725" s="1079"/>
      <c r="M725" s="1079"/>
      <c r="N725" s="1079"/>
      <c r="O725" s="1079"/>
      <c r="P725" s="1079"/>
      <c r="Q725" s="1079"/>
    </row>
    <row r="726" spans="10:17" ht="32.1" customHeight="1">
      <c r="J726" s="1079"/>
      <c r="K726" s="1079"/>
      <c r="L726" s="1079"/>
      <c r="M726" s="1079"/>
      <c r="N726" s="1079"/>
      <c r="O726" s="1079"/>
      <c r="P726" s="1079"/>
      <c r="Q726" s="1079"/>
    </row>
    <row r="727" spans="10:17" ht="32.1" customHeight="1">
      <c r="J727" s="1079"/>
      <c r="K727" s="1079"/>
      <c r="L727" s="1079"/>
      <c r="M727" s="1079"/>
      <c r="N727" s="1079"/>
      <c r="O727" s="1079"/>
      <c r="P727" s="1079"/>
      <c r="Q727" s="1079"/>
    </row>
    <row r="728" spans="10:17" ht="32.1" customHeight="1">
      <c r="J728" s="1079"/>
      <c r="K728" s="1079"/>
      <c r="L728" s="1079"/>
      <c r="M728" s="1079"/>
      <c r="N728" s="1079"/>
      <c r="O728" s="1079"/>
      <c r="P728" s="1079"/>
      <c r="Q728" s="1079"/>
    </row>
    <row r="729" spans="10:17" ht="32.1" customHeight="1">
      <c r="J729" s="1079"/>
      <c r="K729" s="1079"/>
      <c r="L729" s="1079"/>
      <c r="M729" s="1079"/>
      <c r="N729" s="1079"/>
      <c r="O729" s="1079"/>
      <c r="P729" s="1079"/>
      <c r="Q729" s="1079"/>
    </row>
    <row r="730" spans="10:17" ht="32.1" customHeight="1">
      <c r="J730" s="1079"/>
      <c r="K730" s="1079"/>
      <c r="L730" s="1079"/>
      <c r="M730" s="1079"/>
      <c r="N730" s="1079"/>
      <c r="O730" s="1079"/>
      <c r="P730" s="1079"/>
      <c r="Q730" s="1079"/>
    </row>
    <row r="731" spans="10:17" ht="32.1" customHeight="1">
      <c r="J731" s="1079"/>
      <c r="K731" s="1079"/>
      <c r="L731" s="1079"/>
      <c r="M731" s="1079"/>
      <c r="N731" s="1079"/>
      <c r="O731" s="1079"/>
      <c r="P731" s="1079"/>
      <c r="Q731" s="1079"/>
    </row>
    <row r="732" spans="10:17" ht="32.1" customHeight="1">
      <c r="J732" s="1079"/>
      <c r="K732" s="1079"/>
      <c r="L732" s="1079"/>
      <c r="M732" s="1079"/>
      <c r="N732" s="1079"/>
      <c r="O732" s="1079"/>
      <c r="P732" s="1079"/>
      <c r="Q732" s="1079"/>
    </row>
    <row r="733" spans="10:17" ht="32.1" customHeight="1">
      <c r="J733" s="1079"/>
      <c r="K733" s="1079"/>
      <c r="L733" s="1079"/>
      <c r="M733" s="1079"/>
      <c r="N733" s="1079"/>
      <c r="O733" s="1079"/>
      <c r="P733" s="1079"/>
      <c r="Q733" s="1079"/>
    </row>
    <row r="734" spans="10:17" ht="32.1" customHeight="1">
      <c r="J734" s="1079"/>
      <c r="K734" s="1079"/>
      <c r="L734" s="1079"/>
      <c r="M734" s="1079"/>
      <c r="N734" s="1079"/>
      <c r="O734" s="1079"/>
      <c r="P734" s="1079"/>
      <c r="Q734" s="1079"/>
    </row>
    <row r="735" spans="10:17" ht="32.1" customHeight="1">
      <c r="J735" s="1079"/>
      <c r="K735" s="1079"/>
      <c r="L735" s="1079"/>
      <c r="M735" s="1079"/>
      <c r="N735" s="1079"/>
      <c r="O735" s="1079"/>
      <c r="P735" s="1079"/>
      <c r="Q735" s="1079"/>
    </row>
    <row r="736" spans="10:17" ht="32.1" customHeight="1">
      <c r="J736" s="1079"/>
      <c r="K736" s="1079"/>
      <c r="L736" s="1079"/>
      <c r="M736" s="1079"/>
      <c r="N736" s="1079"/>
      <c r="O736" s="1079"/>
      <c r="P736" s="1079"/>
      <c r="Q736" s="1079"/>
    </row>
    <row r="737" spans="1:17" ht="32.1" customHeight="1">
      <c r="J737" s="1079"/>
      <c r="K737" s="1079"/>
      <c r="L737" s="1079"/>
      <c r="M737" s="1079"/>
      <c r="N737" s="1079"/>
      <c r="O737" s="1079"/>
      <c r="P737" s="1079"/>
      <c r="Q737" s="1079"/>
    </row>
    <row r="738" spans="1:17" ht="32.1" customHeight="1">
      <c r="J738" s="1079"/>
      <c r="K738" s="1079"/>
      <c r="L738" s="1079"/>
      <c r="M738" s="1079"/>
      <c r="N738" s="1079"/>
      <c r="O738" s="1079"/>
      <c r="P738" s="1079"/>
      <c r="Q738" s="1079"/>
    </row>
    <row r="739" spans="1:17" ht="32.1" customHeight="1">
      <c r="J739" s="1079"/>
      <c r="K739" s="1079"/>
      <c r="L739" s="1079"/>
      <c r="M739" s="1079"/>
      <c r="N739" s="1079"/>
      <c r="O739" s="1079"/>
      <c r="P739" s="1079"/>
      <c r="Q739" s="1079"/>
    </row>
    <row r="740" spans="1:17" ht="32.1" customHeight="1">
      <c r="J740" s="1079"/>
      <c r="K740" s="1079"/>
      <c r="L740" s="1079"/>
      <c r="M740" s="1079"/>
      <c r="N740" s="1079"/>
      <c r="O740" s="1079"/>
      <c r="P740" s="1079"/>
      <c r="Q740" s="1079"/>
    </row>
    <row r="741" spans="1:17" ht="32.1" customHeight="1">
      <c r="J741" s="1079"/>
      <c r="K741" s="1079"/>
      <c r="L741" s="1079"/>
      <c r="M741" s="1079"/>
      <c r="N741" s="1079"/>
      <c r="O741" s="1079"/>
      <c r="P741" s="1079"/>
      <c r="Q741" s="1079"/>
    </row>
    <row r="742" spans="1:17" ht="32.1" customHeight="1">
      <c r="J742" s="1079"/>
      <c r="K742" s="1079"/>
      <c r="L742" s="1079"/>
      <c r="M742" s="1079"/>
      <c r="N742" s="1079"/>
      <c r="O742" s="1079"/>
      <c r="P742" s="1079"/>
      <c r="Q742" s="1079"/>
    </row>
    <row r="743" spans="1:17" ht="32.1" customHeight="1">
      <c r="J743" s="1079"/>
      <c r="K743" s="1079"/>
      <c r="L743" s="1079"/>
      <c r="M743" s="1079"/>
      <c r="N743" s="1079"/>
      <c r="O743" s="1079"/>
      <c r="P743" s="1079"/>
      <c r="Q743" s="1079"/>
    </row>
    <row r="744" spans="1:17" ht="32.1" customHeight="1">
      <c r="J744" s="1079"/>
      <c r="K744" s="1079"/>
      <c r="L744" s="1079"/>
      <c r="M744" s="1079"/>
      <c r="N744" s="1079"/>
      <c r="O744" s="1079"/>
      <c r="P744" s="1079"/>
      <c r="Q744" s="1079"/>
    </row>
    <row r="745" spans="1:17" ht="32.1" customHeight="1">
      <c r="J745" s="1079"/>
      <c r="K745" s="1079"/>
      <c r="L745" s="1079"/>
      <c r="M745" s="1079"/>
      <c r="N745" s="1079"/>
      <c r="O745" s="1079"/>
      <c r="P745" s="1079"/>
      <c r="Q745" s="1079"/>
    </row>
    <row r="746" spans="1:17" ht="32.1" customHeight="1">
      <c r="J746" s="1079"/>
      <c r="K746" s="1079"/>
      <c r="L746" s="1079"/>
      <c r="M746" s="1079"/>
      <c r="N746" s="1079"/>
      <c r="O746" s="1079"/>
      <c r="P746" s="1079"/>
      <c r="Q746" s="1079"/>
    </row>
    <row r="747" spans="1:17" ht="32.1" customHeight="1">
      <c r="J747" s="1079"/>
      <c r="K747" s="1079"/>
      <c r="L747" s="1079"/>
      <c r="M747" s="1079"/>
      <c r="N747" s="1079"/>
      <c r="O747" s="1079"/>
      <c r="P747" s="1079"/>
      <c r="Q747" s="1079"/>
    </row>
    <row r="748" spans="1:17" ht="32.1" customHeight="1">
      <c r="J748" s="1079"/>
      <c r="K748" s="1079"/>
      <c r="L748" s="1079"/>
      <c r="M748" s="1079"/>
      <c r="N748" s="1079"/>
      <c r="O748" s="1079"/>
      <c r="P748" s="1079"/>
      <c r="Q748" s="1079"/>
    </row>
    <row r="749" spans="1:17" ht="32.1" customHeight="1">
      <c r="J749" s="1079"/>
      <c r="K749" s="1079"/>
      <c r="L749" s="1079"/>
      <c r="M749" s="1079"/>
      <c r="N749" s="1079"/>
      <c r="O749" s="1079"/>
      <c r="P749" s="1079"/>
      <c r="Q749" s="1079"/>
    </row>
    <row r="750" spans="1:17" ht="32.1" customHeight="1">
      <c r="J750" s="1079"/>
      <c r="K750" s="1079"/>
      <c r="L750" s="1079"/>
      <c r="M750" s="1079"/>
      <c r="N750" s="1079"/>
      <c r="O750" s="1079"/>
      <c r="P750" s="1079"/>
      <c r="Q750" s="1079"/>
    </row>
    <row r="751" spans="1:17" ht="32.1" customHeight="1">
      <c r="J751" s="1079"/>
      <c r="K751" s="1079"/>
      <c r="L751" s="1079"/>
      <c r="M751" s="1079"/>
      <c r="N751" s="1079"/>
      <c r="O751" s="1079"/>
      <c r="P751" s="1079"/>
      <c r="Q751" s="1079"/>
    </row>
    <row r="752" spans="1:17" ht="32.1" customHeight="1">
      <c r="A752" s="1052"/>
      <c r="B752" s="1145"/>
      <c r="C752" s="1491"/>
      <c r="D752" s="1491"/>
      <c r="E752" s="1450"/>
      <c r="F752" s="1450"/>
      <c r="G752" s="1450"/>
      <c r="H752" s="1450"/>
      <c r="I752" s="1195"/>
      <c r="J752" s="1070"/>
      <c r="K752" s="1161"/>
      <c r="L752" s="1161"/>
      <c r="M752" s="1070"/>
      <c r="N752" s="1161"/>
      <c r="O752" s="1161"/>
      <c r="P752" s="1161"/>
      <c r="Q752" s="1161"/>
    </row>
    <row r="753" spans="1:17" ht="32.1" customHeight="1">
      <c r="A753" s="1052"/>
      <c r="B753" s="1145"/>
      <c r="C753" s="1491"/>
      <c r="D753" s="1491"/>
      <c r="E753" s="1450"/>
      <c r="F753" s="1450"/>
      <c r="G753" s="1450"/>
      <c r="H753" s="1450"/>
      <c r="I753" s="1195"/>
      <c r="J753" s="1070"/>
      <c r="K753" s="1161"/>
      <c r="L753" s="1161"/>
      <c r="M753" s="1070"/>
      <c r="N753" s="1161"/>
      <c r="O753" s="1161"/>
      <c r="P753" s="1161"/>
      <c r="Q753" s="1161"/>
    </row>
    <row r="754" spans="1:17" ht="32.1" customHeight="1">
      <c r="A754" s="1052"/>
      <c r="B754" s="1145"/>
      <c r="C754" s="1491"/>
      <c r="D754" s="1491"/>
      <c r="E754" s="1450"/>
      <c r="F754" s="1450"/>
      <c r="G754" s="1450"/>
      <c r="H754" s="1450"/>
      <c r="I754" s="1195"/>
      <c r="J754" s="1070"/>
      <c r="K754" s="1161"/>
      <c r="L754" s="1161"/>
      <c r="M754" s="1070"/>
      <c r="N754" s="1161"/>
      <c r="O754" s="1161"/>
      <c r="P754" s="1161"/>
      <c r="Q754" s="1161"/>
    </row>
    <row r="755" spans="1:17" ht="32.1" customHeight="1">
      <c r="A755" s="1052"/>
      <c r="B755" s="1145"/>
      <c r="C755" s="1491"/>
      <c r="D755" s="1491"/>
      <c r="E755" s="1450"/>
      <c r="F755" s="1450"/>
      <c r="G755" s="1450"/>
      <c r="H755" s="1450"/>
      <c r="I755" s="1195"/>
      <c r="J755" s="1070"/>
      <c r="K755" s="1161"/>
      <c r="L755" s="1161"/>
      <c r="M755" s="1070"/>
      <c r="N755" s="1161"/>
      <c r="O755" s="1161"/>
      <c r="P755" s="1161"/>
      <c r="Q755" s="1161"/>
    </row>
    <row r="756" spans="1:17" ht="32.1" customHeight="1">
      <c r="A756" s="1052"/>
      <c r="B756" s="1145"/>
      <c r="C756" s="1491"/>
      <c r="D756" s="1491"/>
      <c r="E756" s="1450"/>
      <c r="F756" s="1450"/>
      <c r="G756" s="1450"/>
      <c r="H756" s="1450"/>
      <c r="I756" s="1195"/>
      <c r="J756" s="1070"/>
      <c r="K756" s="1161"/>
      <c r="L756" s="1161"/>
      <c r="M756" s="1070"/>
      <c r="N756" s="1161"/>
      <c r="O756" s="1161"/>
      <c r="P756" s="1161"/>
      <c r="Q756" s="1161"/>
    </row>
    <row r="757" spans="1:17" ht="32.1" customHeight="1">
      <c r="A757" s="1052"/>
      <c r="B757" s="1145"/>
      <c r="C757" s="1491"/>
      <c r="D757" s="1491"/>
      <c r="E757" s="1450"/>
      <c r="F757" s="1450"/>
      <c r="G757" s="1450"/>
      <c r="H757" s="1450"/>
      <c r="I757" s="1195"/>
      <c r="J757" s="1070"/>
      <c r="K757" s="1161"/>
      <c r="L757" s="1161"/>
      <c r="M757" s="1070"/>
      <c r="N757" s="1161"/>
      <c r="O757" s="1161"/>
      <c r="P757" s="1161"/>
      <c r="Q757" s="1161"/>
    </row>
    <row r="758" spans="1:17" ht="32.1" customHeight="1">
      <c r="A758" s="1052"/>
      <c r="B758" s="1145"/>
      <c r="C758" s="1491"/>
      <c r="D758" s="1491"/>
      <c r="E758" s="1450"/>
      <c r="F758" s="1450"/>
      <c r="G758" s="1450"/>
      <c r="H758" s="1450"/>
      <c r="I758" s="1195"/>
      <c r="J758" s="1070"/>
      <c r="K758" s="1161"/>
      <c r="L758" s="1161"/>
      <c r="M758" s="1070"/>
      <c r="N758" s="1161"/>
      <c r="O758" s="1161"/>
      <c r="P758" s="1161"/>
      <c r="Q758" s="1161"/>
    </row>
    <row r="759" spans="1:17" ht="32.1" customHeight="1">
      <c r="A759" s="1052"/>
      <c r="B759" s="1145"/>
      <c r="C759" s="1491"/>
      <c r="D759" s="1491"/>
      <c r="E759" s="1450"/>
      <c r="F759" s="1450"/>
      <c r="G759" s="1450"/>
      <c r="H759" s="1450"/>
      <c r="I759" s="1195"/>
      <c r="J759" s="1070"/>
      <c r="K759" s="1161"/>
      <c r="L759" s="1161"/>
      <c r="M759" s="1070"/>
      <c r="N759" s="1161"/>
      <c r="O759" s="1161"/>
      <c r="P759" s="1161"/>
      <c r="Q759" s="1161"/>
    </row>
    <row r="760" spans="1:17" ht="32.1" customHeight="1">
      <c r="A760" s="1052"/>
      <c r="B760" s="1145"/>
      <c r="C760" s="1491"/>
      <c r="D760" s="1491"/>
      <c r="E760" s="1450"/>
      <c r="F760" s="1450"/>
      <c r="G760" s="1450"/>
      <c r="H760" s="1450"/>
      <c r="I760" s="1195"/>
      <c r="J760" s="1070"/>
      <c r="K760" s="1161"/>
      <c r="L760" s="1161"/>
      <c r="M760" s="1070"/>
      <c r="N760" s="1161"/>
      <c r="O760" s="1161"/>
      <c r="P760" s="1161"/>
      <c r="Q760" s="1161"/>
    </row>
    <row r="761" spans="1:17" ht="32.1" customHeight="1">
      <c r="A761" s="1052"/>
      <c r="B761" s="1145"/>
      <c r="C761" s="1491"/>
      <c r="D761" s="1491"/>
      <c r="E761" s="1450"/>
      <c r="F761" s="1450"/>
      <c r="G761" s="1450"/>
      <c r="H761" s="1450"/>
      <c r="I761" s="1195"/>
      <c r="J761" s="1070"/>
      <c r="K761" s="1161"/>
      <c r="L761" s="1161"/>
      <c r="M761" s="1070"/>
      <c r="N761" s="1161"/>
      <c r="O761" s="1161"/>
      <c r="P761" s="1161"/>
      <c r="Q761" s="1161"/>
    </row>
    <row r="762" spans="1:17" ht="32.1" customHeight="1">
      <c r="A762" s="1052"/>
      <c r="B762" s="1145"/>
      <c r="C762" s="1491"/>
      <c r="D762" s="1491"/>
      <c r="E762" s="1450"/>
      <c r="F762" s="1450"/>
      <c r="G762" s="1450"/>
      <c r="H762" s="1450"/>
      <c r="I762" s="1195"/>
      <c r="J762" s="1070"/>
      <c r="K762" s="1161"/>
      <c r="L762" s="1161"/>
      <c r="M762" s="1070"/>
      <c r="N762" s="1161"/>
      <c r="O762" s="1161"/>
      <c r="P762" s="1161"/>
      <c r="Q762" s="1161"/>
    </row>
    <row r="763" spans="1:17" ht="32.1" customHeight="1">
      <c r="A763" s="1052"/>
      <c r="B763" s="1145"/>
      <c r="C763" s="1491"/>
      <c r="D763" s="1491"/>
      <c r="E763" s="1450"/>
      <c r="F763" s="1450"/>
      <c r="G763" s="1450"/>
      <c r="H763" s="1450"/>
      <c r="I763" s="1195"/>
      <c r="J763" s="1070"/>
      <c r="K763" s="1161"/>
      <c r="L763" s="1161"/>
      <c r="M763" s="1070"/>
      <c r="N763" s="1161"/>
      <c r="O763" s="1161"/>
      <c r="P763" s="1161"/>
      <c r="Q763" s="1161"/>
    </row>
    <row r="764" spans="1:17" ht="32.1" customHeight="1">
      <c r="A764" s="1052"/>
      <c r="B764" s="1145"/>
      <c r="C764" s="1491"/>
      <c r="D764" s="1491"/>
      <c r="E764" s="1450"/>
      <c r="F764" s="1450"/>
      <c r="G764" s="1450"/>
      <c r="H764" s="1450"/>
      <c r="I764" s="1195"/>
      <c r="J764" s="1070"/>
      <c r="K764" s="1161"/>
      <c r="L764" s="1161"/>
      <c r="M764" s="1070"/>
      <c r="N764" s="1161"/>
      <c r="O764" s="1161"/>
      <c r="P764" s="1161"/>
      <c r="Q764" s="1161"/>
    </row>
    <row r="765" spans="1:17" ht="32.1" customHeight="1">
      <c r="A765" s="1052"/>
      <c r="B765" s="1145"/>
      <c r="C765" s="1491"/>
      <c r="D765" s="1491"/>
      <c r="E765" s="1450"/>
      <c r="F765" s="1450"/>
      <c r="G765" s="1450"/>
      <c r="H765" s="1450"/>
      <c r="I765" s="1195"/>
      <c r="J765" s="1070"/>
      <c r="K765" s="1161"/>
      <c r="L765" s="1161"/>
      <c r="M765" s="1070"/>
      <c r="N765" s="1161"/>
      <c r="O765" s="1161"/>
      <c r="P765" s="1161"/>
      <c r="Q765" s="1161"/>
    </row>
    <row r="766" spans="1:17" ht="32.1" customHeight="1">
      <c r="A766" s="1052"/>
      <c r="B766" s="1145"/>
      <c r="C766" s="1491"/>
      <c r="D766" s="1491"/>
      <c r="E766" s="1450"/>
      <c r="F766" s="1450"/>
      <c r="G766" s="1450"/>
      <c r="H766" s="1450"/>
      <c r="I766" s="1195"/>
      <c r="J766" s="1070"/>
      <c r="K766" s="1161"/>
      <c r="L766" s="1161"/>
      <c r="M766" s="1070"/>
      <c r="N766" s="1161"/>
      <c r="O766" s="1161"/>
      <c r="P766" s="1161"/>
      <c r="Q766" s="1161"/>
    </row>
    <row r="767" spans="1:17" ht="32.1" customHeight="1">
      <c r="A767" s="1052"/>
      <c r="B767" s="1145"/>
      <c r="C767" s="1491"/>
      <c r="D767" s="1491"/>
      <c r="E767" s="1450"/>
      <c r="F767" s="1450"/>
      <c r="G767" s="1450"/>
      <c r="H767" s="1450"/>
      <c r="I767" s="1195"/>
      <c r="J767" s="1070"/>
      <c r="K767" s="1161"/>
      <c r="L767" s="1161"/>
      <c r="M767" s="1070"/>
      <c r="N767" s="1161"/>
      <c r="O767" s="1161"/>
      <c r="P767" s="1161"/>
      <c r="Q767" s="1161"/>
    </row>
    <row r="768" spans="1:17" ht="32.1" customHeight="1">
      <c r="A768" s="1052"/>
      <c r="B768" s="1145"/>
      <c r="C768" s="1491"/>
      <c r="D768" s="1491"/>
      <c r="E768" s="1450"/>
      <c r="F768" s="1450"/>
      <c r="G768" s="1450"/>
      <c r="H768" s="1450"/>
      <c r="I768" s="1195"/>
      <c r="J768" s="1070"/>
      <c r="K768" s="1161"/>
      <c r="L768" s="1161"/>
      <c r="M768" s="1070"/>
      <c r="N768" s="1161"/>
      <c r="O768" s="1161"/>
      <c r="P768" s="1161"/>
      <c r="Q768" s="1161"/>
    </row>
    <row r="769" spans="1:17" ht="32.1" customHeight="1">
      <c r="A769" s="1052"/>
      <c r="B769" s="1145"/>
      <c r="C769" s="1491"/>
      <c r="D769" s="1491"/>
      <c r="E769" s="1450"/>
      <c r="F769" s="1450"/>
      <c r="G769" s="1450"/>
      <c r="H769" s="1450"/>
      <c r="I769" s="1195"/>
      <c r="J769" s="1070"/>
      <c r="K769" s="1161"/>
      <c r="L769" s="1161"/>
      <c r="M769" s="1070"/>
      <c r="N769" s="1161"/>
      <c r="O769" s="1161"/>
      <c r="P769" s="1161"/>
      <c r="Q769" s="1161"/>
    </row>
    <row r="770" spans="1:17" ht="32.1" customHeight="1">
      <c r="A770" s="1052"/>
      <c r="B770" s="1145"/>
      <c r="C770" s="1491"/>
      <c r="D770" s="1491"/>
      <c r="E770" s="1450"/>
      <c r="F770" s="1450"/>
      <c r="G770" s="1450"/>
      <c r="H770" s="1450"/>
      <c r="I770" s="1195"/>
      <c r="J770" s="1070"/>
      <c r="K770" s="1161"/>
      <c r="L770" s="1161"/>
      <c r="M770" s="1070"/>
      <c r="N770" s="1161"/>
      <c r="O770" s="1161"/>
      <c r="P770" s="1161"/>
      <c r="Q770" s="1161"/>
    </row>
    <row r="771" spans="1:17" ht="32.1" customHeight="1">
      <c r="A771" s="1052"/>
      <c r="B771" s="1145"/>
      <c r="C771" s="1491"/>
      <c r="D771" s="1491"/>
      <c r="E771" s="1450"/>
      <c r="F771" s="1450"/>
      <c r="G771" s="1450"/>
      <c r="H771" s="1450"/>
      <c r="I771" s="1195"/>
      <c r="J771" s="1070"/>
      <c r="K771" s="1161"/>
      <c r="L771" s="1161"/>
      <c r="M771" s="1070"/>
      <c r="N771" s="1161"/>
      <c r="O771" s="1161"/>
      <c r="P771" s="1161"/>
      <c r="Q771" s="1161"/>
    </row>
    <row r="772" spans="1:17" ht="32.1" customHeight="1">
      <c r="A772" s="1052"/>
      <c r="B772" s="1145"/>
      <c r="C772" s="1491"/>
      <c r="D772" s="1491"/>
      <c r="E772" s="1450"/>
      <c r="F772" s="1450"/>
      <c r="G772" s="1450"/>
      <c r="H772" s="1450"/>
      <c r="I772" s="1195"/>
      <c r="J772" s="1070"/>
      <c r="K772" s="1161"/>
      <c r="L772" s="1161"/>
      <c r="M772" s="1070"/>
      <c r="N772" s="1161"/>
      <c r="O772" s="1161"/>
      <c r="P772" s="1161"/>
      <c r="Q772" s="1161"/>
    </row>
    <row r="773" spans="1:17" ht="32.1" customHeight="1">
      <c r="A773" s="1052"/>
      <c r="B773" s="1145"/>
      <c r="C773" s="1491"/>
      <c r="D773" s="1491"/>
      <c r="E773" s="1450"/>
      <c r="F773" s="1450"/>
      <c r="G773" s="1450"/>
      <c r="H773" s="1450"/>
      <c r="I773" s="1195"/>
      <c r="J773" s="1070"/>
      <c r="K773" s="1161"/>
      <c r="L773" s="1161"/>
      <c r="M773" s="1070"/>
      <c r="N773" s="1161"/>
      <c r="O773" s="1161"/>
      <c r="P773" s="1161"/>
      <c r="Q773" s="1161"/>
    </row>
    <row r="774" spans="1:17" ht="32.1" customHeight="1">
      <c r="A774" s="1052"/>
      <c r="B774" s="1145"/>
      <c r="C774" s="1491"/>
      <c r="D774" s="1491"/>
      <c r="E774" s="1450"/>
      <c r="F774" s="1450"/>
      <c r="G774" s="1450"/>
      <c r="H774" s="1450"/>
      <c r="I774" s="1195"/>
      <c r="J774" s="1070"/>
      <c r="K774" s="1161"/>
      <c r="L774" s="1161"/>
      <c r="M774" s="1070"/>
      <c r="N774" s="1161"/>
      <c r="O774" s="1161"/>
      <c r="P774" s="1161"/>
      <c r="Q774" s="1161"/>
    </row>
    <row r="775" spans="1:17" ht="32.1" customHeight="1">
      <c r="A775" s="1052"/>
      <c r="B775" s="1145"/>
      <c r="C775" s="1491"/>
      <c r="D775" s="1491"/>
      <c r="E775" s="1450"/>
      <c r="F775" s="1450"/>
      <c r="G775" s="1450"/>
      <c r="H775" s="1450"/>
      <c r="I775" s="1195"/>
      <c r="J775" s="1070"/>
      <c r="K775" s="1161"/>
      <c r="L775" s="1161"/>
      <c r="M775" s="1070"/>
      <c r="N775" s="1161"/>
      <c r="O775" s="1161"/>
      <c r="P775" s="1161"/>
      <c r="Q775" s="1161"/>
    </row>
    <row r="776" spans="1:17" ht="32.1" customHeight="1">
      <c r="A776" s="1052"/>
      <c r="B776" s="1145"/>
      <c r="C776" s="1491"/>
      <c r="D776" s="1491"/>
      <c r="E776" s="1450"/>
      <c r="F776" s="1450"/>
      <c r="G776" s="1450"/>
      <c r="H776" s="1450"/>
      <c r="I776" s="1195"/>
      <c r="J776" s="1070"/>
      <c r="K776" s="1161"/>
      <c r="L776" s="1161"/>
      <c r="M776" s="1070"/>
      <c r="N776" s="1161"/>
      <c r="O776" s="1161"/>
      <c r="P776" s="1161"/>
      <c r="Q776" s="1161"/>
    </row>
    <row r="777" spans="1:17" ht="32.1" customHeight="1">
      <c r="A777" s="1052"/>
      <c r="B777" s="1145"/>
      <c r="C777" s="1491"/>
      <c r="D777" s="1491"/>
      <c r="E777" s="1450"/>
      <c r="F777" s="1450"/>
      <c r="G777" s="1450"/>
      <c r="H777" s="1450"/>
      <c r="I777" s="1195"/>
      <c r="J777" s="1070"/>
      <c r="K777" s="1161"/>
      <c r="L777" s="1161"/>
      <c r="M777" s="1070"/>
      <c r="N777" s="1161"/>
      <c r="O777" s="1161"/>
      <c r="P777" s="1161"/>
      <c r="Q777" s="1161"/>
    </row>
    <row r="778" spans="1:17" ht="32.1" customHeight="1">
      <c r="A778" s="1052"/>
      <c r="B778" s="1145"/>
      <c r="C778" s="1491"/>
      <c r="D778" s="1491"/>
      <c r="E778" s="1450"/>
      <c r="F778" s="1450"/>
      <c r="G778" s="1450"/>
      <c r="H778" s="1450"/>
      <c r="I778" s="1195"/>
      <c r="J778" s="1070"/>
      <c r="K778" s="1161"/>
      <c r="L778" s="1161"/>
      <c r="M778" s="1070"/>
      <c r="N778" s="1161"/>
      <c r="O778" s="1161"/>
      <c r="P778" s="1161"/>
      <c r="Q778" s="1161"/>
    </row>
    <row r="779" spans="1:17" ht="32.1" customHeight="1">
      <c r="A779" s="1052"/>
      <c r="B779" s="1145"/>
      <c r="C779" s="1491"/>
      <c r="D779" s="1491"/>
      <c r="E779" s="1450"/>
      <c r="F779" s="1450"/>
      <c r="G779" s="1450"/>
      <c r="H779" s="1450"/>
      <c r="I779" s="1195"/>
      <c r="J779" s="1070"/>
      <c r="K779" s="1161"/>
      <c r="L779" s="1161"/>
      <c r="M779" s="1070"/>
      <c r="N779" s="1161"/>
      <c r="O779" s="1161"/>
      <c r="P779" s="1161"/>
      <c r="Q779" s="1161"/>
    </row>
    <row r="780" spans="1:17" ht="32.1" customHeight="1">
      <c r="A780" s="1052"/>
      <c r="B780" s="1145"/>
      <c r="C780" s="1491"/>
      <c r="D780" s="1491"/>
      <c r="E780" s="1450"/>
      <c r="F780" s="1450"/>
      <c r="G780" s="1450"/>
      <c r="H780" s="1450"/>
      <c r="I780" s="1195"/>
      <c r="J780" s="1070"/>
      <c r="K780" s="1161"/>
      <c r="L780" s="1161"/>
      <c r="M780" s="1070"/>
      <c r="N780" s="1161"/>
      <c r="O780" s="1161"/>
      <c r="P780" s="1161"/>
      <c r="Q780" s="1161"/>
    </row>
    <row r="781" spans="1:17" ht="32.1" customHeight="1">
      <c r="A781" s="1052"/>
      <c r="B781" s="1145"/>
      <c r="C781" s="1491"/>
      <c r="D781" s="1491"/>
      <c r="E781" s="1450"/>
      <c r="F781" s="1450"/>
      <c r="G781" s="1450"/>
      <c r="H781" s="1450"/>
      <c r="I781" s="1195"/>
      <c r="J781" s="1070"/>
      <c r="K781" s="1161"/>
      <c r="L781" s="1161"/>
      <c r="M781" s="1070"/>
      <c r="N781" s="1161"/>
      <c r="O781" s="1161"/>
      <c r="P781" s="1161"/>
      <c r="Q781" s="1161"/>
    </row>
    <row r="782" spans="1:17" ht="32.1" customHeight="1">
      <c r="A782" s="1052"/>
      <c r="B782" s="1145"/>
      <c r="C782" s="1491"/>
      <c r="D782" s="1491"/>
      <c r="E782" s="1450"/>
      <c r="F782" s="1450"/>
      <c r="G782" s="1450"/>
      <c r="H782" s="1450"/>
      <c r="I782" s="1195"/>
      <c r="J782" s="1070"/>
      <c r="K782" s="1161"/>
      <c r="L782" s="1161"/>
      <c r="M782" s="1070"/>
      <c r="N782" s="1161"/>
      <c r="O782" s="1161"/>
      <c r="P782" s="1161"/>
      <c r="Q782" s="1161"/>
    </row>
    <row r="783" spans="1:17" ht="32.1" customHeight="1">
      <c r="A783" s="1052"/>
      <c r="B783" s="1145"/>
      <c r="C783" s="1491"/>
      <c r="D783" s="1491"/>
      <c r="E783" s="1450"/>
      <c r="F783" s="1450"/>
      <c r="G783" s="1450"/>
      <c r="H783" s="1450"/>
      <c r="I783" s="1195"/>
      <c r="J783" s="1070"/>
      <c r="K783" s="1161"/>
      <c r="L783" s="1161"/>
      <c r="M783" s="1070"/>
      <c r="N783" s="1161"/>
      <c r="O783" s="1161"/>
      <c r="P783" s="1161"/>
      <c r="Q783" s="1161"/>
    </row>
    <row r="784" spans="1:17" ht="32.1" customHeight="1">
      <c r="A784" s="1052"/>
      <c r="B784" s="1145"/>
      <c r="C784" s="1491"/>
      <c r="D784" s="1491"/>
      <c r="E784" s="1450"/>
      <c r="F784" s="1450"/>
      <c r="G784" s="1450"/>
      <c r="H784" s="1450"/>
      <c r="I784" s="1195"/>
      <c r="J784" s="1070"/>
      <c r="K784" s="1161"/>
      <c r="L784" s="1161"/>
      <c r="M784" s="1070"/>
      <c r="N784" s="1161"/>
      <c r="O784" s="1161"/>
      <c r="P784" s="1161"/>
      <c r="Q784" s="1161"/>
    </row>
    <row r="785" spans="1:17" ht="32.1" customHeight="1">
      <c r="A785" s="1052"/>
      <c r="B785" s="1145"/>
      <c r="C785" s="1491"/>
      <c r="D785" s="1491"/>
      <c r="E785" s="1450"/>
      <c r="F785" s="1450"/>
      <c r="G785" s="1450"/>
      <c r="H785" s="1450"/>
      <c r="I785" s="1195"/>
      <c r="J785" s="1070"/>
      <c r="K785" s="1161"/>
      <c r="L785" s="1161"/>
      <c r="M785" s="1070"/>
      <c r="N785" s="1161"/>
      <c r="O785" s="1161"/>
      <c r="P785" s="1161"/>
      <c r="Q785" s="1161"/>
    </row>
    <row r="786" spans="1:17" ht="32.1" customHeight="1">
      <c r="A786" s="1052"/>
      <c r="B786" s="1145"/>
      <c r="C786" s="1491"/>
      <c r="D786" s="1491"/>
      <c r="E786" s="1450"/>
      <c r="F786" s="1450"/>
      <c r="G786" s="1450"/>
      <c r="H786" s="1450"/>
      <c r="I786" s="1195"/>
      <c r="J786" s="1070"/>
      <c r="K786" s="1161"/>
      <c r="L786" s="1161"/>
      <c r="M786" s="1070"/>
      <c r="N786" s="1161"/>
      <c r="O786" s="1161"/>
      <c r="P786" s="1161"/>
      <c r="Q786" s="1161"/>
    </row>
    <row r="787" spans="1:17" ht="32.1" customHeight="1">
      <c r="A787" s="1052"/>
      <c r="B787" s="1145"/>
      <c r="C787" s="1491"/>
      <c r="D787" s="1491"/>
      <c r="E787" s="1450"/>
      <c r="F787" s="1450"/>
      <c r="G787" s="1450"/>
      <c r="H787" s="1450"/>
      <c r="I787" s="1195"/>
      <c r="J787" s="1070"/>
      <c r="K787" s="1161"/>
      <c r="L787" s="1161"/>
      <c r="M787" s="1070"/>
      <c r="N787" s="1161"/>
      <c r="O787" s="1161"/>
      <c r="P787" s="1161"/>
      <c r="Q787" s="1161"/>
    </row>
    <row r="788" spans="1:17" ht="32.1" customHeight="1">
      <c r="A788" s="1052"/>
      <c r="B788" s="1145"/>
      <c r="C788" s="1491"/>
      <c r="D788" s="1491"/>
      <c r="E788" s="1450"/>
      <c r="F788" s="1450"/>
      <c r="G788" s="1450"/>
      <c r="H788" s="1450"/>
      <c r="I788" s="1195"/>
      <c r="J788" s="1070"/>
      <c r="K788" s="1161"/>
      <c r="L788" s="1161"/>
      <c r="M788" s="1070"/>
      <c r="N788" s="1161"/>
      <c r="O788" s="1161"/>
      <c r="P788" s="1161"/>
      <c r="Q788" s="1161"/>
    </row>
    <row r="789" spans="1:17" ht="32.1" customHeight="1">
      <c r="A789" s="1052"/>
      <c r="B789" s="1145"/>
      <c r="C789" s="1491"/>
      <c r="D789" s="1491"/>
      <c r="E789" s="1450"/>
      <c r="F789" s="1450"/>
      <c r="G789" s="1450"/>
      <c r="H789" s="1450"/>
      <c r="I789" s="1195"/>
      <c r="J789" s="1070"/>
      <c r="K789" s="1161"/>
      <c r="L789" s="1161"/>
      <c r="M789" s="1070"/>
      <c r="N789" s="1161"/>
      <c r="O789" s="1161"/>
      <c r="P789" s="1161"/>
      <c r="Q789" s="1161"/>
    </row>
    <row r="790" spans="1:17" ht="32.1" customHeight="1">
      <c r="A790" s="1052"/>
      <c r="B790" s="1145"/>
      <c r="C790" s="1491"/>
      <c r="D790" s="1491"/>
      <c r="E790" s="1450"/>
      <c r="F790" s="1450"/>
      <c r="G790" s="1450"/>
      <c r="H790" s="1450"/>
      <c r="I790" s="1195"/>
      <c r="J790" s="1070"/>
      <c r="K790" s="1161"/>
      <c r="L790" s="1161"/>
      <c r="M790" s="1070"/>
      <c r="N790" s="1161"/>
      <c r="O790" s="1161"/>
      <c r="P790" s="1161"/>
      <c r="Q790" s="1161"/>
    </row>
    <row r="791" spans="1:17" ht="32.1" customHeight="1">
      <c r="A791" s="1052"/>
      <c r="B791" s="1145"/>
      <c r="C791" s="1491"/>
      <c r="D791" s="1491"/>
      <c r="E791" s="1450"/>
      <c r="F791" s="1450"/>
      <c r="G791" s="1450"/>
      <c r="H791" s="1450"/>
      <c r="I791" s="1195"/>
      <c r="J791" s="1070"/>
      <c r="K791" s="1161"/>
      <c r="L791" s="1161"/>
      <c r="M791" s="1070"/>
      <c r="N791" s="1161"/>
      <c r="O791" s="1161"/>
      <c r="P791" s="1161"/>
      <c r="Q791" s="1161"/>
    </row>
    <row r="792" spans="1:17" ht="32.1" customHeight="1">
      <c r="A792" s="1052"/>
      <c r="B792" s="1145"/>
      <c r="C792" s="1491"/>
      <c r="D792" s="1491"/>
      <c r="E792" s="1450"/>
      <c r="F792" s="1450"/>
      <c r="G792" s="1450"/>
      <c r="H792" s="1450"/>
      <c r="I792" s="1195"/>
      <c r="J792" s="1070"/>
      <c r="K792" s="1161"/>
      <c r="L792" s="1161"/>
      <c r="M792" s="1070"/>
      <c r="N792" s="1161"/>
      <c r="O792" s="1161"/>
      <c r="P792" s="1161"/>
      <c r="Q792" s="1161"/>
    </row>
    <row r="793" spans="1:17" ht="32.1" customHeight="1">
      <c r="A793" s="1052"/>
      <c r="B793" s="1145"/>
      <c r="C793" s="1491"/>
      <c r="D793" s="1491"/>
      <c r="E793" s="1450"/>
      <c r="F793" s="1450"/>
      <c r="G793" s="1450"/>
      <c r="H793" s="1450"/>
      <c r="I793" s="1195"/>
      <c r="J793" s="1070"/>
      <c r="K793" s="1161"/>
      <c r="L793" s="1161"/>
      <c r="M793" s="1070"/>
      <c r="N793" s="1161"/>
      <c r="O793" s="1161"/>
      <c r="P793" s="1161"/>
      <c r="Q793" s="1161"/>
    </row>
    <row r="794" spans="1:17" ht="32.1" customHeight="1">
      <c r="A794" s="1052"/>
      <c r="B794" s="1145"/>
      <c r="C794" s="1491"/>
      <c r="D794" s="1491"/>
      <c r="E794" s="1450"/>
      <c r="F794" s="1450"/>
      <c r="G794" s="1450"/>
      <c r="H794" s="1450"/>
      <c r="I794" s="1195"/>
      <c r="J794" s="1070"/>
      <c r="K794" s="1161"/>
      <c r="L794" s="1161"/>
      <c r="M794" s="1070"/>
      <c r="N794" s="1161"/>
      <c r="O794" s="1161"/>
      <c r="P794" s="1161"/>
      <c r="Q794" s="1161"/>
    </row>
    <row r="795" spans="1:17" ht="32.1" customHeight="1">
      <c r="A795" s="1052"/>
      <c r="B795" s="1145"/>
      <c r="C795" s="1491"/>
      <c r="D795" s="1491"/>
      <c r="E795" s="1450"/>
      <c r="F795" s="1450"/>
      <c r="G795" s="1450"/>
      <c r="H795" s="1450"/>
      <c r="I795" s="1195"/>
      <c r="J795" s="1070"/>
      <c r="K795" s="1161"/>
      <c r="L795" s="1161"/>
      <c r="M795" s="1070"/>
      <c r="N795" s="1161"/>
      <c r="O795" s="1161"/>
      <c r="P795" s="1161"/>
      <c r="Q795" s="1161"/>
    </row>
    <row r="796" spans="1:17" ht="32.1" customHeight="1">
      <c r="A796" s="1052"/>
      <c r="B796" s="1145"/>
      <c r="C796" s="1491"/>
      <c r="D796" s="1491"/>
      <c r="E796" s="1450"/>
      <c r="F796" s="1450"/>
      <c r="G796" s="1450"/>
      <c r="H796" s="1450"/>
      <c r="I796" s="1195"/>
      <c r="J796" s="1070"/>
      <c r="K796" s="1161"/>
      <c r="L796" s="1161"/>
      <c r="M796" s="1070"/>
      <c r="N796" s="1161"/>
      <c r="O796" s="1161"/>
      <c r="P796" s="1161"/>
      <c r="Q796" s="1161"/>
    </row>
    <row r="797" spans="1:17" ht="32.1" customHeight="1">
      <c r="A797" s="1052"/>
      <c r="B797" s="1145"/>
      <c r="C797" s="1491"/>
      <c r="D797" s="1491"/>
      <c r="E797" s="1450"/>
      <c r="F797" s="1450"/>
      <c r="G797" s="1450"/>
      <c r="H797" s="1450"/>
      <c r="I797" s="1195"/>
      <c r="J797" s="1070"/>
      <c r="K797" s="1161"/>
      <c r="L797" s="1161"/>
      <c r="M797" s="1070"/>
      <c r="N797" s="1161"/>
      <c r="O797" s="1161"/>
      <c r="P797" s="1161"/>
      <c r="Q797" s="1161"/>
    </row>
    <row r="798" spans="1:17" ht="32.1" customHeight="1">
      <c r="A798" s="1052"/>
      <c r="B798" s="1145"/>
      <c r="C798" s="1491"/>
      <c r="D798" s="1491"/>
      <c r="E798" s="1450"/>
      <c r="F798" s="1450"/>
      <c r="G798" s="1450"/>
      <c r="H798" s="1450"/>
      <c r="I798" s="1195"/>
      <c r="J798" s="1070"/>
      <c r="K798" s="1161"/>
      <c r="L798" s="1161"/>
      <c r="M798" s="1070"/>
      <c r="N798" s="1161"/>
      <c r="O798" s="1161"/>
      <c r="P798" s="1161"/>
      <c r="Q798" s="1161"/>
    </row>
    <row r="799" spans="1:17" ht="32.1" customHeight="1">
      <c r="A799" s="1052"/>
      <c r="B799" s="1145"/>
      <c r="C799" s="1491"/>
      <c r="D799" s="1491"/>
      <c r="E799" s="1450"/>
      <c r="F799" s="1450"/>
      <c r="G799" s="1450"/>
      <c r="H799" s="1450"/>
      <c r="I799" s="1195"/>
      <c r="J799" s="1070"/>
      <c r="K799" s="1161"/>
      <c r="L799" s="1161"/>
      <c r="M799" s="1070"/>
      <c r="N799" s="1161"/>
      <c r="O799" s="1161"/>
      <c r="P799" s="1161"/>
      <c r="Q799" s="1161"/>
    </row>
    <row r="800" spans="1:17" ht="32.1" customHeight="1">
      <c r="A800" s="1052"/>
      <c r="B800" s="1145"/>
      <c r="C800" s="1491"/>
      <c r="D800" s="1491"/>
      <c r="E800" s="1450"/>
      <c r="F800" s="1450"/>
      <c r="G800" s="1450"/>
      <c r="H800" s="1450"/>
      <c r="I800" s="1195"/>
      <c r="J800" s="1070"/>
      <c r="K800" s="1161"/>
      <c r="L800" s="1161"/>
      <c r="M800" s="1070"/>
      <c r="N800" s="1161"/>
      <c r="O800" s="1161"/>
      <c r="P800" s="1161"/>
      <c r="Q800" s="1161"/>
    </row>
    <row r="801" spans="1:17" ht="32.1" customHeight="1">
      <c r="A801" s="1052"/>
      <c r="B801" s="1145"/>
      <c r="C801" s="1491"/>
      <c r="D801" s="1491"/>
      <c r="E801" s="1450"/>
      <c r="F801" s="1450"/>
      <c r="G801" s="1450"/>
      <c r="H801" s="1450"/>
      <c r="I801" s="1195"/>
      <c r="J801" s="1070"/>
      <c r="K801" s="1161"/>
      <c r="L801" s="1161"/>
      <c r="M801" s="1070"/>
      <c r="N801" s="1161"/>
      <c r="O801" s="1161"/>
      <c r="P801" s="1161"/>
      <c r="Q801" s="1161"/>
    </row>
    <row r="802" spans="1:17" ht="32.1" customHeight="1">
      <c r="A802" s="1052"/>
      <c r="B802" s="1145"/>
      <c r="C802" s="1491"/>
      <c r="D802" s="1491"/>
      <c r="E802" s="1450"/>
      <c r="F802" s="1450"/>
      <c r="G802" s="1450"/>
      <c r="H802" s="1450"/>
      <c r="I802" s="1195"/>
      <c r="J802" s="1070"/>
      <c r="K802" s="1161"/>
      <c r="L802" s="1161"/>
      <c r="M802" s="1070"/>
      <c r="N802" s="1161"/>
      <c r="O802" s="1161"/>
      <c r="P802" s="1161"/>
      <c r="Q802" s="1161"/>
    </row>
    <row r="803" spans="1:17" ht="32.1" customHeight="1">
      <c r="A803" s="1052"/>
      <c r="B803" s="1145"/>
      <c r="C803" s="1447"/>
      <c r="D803" s="1447"/>
      <c r="E803" s="1447"/>
      <c r="F803" s="1447"/>
      <c r="G803" s="1447"/>
      <c r="H803" s="1447"/>
      <c r="I803" s="1464"/>
      <c r="J803" s="1070"/>
      <c r="K803" s="1161"/>
      <c r="L803" s="1161"/>
      <c r="M803" s="1070"/>
      <c r="N803" s="1161"/>
      <c r="O803" s="1161"/>
      <c r="P803" s="1161"/>
      <c r="Q803" s="1161"/>
    </row>
    <row r="804" spans="1:17" ht="32.1" customHeight="1">
      <c r="A804" s="1052"/>
      <c r="B804" s="1145"/>
      <c r="C804" s="1447"/>
      <c r="D804" s="1447"/>
      <c r="E804" s="1447"/>
      <c r="F804" s="1447"/>
      <c r="G804" s="1447"/>
      <c r="H804" s="1447"/>
      <c r="I804" s="1464"/>
      <c r="J804" s="1070"/>
      <c r="K804" s="1161"/>
      <c r="L804" s="1161"/>
      <c r="M804" s="1070"/>
      <c r="N804" s="1161"/>
      <c r="O804" s="1161"/>
      <c r="P804" s="1161"/>
      <c r="Q804" s="1161"/>
    </row>
    <row r="805" spans="1:17" ht="32.1" customHeight="1">
      <c r="A805" s="1052"/>
      <c r="B805" s="1145"/>
      <c r="C805" s="1447"/>
      <c r="D805" s="1447"/>
      <c r="E805" s="1447"/>
      <c r="F805" s="1447"/>
      <c r="G805" s="1447"/>
      <c r="H805" s="1447"/>
      <c r="I805" s="1464"/>
      <c r="J805" s="1070"/>
      <c r="K805" s="1161"/>
      <c r="L805" s="1161"/>
      <c r="M805" s="1070"/>
      <c r="N805" s="1161"/>
      <c r="O805" s="1161"/>
      <c r="P805" s="1161"/>
      <c r="Q805" s="1161"/>
    </row>
    <row r="806" spans="1:17" ht="32.1" customHeight="1">
      <c r="A806" s="1052"/>
      <c r="B806" s="1145"/>
      <c r="C806" s="1447"/>
      <c r="D806" s="1447"/>
      <c r="E806" s="1447"/>
      <c r="F806" s="1447"/>
      <c r="G806" s="1447"/>
      <c r="H806" s="1447"/>
      <c r="I806" s="1464"/>
      <c r="J806" s="1070"/>
      <c r="K806" s="1161"/>
      <c r="L806" s="1161"/>
      <c r="M806" s="1070"/>
      <c r="N806" s="1161"/>
      <c r="O806" s="1161"/>
      <c r="P806" s="1161"/>
      <c r="Q806" s="1161"/>
    </row>
    <row r="807" spans="1:17" ht="32.1" customHeight="1">
      <c r="A807" s="1052"/>
      <c r="B807" s="1145"/>
      <c r="C807" s="1447"/>
      <c r="D807" s="1447"/>
      <c r="E807" s="1447"/>
      <c r="F807" s="1447"/>
      <c r="G807" s="1447"/>
      <c r="H807" s="1447"/>
      <c r="I807" s="1464"/>
      <c r="J807" s="1070"/>
      <c r="K807" s="1161"/>
      <c r="L807" s="1161"/>
      <c r="M807" s="1070"/>
      <c r="N807" s="1161"/>
      <c r="O807" s="1161"/>
      <c r="P807" s="1161"/>
      <c r="Q807" s="1161"/>
    </row>
    <row r="808" spans="1:17" ht="32.1" customHeight="1">
      <c r="A808" s="1052"/>
      <c r="B808" s="1145"/>
      <c r="C808" s="1447"/>
      <c r="D808" s="1447"/>
      <c r="E808" s="1447"/>
      <c r="F808" s="1447"/>
      <c r="G808" s="1447"/>
      <c r="H808" s="1447"/>
      <c r="I808" s="1464"/>
      <c r="J808" s="1070"/>
      <c r="K808" s="1161"/>
      <c r="L808" s="1161"/>
      <c r="M808" s="1070"/>
      <c r="N808" s="1161"/>
      <c r="O808" s="1161"/>
      <c r="P808" s="1161"/>
      <c r="Q808" s="1161"/>
    </row>
    <row r="809" spans="1:17" ht="32.1" customHeight="1">
      <c r="A809" s="1052"/>
      <c r="B809" s="1145"/>
      <c r="C809" s="1447"/>
      <c r="D809" s="1447"/>
      <c r="E809" s="1447"/>
      <c r="F809" s="1447"/>
      <c r="G809" s="1447"/>
      <c r="H809" s="1447"/>
      <c r="I809" s="1464"/>
      <c r="J809" s="1070"/>
      <c r="K809" s="1161"/>
      <c r="L809" s="1161"/>
      <c r="M809" s="1070"/>
      <c r="N809" s="1161"/>
      <c r="O809" s="1161"/>
      <c r="P809" s="1161"/>
      <c r="Q809" s="1161"/>
    </row>
    <row r="810" spans="1:17" ht="32.1" customHeight="1">
      <c r="A810" s="1052"/>
      <c r="B810" s="1145"/>
      <c r="C810" s="1447"/>
      <c r="D810" s="1447"/>
      <c r="E810" s="1447"/>
      <c r="F810" s="1447"/>
      <c r="G810" s="1447"/>
      <c r="H810" s="1447"/>
      <c r="I810" s="1464"/>
      <c r="J810" s="1070"/>
      <c r="K810" s="1161"/>
      <c r="L810" s="1161"/>
      <c r="M810" s="1070"/>
      <c r="N810" s="1161"/>
      <c r="O810" s="1161"/>
      <c r="P810" s="1161"/>
      <c r="Q810" s="1161"/>
    </row>
    <row r="811" spans="1:17" ht="32.1" customHeight="1">
      <c r="A811" s="1052"/>
      <c r="B811" s="1145"/>
      <c r="C811" s="1447"/>
      <c r="D811" s="1447"/>
      <c r="E811" s="1447"/>
      <c r="F811" s="1447"/>
      <c r="G811" s="1447"/>
      <c r="H811" s="1447"/>
      <c r="I811" s="1464"/>
      <c r="J811" s="1070"/>
      <c r="K811" s="1161"/>
      <c r="L811" s="1161"/>
      <c r="M811" s="1070"/>
      <c r="N811" s="1161"/>
      <c r="O811" s="1161"/>
      <c r="P811" s="1161"/>
      <c r="Q811" s="1161"/>
    </row>
    <row r="812" spans="1:17" ht="32.1" customHeight="1">
      <c r="A812" s="1052"/>
      <c r="B812" s="1145"/>
      <c r="C812" s="1447"/>
      <c r="D812" s="1447"/>
      <c r="E812" s="1447"/>
      <c r="F812" s="1447"/>
      <c r="G812" s="1447"/>
      <c r="H812" s="1447"/>
      <c r="I812" s="1464"/>
      <c r="J812" s="1070"/>
      <c r="K812" s="1161"/>
      <c r="L812" s="1161"/>
      <c r="M812" s="1070"/>
      <c r="N812" s="1161"/>
      <c r="O812" s="1161"/>
      <c r="P812" s="1161"/>
      <c r="Q812" s="1161"/>
    </row>
    <row r="813" spans="1:17" ht="32.1" customHeight="1">
      <c r="A813" s="1052"/>
      <c r="B813" s="1145"/>
      <c r="C813" s="1447"/>
      <c r="D813" s="1447"/>
      <c r="E813" s="1447"/>
      <c r="F813" s="1447"/>
      <c r="G813" s="1447"/>
      <c r="H813" s="1447"/>
      <c r="I813" s="1464"/>
      <c r="J813" s="1070"/>
      <c r="K813" s="1161"/>
      <c r="L813" s="1161"/>
      <c r="M813" s="1070"/>
      <c r="N813" s="1161"/>
      <c r="O813" s="1161"/>
      <c r="P813" s="1161"/>
      <c r="Q813" s="1161"/>
    </row>
    <row r="814" spans="1:17" ht="32.1" customHeight="1">
      <c r="A814" s="1052"/>
      <c r="B814" s="1145"/>
      <c r="C814" s="1447"/>
      <c r="D814" s="1447"/>
      <c r="E814" s="1447"/>
      <c r="F814" s="1447"/>
      <c r="G814" s="1447"/>
      <c r="H814" s="1447"/>
      <c r="I814" s="1464"/>
      <c r="J814" s="1070"/>
      <c r="K814" s="1161"/>
      <c r="L814" s="1161"/>
      <c r="M814" s="1070"/>
      <c r="N814" s="1161"/>
      <c r="O814" s="1161"/>
      <c r="P814" s="1161"/>
      <c r="Q814" s="1161"/>
    </row>
    <row r="815" spans="1:17" ht="32.1" customHeight="1">
      <c r="A815" s="1052"/>
      <c r="B815" s="1145"/>
      <c r="C815" s="1447"/>
      <c r="D815" s="1447"/>
      <c r="E815" s="1447"/>
      <c r="F815" s="1447"/>
      <c r="G815" s="1447"/>
      <c r="H815" s="1447"/>
      <c r="I815" s="1464"/>
      <c r="J815" s="1070"/>
      <c r="K815" s="1161"/>
      <c r="L815" s="1161"/>
      <c r="M815" s="1070"/>
      <c r="N815" s="1161"/>
      <c r="O815" s="1161"/>
      <c r="P815" s="1161"/>
      <c r="Q815" s="1161"/>
    </row>
    <row r="816" spans="1:17" ht="32.1" customHeight="1">
      <c r="A816" s="1052"/>
      <c r="B816" s="1145"/>
      <c r="C816" s="1447"/>
      <c r="D816" s="1447"/>
      <c r="E816" s="1447"/>
      <c r="F816" s="1447"/>
      <c r="G816" s="1447"/>
      <c r="H816" s="1447"/>
      <c r="I816" s="1464"/>
      <c r="J816" s="1070"/>
      <c r="K816" s="1161"/>
      <c r="L816" s="1161"/>
      <c r="M816" s="1070"/>
      <c r="N816" s="1161"/>
      <c r="O816" s="1161"/>
      <c r="P816" s="1161"/>
      <c r="Q816" s="1161"/>
    </row>
    <row r="817" spans="1:17" ht="32.1" customHeight="1">
      <c r="A817" s="1052"/>
      <c r="B817" s="1145"/>
      <c r="C817" s="1447"/>
      <c r="D817" s="1447"/>
      <c r="E817" s="1447"/>
      <c r="F817" s="1447"/>
      <c r="G817" s="1447"/>
      <c r="H817" s="1447"/>
      <c r="I817" s="1464"/>
      <c r="J817" s="1070"/>
      <c r="K817" s="1161"/>
      <c r="L817" s="1161"/>
      <c r="M817" s="1070"/>
      <c r="N817" s="1161"/>
      <c r="O817" s="1161"/>
      <c r="P817" s="1161"/>
      <c r="Q817" s="1161"/>
    </row>
    <row r="818" spans="1:17" ht="32.1" customHeight="1">
      <c r="A818" s="1381"/>
      <c r="B818" s="1145"/>
      <c r="C818" s="1529"/>
      <c r="D818" s="1529"/>
      <c r="E818" s="1529"/>
      <c r="F818" s="1529"/>
      <c r="G818" s="1529"/>
      <c r="H818" s="1529"/>
      <c r="I818" s="1788"/>
      <c r="J818" s="1161"/>
      <c r="K818" s="1161"/>
      <c r="L818" s="1161"/>
      <c r="M818" s="1161"/>
      <c r="N818" s="1161"/>
      <c r="O818" s="1161"/>
      <c r="P818" s="1161"/>
      <c r="Q818" s="1161"/>
    </row>
    <row r="819" spans="1:17" ht="32.1" customHeight="1">
      <c r="A819" s="1381"/>
      <c r="B819" s="1145"/>
      <c r="C819" s="1529"/>
      <c r="D819" s="1529"/>
      <c r="E819" s="1529"/>
      <c r="F819" s="1529"/>
      <c r="G819" s="1529"/>
      <c r="H819" s="1529"/>
      <c r="I819" s="1788"/>
      <c r="J819" s="1161"/>
      <c r="K819" s="1161"/>
      <c r="L819" s="1161"/>
      <c r="M819" s="1161"/>
      <c r="N819" s="1161"/>
      <c r="O819" s="1161"/>
      <c r="P819" s="1161"/>
      <c r="Q819" s="1161"/>
    </row>
    <row r="820" spans="1:17" ht="32.1" customHeight="1">
      <c r="A820" s="1381"/>
      <c r="B820" s="1145"/>
      <c r="C820" s="1529"/>
      <c r="D820" s="1529"/>
      <c r="E820" s="1529"/>
      <c r="F820" s="1529"/>
      <c r="G820" s="1529"/>
      <c r="H820" s="1529"/>
      <c r="I820" s="1788"/>
      <c r="J820" s="1161"/>
      <c r="K820" s="1161"/>
      <c r="L820" s="1161"/>
      <c r="M820" s="1161"/>
      <c r="N820" s="1161"/>
      <c r="O820" s="1161"/>
      <c r="P820" s="1161"/>
      <c r="Q820" s="1161"/>
    </row>
    <row r="821" spans="1:17" ht="32.1" customHeight="1">
      <c r="A821" s="1381"/>
      <c r="B821" s="1145"/>
      <c r="C821" s="1529"/>
      <c r="D821" s="1529"/>
      <c r="E821" s="1529"/>
      <c r="F821" s="1529"/>
      <c r="G821" s="1529"/>
      <c r="H821" s="1529"/>
      <c r="I821" s="1788"/>
      <c r="J821" s="1161"/>
      <c r="K821" s="1161"/>
      <c r="L821" s="1161"/>
      <c r="M821" s="1161"/>
      <c r="N821" s="1161"/>
      <c r="O821" s="1161"/>
      <c r="P821" s="1161"/>
      <c r="Q821" s="1161"/>
    </row>
    <row r="822" spans="1:17" ht="32.1" customHeight="1">
      <c r="A822" s="1381"/>
      <c r="B822" s="1145"/>
      <c r="C822" s="1529"/>
      <c r="D822" s="1529"/>
      <c r="E822" s="1529"/>
      <c r="F822" s="1529"/>
      <c r="G822" s="1529"/>
      <c r="H822" s="1529"/>
      <c r="I822" s="1788"/>
      <c r="J822" s="1161"/>
      <c r="K822" s="1161"/>
      <c r="L822" s="1161"/>
      <c r="M822" s="1161"/>
      <c r="N822" s="1161"/>
      <c r="O822" s="1161"/>
      <c r="P822" s="1161"/>
      <c r="Q822" s="1161"/>
    </row>
    <row r="823" spans="1:17" ht="32.1" customHeight="1">
      <c r="A823" s="1381"/>
      <c r="B823" s="1145"/>
      <c r="C823" s="1529"/>
      <c r="D823" s="1529"/>
      <c r="E823" s="1529"/>
      <c r="F823" s="1529"/>
      <c r="G823" s="1529"/>
      <c r="H823" s="1529"/>
      <c r="I823" s="1788"/>
      <c r="J823" s="1161"/>
      <c r="K823" s="1161"/>
      <c r="L823" s="1161"/>
      <c r="M823" s="1161"/>
      <c r="N823" s="1161"/>
      <c r="O823" s="1161"/>
      <c r="P823" s="1161"/>
      <c r="Q823" s="1161"/>
    </row>
    <row r="824" spans="1:17" ht="32.1" customHeight="1">
      <c r="A824" s="1381"/>
      <c r="B824" s="1145"/>
      <c r="C824" s="1529"/>
      <c r="D824" s="1529"/>
      <c r="E824" s="1529"/>
      <c r="F824" s="1529"/>
      <c r="G824" s="1529"/>
      <c r="H824" s="1529"/>
      <c r="I824" s="1788"/>
      <c r="J824" s="1161"/>
      <c r="K824" s="1161"/>
      <c r="L824" s="1161"/>
      <c r="M824" s="1161"/>
      <c r="N824" s="1161"/>
      <c r="O824" s="1161"/>
      <c r="P824" s="1161"/>
      <c r="Q824" s="1161"/>
    </row>
    <row r="825" spans="1:17" ht="32.1" customHeight="1">
      <c r="A825" s="1381"/>
      <c r="B825" s="1145"/>
      <c r="C825" s="1529"/>
      <c r="D825" s="1529"/>
      <c r="E825" s="1529"/>
      <c r="F825" s="1529"/>
      <c r="G825" s="1529"/>
      <c r="H825" s="1529"/>
      <c r="I825" s="1788"/>
      <c r="J825" s="1161"/>
      <c r="K825" s="1161"/>
      <c r="L825" s="1161"/>
      <c r="M825" s="1161"/>
      <c r="N825" s="1161"/>
      <c r="O825" s="1161"/>
      <c r="P825" s="1161"/>
      <c r="Q825" s="1161"/>
    </row>
    <row r="826" spans="1:17" ht="32.1" customHeight="1">
      <c r="A826" s="1381"/>
      <c r="B826" s="1145"/>
      <c r="C826" s="1529"/>
      <c r="D826" s="1529"/>
      <c r="E826" s="1529"/>
      <c r="F826" s="1529"/>
      <c r="G826" s="1529"/>
      <c r="H826" s="1529"/>
      <c r="I826" s="1788"/>
      <c r="J826" s="1161"/>
      <c r="K826" s="1161"/>
      <c r="L826" s="1161"/>
      <c r="M826" s="1161"/>
      <c r="N826" s="1161"/>
      <c r="O826" s="1161"/>
      <c r="P826" s="1161"/>
      <c r="Q826" s="1161"/>
    </row>
    <row r="827" spans="1:17" ht="32.1" customHeight="1">
      <c r="A827" s="1381"/>
      <c r="B827" s="1145"/>
      <c r="C827" s="1529"/>
      <c r="D827" s="1529"/>
      <c r="E827" s="1529"/>
      <c r="F827" s="1529"/>
      <c r="G827" s="1529"/>
      <c r="H827" s="1529"/>
      <c r="I827" s="1788"/>
      <c r="J827" s="1161"/>
      <c r="K827" s="1161"/>
      <c r="L827" s="1161"/>
      <c r="M827" s="1161"/>
      <c r="N827" s="1161"/>
      <c r="O827" s="1161"/>
      <c r="P827" s="1161"/>
      <c r="Q827" s="1161"/>
    </row>
    <row r="828" spans="1:17" ht="32.1" customHeight="1">
      <c r="A828" s="1381"/>
      <c r="B828" s="1145"/>
      <c r="C828" s="1529"/>
      <c r="D828" s="1529"/>
      <c r="E828" s="1529"/>
      <c r="F828" s="1529"/>
      <c r="G828" s="1529"/>
      <c r="H828" s="1529"/>
      <c r="I828" s="1788"/>
      <c r="J828" s="1161"/>
      <c r="K828" s="1161"/>
      <c r="L828" s="1161"/>
      <c r="M828" s="1161"/>
      <c r="N828" s="1161"/>
      <c r="O828" s="1161"/>
      <c r="P828" s="1161"/>
      <c r="Q828" s="1161"/>
    </row>
    <row r="829" spans="1:17" ht="32.1" customHeight="1">
      <c r="A829" s="1381"/>
      <c r="B829" s="1145"/>
      <c r="C829" s="1529"/>
      <c r="D829" s="1529"/>
      <c r="E829" s="1529"/>
      <c r="F829" s="1529"/>
      <c r="G829" s="1529"/>
      <c r="H829" s="1529"/>
      <c r="I829" s="1788"/>
      <c r="J829" s="1161"/>
      <c r="K829" s="1161"/>
      <c r="L829" s="1161"/>
      <c r="M829" s="1161"/>
      <c r="N829" s="1161"/>
      <c r="O829" s="1161"/>
      <c r="P829" s="1161"/>
      <c r="Q829" s="1161"/>
    </row>
    <row r="830" spans="1:17" ht="32.1" customHeight="1">
      <c r="A830" s="1381"/>
      <c r="B830" s="1145"/>
      <c r="C830" s="1529"/>
      <c r="D830" s="1529"/>
      <c r="E830" s="1529"/>
      <c r="F830" s="1529"/>
      <c r="G830" s="1529"/>
      <c r="H830" s="1529"/>
      <c r="I830" s="1788"/>
      <c r="J830" s="1161"/>
      <c r="K830" s="1161"/>
      <c r="L830" s="1161"/>
      <c r="M830" s="1161"/>
      <c r="N830" s="1161"/>
      <c r="O830" s="1161"/>
      <c r="P830" s="1161"/>
      <c r="Q830" s="1161"/>
    </row>
    <row r="831" spans="1:17" ht="32.1" customHeight="1">
      <c r="A831" s="1381"/>
      <c r="B831" s="1145"/>
      <c r="C831" s="1529"/>
      <c r="D831" s="1529"/>
      <c r="E831" s="1529"/>
      <c r="F831" s="1529"/>
      <c r="G831" s="1529"/>
      <c r="H831" s="1529"/>
      <c r="I831" s="1788"/>
      <c r="J831" s="1161"/>
      <c r="K831" s="1161"/>
      <c r="L831" s="1161"/>
      <c r="M831" s="1161"/>
      <c r="N831" s="1161"/>
      <c r="O831" s="1161"/>
      <c r="P831" s="1161"/>
      <c r="Q831" s="1161"/>
    </row>
    <row r="832" spans="1:17" ht="32.1" customHeight="1">
      <c r="A832" s="1381"/>
      <c r="B832" s="1145"/>
      <c r="C832" s="1529"/>
      <c r="D832" s="1529"/>
      <c r="E832" s="1529"/>
      <c r="F832" s="1529"/>
      <c r="G832" s="1529"/>
      <c r="H832" s="1529"/>
      <c r="I832" s="1788"/>
      <c r="J832" s="1161"/>
      <c r="K832" s="1161"/>
      <c r="L832" s="1161"/>
      <c r="M832" s="1161"/>
      <c r="N832" s="1161"/>
      <c r="O832" s="1161"/>
      <c r="P832" s="1161"/>
      <c r="Q832" s="1161"/>
    </row>
    <row r="833" spans="1:17" ht="32.1" customHeight="1">
      <c r="A833" s="1381"/>
      <c r="B833" s="1145"/>
      <c r="C833" s="1529"/>
      <c r="D833" s="1529"/>
      <c r="E833" s="1529"/>
      <c r="F833" s="1529"/>
      <c r="G833" s="1529"/>
      <c r="H833" s="1529"/>
      <c r="I833" s="1788"/>
      <c r="J833" s="1161"/>
      <c r="K833" s="1161"/>
      <c r="L833" s="1161"/>
      <c r="M833" s="1161"/>
      <c r="N833" s="1161"/>
      <c r="O833" s="1161"/>
      <c r="P833" s="1161"/>
      <c r="Q833" s="1161"/>
    </row>
    <row r="834" spans="1:17" ht="32.1" customHeight="1">
      <c r="A834" s="1381"/>
      <c r="B834" s="1145"/>
      <c r="C834" s="1529"/>
      <c r="D834" s="1529"/>
      <c r="E834" s="1529"/>
      <c r="F834" s="1529"/>
      <c r="G834" s="1529"/>
      <c r="H834" s="1529"/>
      <c r="I834" s="1788"/>
      <c r="J834" s="1161"/>
      <c r="K834" s="1161"/>
      <c r="L834" s="1161"/>
      <c r="M834" s="1161"/>
      <c r="N834" s="1161"/>
      <c r="O834" s="1161"/>
      <c r="P834" s="1161"/>
      <c r="Q834" s="1161"/>
    </row>
    <row r="835" spans="1:17" ht="32.1" customHeight="1">
      <c r="A835" s="1381"/>
      <c r="B835" s="1145"/>
      <c r="C835" s="1529"/>
      <c r="D835" s="1529"/>
      <c r="E835" s="1529"/>
      <c r="F835" s="1529"/>
      <c r="G835" s="1529"/>
      <c r="H835" s="1529"/>
      <c r="I835" s="1788"/>
      <c r="J835" s="1161"/>
      <c r="K835" s="1161"/>
      <c r="L835" s="1161"/>
      <c r="M835" s="1161"/>
      <c r="N835" s="1161"/>
      <c r="O835" s="1161"/>
      <c r="P835" s="1161"/>
      <c r="Q835" s="1161"/>
    </row>
    <row r="836" spans="1:17" ht="32.1" customHeight="1">
      <c r="A836" s="1381"/>
      <c r="B836" s="1145"/>
      <c r="C836" s="1529"/>
      <c r="D836" s="1529"/>
      <c r="E836" s="1529"/>
      <c r="F836" s="1529"/>
      <c r="G836" s="1529"/>
      <c r="H836" s="1529"/>
      <c r="I836" s="1788"/>
      <c r="J836" s="1161"/>
      <c r="K836" s="1161"/>
      <c r="L836" s="1161"/>
      <c r="M836" s="1161"/>
      <c r="N836" s="1161"/>
      <c r="O836" s="1161"/>
      <c r="P836" s="1161"/>
      <c r="Q836" s="1161"/>
    </row>
    <row r="837" spans="1:17" ht="32.1" customHeight="1">
      <c r="A837" s="1381"/>
      <c r="B837" s="1145"/>
      <c r="C837" s="1529"/>
      <c r="D837" s="1529"/>
      <c r="E837" s="1529"/>
      <c r="F837" s="1529"/>
      <c r="G837" s="1529"/>
      <c r="H837" s="1529"/>
      <c r="I837" s="1788"/>
      <c r="J837" s="1161"/>
      <c r="K837" s="1161"/>
      <c r="L837" s="1161"/>
      <c r="M837" s="1161"/>
      <c r="N837" s="1161"/>
      <c r="O837" s="1161"/>
      <c r="P837" s="1161"/>
      <c r="Q837" s="1161"/>
    </row>
    <row r="838" spans="1:17" ht="32.1" customHeight="1">
      <c r="A838" s="1381"/>
      <c r="B838" s="1145"/>
      <c r="C838" s="1529"/>
      <c r="D838" s="1529"/>
      <c r="E838" s="1529"/>
      <c r="F838" s="1529"/>
      <c r="G838" s="1529"/>
      <c r="H838" s="1529"/>
      <c r="I838" s="1788"/>
      <c r="J838" s="1161"/>
      <c r="K838" s="1161"/>
      <c r="L838" s="1161"/>
      <c r="M838" s="1161"/>
      <c r="N838" s="1161"/>
      <c r="O838" s="1161"/>
      <c r="P838" s="1161"/>
      <c r="Q838" s="1161"/>
    </row>
    <row r="839" spans="1:17" ht="32.1" customHeight="1">
      <c r="A839" s="1381"/>
      <c r="B839" s="1145"/>
      <c r="C839" s="1529"/>
      <c r="D839" s="1529"/>
      <c r="E839" s="1529"/>
      <c r="F839" s="1529"/>
      <c r="G839" s="1529"/>
      <c r="H839" s="1529"/>
      <c r="I839" s="1788"/>
      <c r="J839" s="1161"/>
      <c r="K839" s="1161"/>
      <c r="L839" s="1161"/>
      <c r="M839" s="1161"/>
      <c r="N839" s="1161"/>
      <c r="O839" s="1161"/>
      <c r="P839" s="1161"/>
      <c r="Q839" s="1161"/>
    </row>
    <row r="840" spans="1:17" ht="32.1" customHeight="1">
      <c r="A840" s="1381"/>
      <c r="B840" s="1145"/>
      <c r="C840" s="1529"/>
      <c r="D840" s="1529"/>
      <c r="E840" s="1529"/>
      <c r="F840" s="1529"/>
      <c r="G840" s="1529"/>
      <c r="H840" s="1529"/>
      <c r="I840" s="1788"/>
      <c r="J840" s="1161"/>
      <c r="K840" s="1161"/>
      <c r="L840" s="1161"/>
      <c r="M840" s="1161"/>
      <c r="N840" s="1161"/>
      <c r="O840" s="1161"/>
      <c r="P840" s="1161"/>
      <c r="Q840" s="1161"/>
    </row>
    <row r="841" spans="1:17" ht="32.1" customHeight="1">
      <c r="A841" s="1381"/>
      <c r="B841" s="1145"/>
      <c r="C841" s="1529"/>
      <c r="D841" s="1529"/>
      <c r="E841" s="1529"/>
      <c r="F841" s="1529"/>
      <c r="G841" s="1529"/>
      <c r="H841" s="1529"/>
      <c r="I841" s="1788"/>
      <c r="J841" s="1161"/>
      <c r="K841" s="1161"/>
      <c r="L841" s="1161"/>
      <c r="M841" s="1161"/>
      <c r="N841" s="1161"/>
      <c r="O841" s="1161"/>
      <c r="P841" s="1161"/>
      <c r="Q841" s="1161"/>
    </row>
    <row r="842" spans="1:17" ht="32.1" customHeight="1">
      <c r="A842" s="1381"/>
      <c r="B842" s="1145"/>
      <c r="C842" s="1529"/>
      <c r="D842" s="1529"/>
      <c r="E842" s="1529"/>
      <c r="F842" s="1529"/>
      <c r="G842" s="1529"/>
      <c r="H842" s="1529"/>
      <c r="I842" s="1788"/>
      <c r="J842" s="1161"/>
      <c r="K842" s="1161"/>
      <c r="L842" s="1161"/>
      <c r="M842" s="1161"/>
      <c r="N842" s="1161"/>
      <c r="O842" s="1161"/>
      <c r="P842" s="1161"/>
      <c r="Q842" s="1161"/>
    </row>
    <row r="843" spans="1:17" ht="32.1" customHeight="1">
      <c r="A843" s="1381"/>
      <c r="B843" s="1145"/>
      <c r="C843" s="1529"/>
      <c r="D843" s="1529"/>
      <c r="E843" s="1529"/>
      <c r="F843" s="1529"/>
      <c r="G843" s="1529"/>
      <c r="H843" s="1529"/>
      <c r="I843" s="1788"/>
      <c r="J843" s="1161"/>
      <c r="K843" s="1161"/>
      <c r="L843" s="1161"/>
      <c r="M843" s="1161"/>
      <c r="N843" s="1161"/>
      <c r="O843" s="1161"/>
      <c r="P843" s="1161"/>
      <c r="Q843" s="1161"/>
    </row>
    <row r="844" spans="1:17" ht="32.1" customHeight="1">
      <c r="A844" s="1381"/>
      <c r="B844" s="1145"/>
      <c r="C844" s="1529"/>
      <c r="D844" s="1529"/>
      <c r="E844" s="1529"/>
      <c r="F844" s="1529"/>
      <c r="G844" s="1529"/>
      <c r="H844" s="1529"/>
      <c r="I844" s="1788"/>
      <c r="J844" s="1161"/>
      <c r="K844" s="1161"/>
      <c r="L844" s="1161"/>
      <c r="M844" s="1161"/>
      <c r="N844" s="1161"/>
      <c r="O844" s="1161"/>
      <c r="P844" s="1161"/>
      <c r="Q844" s="1161"/>
    </row>
    <row r="845" spans="1:17" ht="32.1" customHeight="1">
      <c r="A845" s="1381"/>
      <c r="B845" s="1145"/>
      <c r="C845" s="1529"/>
      <c r="D845" s="1529"/>
      <c r="E845" s="1529"/>
      <c r="F845" s="1529"/>
      <c r="G845" s="1529"/>
      <c r="H845" s="1529"/>
      <c r="I845" s="1788"/>
      <c r="J845" s="1161"/>
      <c r="K845" s="1161"/>
      <c r="L845" s="1161"/>
      <c r="M845" s="1161"/>
      <c r="N845" s="1161"/>
      <c r="O845" s="1161"/>
      <c r="P845" s="1161"/>
      <c r="Q845" s="1161"/>
    </row>
    <row r="846" spans="1:17" ht="32.1" customHeight="1">
      <c r="A846" s="1381"/>
      <c r="B846" s="1145"/>
      <c r="C846" s="1529"/>
      <c r="D846" s="1529"/>
      <c r="E846" s="1529"/>
      <c r="F846" s="1529"/>
      <c r="G846" s="1529"/>
      <c r="H846" s="1529"/>
      <c r="I846" s="1788"/>
      <c r="J846" s="1161"/>
      <c r="K846" s="1161"/>
      <c r="L846" s="1161"/>
      <c r="M846" s="1161"/>
      <c r="N846" s="1161"/>
      <c r="O846" s="1161"/>
      <c r="P846" s="1161"/>
      <c r="Q846" s="1161"/>
    </row>
    <row r="847" spans="1:17" ht="32.1" customHeight="1">
      <c r="A847" s="1052"/>
      <c r="B847" s="1145"/>
      <c r="C847" s="1447"/>
      <c r="D847" s="1447"/>
      <c r="E847" s="1447"/>
      <c r="F847" s="1447"/>
      <c r="G847" s="1447"/>
      <c r="H847" s="1447"/>
      <c r="I847" s="1464"/>
      <c r="J847" s="1070"/>
      <c r="K847" s="1161"/>
      <c r="L847" s="1161"/>
      <c r="M847" s="1070"/>
      <c r="N847" s="1161"/>
      <c r="O847" s="1161"/>
      <c r="P847" s="1161"/>
      <c r="Q847" s="1161"/>
    </row>
    <row r="848" spans="1:17" ht="32.1" customHeight="1">
      <c r="A848" s="1052"/>
      <c r="B848" s="1145"/>
      <c r="C848" s="1447"/>
      <c r="D848" s="1447"/>
      <c r="E848" s="1447"/>
      <c r="F848" s="1447"/>
      <c r="G848" s="1447"/>
      <c r="H848" s="1447"/>
      <c r="I848" s="1464"/>
      <c r="J848" s="1070"/>
      <c r="K848" s="1161"/>
      <c r="L848" s="1161"/>
      <c r="M848" s="1070"/>
      <c r="N848" s="1161"/>
      <c r="O848" s="1161"/>
      <c r="P848" s="1161"/>
      <c r="Q848" s="1161"/>
    </row>
    <row r="849" spans="1:17" ht="32.1" customHeight="1">
      <c r="A849" s="1052"/>
      <c r="B849" s="1145"/>
      <c r="C849" s="1447"/>
      <c r="D849" s="1447"/>
      <c r="E849" s="1447"/>
      <c r="F849" s="1447"/>
      <c r="G849" s="1447"/>
      <c r="H849" s="1447"/>
      <c r="I849" s="1464"/>
      <c r="J849" s="1070"/>
      <c r="K849" s="1161"/>
      <c r="L849" s="1161"/>
      <c r="M849" s="1070"/>
      <c r="N849" s="1161"/>
      <c r="O849" s="1161"/>
      <c r="P849" s="1161"/>
      <c r="Q849" s="1161"/>
    </row>
    <row r="850" spans="1:17" ht="32.1" customHeight="1">
      <c r="A850" s="1052"/>
      <c r="B850" s="1145"/>
      <c r="C850" s="1447"/>
      <c r="D850" s="1447"/>
      <c r="E850" s="1447"/>
      <c r="F850" s="1447"/>
      <c r="G850" s="1447"/>
      <c r="H850" s="1447"/>
      <c r="I850" s="1464"/>
      <c r="J850" s="1070"/>
      <c r="K850" s="1161"/>
      <c r="L850" s="1161"/>
      <c r="M850" s="1070"/>
      <c r="N850" s="1161"/>
      <c r="O850" s="1161"/>
      <c r="P850" s="1161"/>
      <c r="Q850" s="1161"/>
    </row>
    <row r="851" spans="1:17" ht="32.1" customHeight="1">
      <c r="A851" s="1052"/>
      <c r="B851" s="1145"/>
      <c r="C851" s="1447"/>
      <c r="D851" s="1447"/>
      <c r="E851" s="1447"/>
      <c r="F851" s="1447"/>
      <c r="G851" s="1447"/>
      <c r="H851" s="1447"/>
      <c r="I851" s="1464"/>
      <c r="J851" s="1070"/>
      <c r="K851" s="1161"/>
      <c r="L851" s="1161"/>
      <c r="M851" s="1070"/>
      <c r="N851" s="1161"/>
      <c r="O851" s="1161"/>
      <c r="P851" s="1161"/>
      <c r="Q851" s="1161"/>
    </row>
    <row r="852" spans="1:17" ht="32.1" customHeight="1">
      <c r="A852" s="1052"/>
      <c r="B852" s="1145"/>
      <c r="C852" s="1447"/>
      <c r="D852" s="1447"/>
      <c r="E852" s="1447"/>
      <c r="F852" s="1447"/>
      <c r="G852" s="1447"/>
      <c r="H852" s="1447"/>
      <c r="I852" s="1464"/>
      <c r="J852" s="1070"/>
      <c r="K852" s="1161"/>
      <c r="L852" s="1161"/>
      <c r="M852" s="1070"/>
      <c r="N852" s="1161"/>
      <c r="O852" s="1161"/>
      <c r="P852" s="1161"/>
      <c r="Q852" s="1161"/>
    </row>
    <row r="853" spans="1:17" ht="32.1" customHeight="1">
      <c r="A853" s="1052"/>
      <c r="B853" s="1145"/>
      <c r="C853" s="1447"/>
      <c r="D853" s="1447"/>
      <c r="E853" s="1447"/>
      <c r="F853" s="1447"/>
      <c r="G853" s="1447"/>
      <c r="H853" s="1447"/>
      <c r="I853" s="1464"/>
      <c r="J853" s="1070"/>
      <c r="K853" s="1161"/>
      <c r="L853" s="1161"/>
      <c r="M853" s="1070"/>
      <c r="N853" s="1161"/>
      <c r="O853" s="1161"/>
      <c r="P853" s="1161"/>
      <c r="Q853" s="1161"/>
    </row>
  </sheetData>
  <sheetProtection selectLockedCells="1"/>
  <mergeCells count="1">
    <mergeCell ref="J2:Q2"/>
  </mergeCells>
  <hyperlinks>
    <hyperlink ref="M207" r:id="rId1" display="https://matsne.gov.ge/index.php?option=com_ldmssearch&amp;view=docView&amp;id=1659419&amp;lang=ge"/>
  </hyperlinks>
  <pageMargins left="0.25" right="0.25" top="0.75" bottom="0.75" header="0.3" footer="0.3"/>
  <pageSetup paperSize="9" scale="10" fitToHeight="0" orientation="portrait" r:id="rId2"/>
  <drawing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sheetPr>
  <dimension ref="A1:Z1067"/>
  <sheetViews>
    <sheetView topLeftCell="A85" workbookViewId="0">
      <selection activeCell="K85" sqref="K85 K113 N606 J619 N648 N671:O671 N717 O804 N807 C824 N841 J887 J896 F914:F915 K926 N933 M935 K937"/>
    </sheetView>
  </sheetViews>
  <sheetFormatPr defaultColWidth="15.140625" defaultRowHeight="15" customHeight="1"/>
  <cols>
    <col min="1" max="1" width="6.42578125" customWidth="1"/>
    <col min="2" max="2" width="27.140625" customWidth="1"/>
    <col min="3" max="3" width="15.28515625" customWidth="1"/>
    <col min="4" max="4" width="10" customWidth="1"/>
    <col min="5" max="5" width="11.42578125" customWidth="1"/>
    <col min="6" max="6" width="10.28515625" customWidth="1"/>
    <col min="7" max="7" width="12.42578125" customWidth="1"/>
    <col min="8" max="8" width="10.7109375" customWidth="1"/>
    <col min="9" max="9" width="12" customWidth="1"/>
    <col min="10" max="10" width="23.42578125" customWidth="1"/>
    <col min="11" max="11" width="22.7109375" customWidth="1"/>
    <col min="12" max="12" width="22" customWidth="1"/>
    <col min="13" max="13" width="22.42578125" customWidth="1"/>
    <col min="14" max="14" width="23.42578125" customWidth="1"/>
    <col min="15" max="15" width="19" customWidth="1"/>
    <col min="16" max="26" width="8" customWidth="1"/>
  </cols>
  <sheetData>
    <row r="1" spans="1:26" ht="13.5" customHeight="1">
      <c r="A1" s="1" t="s">
        <v>0</v>
      </c>
      <c r="B1" s="4" t="s">
        <v>1</v>
      </c>
      <c r="C1" s="5" t="s">
        <v>2</v>
      </c>
      <c r="D1" s="5" t="s">
        <v>3</v>
      </c>
      <c r="E1" s="5" t="s">
        <v>4</v>
      </c>
      <c r="F1" s="5" t="s">
        <v>5</v>
      </c>
      <c r="G1" s="5" t="s">
        <v>6</v>
      </c>
      <c r="H1" s="5" t="s">
        <v>7</v>
      </c>
      <c r="I1" s="6" t="s">
        <v>8</v>
      </c>
      <c r="J1" s="7" t="s">
        <v>2</v>
      </c>
      <c r="K1" s="7" t="s">
        <v>3</v>
      </c>
      <c r="L1" s="7" t="s">
        <v>4</v>
      </c>
      <c r="M1" s="7" t="s">
        <v>5</v>
      </c>
      <c r="N1" s="7" t="s">
        <v>6</v>
      </c>
      <c r="O1" s="7" t="s">
        <v>7</v>
      </c>
      <c r="P1" s="9"/>
      <c r="Q1" s="12"/>
      <c r="R1" s="12"/>
      <c r="S1" s="12"/>
      <c r="T1" s="12"/>
      <c r="U1" s="12"/>
      <c r="V1" s="12"/>
      <c r="W1" s="12"/>
      <c r="X1" s="12"/>
      <c r="Y1" s="12"/>
      <c r="Z1" s="12"/>
    </row>
    <row r="2" spans="1:26" ht="21" customHeight="1">
      <c r="A2" s="13"/>
      <c r="B2" s="2599" t="s">
        <v>728</v>
      </c>
      <c r="C2" s="2600"/>
      <c r="D2" s="2600"/>
      <c r="E2" s="2600"/>
      <c r="F2" s="2600"/>
      <c r="G2" s="2600"/>
      <c r="H2" s="2601"/>
      <c r="I2" s="17"/>
      <c r="J2" s="2602" t="s">
        <v>729</v>
      </c>
      <c r="K2" s="2600"/>
      <c r="L2" s="2600"/>
      <c r="M2" s="2600"/>
      <c r="N2" s="2600"/>
      <c r="O2" s="2601"/>
      <c r="P2" s="19"/>
      <c r="Q2" s="20"/>
      <c r="R2" s="20"/>
      <c r="S2" s="20"/>
      <c r="T2" s="20"/>
      <c r="U2" s="20"/>
      <c r="V2" s="20"/>
      <c r="W2" s="20"/>
      <c r="X2" s="20"/>
      <c r="Y2" s="20"/>
      <c r="Z2" s="20"/>
    </row>
    <row r="3" spans="1:26" ht="19.5" customHeight="1">
      <c r="A3" s="21"/>
      <c r="B3" s="22" t="s">
        <v>12</v>
      </c>
      <c r="C3" s="24">
        <f t="shared" ref="C3:H3" si="0">AVERAGE(C5,C551,C735)</f>
        <v>0.60125974817155659</v>
      </c>
      <c r="D3" s="24">
        <f t="shared" si="0"/>
        <v>0.68758436112002208</v>
      </c>
      <c r="E3" s="24">
        <f t="shared" si="0"/>
        <v>0.34259279240283186</v>
      </c>
      <c r="F3" s="24">
        <f t="shared" si="0"/>
        <v>0.68751112549556981</v>
      </c>
      <c r="G3" s="24">
        <f t="shared" si="0"/>
        <v>0.60334204798367608</v>
      </c>
      <c r="H3" s="24">
        <f t="shared" si="0"/>
        <v>0.44344362376664465</v>
      </c>
      <c r="I3" s="25"/>
      <c r="J3" s="26"/>
      <c r="K3" s="26"/>
      <c r="L3" s="26"/>
      <c r="M3" s="26"/>
      <c r="N3" s="26"/>
      <c r="O3" s="26"/>
      <c r="P3" s="28"/>
      <c r="Q3" s="29"/>
      <c r="R3" s="29"/>
      <c r="S3" s="29"/>
      <c r="T3" s="29"/>
      <c r="U3" s="29"/>
      <c r="V3" s="29"/>
      <c r="W3" s="29"/>
      <c r="X3" s="29"/>
      <c r="Y3" s="29"/>
      <c r="Z3" s="29"/>
    </row>
    <row r="4" spans="1:26" ht="18" customHeight="1">
      <c r="A4" s="31" t="s">
        <v>730</v>
      </c>
      <c r="B4" s="2603" t="s">
        <v>731</v>
      </c>
      <c r="C4" s="2600"/>
      <c r="D4" s="2600"/>
      <c r="E4" s="2600"/>
      <c r="F4" s="2600"/>
      <c r="G4" s="2600"/>
      <c r="H4" s="2601"/>
      <c r="I4" s="25"/>
      <c r="J4" s="2604"/>
      <c r="K4" s="2600"/>
      <c r="L4" s="2600"/>
      <c r="M4" s="2600"/>
      <c r="N4" s="2600"/>
      <c r="O4" s="2601"/>
      <c r="P4" s="28"/>
      <c r="Q4" s="28"/>
      <c r="R4" s="28"/>
      <c r="S4" s="28"/>
      <c r="T4" s="28"/>
      <c r="U4" s="28"/>
      <c r="V4" s="28"/>
      <c r="W4" s="28"/>
      <c r="X4" s="28"/>
      <c r="Y4" s="28"/>
      <c r="Z4" s="28"/>
    </row>
    <row r="5" spans="1:26" ht="18" customHeight="1">
      <c r="A5" s="31"/>
      <c r="B5" s="35" t="s">
        <v>732</v>
      </c>
      <c r="C5" s="37">
        <f t="shared" ref="C5:H5" si="1">AVERAGE(C6,C57,C70,C195,C240,C347,C395)</f>
        <v>0.60906626362716776</v>
      </c>
      <c r="D5" s="37">
        <f t="shared" si="1"/>
        <v>0.76614964593159218</v>
      </c>
      <c r="E5" s="37">
        <f t="shared" si="1"/>
        <v>0.27127709344668188</v>
      </c>
      <c r="F5" s="37">
        <f t="shared" si="1"/>
        <v>0.72889480793862249</v>
      </c>
      <c r="G5" s="37">
        <f t="shared" si="1"/>
        <v>0.6093030479985927</v>
      </c>
      <c r="H5" s="37">
        <f t="shared" si="1"/>
        <v>0.29549803764903781</v>
      </c>
      <c r="I5" s="25"/>
      <c r="J5" s="38"/>
      <c r="K5" s="38"/>
      <c r="L5" s="38"/>
      <c r="M5" s="38"/>
      <c r="N5" s="38"/>
      <c r="O5" s="38"/>
      <c r="P5" s="28"/>
      <c r="Q5" s="28"/>
      <c r="R5" s="28"/>
      <c r="S5" s="28"/>
      <c r="T5" s="28"/>
      <c r="U5" s="28"/>
      <c r="V5" s="28"/>
      <c r="W5" s="28"/>
      <c r="X5" s="28"/>
      <c r="Y5" s="28"/>
      <c r="Z5" s="28"/>
    </row>
    <row r="6" spans="1:26" ht="96" customHeight="1">
      <c r="A6" s="40" t="s">
        <v>733</v>
      </c>
      <c r="B6" s="41" t="s">
        <v>734</v>
      </c>
      <c r="C6" s="42">
        <f t="shared" ref="C6:H6" si="2">AVERAGE(C7,C14,C21,C52)</f>
        <v>0.51706249999999998</v>
      </c>
      <c r="D6" s="42">
        <f t="shared" si="2"/>
        <v>0.82519999999999993</v>
      </c>
      <c r="E6" s="42">
        <f t="shared" si="2"/>
        <v>0.15136666666666668</v>
      </c>
      <c r="F6" s="42">
        <f t="shared" si="2"/>
        <v>0.79787916666666669</v>
      </c>
      <c r="G6" s="42">
        <f t="shared" si="2"/>
        <v>0.4553875</v>
      </c>
      <c r="H6" s="42">
        <f t="shared" si="2"/>
        <v>6.0624999999999998E-2</v>
      </c>
      <c r="I6" s="25"/>
      <c r="J6" s="44"/>
      <c r="K6" s="47" t="s">
        <v>735</v>
      </c>
      <c r="L6" s="44"/>
      <c r="M6" s="44"/>
      <c r="N6" s="44"/>
      <c r="O6" s="44"/>
      <c r="P6" s="49"/>
      <c r="Q6" s="49"/>
      <c r="R6" s="49"/>
      <c r="S6" s="28"/>
      <c r="T6" s="28"/>
      <c r="U6" s="28"/>
      <c r="V6" s="28"/>
      <c r="W6" s="28"/>
      <c r="X6" s="28"/>
      <c r="Y6" s="28"/>
      <c r="Z6" s="28"/>
    </row>
    <row r="7" spans="1:26" ht="27.75" customHeight="1">
      <c r="A7" s="13" t="s">
        <v>15</v>
      </c>
      <c r="B7" s="50" t="s">
        <v>16</v>
      </c>
      <c r="C7" s="51">
        <f t="shared" ref="C7:H7" si="3">AVERAGE(C8,C10,C12)</f>
        <v>0.33333333333333331</v>
      </c>
      <c r="D7" s="51">
        <f t="shared" si="3"/>
        <v>0.66666666666666663</v>
      </c>
      <c r="E7" s="51">
        <f t="shared" si="3"/>
        <v>0</v>
      </c>
      <c r="F7" s="51">
        <f t="shared" si="3"/>
        <v>0.83333333333333337</v>
      </c>
      <c r="G7" s="51">
        <f t="shared" si="3"/>
        <v>0.16666666666666666</v>
      </c>
      <c r="H7" s="51">
        <f t="shared" si="3"/>
        <v>0</v>
      </c>
      <c r="I7" s="53"/>
      <c r="J7" s="56"/>
      <c r="K7" s="56"/>
      <c r="L7" s="56"/>
      <c r="M7" s="56"/>
      <c r="N7" s="56"/>
      <c r="O7" s="56"/>
      <c r="P7" s="57"/>
      <c r="Q7" s="58"/>
      <c r="R7" s="58"/>
      <c r="S7" s="12"/>
      <c r="T7" s="12"/>
      <c r="U7" s="12"/>
      <c r="V7" s="12"/>
      <c r="W7" s="12"/>
      <c r="X7" s="12"/>
      <c r="Y7" s="12"/>
      <c r="Z7" s="12"/>
    </row>
    <row r="8" spans="1:26" ht="231.75" customHeight="1">
      <c r="A8" s="1" t="s">
        <v>736</v>
      </c>
      <c r="B8" s="60" t="s">
        <v>17</v>
      </c>
      <c r="C8" s="898">
        <v>0.5</v>
      </c>
      <c r="D8" s="65">
        <v>1</v>
      </c>
      <c r="E8" s="65">
        <v>0</v>
      </c>
      <c r="F8" s="65">
        <v>1</v>
      </c>
      <c r="G8" s="897">
        <v>0.5</v>
      </c>
      <c r="H8" s="65">
        <v>0</v>
      </c>
      <c r="I8" s="53" t="s">
        <v>737</v>
      </c>
      <c r="J8" s="67" t="s">
        <v>738</v>
      </c>
      <c r="K8" s="68" t="s">
        <v>739</v>
      </c>
      <c r="L8" s="67" t="s">
        <v>740</v>
      </c>
      <c r="M8" s="67" t="s">
        <v>741</v>
      </c>
      <c r="N8" s="69" t="s">
        <v>742</v>
      </c>
      <c r="O8" s="67" t="s">
        <v>743</v>
      </c>
      <c r="P8" s="57"/>
      <c r="Q8" s="58"/>
      <c r="R8" s="58"/>
      <c r="S8" s="12"/>
      <c r="T8" s="12"/>
      <c r="U8" s="12"/>
      <c r="V8" s="12"/>
      <c r="W8" s="12"/>
      <c r="X8" s="12"/>
      <c r="Y8" s="12"/>
      <c r="Z8" s="12"/>
    </row>
    <row r="9" spans="1:26" ht="15" customHeight="1">
      <c r="A9" s="1"/>
      <c r="B9" s="4"/>
      <c r="C9" s="65"/>
      <c r="D9" s="65"/>
      <c r="E9" s="65"/>
      <c r="F9" s="65"/>
      <c r="G9" s="65"/>
      <c r="H9" s="65"/>
      <c r="I9" s="53"/>
      <c r="J9" s="67"/>
      <c r="K9" s="71"/>
      <c r="L9" s="67"/>
      <c r="M9" s="67"/>
      <c r="N9" s="58"/>
      <c r="O9" s="67"/>
      <c r="P9" s="57"/>
      <c r="Q9" s="58"/>
      <c r="R9" s="58"/>
      <c r="S9" s="12"/>
      <c r="T9" s="12"/>
      <c r="U9" s="12"/>
      <c r="V9" s="12"/>
      <c r="W9" s="12"/>
      <c r="X9" s="12"/>
      <c r="Y9" s="12"/>
      <c r="Z9" s="12"/>
    </row>
    <row r="10" spans="1:26" ht="47.25" customHeight="1">
      <c r="A10" s="1" t="s">
        <v>736</v>
      </c>
      <c r="B10" s="60" t="s">
        <v>19</v>
      </c>
      <c r="C10" s="898">
        <v>0.5</v>
      </c>
      <c r="D10" s="914">
        <v>0.5</v>
      </c>
      <c r="E10" s="898">
        <v>0</v>
      </c>
      <c r="F10" s="65">
        <v>1</v>
      </c>
      <c r="G10" s="65">
        <v>0</v>
      </c>
      <c r="H10" s="898">
        <v>0</v>
      </c>
      <c r="I10" s="53" t="s">
        <v>123</v>
      </c>
      <c r="J10" s="67" t="s">
        <v>744</v>
      </c>
      <c r="K10" s="68" t="s">
        <v>745</v>
      </c>
      <c r="L10" s="67" t="s">
        <v>746</v>
      </c>
      <c r="M10" s="67" t="s">
        <v>747</v>
      </c>
      <c r="N10" s="67" t="s">
        <v>748</v>
      </c>
      <c r="O10" s="67" t="s">
        <v>749</v>
      </c>
      <c r="P10" s="57"/>
      <c r="Q10" s="58"/>
      <c r="R10" s="58"/>
      <c r="S10" s="12"/>
      <c r="T10" s="12"/>
      <c r="U10" s="12"/>
      <c r="V10" s="12"/>
      <c r="W10" s="12"/>
      <c r="X10" s="12"/>
      <c r="Y10" s="12"/>
      <c r="Z10" s="12"/>
    </row>
    <row r="11" spans="1:26" ht="15" customHeight="1">
      <c r="A11" s="1"/>
      <c r="B11" s="4"/>
      <c r="C11" s="65"/>
      <c r="D11" s="65"/>
      <c r="E11" s="65"/>
      <c r="F11" s="65"/>
      <c r="G11" s="65"/>
      <c r="H11" s="65"/>
      <c r="I11" s="53"/>
      <c r="J11" s="67"/>
      <c r="K11" s="67"/>
      <c r="L11" s="67"/>
      <c r="M11" s="67"/>
      <c r="N11" s="67"/>
      <c r="O11" s="67"/>
      <c r="P11" s="57"/>
      <c r="Q11" s="58"/>
      <c r="R11" s="58"/>
      <c r="S11" s="12"/>
      <c r="T11" s="12"/>
      <c r="U11" s="12"/>
      <c r="V11" s="12"/>
      <c r="W11" s="12"/>
      <c r="X11" s="12"/>
      <c r="Y11" s="12"/>
      <c r="Z11" s="12"/>
    </row>
    <row r="12" spans="1:26" ht="102" customHeight="1">
      <c r="A12" s="1" t="s">
        <v>736</v>
      </c>
      <c r="B12" s="60" t="s">
        <v>750</v>
      </c>
      <c r="C12" s="898">
        <v>0</v>
      </c>
      <c r="D12" s="898">
        <v>0.5</v>
      </c>
      <c r="E12" s="65">
        <v>0</v>
      </c>
      <c r="F12" s="65">
        <v>0.5</v>
      </c>
      <c r="G12" s="65">
        <v>0</v>
      </c>
      <c r="H12" s="65">
        <v>0</v>
      </c>
      <c r="I12" s="53" t="s">
        <v>751</v>
      </c>
      <c r="J12" s="67" t="s">
        <v>752</v>
      </c>
      <c r="K12" s="71" t="s">
        <v>753</v>
      </c>
      <c r="L12" s="67" t="s">
        <v>748</v>
      </c>
      <c r="M12" s="67" t="s">
        <v>754</v>
      </c>
      <c r="N12" s="67" t="s">
        <v>755</v>
      </c>
      <c r="O12" s="67" t="s">
        <v>756</v>
      </c>
      <c r="P12" s="57"/>
      <c r="Q12" s="58"/>
      <c r="R12" s="58"/>
      <c r="S12" s="12"/>
      <c r="T12" s="12"/>
      <c r="U12" s="12"/>
      <c r="V12" s="12"/>
      <c r="W12" s="12"/>
      <c r="X12" s="12"/>
      <c r="Y12" s="12"/>
      <c r="Z12" s="12"/>
    </row>
    <row r="13" spans="1:26" ht="15.75" hidden="1" customHeight="1">
      <c r="A13" s="1"/>
      <c r="B13" s="4"/>
      <c r="C13" s="65"/>
      <c r="D13" s="65"/>
      <c r="E13" s="65"/>
      <c r="F13" s="65"/>
      <c r="G13" s="65"/>
      <c r="H13" s="65"/>
      <c r="I13" s="53"/>
      <c r="J13" s="67"/>
      <c r="K13" s="71"/>
      <c r="L13" s="67"/>
      <c r="M13" s="67"/>
      <c r="N13" s="67"/>
      <c r="O13" s="67"/>
      <c r="P13" s="57"/>
      <c r="Q13" s="58"/>
      <c r="R13" s="58"/>
      <c r="S13" s="12"/>
      <c r="T13" s="12"/>
      <c r="U13" s="12"/>
      <c r="V13" s="12"/>
      <c r="W13" s="12"/>
      <c r="X13" s="12"/>
      <c r="Y13" s="12"/>
      <c r="Z13" s="12"/>
    </row>
    <row r="14" spans="1:26" ht="27.75" customHeight="1">
      <c r="A14" s="13" t="s">
        <v>23</v>
      </c>
      <c r="B14" s="50" t="s">
        <v>24</v>
      </c>
      <c r="C14" s="51">
        <f t="shared" ref="C14:H14" si="4">AVERAGE(C15,C17,C19)</f>
        <v>0.16666666666666666</v>
      </c>
      <c r="D14" s="51">
        <f t="shared" si="4"/>
        <v>0.83333333333333337</v>
      </c>
      <c r="E14" s="51">
        <f t="shared" si="4"/>
        <v>0.16666666666666666</v>
      </c>
      <c r="F14" s="51">
        <f t="shared" si="4"/>
        <v>0.66666666666666663</v>
      </c>
      <c r="G14" s="51">
        <f t="shared" si="4"/>
        <v>0.33333333333333331</v>
      </c>
      <c r="H14" s="51">
        <f t="shared" si="4"/>
        <v>0</v>
      </c>
      <c r="I14" s="53"/>
      <c r="J14" s="78"/>
      <c r="K14" s="78"/>
      <c r="L14" s="56"/>
      <c r="M14" s="56"/>
      <c r="N14" s="56"/>
      <c r="O14" s="78"/>
      <c r="P14" s="57"/>
      <c r="Q14" s="58"/>
      <c r="R14" s="58"/>
      <c r="S14" s="12"/>
      <c r="T14" s="12"/>
      <c r="U14" s="12"/>
      <c r="V14" s="12"/>
      <c r="W14" s="12"/>
      <c r="X14" s="12"/>
      <c r="Y14" s="12"/>
      <c r="Z14" s="12"/>
    </row>
    <row r="15" spans="1:26" ht="92.25" customHeight="1">
      <c r="A15" s="1" t="s">
        <v>736</v>
      </c>
      <c r="B15" s="60" t="s">
        <v>25</v>
      </c>
      <c r="C15" s="898">
        <v>0.5</v>
      </c>
      <c r="D15" s="65">
        <v>1</v>
      </c>
      <c r="E15" s="897">
        <v>0</v>
      </c>
      <c r="F15" s="898">
        <v>1</v>
      </c>
      <c r="G15" s="65">
        <v>0.5</v>
      </c>
      <c r="H15" s="65">
        <v>0</v>
      </c>
      <c r="I15" s="53" t="s">
        <v>757</v>
      </c>
      <c r="J15" s="67" t="s">
        <v>758</v>
      </c>
      <c r="K15" s="71" t="s">
        <v>759</v>
      </c>
      <c r="L15" s="67" t="s">
        <v>760</v>
      </c>
      <c r="M15" s="67" t="s">
        <v>761</v>
      </c>
      <c r="N15" s="67" t="s">
        <v>762</v>
      </c>
      <c r="O15" s="67" t="s">
        <v>763</v>
      </c>
      <c r="P15" s="57"/>
      <c r="Q15" s="58"/>
      <c r="R15" s="58"/>
      <c r="S15" s="12"/>
      <c r="T15" s="12"/>
      <c r="U15" s="12"/>
      <c r="V15" s="12"/>
      <c r="W15" s="12"/>
      <c r="X15" s="12"/>
      <c r="Y15" s="12"/>
      <c r="Z15" s="12"/>
    </row>
    <row r="16" spans="1:26" ht="38.25" customHeight="1">
      <c r="A16" s="1"/>
      <c r="B16" s="4"/>
      <c r="C16" s="65"/>
      <c r="D16" s="65"/>
      <c r="E16" s="65"/>
      <c r="F16" s="65"/>
      <c r="G16" s="65"/>
      <c r="H16" s="65"/>
      <c r="I16" s="53"/>
      <c r="J16" s="67"/>
      <c r="K16" s="71"/>
      <c r="L16" s="67"/>
      <c r="M16" s="67"/>
      <c r="N16" s="67"/>
      <c r="O16" s="67"/>
      <c r="P16" s="57"/>
      <c r="Q16" s="58"/>
      <c r="R16" s="58"/>
      <c r="S16" s="12"/>
      <c r="T16" s="12"/>
      <c r="U16" s="12"/>
      <c r="V16" s="12"/>
      <c r="W16" s="12"/>
      <c r="X16" s="12"/>
      <c r="Y16" s="12"/>
      <c r="Z16" s="12"/>
    </row>
    <row r="17" spans="1:26" ht="172.5" customHeight="1">
      <c r="A17" s="1" t="s">
        <v>736</v>
      </c>
      <c r="B17" s="4" t="s">
        <v>27</v>
      </c>
      <c r="C17" s="897">
        <v>0</v>
      </c>
      <c r="D17" s="899">
        <v>1</v>
      </c>
      <c r="E17" s="899">
        <v>0.5</v>
      </c>
      <c r="F17" s="897">
        <v>1</v>
      </c>
      <c r="G17" s="897">
        <v>0</v>
      </c>
      <c r="H17" s="899">
        <v>0</v>
      </c>
      <c r="I17" s="53" t="s">
        <v>764</v>
      </c>
      <c r="J17" s="67" t="s">
        <v>765</v>
      </c>
      <c r="K17" s="71" t="s">
        <v>766</v>
      </c>
      <c r="L17" s="67" t="s">
        <v>767</v>
      </c>
      <c r="M17" s="69" t="s">
        <v>768</v>
      </c>
      <c r="N17" s="67" t="s">
        <v>769</v>
      </c>
      <c r="O17" s="67" t="s">
        <v>770</v>
      </c>
      <c r="P17" s="57"/>
      <c r="Q17" s="58"/>
      <c r="R17" s="58"/>
      <c r="S17" s="12"/>
      <c r="T17" s="12"/>
      <c r="U17" s="12"/>
      <c r="V17" s="12"/>
      <c r="W17" s="12"/>
      <c r="X17" s="12"/>
      <c r="Y17" s="12"/>
      <c r="Z17" s="12"/>
    </row>
    <row r="18" spans="1:26" ht="21" customHeight="1">
      <c r="A18" s="1"/>
      <c r="B18" s="4"/>
      <c r="C18" s="898"/>
      <c r="D18" s="65"/>
      <c r="E18" s="65"/>
      <c r="F18" s="65"/>
      <c r="G18" s="65"/>
      <c r="H18" s="65"/>
      <c r="I18" s="53"/>
      <c r="J18" s="67"/>
      <c r="K18" s="71"/>
      <c r="L18" s="67"/>
      <c r="M18" s="67"/>
      <c r="N18" s="67"/>
      <c r="O18" s="67"/>
      <c r="P18" s="57"/>
      <c r="Q18" s="58"/>
      <c r="R18" s="58"/>
      <c r="S18" s="12"/>
      <c r="T18" s="12"/>
      <c r="U18" s="12"/>
      <c r="V18" s="12"/>
      <c r="W18" s="12"/>
      <c r="X18" s="12"/>
      <c r="Y18" s="12"/>
      <c r="Z18" s="12"/>
    </row>
    <row r="19" spans="1:26" ht="120" customHeight="1">
      <c r="A19" s="1" t="s">
        <v>736</v>
      </c>
      <c r="B19" s="60" t="s">
        <v>29</v>
      </c>
      <c r="C19" s="65">
        <v>0</v>
      </c>
      <c r="D19" s="65">
        <v>0.5</v>
      </c>
      <c r="E19" s="65">
        <v>0</v>
      </c>
      <c r="F19" s="65">
        <v>0</v>
      </c>
      <c r="G19" s="65">
        <v>0.5</v>
      </c>
      <c r="H19" s="65">
        <v>0</v>
      </c>
      <c r="I19" s="53" t="s">
        <v>771</v>
      </c>
      <c r="J19" s="67" t="s">
        <v>772</v>
      </c>
      <c r="K19" s="67" t="s">
        <v>773</v>
      </c>
      <c r="L19" s="67" t="s">
        <v>774</v>
      </c>
      <c r="M19" s="67" t="s">
        <v>775</v>
      </c>
      <c r="N19" s="67" t="s">
        <v>776</v>
      </c>
      <c r="O19" s="67" t="s">
        <v>748</v>
      </c>
      <c r="P19" s="57"/>
      <c r="Q19" s="58"/>
      <c r="R19" s="58"/>
      <c r="S19" s="12"/>
      <c r="T19" s="12"/>
      <c r="U19" s="12"/>
      <c r="V19" s="12"/>
      <c r="W19" s="12"/>
      <c r="X19" s="12"/>
      <c r="Y19" s="12"/>
      <c r="Z19" s="12"/>
    </row>
    <row r="20" spans="1:26" ht="17.25" customHeight="1">
      <c r="A20" s="1"/>
      <c r="B20" s="4"/>
      <c r="C20" s="65"/>
      <c r="D20" s="65"/>
      <c r="E20" s="65"/>
      <c r="F20" s="65"/>
      <c r="G20" s="898"/>
      <c r="H20" s="65"/>
      <c r="I20" s="53"/>
      <c r="J20" s="67"/>
      <c r="K20" s="67"/>
      <c r="L20" s="67"/>
      <c r="M20" s="67"/>
      <c r="N20" s="67"/>
      <c r="O20" s="67"/>
      <c r="P20" s="57"/>
      <c r="Q20" s="58"/>
      <c r="R20" s="58"/>
      <c r="S20" s="12"/>
      <c r="T20" s="12"/>
      <c r="U20" s="12"/>
      <c r="V20" s="12"/>
      <c r="W20" s="12"/>
      <c r="X20" s="12"/>
      <c r="Y20" s="12"/>
      <c r="Z20" s="12"/>
    </row>
    <row r="21" spans="1:26" ht="13.5" customHeight="1">
      <c r="A21" s="13" t="s">
        <v>31</v>
      </c>
      <c r="B21" s="50" t="s">
        <v>32</v>
      </c>
      <c r="C21" s="51">
        <f t="shared" ref="C21:H21" si="5">AVERAGE(C22,C24,C26,C28,C30,C32,C34,C36,C38,C40,C42,C44,C46,C48,C50)</f>
        <v>0.8</v>
      </c>
      <c r="D21" s="51">
        <f t="shared" si="5"/>
        <v>0.9</v>
      </c>
      <c r="E21" s="51">
        <f t="shared" si="5"/>
        <v>0.2</v>
      </c>
      <c r="F21" s="51">
        <f t="shared" si="5"/>
        <v>0.96666666666666667</v>
      </c>
      <c r="G21" s="51">
        <f t="shared" si="5"/>
        <v>0.5</v>
      </c>
      <c r="H21" s="51">
        <f t="shared" si="5"/>
        <v>0.1</v>
      </c>
      <c r="I21" s="53"/>
      <c r="J21" s="78"/>
      <c r="K21" s="78"/>
      <c r="L21" s="56"/>
      <c r="M21" s="56"/>
      <c r="N21" s="56"/>
      <c r="O21" s="78"/>
      <c r="P21" s="57"/>
      <c r="Q21" s="82"/>
      <c r="R21" s="82"/>
      <c r="S21" s="20"/>
      <c r="T21" s="20"/>
      <c r="U21" s="20"/>
      <c r="V21" s="20"/>
      <c r="W21" s="20"/>
      <c r="X21" s="20"/>
      <c r="Y21" s="20"/>
      <c r="Z21" s="20"/>
    </row>
    <row r="22" spans="1:26" ht="105.75" customHeight="1">
      <c r="A22" s="1" t="s">
        <v>736</v>
      </c>
      <c r="B22" s="60" t="s">
        <v>33</v>
      </c>
      <c r="C22" s="899">
        <v>0.5</v>
      </c>
      <c r="D22" s="897">
        <v>0.5</v>
      </c>
      <c r="E22" s="899">
        <v>0</v>
      </c>
      <c r="F22" s="899">
        <v>1</v>
      </c>
      <c r="G22" s="897">
        <v>0.5</v>
      </c>
      <c r="H22" s="897">
        <v>0.5</v>
      </c>
      <c r="I22" s="53" t="s">
        <v>777</v>
      </c>
      <c r="J22" s="67" t="s">
        <v>778</v>
      </c>
      <c r="K22" s="67" t="s">
        <v>779</v>
      </c>
      <c r="L22" s="67" t="s">
        <v>780</v>
      </c>
      <c r="M22" s="67" t="s">
        <v>781</v>
      </c>
      <c r="N22" s="67" t="s">
        <v>782</v>
      </c>
      <c r="O22" s="67" t="s">
        <v>783</v>
      </c>
      <c r="P22" s="57"/>
      <c r="Q22" s="58"/>
      <c r="R22" s="58"/>
      <c r="S22" s="12"/>
      <c r="T22" s="12"/>
      <c r="U22" s="12"/>
      <c r="V22" s="12"/>
      <c r="W22" s="12"/>
      <c r="X22" s="12"/>
      <c r="Y22" s="12"/>
      <c r="Z22" s="12"/>
    </row>
    <row r="23" spans="1:26" ht="18.75" customHeight="1">
      <c r="A23" s="1"/>
      <c r="B23" s="4"/>
      <c r="C23" s="65"/>
      <c r="D23" s="65"/>
      <c r="E23" s="65"/>
      <c r="F23" s="65"/>
      <c r="G23" s="65"/>
      <c r="H23" s="65"/>
      <c r="I23" s="53"/>
      <c r="J23" s="67"/>
      <c r="K23" s="67"/>
      <c r="L23" s="67"/>
      <c r="M23" s="67"/>
      <c r="N23" s="67"/>
      <c r="O23" s="67"/>
      <c r="P23" s="57"/>
      <c r="Q23" s="58"/>
      <c r="R23" s="58"/>
      <c r="S23" s="12"/>
      <c r="T23" s="12"/>
      <c r="U23" s="12"/>
      <c r="V23" s="12"/>
      <c r="W23" s="12"/>
      <c r="X23" s="12"/>
      <c r="Y23" s="12"/>
      <c r="Z23" s="12"/>
    </row>
    <row r="24" spans="1:26" ht="99.75" customHeight="1">
      <c r="A24" s="1" t="s">
        <v>736</v>
      </c>
      <c r="B24" s="4" t="s">
        <v>35</v>
      </c>
      <c r="C24" s="899">
        <v>0.5</v>
      </c>
      <c r="D24" s="899">
        <v>1</v>
      </c>
      <c r="E24" s="899">
        <v>0</v>
      </c>
      <c r="F24" s="899">
        <v>0.5</v>
      </c>
      <c r="G24" s="897">
        <v>0.5</v>
      </c>
      <c r="H24" s="899">
        <v>0</v>
      </c>
      <c r="I24" s="53" t="s">
        <v>784</v>
      </c>
      <c r="J24" s="67" t="s">
        <v>785</v>
      </c>
      <c r="K24" s="71" t="s">
        <v>786</v>
      </c>
      <c r="L24" s="69" t="s">
        <v>787</v>
      </c>
      <c r="M24" s="67" t="s">
        <v>788</v>
      </c>
      <c r="N24" s="67" t="s">
        <v>789</v>
      </c>
      <c r="O24" s="67" t="s">
        <v>790</v>
      </c>
      <c r="P24" s="57"/>
      <c r="Q24" s="58"/>
      <c r="R24" s="58"/>
      <c r="S24" s="12"/>
      <c r="T24" s="12"/>
      <c r="U24" s="12"/>
      <c r="V24" s="12"/>
      <c r="W24" s="12"/>
      <c r="X24" s="12"/>
      <c r="Y24" s="12"/>
      <c r="Z24" s="12"/>
    </row>
    <row r="25" spans="1:26" ht="26.25" customHeight="1">
      <c r="A25" s="1"/>
      <c r="B25" s="4"/>
      <c r="C25" s="65"/>
      <c r="D25" s="65"/>
      <c r="E25" s="65"/>
      <c r="F25" s="65"/>
      <c r="G25" s="65"/>
      <c r="H25" s="65"/>
      <c r="I25" s="53"/>
      <c r="J25" s="67"/>
      <c r="K25" s="71"/>
      <c r="L25" s="67"/>
      <c r="M25" s="67"/>
      <c r="N25" s="67"/>
      <c r="O25" s="67"/>
      <c r="P25" s="57"/>
      <c r="Q25" s="58"/>
      <c r="R25" s="58"/>
      <c r="S25" s="12"/>
      <c r="T25" s="12"/>
      <c r="U25" s="12"/>
      <c r="V25" s="12"/>
      <c r="W25" s="12"/>
      <c r="X25" s="12"/>
      <c r="Y25" s="12"/>
      <c r="Z25" s="12"/>
    </row>
    <row r="26" spans="1:26" ht="119.25" customHeight="1">
      <c r="A26" s="1" t="s">
        <v>736</v>
      </c>
      <c r="B26" s="4" t="s">
        <v>37</v>
      </c>
      <c r="C26" s="899">
        <v>1</v>
      </c>
      <c r="D26" s="899">
        <v>1</v>
      </c>
      <c r="E26" s="899">
        <v>0</v>
      </c>
      <c r="F26" s="897">
        <v>1</v>
      </c>
      <c r="G26" s="897">
        <v>1</v>
      </c>
      <c r="H26" s="899">
        <v>0</v>
      </c>
      <c r="I26" s="53" t="s">
        <v>38</v>
      </c>
      <c r="J26" s="67" t="s">
        <v>791</v>
      </c>
      <c r="K26" s="67" t="s">
        <v>792</v>
      </c>
      <c r="L26" s="85" t="s">
        <v>793</v>
      </c>
      <c r="M26" s="67" t="s">
        <v>794</v>
      </c>
      <c r="N26" s="67" t="s">
        <v>795</v>
      </c>
      <c r="O26" s="67" t="s">
        <v>796</v>
      </c>
      <c r="P26" s="57"/>
      <c r="Q26" s="58"/>
      <c r="R26" s="58"/>
      <c r="S26" s="12"/>
      <c r="T26" s="12"/>
      <c r="U26" s="12"/>
      <c r="V26" s="12"/>
      <c r="W26" s="12"/>
      <c r="X26" s="12"/>
      <c r="Y26" s="12"/>
      <c r="Z26" s="12"/>
    </row>
    <row r="27" spans="1:26" ht="15" customHeight="1">
      <c r="A27" s="1"/>
      <c r="B27" s="4"/>
      <c r="C27" s="65"/>
      <c r="D27" s="65"/>
      <c r="E27" s="65"/>
      <c r="F27" s="65"/>
      <c r="G27" s="65"/>
      <c r="H27" s="65"/>
      <c r="I27" s="53"/>
      <c r="J27" s="67"/>
      <c r="K27" s="67"/>
      <c r="L27" s="67"/>
      <c r="M27" s="67"/>
      <c r="N27" s="67"/>
      <c r="O27" s="67"/>
      <c r="P27" s="57"/>
      <c r="Q27" s="58"/>
      <c r="R27" s="58"/>
      <c r="S27" s="12"/>
      <c r="T27" s="12"/>
      <c r="U27" s="12"/>
      <c r="V27" s="12"/>
      <c r="W27" s="12"/>
      <c r="X27" s="12"/>
      <c r="Y27" s="12"/>
      <c r="Z27" s="12"/>
    </row>
    <row r="28" spans="1:26" ht="108.75" customHeight="1">
      <c r="A28" s="1" t="s">
        <v>736</v>
      </c>
      <c r="B28" s="4" t="s">
        <v>39</v>
      </c>
      <c r="C28" s="899">
        <v>1</v>
      </c>
      <c r="D28" s="899">
        <v>1</v>
      </c>
      <c r="E28" s="915">
        <v>0</v>
      </c>
      <c r="F28" s="899">
        <v>1</v>
      </c>
      <c r="G28" s="899">
        <v>0.5</v>
      </c>
      <c r="H28" s="899">
        <v>0</v>
      </c>
      <c r="I28" s="53" t="s">
        <v>797</v>
      </c>
      <c r="J28" s="67" t="s">
        <v>798</v>
      </c>
      <c r="K28" s="67" t="s">
        <v>799</v>
      </c>
      <c r="L28" s="67" t="s">
        <v>793</v>
      </c>
      <c r="M28" s="67" t="s">
        <v>800</v>
      </c>
      <c r="N28" s="67" t="s">
        <v>801</v>
      </c>
      <c r="O28" s="67" t="s">
        <v>802</v>
      </c>
      <c r="P28" s="57"/>
      <c r="Q28" s="58"/>
      <c r="R28" s="58"/>
      <c r="S28" s="12"/>
      <c r="T28" s="12"/>
      <c r="U28" s="12"/>
      <c r="V28" s="12"/>
      <c r="W28" s="12"/>
      <c r="X28" s="12"/>
      <c r="Y28" s="12"/>
      <c r="Z28" s="12"/>
    </row>
    <row r="29" spans="1:26" ht="21.75" customHeight="1">
      <c r="A29" s="1"/>
      <c r="B29" s="4"/>
      <c r="C29" s="65"/>
      <c r="D29" s="65"/>
      <c r="E29" s="65"/>
      <c r="F29" s="65"/>
      <c r="G29" s="65"/>
      <c r="H29" s="65"/>
      <c r="I29" s="53"/>
      <c r="J29" s="67"/>
      <c r="K29" s="67"/>
      <c r="L29" s="67"/>
      <c r="M29" s="67"/>
      <c r="N29" s="67"/>
      <c r="O29" s="67"/>
      <c r="P29" s="57"/>
      <c r="Q29" s="58"/>
      <c r="R29" s="58"/>
      <c r="S29" s="12"/>
      <c r="T29" s="12"/>
      <c r="U29" s="12"/>
      <c r="V29" s="12"/>
      <c r="W29" s="12"/>
      <c r="X29" s="12"/>
      <c r="Y29" s="12"/>
      <c r="Z29" s="12"/>
    </row>
    <row r="30" spans="1:26" ht="112.5" customHeight="1">
      <c r="A30" s="1" t="s">
        <v>736</v>
      </c>
      <c r="B30" s="4" t="s">
        <v>41</v>
      </c>
      <c r="C30" s="899">
        <v>0</v>
      </c>
      <c r="D30" s="899">
        <v>1</v>
      </c>
      <c r="E30" s="899">
        <v>0</v>
      </c>
      <c r="F30" s="915">
        <v>1</v>
      </c>
      <c r="G30" s="899">
        <v>0</v>
      </c>
      <c r="H30" s="899">
        <v>0</v>
      </c>
      <c r="I30" s="53" t="s">
        <v>38</v>
      </c>
      <c r="J30" s="67" t="s">
        <v>803</v>
      </c>
      <c r="K30" s="67" t="s">
        <v>804</v>
      </c>
      <c r="L30" s="67" t="s">
        <v>805</v>
      </c>
      <c r="M30" s="67" t="s">
        <v>806</v>
      </c>
      <c r="N30" s="67" t="s">
        <v>807</v>
      </c>
      <c r="O30" s="67" t="s">
        <v>808</v>
      </c>
      <c r="P30" s="57"/>
      <c r="Q30" s="58"/>
      <c r="R30" s="58"/>
      <c r="S30" s="12"/>
      <c r="T30" s="12"/>
      <c r="U30" s="12"/>
      <c r="V30" s="12"/>
      <c r="W30" s="12"/>
      <c r="X30" s="12"/>
      <c r="Y30" s="12"/>
      <c r="Z30" s="12"/>
    </row>
    <row r="31" spans="1:26" ht="20.25" customHeight="1">
      <c r="A31" s="1"/>
      <c r="B31" s="4"/>
      <c r="C31" s="65"/>
      <c r="D31" s="65"/>
      <c r="E31" s="65"/>
      <c r="F31" s="65"/>
      <c r="G31" s="65"/>
      <c r="H31" s="65"/>
      <c r="I31" s="53"/>
      <c r="J31" s="67"/>
      <c r="K31" s="67"/>
      <c r="L31" s="67"/>
      <c r="M31" s="67"/>
      <c r="N31" s="67"/>
      <c r="O31" s="67"/>
      <c r="P31" s="57"/>
      <c r="Q31" s="58"/>
      <c r="R31" s="58"/>
      <c r="S31" s="12"/>
      <c r="T31" s="12"/>
      <c r="U31" s="12"/>
      <c r="V31" s="12"/>
      <c r="W31" s="12"/>
      <c r="X31" s="12"/>
      <c r="Y31" s="12"/>
      <c r="Z31" s="12"/>
    </row>
    <row r="32" spans="1:26" ht="109.5" customHeight="1">
      <c r="A32" s="1" t="s">
        <v>736</v>
      </c>
      <c r="B32" s="4" t="s">
        <v>43</v>
      </c>
      <c r="C32" s="65">
        <v>1</v>
      </c>
      <c r="D32" s="65">
        <v>1</v>
      </c>
      <c r="E32" s="65">
        <v>1</v>
      </c>
      <c r="F32" s="65">
        <v>1</v>
      </c>
      <c r="G32" s="65">
        <v>1</v>
      </c>
      <c r="H32" s="898">
        <v>0.5</v>
      </c>
      <c r="I32" s="53" t="s">
        <v>38</v>
      </c>
      <c r="J32" s="67" t="s">
        <v>809</v>
      </c>
      <c r="K32" s="71" t="s">
        <v>810</v>
      </c>
      <c r="L32" s="67" t="s">
        <v>811</v>
      </c>
      <c r="M32" s="67" t="s">
        <v>812</v>
      </c>
      <c r="N32" s="67" t="s">
        <v>813</v>
      </c>
      <c r="O32" s="67" t="s">
        <v>814</v>
      </c>
      <c r="P32" s="57"/>
      <c r="Q32" s="58"/>
      <c r="R32" s="58"/>
      <c r="S32" s="12"/>
      <c r="T32" s="12"/>
      <c r="U32" s="12"/>
      <c r="V32" s="12"/>
      <c r="W32" s="12"/>
      <c r="X32" s="12"/>
      <c r="Y32" s="12"/>
      <c r="Z32" s="12"/>
    </row>
    <row r="33" spans="1:26" ht="18.75" customHeight="1">
      <c r="A33" s="1"/>
      <c r="B33" s="4"/>
      <c r="C33" s="65"/>
      <c r="D33" s="65"/>
      <c r="E33" s="65"/>
      <c r="F33" s="65"/>
      <c r="G33" s="65"/>
      <c r="H33" s="65"/>
      <c r="I33" s="53"/>
      <c r="J33" s="67"/>
      <c r="K33" s="71"/>
      <c r="L33" s="67"/>
      <c r="M33" s="67"/>
      <c r="N33" s="67"/>
      <c r="O33" s="67"/>
      <c r="P33" s="57"/>
      <c r="Q33" s="58"/>
      <c r="R33" s="58"/>
      <c r="S33" s="12"/>
      <c r="T33" s="12"/>
      <c r="U33" s="12"/>
      <c r="V33" s="12"/>
      <c r="W33" s="12"/>
      <c r="X33" s="12"/>
      <c r="Y33" s="12"/>
      <c r="Z33" s="12"/>
    </row>
    <row r="34" spans="1:26" ht="192" customHeight="1">
      <c r="A34" s="1" t="s">
        <v>736</v>
      </c>
      <c r="B34" s="4" t="s">
        <v>44</v>
      </c>
      <c r="C34" s="899">
        <v>0.5</v>
      </c>
      <c r="D34" s="899">
        <v>0.5</v>
      </c>
      <c r="E34" s="915">
        <v>0.5</v>
      </c>
      <c r="F34" s="915">
        <v>1</v>
      </c>
      <c r="G34" s="899">
        <v>0.5</v>
      </c>
      <c r="H34" s="899">
        <v>0</v>
      </c>
      <c r="I34" s="53" t="s">
        <v>815</v>
      </c>
      <c r="J34" s="67" t="s">
        <v>816</v>
      </c>
      <c r="K34" s="71" t="s">
        <v>817</v>
      </c>
      <c r="L34" s="67" t="s">
        <v>818</v>
      </c>
      <c r="M34" s="67" t="s">
        <v>819</v>
      </c>
      <c r="N34" s="67" t="s">
        <v>820</v>
      </c>
      <c r="O34" s="67" t="s">
        <v>821</v>
      </c>
      <c r="P34" s="57"/>
      <c r="Q34" s="58"/>
      <c r="R34" s="58"/>
      <c r="S34" s="12"/>
      <c r="T34" s="12"/>
      <c r="U34" s="12"/>
      <c r="V34" s="12"/>
      <c r="W34" s="12"/>
      <c r="X34" s="12"/>
      <c r="Y34" s="12"/>
      <c r="Z34" s="12"/>
    </row>
    <row r="35" spans="1:26" ht="24.75" customHeight="1">
      <c r="A35" s="1"/>
      <c r="B35" s="4"/>
      <c r="C35" s="65"/>
      <c r="D35" s="65"/>
      <c r="E35" s="65"/>
      <c r="F35" s="65"/>
      <c r="G35" s="65"/>
      <c r="H35" s="65"/>
      <c r="I35" s="53"/>
      <c r="J35" s="67"/>
      <c r="K35" s="71"/>
      <c r="L35" s="67"/>
      <c r="M35" s="67"/>
      <c r="N35" s="67"/>
      <c r="O35" s="67"/>
      <c r="P35" s="57"/>
      <c r="Q35" s="58"/>
      <c r="R35" s="58"/>
      <c r="S35" s="12"/>
      <c r="T35" s="12"/>
      <c r="U35" s="12"/>
      <c r="V35" s="12"/>
      <c r="W35" s="12"/>
      <c r="X35" s="12"/>
      <c r="Y35" s="12"/>
      <c r="Z35" s="12"/>
    </row>
    <row r="36" spans="1:26" ht="144.75" customHeight="1">
      <c r="A36" s="1" t="s">
        <v>736</v>
      </c>
      <c r="B36" s="4" t="s">
        <v>46</v>
      </c>
      <c r="C36" s="899">
        <v>1</v>
      </c>
      <c r="D36" s="899">
        <v>1</v>
      </c>
      <c r="E36" s="899">
        <v>0</v>
      </c>
      <c r="F36" s="915">
        <v>1</v>
      </c>
      <c r="G36" s="899">
        <v>0.5</v>
      </c>
      <c r="H36" s="899">
        <v>0</v>
      </c>
      <c r="I36" s="53" t="s">
        <v>822</v>
      </c>
      <c r="J36" s="67" t="s">
        <v>823</v>
      </c>
      <c r="K36" s="71" t="s">
        <v>824</v>
      </c>
      <c r="L36" s="67" t="s">
        <v>748</v>
      </c>
      <c r="M36" s="67" t="s">
        <v>825</v>
      </c>
      <c r="N36" s="67" t="s">
        <v>826</v>
      </c>
      <c r="O36" s="67" t="s">
        <v>827</v>
      </c>
      <c r="P36" s="57"/>
      <c r="Q36" s="58"/>
      <c r="R36" s="58"/>
      <c r="S36" s="12"/>
      <c r="T36" s="12"/>
      <c r="U36" s="12"/>
      <c r="V36" s="12"/>
      <c r="W36" s="12"/>
      <c r="X36" s="12"/>
      <c r="Y36" s="12"/>
      <c r="Z36" s="12"/>
    </row>
    <row r="37" spans="1:26" ht="17.25" customHeight="1">
      <c r="A37" s="1"/>
      <c r="B37" s="4"/>
      <c r="C37" s="65"/>
      <c r="D37" s="65"/>
      <c r="E37" s="65"/>
      <c r="F37" s="65"/>
      <c r="G37" s="65"/>
      <c r="H37" s="65"/>
      <c r="I37" s="53"/>
      <c r="J37" s="67"/>
      <c r="K37" s="71"/>
      <c r="L37" s="67"/>
      <c r="M37" s="67"/>
      <c r="N37" s="67"/>
      <c r="O37" s="67"/>
      <c r="P37" s="57"/>
      <c r="Q37" s="58"/>
      <c r="R37" s="58"/>
      <c r="S37" s="12"/>
      <c r="T37" s="12"/>
      <c r="U37" s="12"/>
      <c r="V37" s="12"/>
      <c r="W37" s="12"/>
      <c r="X37" s="12"/>
      <c r="Y37" s="12"/>
      <c r="Z37" s="12"/>
    </row>
    <row r="38" spans="1:26" ht="123.75" customHeight="1">
      <c r="A38" s="1" t="s">
        <v>736</v>
      </c>
      <c r="B38" s="4" t="s">
        <v>48</v>
      </c>
      <c r="C38" s="65">
        <v>0.5</v>
      </c>
      <c r="D38" s="65">
        <v>0.5</v>
      </c>
      <c r="E38" s="65">
        <v>0</v>
      </c>
      <c r="F38" s="898">
        <v>1</v>
      </c>
      <c r="G38" s="899">
        <v>0.5</v>
      </c>
      <c r="H38" s="898">
        <v>0</v>
      </c>
      <c r="I38" s="53" t="s">
        <v>828</v>
      </c>
      <c r="J38" s="67" t="s">
        <v>829</v>
      </c>
      <c r="K38" s="71" t="s">
        <v>830</v>
      </c>
      <c r="L38" s="67" t="s">
        <v>831</v>
      </c>
      <c r="M38" s="67" t="s">
        <v>832</v>
      </c>
      <c r="N38" s="67" t="s">
        <v>833</v>
      </c>
      <c r="O38" s="67" t="s">
        <v>834</v>
      </c>
      <c r="P38" s="57"/>
      <c r="Q38" s="58"/>
      <c r="R38" s="58"/>
      <c r="S38" s="12"/>
      <c r="T38" s="12"/>
      <c r="U38" s="12"/>
      <c r="V38" s="12"/>
      <c r="W38" s="12"/>
      <c r="X38" s="12"/>
      <c r="Y38" s="12"/>
      <c r="Z38" s="12"/>
    </row>
    <row r="39" spans="1:26" ht="18.75" customHeight="1">
      <c r="A39" s="1"/>
      <c r="B39" s="4"/>
      <c r="C39" s="65"/>
      <c r="D39" s="65"/>
      <c r="E39" s="65"/>
      <c r="F39" s="65"/>
      <c r="G39" s="65"/>
      <c r="H39" s="65"/>
      <c r="I39" s="53"/>
      <c r="J39" s="67"/>
      <c r="K39" s="71"/>
      <c r="L39" s="67"/>
      <c r="M39" s="67"/>
      <c r="N39" s="67"/>
      <c r="O39" s="67"/>
      <c r="P39" s="57"/>
      <c r="Q39" s="58"/>
      <c r="R39" s="58"/>
      <c r="S39" s="12"/>
      <c r="T39" s="12"/>
      <c r="U39" s="12"/>
      <c r="V39" s="12"/>
      <c r="W39" s="12"/>
      <c r="X39" s="12"/>
      <c r="Y39" s="12"/>
      <c r="Z39" s="12"/>
    </row>
    <row r="40" spans="1:26" ht="78" customHeight="1">
      <c r="A40" s="1" t="s">
        <v>736</v>
      </c>
      <c r="B40" s="4" t="s">
        <v>50</v>
      </c>
      <c r="C40" s="65">
        <v>1</v>
      </c>
      <c r="D40" s="65">
        <v>1</v>
      </c>
      <c r="E40" s="65">
        <v>0.5</v>
      </c>
      <c r="F40" s="65">
        <v>1</v>
      </c>
      <c r="G40" s="65">
        <v>0.5</v>
      </c>
      <c r="H40" s="898">
        <v>0</v>
      </c>
      <c r="I40" s="53" t="s">
        <v>835</v>
      </c>
      <c r="J40" s="67" t="s">
        <v>836</v>
      </c>
      <c r="K40" s="67" t="s">
        <v>837</v>
      </c>
      <c r="L40" s="67" t="s">
        <v>838</v>
      </c>
      <c r="M40" s="67" t="s">
        <v>839</v>
      </c>
      <c r="N40" s="67" t="s">
        <v>840</v>
      </c>
      <c r="O40" s="67" t="s">
        <v>841</v>
      </c>
      <c r="P40" s="57"/>
      <c r="Q40" s="58"/>
      <c r="R40" s="58"/>
      <c r="S40" s="12"/>
      <c r="T40" s="12"/>
      <c r="U40" s="12"/>
      <c r="V40" s="12"/>
      <c r="W40" s="12"/>
      <c r="X40" s="12"/>
      <c r="Y40" s="12"/>
      <c r="Z40" s="12"/>
    </row>
    <row r="41" spans="1:26" ht="35.25" customHeight="1">
      <c r="A41" s="1"/>
      <c r="B41" s="4"/>
      <c r="C41" s="65"/>
      <c r="D41" s="65"/>
      <c r="E41" s="65"/>
      <c r="F41" s="65"/>
      <c r="G41" s="65"/>
      <c r="H41" s="65"/>
      <c r="I41" s="53"/>
      <c r="J41" s="67"/>
      <c r="K41" s="67"/>
      <c r="L41" s="67"/>
      <c r="M41" s="67"/>
      <c r="N41" s="67"/>
      <c r="O41" s="67"/>
      <c r="P41" s="57"/>
      <c r="Q41" s="58"/>
      <c r="R41" s="58"/>
      <c r="S41" s="12"/>
      <c r="T41" s="12"/>
      <c r="U41" s="12"/>
      <c r="V41" s="12"/>
      <c r="W41" s="12"/>
      <c r="X41" s="12"/>
      <c r="Y41" s="12"/>
      <c r="Z41" s="12"/>
    </row>
    <row r="42" spans="1:26" ht="88.5" customHeight="1">
      <c r="A42" s="1" t="s">
        <v>736</v>
      </c>
      <c r="B42" s="4" t="s">
        <v>52</v>
      </c>
      <c r="C42" s="65">
        <v>1</v>
      </c>
      <c r="D42" s="65">
        <v>1</v>
      </c>
      <c r="E42" s="898">
        <v>0.5</v>
      </c>
      <c r="F42" s="898">
        <v>1</v>
      </c>
      <c r="G42" s="65">
        <v>0.5</v>
      </c>
      <c r="H42" s="898">
        <v>0</v>
      </c>
      <c r="I42" s="53" t="s">
        <v>53</v>
      </c>
      <c r="J42" s="67" t="s">
        <v>842</v>
      </c>
      <c r="K42" s="67" t="s">
        <v>843</v>
      </c>
      <c r="L42" s="67" t="s">
        <v>844</v>
      </c>
      <c r="M42" s="67" t="s">
        <v>845</v>
      </c>
      <c r="N42" s="67" t="s">
        <v>846</v>
      </c>
      <c r="O42" s="67" t="s">
        <v>847</v>
      </c>
      <c r="P42" s="57"/>
      <c r="Q42" s="58"/>
      <c r="R42" s="58"/>
      <c r="S42" s="12"/>
      <c r="T42" s="12"/>
      <c r="U42" s="12"/>
      <c r="V42" s="12"/>
      <c r="W42" s="12"/>
      <c r="X42" s="12"/>
      <c r="Y42" s="12"/>
      <c r="Z42" s="12"/>
    </row>
    <row r="43" spans="1:26" ht="26.25" customHeight="1">
      <c r="A43" s="1"/>
      <c r="B43" s="4"/>
      <c r="C43" s="65"/>
      <c r="D43" s="65"/>
      <c r="E43" s="65"/>
      <c r="F43" s="65"/>
      <c r="G43" s="65"/>
      <c r="H43" s="65"/>
      <c r="I43" s="53"/>
      <c r="J43" s="67"/>
      <c r="K43" s="67"/>
      <c r="L43" s="67"/>
      <c r="M43" s="67"/>
      <c r="N43" s="67"/>
      <c r="O43" s="67"/>
      <c r="P43" s="57"/>
      <c r="Q43" s="58"/>
      <c r="R43" s="58"/>
      <c r="S43" s="12"/>
      <c r="T43" s="12"/>
      <c r="U43" s="12"/>
      <c r="V43" s="12"/>
      <c r="W43" s="12"/>
      <c r="X43" s="12"/>
      <c r="Y43" s="12"/>
      <c r="Z43" s="12"/>
    </row>
    <row r="44" spans="1:26" ht="119.25" customHeight="1">
      <c r="A44" s="1" t="s">
        <v>736</v>
      </c>
      <c r="B44" s="4" t="s">
        <v>54</v>
      </c>
      <c r="C44" s="899">
        <v>1</v>
      </c>
      <c r="D44" s="65">
        <v>1</v>
      </c>
      <c r="E44" s="65">
        <v>0</v>
      </c>
      <c r="F44" s="65">
        <v>1</v>
      </c>
      <c r="G44" s="65">
        <v>0</v>
      </c>
      <c r="H44" s="898">
        <v>0</v>
      </c>
      <c r="I44" s="53" t="s">
        <v>848</v>
      </c>
      <c r="J44" s="67" t="s">
        <v>849</v>
      </c>
      <c r="K44" s="67" t="s">
        <v>850</v>
      </c>
      <c r="L44" s="67" t="s">
        <v>851</v>
      </c>
      <c r="M44" s="67" t="s">
        <v>852</v>
      </c>
      <c r="N44" s="67" t="s">
        <v>853</v>
      </c>
      <c r="O44" s="67" t="s">
        <v>854</v>
      </c>
      <c r="P44" s="57"/>
      <c r="Q44" s="58"/>
      <c r="R44" s="58"/>
      <c r="S44" s="12"/>
      <c r="T44" s="12"/>
      <c r="U44" s="12"/>
      <c r="V44" s="12"/>
      <c r="W44" s="12"/>
      <c r="X44" s="12"/>
      <c r="Y44" s="12"/>
      <c r="Z44" s="12"/>
    </row>
    <row r="45" spans="1:26" ht="32.25" customHeight="1">
      <c r="A45" s="1"/>
      <c r="B45" s="4"/>
      <c r="C45" s="65"/>
      <c r="D45" s="65"/>
      <c r="E45" s="65"/>
      <c r="F45" s="65"/>
      <c r="G45" s="65"/>
      <c r="H45" s="65"/>
      <c r="I45" s="53"/>
      <c r="J45" s="67"/>
      <c r="K45" s="67"/>
      <c r="L45" s="67"/>
      <c r="M45" s="67"/>
      <c r="N45" s="67"/>
      <c r="O45" s="67"/>
      <c r="P45" s="57"/>
      <c r="Q45" s="58"/>
      <c r="R45" s="58"/>
      <c r="S45" s="12"/>
      <c r="T45" s="12"/>
      <c r="U45" s="12"/>
      <c r="V45" s="12"/>
      <c r="W45" s="12"/>
      <c r="X45" s="12"/>
      <c r="Y45" s="12"/>
      <c r="Z45" s="12"/>
    </row>
    <row r="46" spans="1:26" ht="115.5" customHeight="1">
      <c r="A46" s="1" t="s">
        <v>736</v>
      </c>
      <c r="B46" s="4" t="s">
        <v>56</v>
      </c>
      <c r="C46" s="65">
        <v>1</v>
      </c>
      <c r="D46" s="65">
        <v>1</v>
      </c>
      <c r="E46" s="65">
        <v>0.5</v>
      </c>
      <c r="F46" s="65">
        <v>1</v>
      </c>
      <c r="G46" s="898">
        <v>1</v>
      </c>
      <c r="H46" s="898">
        <v>0.5</v>
      </c>
      <c r="I46" s="53" t="s">
        <v>855</v>
      </c>
      <c r="J46" s="67" t="s">
        <v>856</v>
      </c>
      <c r="K46" s="89" t="s">
        <v>857</v>
      </c>
      <c r="L46" s="67" t="s">
        <v>858</v>
      </c>
      <c r="M46" s="67" t="s">
        <v>859</v>
      </c>
      <c r="N46" s="67" t="s">
        <v>860</v>
      </c>
      <c r="O46" s="67" t="s">
        <v>861</v>
      </c>
      <c r="P46" s="57"/>
      <c r="Q46" s="58"/>
      <c r="R46" s="58"/>
      <c r="S46" s="12"/>
      <c r="T46" s="12"/>
      <c r="U46" s="12"/>
      <c r="V46" s="12"/>
      <c r="W46" s="12"/>
      <c r="X46" s="12"/>
      <c r="Y46" s="12"/>
      <c r="Z46" s="12"/>
    </row>
    <row r="47" spans="1:26" ht="21.75" customHeight="1">
      <c r="A47" s="1"/>
      <c r="B47" s="4"/>
      <c r="C47" s="65"/>
      <c r="D47" s="65"/>
      <c r="E47" s="65"/>
      <c r="F47" s="65"/>
      <c r="G47" s="65"/>
      <c r="H47" s="65"/>
      <c r="I47" s="53"/>
      <c r="J47" s="67"/>
      <c r="K47" s="67"/>
      <c r="L47" s="67"/>
      <c r="M47" s="67"/>
      <c r="N47" s="67"/>
      <c r="O47" s="67"/>
      <c r="P47" s="57"/>
      <c r="Q47" s="58"/>
      <c r="R47" s="58"/>
      <c r="S47" s="12"/>
      <c r="T47" s="12"/>
      <c r="U47" s="12"/>
      <c r="V47" s="12"/>
      <c r="W47" s="12"/>
      <c r="X47" s="12"/>
      <c r="Y47" s="12"/>
      <c r="Z47" s="12"/>
    </row>
    <row r="48" spans="1:26" ht="138.75" customHeight="1">
      <c r="A48" s="1" t="s">
        <v>736</v>
      </c>
      <c r="B48" s="4" t="s">
        <v>58</v>
      </c>
      <c r="C48" s="899">
        <v>1</v>
      </c>
      <c r="D48" s="65">
        <v>1</v>
      </c>
      <c r="E48" s="65">
        <v>0</v>
      </c>
      <c r="F48" s="898">
        <v>1</v>
      </c>
      <c r="G48" s="898">
        <v>0.5</v>
      </c>
      <c r="H48" s="898">
        <v>0</v>
      </c>
      <c r="I48" s="53" t="s">
        <v>862</v>
      </c>
      <c r="J48" s="67" t="s">
        <v>863</v>
      </c>
      <c r="K48" s="67" t="s">
        <v>864</v>
      </c>
      <c r="L48" s="67" t="s">
        <v>865</v>
      </c>
      <c r="M48" s="67" t="s">
        <v>866</v>
      </c>
      <c r="N48" s="67" t="s">
        <v>867</v>
      </c>
      <c r="O48" s="67" t="s">
        <v>868</v>
      </c>
      <c r="P48" s="57"/>
      <c r="Q48" s="58"/>
      <c r="R48" s="58"/>
      <c r="S48" s="12"/>
      <c r="T48" s="12"/>
      <c r="U48" s="12"/>
      <c r="V48" s="12"/>
      <c r="W48" s="12"/>
      <c r="X48" s="12"/>
      <c r="Y48" s="12"/>
      <c r="Z48" s="12"/>
    </row>
    <row r="49" spans="1:26" ht="29.25" customHeight="1">
      <c r="A49" s="1"/>
      <c r="B49" s="4"/>
      <c r="C49" s="65"/>
      <c r="D49" s="65"/>
      <c r="E49" s="65"/>
      <c r="F49" s="65"/>
      <c r="G49" s="65"/>
      <c r="H49" s="65"/>
      <c r="I49" s="53"/>
      <c r="J49" s="67"/>
      <c r="K49" s="67"/>
      <c r="L49" s="67"/>
      <c r="M49" s="67"/>
      <c r="N49" s="67"/>
      <c r="O49" s="67"/>
      <c r="P49" s="57"/>
      <c r="Q49" s="58"/>
      <c r="R49" s="58"/>
      <c r="S49" s="12"/>
      <c r="T49" s="12"/>
      <c r="U49" s="12"/>
      <c r="V49" s="12"/>
      <c r="W49" s="12"/>
      <c r="X49" s="12"/>
      <c r="Y49" s="12"/>
      <c r="Z49" s="12"/>
    </row>
    <row r="50" spans="1:26" ht="121.5" customHeight="1">
      <c r="A50" s="1" t="s">
        <v>736</v>
      </c>
      <c r="B50" s="4" t="s">
        <v>60</v>
      </c>
      <c r="C50" s="65">
        <v>1</v>
      </c>
      <c r="D50" s="65">
        <v>1</v>
      </c>
      <c r="E50" s="65">
        <v>0</v>
      </c>
      <c r="F50" s="65">
        <v>1</v>
      </c>
      <c r="G50" s="65">
        <v>0</v>
      </c>
      <c r="H50" s="898">
        <v>0</v>
      </c>
      <c r="I50" s="53" t="s">
        <v>38</v>
      </c>
      <c r="J50" s="67" t="s">
        <v>869</v>
      </c>
      <c r="K50" s="67" t="s">
        <v>870</v>
      </c>
      <c r="L50" s="67" t="s">
        <v>871</v>
      </c>
      <c r="M50" s="67" t="s">
        <v>872</v>
      </c>
      <c r="N50" s="67" t="s">
        <v>873</v>
      </c>
      <c r="O50" s="67" t="s">
        <v>874</v>
      </c>
      <c r="P50" s="57"/>
      <c r="Q50" s="58"/>
      <c r="R50" s="58"/>
      <c r="S50" s="12"/>
      <c r="T50" s="12"/>
      <c r="U50" s="12"/>
      <c r="V50" s="12"/>
      <c r="W50" s="12"/>
      <c r="X50" s="12"/>
      <c r="Y50" s="12"/>
      <c r="Z50" s="12"/>
    </row>
    <row r="51" spans="1:26" ht="27.75" customHeight="1">
      <c r="A51" s="1"/>
      <c r="B51" s="4"/>
      <c r="C51" s="65"/>
      <c r="D51" s="65"/>
      <c r="E51" s="65"/>
      <c r="F51" s="65"/>
      <c r="G51" s="65"/>
      <c r="H51" s="65"/>
      <c r="I51" s="53"/>
      <c r="J51" s="67"/>
      <c r="K51" s="67"/>
      <c r="L51" s="67"/>
      <c r="M51" s="67"/>
      <c r="N51" s="67"/>
      <c r="O51" s="67"/>
      <c r="P51" s="57"/>
      <c r="Q51" s="58"/>
      <c r="R51" s="58"/>
      <c r="S51" s="12"/>
      <c r="T51" s="12"/>
      <c r="U51" s="12"/>
      <c r="V51" s="12"/>
      <c r="W51" s="12"/>
      <c r="X51" s="12"/>
      <c r="Y51" s="12"/>
      <c r="Z51" s="12"/>
    </row>
    <row r="52" spans="1:26" ht="13.5" customHeight="1">
      <c r="A52" s="13" t="s">
        <v>875</v>
      </c>
      <c r="B52" s="50" t="s">
        <v>62</v>
      </c>
      <c r="C52" s="51">
        <f t="shared" ref="C52:H52" si="6">AVERAGE(C53,C55)</f>
        <v>0.76824999999999999</v>
      </c>
      <c r="D52" s="51">
        <f t="shared" si="6"/>
        <v>0.90079999999999993</v>
      </c>
      <c r="E52" s="51">
        <f t="shared" si="6"/>
        <v>0.23880000000000001</v>
      </c>
      <c r="F52" s="51">
        <f t="shared" si="6"/>
        <v>0.72484999999999999</v>
      </c>
      <c r="G52" s="51">
        <f t="shared" si="6"/>
        <v>0.82155</v>
      </c>
      <c r="H52" s="51">
        <f t="shared" si="6"/>
        <v>0.14249999999999999</v>
      </c>
      <c r="I52" s="53"/>
      <c r="J52" s="78"/>
      <c r="K52" s="78"/>
      <c r="L52" s="56"/>
      <c r="M52" s="56"/>
      <c r="N52" s="90"/>
      <c r="O52" s="78"/>
      <c r="P52" s="57"/>
      <c r="Q52" s="58"/>
      <c r="R52" s="58"/>
      <c r="S52" s="12"/>
      <c r="T52" s="12"/>
      <c r="U52" s="12"/>
      <c r="V52" s="12"/>
      <c r="W52" s="12"/>
      <c r="X52" s="12"/>
      <c r="Y52" s="12"/>
      <c r="Z52" s="12"/>
    </row>
    <row r="53" spans="1:26" ht="141.75" customHeight="1">
      <c r="A53" s="1" t="s">
        <v>736</v>
      </c>
      <c r="B53" s="4" t="s">
        <v>876</v>
      </c>
      <c r="C53" s="91">
        <f>(41.89-100)/(0-100)</f>
        <v>0.58109999999999995</v>
      </c>
      <c r="D53" s="899" t="s">
        <v>877</v>
      </c>
      <c r="E53" s="899">
        <f>(77.24-100)/(0-100)</f>
        <v>0.22760000000000005</v>
      </c>
      <c r="F53" s="91">
        <f>(40.4-100)/(0-100)</f>
        <v>0.59599999999999997</v>
      </c>
      <c r="G53" s="91">
        <f>(21.89-100)/(0-100)</f>
        <v>0.78110000000000002</v>
      </c>
      <c r="H53" s="91">
        <f>(79.3-100)/(0-100)</f>
        <v>0.20700000000000002</v>
      </c>
      <c r="I53" s="53" t="s">
        <v>64</v>
      </c>
      <c r="J53" s="67" t="s">
        <v>878</v>
      </c>
      <c r="K53" s="92" t="s">
        <v>879</v>
      </c>
      <c r="L53" s="71" t="s">
        <v>880</v>
      </c>
      <c r="M53" s="67" t="s">
        <v>881</v>
      </c>
      <c r="N53" s="67" t="s">
        <v>882</v>
      </c>
      <c r="O53" s="67" t="s">
        <v>883</v>
      </c>
      <c r="P53" s="57"/>
      <c r="Q53" s="58"/>
      <c r="R53" s="58"/>
      <c r="S53" s="12"/>
      <c r="T53" s="12"/>
      <c r="U53" s="12"/>
      <c r="V53" s="12"/>
      <c r="W53" s="12"/>
      <c r="X53" s="12"/>
      <c r="Y53" s="12"/>
      <c r="Z53" s="12"/>
    </row>
    <row r="54" spans="1:26" ht="13.5" customHeight="1">
      <c r="A54" s="1"/>
      <c r="B54" s="4"/>
      <c r="C54" s="65"/>
      <c r="D54" s="65"/>
      <c r="E54" s="65"/>
      <c r="F54" s="65"/>
      <c r="G54" s="65"/>
      <c r="H54" s="65"/>
      <c r="I54" s="53"/>
      <c r="J54" s="67"/>
      <c r="K54" s="71"/>
      <c r="L54" s="67"/>
      <c r="M54" s="93"/>
      <c r="N54" s="67"/>
      <c r="O54" s="67"/>
      <c r="P54" s="57"/>
      <c r="Q54" s="58"/>
      <c r="R54" s="58"/>
      <c r="S54" s="12"/>
      <c r="T54" s="12"/>
      <c r="U54" s="12"/>
      <c r="V54" s="12"/>
      <c r="W54" s="12"/>
      <c r="X54" s="12"/>
      <c r="Y54" s="12"/>
      <c r="Z54" s="12"/>
    </row>
    <row r="55" spans="1:26" ht="249.75" customHeight="1">
      <c r="A55" s="1" t="s">
        <v>736</v>
      </c>
      <c r="B55" s="94" t="s">
        <v>884</v>
      </c>
      <c r="C55" s="91">
        <f>(4.46-100)/(0-100)</f>
        <v>0.95540000000000003</v>
      </c>
      <c r="D55" s="91">
        <f>(9.92-100)/(0-100)</f>
        <v>0.90079999999999993</v>
      </c>
      <c r="E55" s="899">
        <f>(75-100)/(0-100)</f>
        <v>0.25</v>
      </c>
      <c r="F55" s="899">
        <f>(14.63-100)/(0-100)</f>
        <v>0.85370000000000001</v>
      </c>
      <c r="G55" s="899">
        <f>(13.8-100)/(0-100)</f>
        <v>0.86199999999999999</v>
      </c>
      <c r="H55" s="899">
        <f>(92.2-100)/(0-100)</f>
        <v>7.7999999999999972E-2</v>
      </c>
      <c r="I55" s="53" t="s">
        <v>64</v>
      </c>
      <c r="J55" s="67" t="s">
        <v>885</v>
      </c>
      <c r="K55" s="71" t="s">
        <v>886</v>
      </c>
      <c r="L55" s="69" t="s">
        <v>887</v>
      </c>
      <c r="M55" s="67" t="s">
        <v>888</v>
      </c>
      <c r="N55" s="67" t="s">
        <v>889</v>
      </c>
      <c r="O55" s="67" t="s">
        <v>890</v>
      </c>
      <c r="P55" s="57"/>
      <c r="Q55" s="58"/>
      <c r="R55" s="58"/>
      <c r="S55" s="12"/>
      <c r="T55" s="12"/>
      <c r="U55" s="12"/>
      <c r="V55" s="12"/>
      <c r="W55" s="12"/>
      <c r="X55" s="12"/>
      <c r="Y55" s="12"/>
      <c r="Z55" s="12"/>
    </row>
    <row r="56" spans="1:26" ht="30" customHeight="1">
      <c r="A56" s="1"/>
      <c r="B56" s="4"/>
      <c r="C56" s="65"/>
      <c r="D56" s="65"/>
      <c r="E56" s="65"/>
      <c r="F56" s="65"/>
      <c r="G56" s="65"/>
      <c r="H56" s="65"/>
      <c r="I56" s="53"/>
      <c r="J56" s="67"/>
      <c r="K56" s="67"/>
      <c r="L56" s="67"/>
      <c r="M56" s="67"/>
      <c r="N56" s="67"/>
      <c r="O56" s="67"/>
      <c r="P56" s="57"/>
      <c r="Q56" s="58"/>
      <c r="R56" s="58"/>
      <c r="S56" s="12"/>
      <c r="T56" s="12"/>
      <c r="U56" s="12"/>
      <c r="V56" s="12"/>
      <c r="W56" s="12"/>
      <c r="X56" s="12"/>
      <c r="Y56" s="12"/>
      <c r="Z56" s="12"/>
    </row>
    <row r="57" spans="1:26" ht="27.75" customHeight="1">
      <c r="A57" s="112" t="s">
        <v>891</v>
      </c>
      <c r="B57" s="260" t="s">
        <v>892</v>
      </c>
      <c r="C57" s="114">
        <f t="shared" ref="C57:H57" si="7">AVERAGE(C58,C63)</f>
        <v>0.59730866487767997</v>
      </c>
      <c r="D57" s="114">
        <f t="shared" si="7"/>
        <v>0.66502144761750692</v>
      </c>
      <c r="E57" s="114">
        <f t="shared" si="7"/>
        <v>0.19132066248794966</v>
      </c>
      <c r="F57" s="114">
        <f t="shared" si="7"/>
        <v>0.67157930515703068</v>
      </c>
      <c r="G57" s="114">
        <f t="shared" si="7"/>
        <v>0.56238316834165381</v>
      </c>
      <c r="H57" s="114">
        <f t="shared" si="7"/>
        <v>0.23411634609653714</v>
      </c>
      <c r="I57" s="260"/>
      <c r="J57" s="44"/>
      <c r="K57" s="44"/>
      <c r="L57" s="44"/>
      <c r="M57" s="44"/>
      <c r="N57" s="44"/>
      <c r="O57" s="44"/>
      <c r="P57" s="117"/>
      <c r="Q57" s="117"/>
      <c r="R57" s="117"/>
      <c r="S57" s="260"/>
      <c r="T57" s="260"/>
      <c r="U57" s="260"/>
      <c r="V57" s="260"/>
      <c r="W57" s="260"/>
      <c r="X57" s="260"/>
      <c r="Y57" s="260"/>
      <c r="Z57" s="260"/>
    </row>
    <row r="58" spans="1:26" ht="13.5" customHeight="1">
      <c r="A58" s="119" t="s">
        <v>893</v>
      </c>
      <c r="B58" s="121" t="s">
        <v>187</v>
      </c>
      <c r="C58" s="51">
        <f t="shared" ref="C58:H58" si="8">AVERAGE(C59,C61)</f>
        <v>0.51448264962068002</v>
      </c>
      <c r="D58" s="51">
        <f t="shared" si="8"/>
        <v>0.65832572351784202</v>
      </c>
      <c r="E58" s="51">
        <f t="shared" si="8"/>
        <v>0.25048644282101712</v>
      </c>
      <c r="F58" s="51">
        <f t="shared" si="8"/>
        <v>0.66470743186288284</v>
      </c>
      <c r="G58" s="51">
        <f t="shared" si="8"/>
        <v>0.57594478786175884</v>
      </c>
      <c r="H58" s="51">
        <f t="shared" si="8"/>
        <v>0.27126299522337738</v>
      </c>
      <c r="I58" s="53"/>
      <c r="J58" s="56"/>
      <c r="K58" s="56"/>
      <c r="L58" s="56"/>
      <c r="M58" s="56"/>
      <c r="N58" s="56"/>
      <c r="O58" s="56"/>
      <c r="P58" s="101"/>
      <c r="Q58" s="102"/>
      <c r="R58" s="102"/>
      <c r="S58" s="103"/>
      <c r="T58" s="103"/>
      <c r="U58" s="103"/>
      <c r="V58" s="103"/>
      <c r="W58" s="103"/>
      <c r="X58" s="103"/>
      <c r="Y58" s="103"/>
      <c r="Z58" s="103"/>
    </row>
    <row r="59" spans="1:26" ht="117" customHeight="1">
      <c r="A59" s="104" t="s">
        <v>736</v>
      </c>
      <c r="B59" s="105" t="s">
        <v>894</v>
      </c>
      <c r="C59" s="125">
        <f t="shared" ref="C59:H59" si="9">(J59-96)/(16-96)</f>
        <v>0.41249999999999998</v>
      </c>
      <c r="D59" s="125">
        <f t="shared" si="9"/>
        <v>0.53749999999999998</v>
      </c>
      <c r="E59" s="125">
        <f t="shared" si="9"/>
        <v>3.7499999999999999E-2</v>
      </c>
      <c r="F59" s="125">
        <f t="shared" si="9"/>
        <v>0.61250000000000004</v>
      </c>
      <c r="G59" s="125">
        <f t="shared" si="9"/>
        <v>0.42499999999999999</v>
      </c>
      <c r="H59" s="125">
        <f t="shared" si="9"/>
        <v>0.15</v>
      </c>
      <c r="I59" s="53" t="s">
        <v>895</v>
      </c>
      <c r="J59" s="127">
        <v>63</v>
      </c>
      <c r="K59" s="127">
        <v>53</v>
      </c>
      <c r="L59" s="127">
        <v>93</v>
      </c>
      <c r="M59" s="127">
        <v>47</v>
      </c>
      <c r="N59" s="127">
        <v>62</v>
      </c>
      <c r="O59" s="127">
        <v>84</v>
      </c>
      <c r="P59" s="101"/>
      <c r="Q59" s="107"/>
      <c r="R59" s="107"/>
      <c r="S59" s="108"/>
      <c r="T59" s="108"/>
      <c r="U59" s="108"/>
      <c r="V59" s="108"/>
      <c r="W59" s="108"/>
      <c r="X59" s="108"/>
      <c r="Y59" s="108"/>
      <c r="Z59" s="108"/>
    </row>
    <row r="60" spans="1:26" ht="13.5" customHeight="1">
      <c r="A60" s="104"/>
      <c r="B60" s="105"/>
      <c r="C60" s="129"/>
      <c r="D60" s="129"/>
      <c r="E60" s="129"/>
      <c r="F60" s="129"/>
      <c r="G60" s="129"/>
      <c r="H60" s="129"/>
      <c r="I60" s="53"/>
      <c r="J60" s="69"/>
      <c r="K60" s="69"/>
      <c r="L60" s="69"/>
      <c r="M60" s="69"/>
      <c r="N60" s="69"/>
      <c r="O60" s="69"/>
      <c r="P60" s="101"/>
      <c r="Q60" s="107"/>
      <c r="R60" s="107"/>
      <c r="S60" s="108"/>
      <c r="T60" s="108"/>
      <c r="U60" s="108"/>
      <c r="V60" s="108"/>
      <c r="W60" s="108"/>
      <c r="X60" s="108"/>
      <c r="Y60" s="108"/>
      <c r="Z60" s="108"/>
    </row>
    <row r="61" spans="1:26" ht="75" customHeight="1">
      <c r="A61" s="104" t="s">
        <v>736</v>
      </c>
      <c r="B61" s="105" t="s">
        <v>896</v>
      </c>
      <c r="C61" s="132">
        <f t="shared" ref="C61:H61" si="10">(J61-80.81)/(9.63-80.81)</f>
        <v>0.61646529924135995</v>
      </c>
      <c r="D61" s="132">
        <f t="shared" si="10"/>
        <v>0.77915144703568406</v>
      </c>
      <c r="E61" s="132">
        <f t="shared" si="10"/>
        <v>0.46347288564203426</v>
      </c>
      <c r="F61" s="132">
        <f t="shared" si="10"/>
        <v>0.71691486372576563</v>
      </c>
      <c r="G61" s="132">
        <f t="shared" si="10"/>
        <v>0.72688957572351776</v>
      </c>
      <c r="H61" s="132">
        <f t="shared" si="10"/>
        <v>0.39252599044675474</v>
      </c>
      <c r="I61" s="53" t="s">
        <v>897</v>
      </c>
      <c r="J61" s="134">
        <v>36.93</v>
      </c>
      <c r="K61" s="134">
        <v>25.35</v>
      </c>
      <c r="L61" s="134">
        <v>47.82</v>
      </c>
      <c r="M61" s="134">
        <v>29.78</v>
      </c>
      <c r="N61" s="134">
        <v>29.07</v>
      </c>
      <c r="O61" s="134">
        <v>52.87</v>
      </c>
      <c r="P61" s="101"/>
      <c r="Q61" s="107"/>
      <c r="R61" s="107"/>
      <c r="S61" s="108"/>
      <c r="T61" s="108"/>
      <c r="U61" s="108"/>
      <c r="V61" s="108"/>
      <c r="W61" s="108"/>
      <c r="X61" s="108"/>
      <c r="Y61" s="108"/>
      <c r="Z61" s="108"/>
    </row>
    <row r="62" spans="1:26" ht="13.5" customHeight="1">
      <c r="A62" s="104"/>
      <c r="B62" s="105"/>
      <c r="C62" s="65"/>
      <c r="D62" s="65"/>
      <c r="E62" s="65"/>
      <c r="F62" s="65"/>
      <c r="G62" s="65"/>
      <c r="H62" s="65"/>
      <c r="I62" s="53"/>
      <c r="J62" s="67"/>
      <c r="K62" s="67"/>
      <c r="L62" s="67"/>
      <c r="M62" s="67"/>
      <c r="N62" s="67"/>
      <c r="O62" s="67"/>
      <c r="P62" s="101"/>
      <c r="Q62" s="107"/>
      <c r="R62" s="107"/>
      <c r="S62" s="108"/>
      <c r="T62" s="108"/>
      <c r="U62" s="108"/>
      <c r="V62" s="108"/>
      <c r="W62" s="108"/>
      <c r="X62" s="108"/>
      <c r="Y62" s="108"/>
      <c r="Z62" s="108"/>
    </row>
    <row r="63" spans="1:26" ht="33" customHeight="1">
      <c r="A63" s="119" t="s">
        <v>898</v>
      </c>
      <c r="B63" s="121" t="s">
        <v>899</v>
      </c>
      <c r="C63" s="51">
        <f t="shared" ref="C63:H63" si="11">AVERAGE(C64,C66,C68)</f>
        <v>0.68013468013468004</v>
      </c>
      <c r="D63" s="51">
        <f t="shared" si="11"/>
        <v>0.67171717171717171</v>
      </c>
      <c r="E63" s="51">
        <f t="shared" si="11"/>
        <v>0.13215488215488216</v>
      </c>
      <c r="F63" s="51">
        <f t="shared" si="11"/>
        <v>0.67845117845117853</v>
      </c>
      <c r="G63" s="51">
        <f t="shared" si="11"/>
        <v>0.54882154882154888</v>
      </c>
      <c r="H63" s="51">
        <f t="shared" si="11"/>
        <v>0.19696969696969693</v>
      </c>
      <c r="I63" s="53"/>
      <c r="J63" s="56"/>
      <c r="K63" s="56"/>
      <c r="L63" s="56"/>
      <c r="M63" s="56"/>
      <c r="N63" s="56"/>
      <c r="O63" s="56"/>
      <c r="P63" s="101"/>
      <c r="Q63" s="107"/>
      <c r="R63" s="102"/>
      <c r="S63" s="103"/>
      <c r="T63" s="103"/>
      <c r="U63" s="103"/>
      <c r="V63" s="103"/>
      <c r="W63" s="103"/>
      <c r="X63" s="103"/>
      <c r="Y63" s="103"/>
      <c r="Z63" s="103"/>
    </row>
    <row r="64" spans="1:26" ht="69.75" customHeight="1">
      <c r="A64" s="104" t="s">
        <v>736</v>
      </c>
      <c r="B64" s="4" t="s">
        <v>900</v>
      </c>
      <c r="C64" s="65">
        <f t="shared" ref="C64:H64" si="12">(J64-1)/(10-1)</f>
        <v>0.55555555555555558</v>
      </c>
      <c r="D64" s="65">
        <f t="shared" si="12"/>
        <v>0.66666666666666663</v>
      </c>
      <c r="E64" s="65">
        <f t="shared" si="12"/>
        <v>0.22222222222222221</v>
      </c>
      <c r="F64" s="65">
        <f t="shared" si="12"/>
        <v>0.77777777777777779</v>
      </c>
      <c r="G64" s="65">
        <f t="shared" si="12"/>
        <v>0.55555555555555558</v>
      </c>
      <c r="H64" s="65">
        <f t="shared" si="12"/>
        <v>0.33333333333333331</v>
      </c>
      <c r="I64" s="53" t="s">
        <v>901</v>
      </c>
      <c r="J64" s="69">
        <v>6</v>
      </c>
      <c r="K64" s="69">
        <v>7</v>
      </c>
      <c r="L64" s="69">
        <v>3</v>
      </c>
      <c r="M64" s="69">
        <v>8</v>
      </c>
      <c r="N64" s="69">
        <v>6</v>
      </c>
      <c r="O64" s="69">
        <v>4</v>
      </c>
      <c r="P64" s="101"/>
      <c r="Q64" s="107"/>
      <c r="R64" s="107"/>
      <c r="S64" s="108"/>
      <c r="T64" s="108"/>
      <c r="U64" s="108"/>
      <c r="V64" s="108"/>
      <c r="W64" s="108"/>
      <c r="X64" s="108"/>
      <c r="Y64" s="108"/>
      <c r="Z64" s="108"/>
    </row>
    <row r="65" spans="1:26" ht="13.5" customHeight="1">
      <c r="A65" s="104"/>
      <c r="B65" s="4"/>
      <c r="C65" s="65"/>
      <c r="D65" s="65"/>
      <c r="E65" s="65"/>
      <c r="F65" s="65"/>
      <c r="G65" s="65"/>
      <c r="H65" s="65"/>
      <c r="I65" s="53"/>
      <c r="J65" s="140"/>
      <c r="K65" s="69"/>
      <c r="L65" s="69"/>
      <c r="M65" s="69"/>
      <c r="N65" s="69"/>
      <c r="O65" s="69"/>
      <c r="P65" s="101"/>
      <c r="Q65" s="107"/>
      <c r="R65" s="107"/>
      <c r="S65" s="108"/>
      <c r="T65" s="108"/>
      <c r="U65" s="108"/>
      <c r="V65" s="108"/>
      <c r="W65" s="108"/>
      <c r="X65" s="108"/>
      <c r="Y65" s="108"/>
      <c r="Z65" s="108"/>
    </row>
    <row r="66" spans="1:26" ht="121.5" customHeight="1">
      <c r="A66" s="104" t="s">
        <v>736</v>
      </c>
      <c r="B66" s="4" t="s">
        <v>902</v>
      </c>
      <c r="C66" s="65">
        <f t="shared" ref="C66:H66" si="13">(J66-7)/(1.5-7)</f>
        <v>0.81818181818181823</v>
      </c>
      <c r="D66" s="65">
        <f t="shared" si="13"/>
        <v>0.68181818181818177</v>
      </c>
      <c r="E66" s="65">
        <f t="shared" si="13"/>
        <v>9.0909090909090912E-2</v>
      </c>
      <c r="F66" s="65">
        <f t="shared" si="13"/>
        <v>0.59090909090909094</v>
      </c>
      <c r="G66" s="65">
        <f t="shared" si="13"/>
        <v>0.59090909090909094</v>
      </c>
      <c r="H66" s="65">
        <f t="shared" si="13"/>
        <v>9.0909090909090912E-2</v>
      </c>
      <c r="I66" s="53" t="s">
        <v>903</v>
      </c>
      <c r="J66" s="69">
        <v>2.5</v>
      </c>
      <c r="K66" s="69">
        <v>3.25</v>
      </c>
      <c r="L66" s="69">
        <v>6.5</v>
      </c>
      <c r="M66" s="69">
        <v>3.75</v>
      </c>
      <c r="N66" s="69">
        <v>3.75</v>
      </c>
      <c r="O66" s="69">
        <v>6.5</v>
      </c>
      <c r="P66" s="101"/>
      <c r="Q66" s="107"/>
      <c r="R66" s="107"/>
      <c r="S66" s="108"/>
      <c r="T66" s="108"/>
      <c r="U66" s="108"/>
      <c r="V66" s="108"/>
      <c r="W66" s="108"/>
      <c r="X66" s="108"/>
      <c r="Y66" s="108"/>
      <c r="Z66" s="108"/>
    </row>
    <row r="67" spans="1:26" ht="13.5" customHeight="1">
      <c r="A67" s="104"/>
      <c r="B67" s="4"/>
      <c r="C67" s="65"/>
      <c r="D67" s="65"/>
      <c r="E67" s="65"/>
      <c r="F67" s="65"/>
      <c r="G67" s="65"/>
      <c r="H67" s="65"/>
      <c r="I67" s="53"/>
      <c r="J67" s="69"/>
      <c r="K67" s="69"/>
      <c r="L67" s="69"/>
      <c r="M67" s="69"/>
      <c r="N67" s="69"/>
      <c r="O67" s="69"/>
      <c r="P67" s="101"/>
      <c r="Q67" s="107"/>
      <c r="R67" s="107"/>
      <c r="S67" s="108"/>
      <c r="T67" s="108"/>
      <c r="U67" s="108"/>
      <c r="V67" s="108"/>
      <c r="W67" s="108"/>
      <c r="X67" s="108"/>
      <c r="Y67" s="108"/>
      <c r="Z67" s="108"/>
    </row>
    <row r="68" spans="1:26" ht="114" customHeight="1">
      <c r="A68" s="1566" t="s">
        <v>736</v>
      </c>
      <c r="B68" s="4" t="s">
        <v>904</v>
      </c>
      <c r="C68" s="65">
        <f t="shared" ref="C68:H68" si="14">(J68-0)/(12-0)</f>
        <v>0.66666666666666663</v>
      </c>
      <c r="D68" s="65">
        <f t="shared" si="14"/>
        <v>0.66666666666666663</v>
      </c>
      <c r="E68" s="65">
        <f t="shared" si="14"/>
        <v>8.3333333333333329E-2</v>
      </c>
      <c r="F68" s="65">
        <f t="shared" si="14"/>
        <v>0.66666666666666663</v>
      </c>
      <c r="G68" s="65">
        <f t="shared" si="14"/>
        <v>0.5</v>
      </c>
      <c r="H68" s="65">
        <f t="shared" si="14"/>
        <v>0.16666666666666666</v>
      </c>
      <c r="I68" s="53" t="s">
        <v>905</v>
      </c>
      <c r="J68" s="69">
        <v>8</v>
      </c>
      <c r="K68" s="109">
        <v>8</v>
      </c>
      <c r="L68" s="109">
        <v>1</v>
      </c>
      <c r="M68" s="69">
        <v>8</v>
      </c>
      <c r="N68" s="109">
        <v>6</v>
      </c>
      <c r="O68" s="109">
        <v>2</v>
      </c>
      <c r="P68" s="101"/>
      <c r="Q68" s="107"/>
      <c r="R68" s="107"/>
      <c r="S68" s="108"/>
      <c r="T68" s="108"/>
      <c r="U68" s="108"/>
      <c r="V68" s="108"/>
      <c r="W68" s="108"/>
      <c r="X68" s="108"/>
      <c r="Y68" s="108"/>
      <c r="Z68" s="108"/>
    </row>
    <row r="69" spans="1:26" ht="15.75" customHeight="1">
      <c r="A69" s="104"/>
      <c r="B69" s="105"/>
      <c r="C69" s="65"/>
      <c r="D69" s="65"/>
      <c r="E69" s="65"/>
      <c r="F69" s="65"/>
      <c r="G69" s="65"/>
      <c r="H69" s="65"/>
      <c r="I69" s="53"/>
      <c r="J69" s="67"/>
      <c r="K69" s="67"/>
      <c r="L69" s="67"/>
      <c r="M69" s="67"/>
      <c r="N69" s="67"/>
      <c r="O69" s="67"/>
      <c r="P69" s="101"/>
      <c r="Q69" s="107"/>
      <c r="R69" s="107"/>
      <c r="S69" s="108"/>
      <c r="T69" s="108"/>
      <c r="U69" s="108"/>
      <c r="V69" s="108"/>
      <c r="W69" s="108"/>
      <c r="X69" s="108"/>
      <c r="Y69" s="108"/>
      <c r="Z69" s="108"/>
    </row>
    <row r="70" spans="1:26" ht="13.5" customHeight="1">
      <c r="A70" s="112" t="s">
        <v>906</v>
      </c>
      <c r="B70" s="96" t="s">
        <v>907</v>
      </c>
      <c r="C70" s="97">
        <f t="shared" ref="C70:H70" si="15">AVERAGE(C71,C87)</f>
        <v>0.72644596477745282</v>
      </c>
      <c r="D70" s="97">
        <f t="shared" si="15"/>
        <v>0.74459160052910045</v>
      </c>
      <c r="E70" s="97">
        <f t="shared" si="15"/>
        <v>0.15224446095698588</v>
      </c>
      <c r="F70" s="97">
        <f t="shared" si="15"/>
        <v>0.70114107318650132</v>
      </c>
      <c r="G70" s="97">
        <f t="shared" si="15"/>
        <v>0.58071690366453321</v>
      </c>
      <c r="H70" s="97">
        <f t="shared" si="15"/>
        <v>0.47252899168248286</v>
      </c>
      <c r="I70" s="260"/>
      <c r="J70" s="44"/>
      <c r="K70" s="44"/>
      <c r="L70" s="38"/>
      <c r="M70" s="44"/>
      <c r="N70" s="44"/>
      <c r="O70" s="44"/>
      <c r="P70" s="98"/>
      <c r="Q70" s="98"/>
      <c r="R70" s="98"/>
      <c r="S70" s="99"/>
      <c r="T70" s="99"/>
      <c r="U70" s="99"/>
      <c r="V70" s="99"/>
      <c r="W70" s="99"/>
      <c r="X70" s="99"/>
      <c r="Y70" s="99"/>
      <c r="Z70" s="99"/>
    </row>
    <row r="71" spans="1:26" ht="13.5" customHeight="1">
      <c r="A71" s="154" t="s">
        <v>908</v>
      </c>
      <c r="B71" s="916" t="s">
        <v>909</v>
      </c>
      <c r="C71" s="51">
        <f t="shared" ref="C71:H71" si="16">AVERAGE(C72,C78)</f>
        <v>0.74623015873015874</v>
      </c>
      <c r="D71" s="51">
        <f t="shared" si="16"/>
        <v>0.73586309523809512</v>
      </c>
      <c r="E71" s="51">
        <f t="shared" si="16"/>
        <v>0.14960317460317463</v>
      </c>
      <c r="F71" s="51">
        <f t="shared" si="16"/>
        <v>0.79652777777777772</v>
      </c>
      <c r="G71" s="51">
        <f t="shared" si="16"/>
        <v>0.71706349206349207</v>
      </c>
      <c r="H71" s="51">
        <f t="shared" si="16"/>
        <v>0.50193452380952386</v>
      </c>
      <c r="I71" s="53"/>
      <c r="J71" s="56"/>
      <c r="K71" s="56"/>
      <c r="L71" s="100"/>
      <c r="M71" s="56"/>
      <c r="N71" s="56"/>
      <c r="O71" s="56"/>
      <c r="P71" s="101"/>
      <c r="Q71" s="102"/>
      <c r="R71" s="102"/>
      <c r="S71" s="103"/>
      <c r="T71" s="103"/>
      <c r="U71" s="103"/>
      <c r="V71" s="103"/>
      <c r="W71" s="103"/>
      <c r="X71" s="103"/>
      <c r="Y71" s="103"/>
      <c r="Z71" s="103"/>
    </row>
    <row r="72" spans="1:26" ht="13.5" customHeight="1">
      <c r="A72" s="104" t="s">
        <v>736</v>
      </c>
      <c r="B72" s="105" t="s">
        <v>910</v>
      </c>
      <c r="C72" s="65">
        <f t="shared" ref="C72:H72" si="17">AVERAGE(C73:C76)</f>
        <v>0.56388888888888888</v>
      </c>
      <c r="D72" s="65">
        <f t="shared" si="17"/>
        <v>0.61458333333333326</v>
      </c>
      <c r="E72" s="65">
        <f t="shared" si="17"/>
        <v>0.2277777777777778</v>
      </c>
      <c r="F72" s="65">
        <f t="shared" si="17"/>
        <v>0.59305555555555556</v>
      </c>
      <c r="G72" s="65">
        <f t="shared" si="17"/>
        <v>0.50555555555555554</v>
      </c>
      <c r="H72" s="65">
        <f t="shared" si="17"/>
        <v>0.2895833333333333</v>
      </c>
      <c r="I72" s="53"/>
      <c r="J72" s="67"/>
      <c r="K72" s="67"/>
      <c r="L72" s="106"/>
      <c r="M72" s="67"/>
      <c r="N72" s="67"/>
      <c r="O72" s="67"/>
      <c r="P72" s="101"/>
      <c r="Q72" s="107"/>
      <c r="R72" s="107"/>
      <c r="S72" s="108"/>
      <c r="T72" s="108"/>
      <c r="U72" s="108"/>
      <c r="V72" s="108"/>
      <c r="W72" s="108"/>
      <c r="X72" s="108"/>
      <c r="Y72" s="108"/>
      <c r="Z72" s="108"/>
    </row>
    <row r="73" spans="1:26" ht="168" customHeight="1">
      <c r="A73" s="104"/>
      <c r="B73" s="891" t="s">
        <v>911</v>
      </c>
      <c r="C73" s="91">
        <f t="shared" ref="C73:H73" si="18">(J73-3)/(15-3)</f>
        <v>0.66666666666666663</v>
      </c>
      <c r="D73" s="91">
        <f t="shared" si="18"/>
        <v>0.5</v>
      </c>
      <c r="E73" s="91">
        <f t="shared" si="18"/>
        <v>0.16666666666666666</v>
      </c>
      <c r="F73" s="91">
        <f t="shared" si="18"/>
        <v>0.58333333333333337</v>
      </c>
      <c r="G73" s="91">
        <f t="shared" si="18"/>
        <v>0.5</v>
      </c>
      <c r="H73" s="91">
        <f t="shared" si="18"/>
        <v>0.25</v>
      </c>
      <c r="I73" s="53" t="s">
        <v>912</v>
      </c>
      <c r="J73" s="69">
        <v>11</v>
      </c>
      <c r="K73" s="69">
        <v>9</v>
      </c>
      <c r="L73" s="69">
        <v>5</v>
      </c>
      <c r="M73" s="69">
        <v>10</v>
      </c>
      <c r="N73" s="69">
        <v>9</v>
      </c>
      <c r="O73" s="69">
        <v>6</v>
      </c>
      <c r="P73" s="101"/>
      <c r="Q73" s="107"/>
      <c r="R73" s="107"/>
      <c r="S73" s="108"/>
      <c r="T73" s="108"/>
      <c r="U73" s="108"/>
      <c r="V73" s="108"/>
      <c r="W73" s="108"/>
      <c r="X73" s="108"/>
      <c r="Y73" s="108"/>
      <c r="Z73" s="108"/>
    </row>
    <row r="74" spans="1:26" ht="126.75" customHeight="1">
      <c r="A74" s="104"/>
      <c r="B74" s="891" t="s">
        <v>913</v>
      </c>
      <c r="C74" s="91">
        <f t="shared" ref="C74:H74" si="19">(J74-1)/(16-1)</f>
        <v>0.53333333333333333</v>
      </c>
      <c r="D74" s="91">
        <f t="shared" si="19"/>
        <v>0.66666666666666663</v>
      </c>
      <c r="E74" s="91">
        <f t="shared" si="19"/>
        <v>0.13333333333333333</v>
      </c>
      <c r="F74" s="91">
        <f t="shared" si="19"/>
        <v>0.73333333333333328</v>
      </c>
      <c r="G74" s="91">
        <f t="shared" si="19"/>
        <v>0.46666666666666667</v>
      </c>
      <c r="H74" s="91">
        <f t="shared" si="19"/>
        <v>0.2</v>
      </c>
      <c r="I74" s="53" t="s">
        <v>914</v>
      </c>
      <c r="J74" s="69">
        <v>9</v>
      </c>
      <c r="K74" s="69">
        <v>11</v>
      </c>
      <c r="L74" s="69">
        <v>3</v>
      </c>
      <c r="M74" s="69">
        <v>12</v>
      </c>
      <c r="N74" s="69">
        <v>8</v>
      </c>
      <c r="O74" s="69">
        <v>4</v>
      </c>
      <c r="P74" s="101"/>
      <c r="Q74" s="107"/>
      <c r="R74" s="107"/>
      <c r="S74" s="108"/>
      <c r="T74" s="108"/>
      <c r="U74" s="108"/>
      <c r="V74" s="108"/>
      <c r="W74" s="108"/>
      <c r="X74" s="108"/>
      <c r="Y74" s="108"/>
      <c r="Z74" s="108"/>
    </row>
    <row r="75" spans="1:26" ht="80.25" customHeight="1">
      <c r="A75" s="104"/>
      <c r="B75" s="891" t="s">
        <v>915</v>
      </c>
      <c r="C75" s="91">
        <f t="shared" ref="C75:H75" si="20">(J75-0)/(8-0)</f>
        <v>0.5</v>
      </c>
      <c r="D75" s="91">
        <f t="shared" si="20"/>
        <v>0.625</v>
      </c>
      <c r="E75" s="91">
        <f t="shared" si="20"/>
        <v>0.5</v>
      </c>
      <c r="F75" s="91">
        <f t="shared" si="20"/>
        <v>0.5</v>
      </c>
      <c r="G75" s="91">
        <f t="shared" si="20"/>
        <v>0.5</v>
      </c>
      <c r="H75" s="91">
        <f t="shared" si="20"/>
        <v>0.375</v>
      </c>
      <c r="I75" s="53" t="s">
        <v>916</v>
      </c>
      <c r="J75" s="69">
        <v>4</v>
      </c>
      <c r="K75" s="69">
        <v>5</v>
      </c>
      <c r="L75" s="69">
        <v>4</v>
      </c>
      <c r="M75" s="69">
        <v>4</v>
      </c>
      <c r="N75" s="69">
        <v>4</v>
      </c>
      <c r="O75" s="69">
        <v>3</v>
      </c>
      <c r="P75" s="101"/>
      <c r="Q75" s="107"/>
      <c r="R75" s="107"/>
      <c r="S75" s="108"/>
      <c r="T75" s="108"/>
      <c r="U75" s="108"/>
      <c r="V75" s="108"/>
      <c r="W75" s="108"/>
      <c r="X75" s="108"/>
      <c r="Y75" s="108"/>
      <c r="Z75" s="108"/>
    </row>
    <row r="76" spans="1:26" ht="181.5" customHeight="1">
      <c r="A76" s="104"/>
      <c r="B76" s="891" t="s">
        <v>917</v>
      </c>
      <c r="C76" s="91">
        <f t="shared" ref="C76:H76" si="21">(J76-1)/(10-1)</f>
        <v>0.55555555555555558</v>
      </c>
      <c r="D76" s="91">
        <f t="shared" si="21"/>
        <v>0.66666666666666663</v>
      </c>
      <c r="E76" s="91">
        <f t="shared" si="21"/>
        <v>0.1111111111111111</v>
      </c>
      <c r="F76" s="91">
        <f t="shared" si="21"/>
        <v>0.55555555555555558</v>
      </c>
      <c r="G76" s="91">
        <f t="shared" si="21"/>
        <v>0.55555555555555558</v>
      </c>
      <c r="H76" s="91">
        <f t="shared" si="21"/>
        <v>0.33333333333333331</v>
      </c>
      <c r="I76" s="53" t="s">
        <v>918</v>
      </c>
      <c r="J76" s="69">
        <v>6</v>
      </c>
      <c r="K76" s="69">
        <v>7</v>
      </c>
      <c r="L76" s="69">
        <v>2</v>
      </c>
      <c r="M76" s="69">
        <v>6</v>
      </c>
      <c r="N76" s="69">
        <v>6</v>
      </c>
      <c r="O76" s="69">
        <v>4</v>
      </c>
      <c r="P76" s="101"/>
      <c r="Q76" s="107"/>
      <c r="R76" s="107"/>
      <c r="S76" s="108"/>
      <c r="T76" s="108"/>
      <c r="U76" s="108"/>
      <c r="V76" s="108"/>
      <c r="W76" s="108"/>
      <c r="X76" s="108"/>
      <c r="Y76" s="108"/>
      <c r="Z76" s="108"/>
    </row>
    <row r="77" spans="1:26" ht="13.5" customHeight="1">
      <c r="A77" s="104"/>
      <c r="B77" s="917"/>
      <c r="C77" s="91"/>
      <c r="D77" s="91"/>
      <c r="E77" s="91"/>
      <c r="F77" s="91"/>
      <c r="G77" s="91"/>
      <c r="H77" s="91"/>
      <c r="I77" s="53"/>
      <c r="J77" s="69"/>
      <c r="K77" s="109"/>
      <c r="L77" s="109"/>
      <c r="M77" s="69"/>
      <c r="N77" s="109"/>
      <c r="O77" s="109"/>
      <c r="P77" s="110"/>
      <c r="Q77" s="108"/>
      <c r="R77" s="108"/>
      <c r="S77" s="108"/>
      <c r="T77" s="108"/>
      <c r="U77" s="108"/>
      <c r="V77" s="108"/>
      <c r="W77" s="108"/>
      <c r="X77" s="108"/>
      <c r="Y77" s="108"/>
      <c r="Z77" s="108"/>
    </row>
    <row r="78" spans="1:26" ht="13.5" customHeight="1">
      <c r="A78" s="104" t="s">
        <v>736</v>
      </c>
      <c r="B78" s="105" t="s">
        <v>76</v>
      </c>
      <c r="C78" s="111">
        <f t="shared" ref="C78:H78" si="22">AVERAGE(C79:C85)</f>
        <v>0.9285714285714286</v>
      </c>
      <c r="D78" s="111">
        <f t="shared" si="22"/>
        <v>0.8571428571428571</v>
      </c>
      <c r="E78" s="111">
        <f t="shared" si="22"/>
        <v>7.1428571428571425E-2</v>
      </c>
      <c r="F78" s="111">
        <f t="shared" si="22"/>
        <v>1</v>
      </c>
      <c r="G78" s="111">
        <f t="shared" si="22"/>
        <v>0.9285714285714286</v>
      </c>
      <c r="H78" s="111">
        <f t="shared" si="22"/>
        <v>0.7142857142857143</v>
      </c>
      <c r="I78" s="53"/>
      <c r="J78" s="69"/>
      <c r="K78" s="69"/>
      <c r="L78" s="69"/>
      <c r="M78" s="69"/>
      <c r="N78" s="69"/>
      <c r="O78" s="69"/>
      <c r="P78" s="101"/>
      <c r="Q78" s="107"/>
      <c r="R78" s="107"/>
      <c r="S78" s="108"/>
      <c r="T78" s="108"/>
      <c r="U78" s="108"/>
      <c r="V78" s="108"/>
      <c r="W78" s="108"/>
      <c r="X78" s="108"/>
      <c r="Y78" s="108"/>
      <c r="Z78" s="108"/>
    </row>
    <row r="79" spans="1:26" ht="42" customHeight="1">
      <c r="A79" s="104"/>
      <c r="B79" s="891" t="s">
        <v>919</v>
      </c>
      <c r="C79" s="91">
        <v>1</v>
      </c>
      <c r="D79" s="91">
        <v>1</v>
      </c>
      <c r="E79" s="91">
        <v>0</v>
      </c>
      <c r="F79" s="91">
        <v>1</v>
      </c>
      <c r="G79" s="91">
        <v>1</v>
      </c>
      <c r="H79" s="91">
        <v>1</v>
      </c>
      <c r="I79" s="53"/>
      <c r="J79" s="115" t="s">
        <v>920</v>
      </c>
      <c r="K79" s="115" t="s">
        <v>811</v>
      </c>
      <c r="L79" s="116" t="s">
        <v>748</v>
      </c>
      <c r="M79" s="118" t="s">
        <v>921</v>
      </c>
      <c r="N79" s="69" t="s">
        <v>922</v>
      </c>
      <c r="O79" s="69" t="s">
        <v>923</v>
      </c>
      <c r="P79" s="101"/>
      <c r="Q79" s="107"/>
      <c r="R79" s="107"/>
      <c r="S79" s="108"/>
      <c r="T79" s="108"/>
      <c r="U79" s="108"/>
      <c r="V79" s="108"/>
      <c r="W79" s="108"/>
      <c r="X79" s="108"/>
      <c r="Y79" s="108"/>
      <c r="Z79" s="108"/>
    </row>
    <row r="80" spans="1:26" ht="87.75" customHeight="1">
      <c r="A80" s="104"/>
      <c r="B80" s="891" t="s">
        <v>78</v>
      </c>
      <c r="C80" s="899">
        <v>0.5</v>
      </c>
      <c r="D80" s="91">
        <v>1</v>
      </c>
      <c r="E80" s="899">
        <v>0.5</v>
      </c>
      <c r="F80" s="899">
        <v>1</v>
      </c>
      <c r="G80" s="899">
        <v>0.5</v>
      </c>
      <c r="H80" s="91">
        <v>0</v>
      </c>
      <c r="I80" s="53" t="s">
        <v>38</v>
      </c>
      <c r="J80" s="116" t="s">
        <v>924</v>
      </c>
      <c r="K80" s="116" t="s">
        <v>925</v>
      </c>
      <c r="L80" s="69" t="s">
        <v>926</v>
      </c>
      <c r="M80" s="69" t="s">
        <v>927</v>
      </c>
      <c r="N80" s="69" t="s">
        <v>928</v>
      </c>
      <c r="O80" s="69" t="s">
        <v>929</v>
      </c>
      <c r="P80" s="101"/>
      <c r="Q80" s="107"/>
      <c r="R80" s="107"/>
      <c r="S80" s="108"/>
      <c r="T80" s="108"/>
      <c r="U80" s="108"/>
      <c r="V80" s="108"/>
      <c r="W80" s="108"/>
      <c r="X80" s="108"/>
      <c r="Y80" s="108"/>
      <c r="Z80" s="108"/>
    </row>
    <row r="81" spans="1:26" ht="54.75" customHeight="1">
      <c r="A81" s="104"/>
      <c r="B81" s="891" t="s">
        <v>79</v>
      </c>
      <c r="C81" s="91">
        <v>1</v>
      </c>
      <c r="D81" s="91">
        <v>1</v>
      </c>
      <c r="E81" s="91">
        <v>0</v>
      </c>
      <c r="F81" s="899">
        <v>1</v>
      </c>
      <c r="G81" s="899">
        <v>1</v>
      </c>
      <c r="H81" s="899">
        <v>1</v>
      </c>
      <c r="I81" s="53" t="s">
        <v>38</v>
      </c>
      <c r="J81" s="109" t="s">
        <v>930</v>
      </c>
      <c r="K81" s="116" t="s">
        <v>931</v>
      </c>
      <c r="L81" s="116" t="s">
        <v>748</v>
      </c>
      <c r="M81" s="69" t="s">
        <v>932</v>
      </c>
      <c r="N81" s="69" t="s">
        <v>933</v>
      </c>
      <c r="O81" s="115" t="s">
        <v>811</v>
      </c>
      <c r="P81" s="101"/>
      <c r="Q81" s="107"/>
      <c r="R81" s="107"/>
      <c r="S81" s="108"/>
      <c r="T81" s="108"/>
      <c r="U81" s="108"/>
      <c r="V81" s="108"/>
      <c r="W81" s="108"/>
      <c r="X81" s="108"/>
      <c r="Y81" s="108"/>
      <c r="Z81" s="108"/>
    </row>
    <row r="82" spans="1:26" ht="96.75" customHeight="1">
      <c r="A82" s="104"/>
      <c r="B82" s="891" t="s">
        <v>80</v>
      </c>
      <c r="C82" s="91">
        <v>1</v>
      </c>
      <c r="D82" s="91">
        <v>1</v>
      </c>
      <c r="E82" s="91">
        <v>0</v>
      </c>
      <c r="F82" s="91">
        <v>1</v>
      </c>
      <c r="G82" s="91">
        <v>1</v>
      </c>
      <c r="H82" s="91">
        <v>1</v>
      </c>
      <c r="I82" s="53" t="s">
        <v>38</v>
      </c>
      <c r="J82" s="69" t="s">
        <v>811</v>
      </c>
      <c r="K82" s="69" t="s">
        <v>934</v>
      </c>
      <c r="L82" s="116" t="s">
        <v>748</v>
      </c>
      <c r="M82" s="69" t="s">
        <v>935</v>
      </c>
      <c r="N82" s="92" t="s">
        <v>936</v>
      </c>
      <c r="O82" s="120" t="s">
        <v>937</v>
      </c>
      <c r="P82" s="101"/>
      <c r="Q82" s="107"/>
      <c r="R82" s="107"/>
      <c r="S82" s="108"/>
      <c r="T82" s="108"/>
      <c r="U82" s="108"/>
      <c r="V82" s="108"/>
      <c r="W82" s="108"/>
      <c r="X82" s="108"/>
      <c r="Y82" s="108"/>
      <c r="Z82" s="108"/>
    </row>
    <row r="83" spans="1:26" ht="135.75" customHeight="1">
      <c r="A83" s="104"/>
      <c r="B83" s="891" t="s">
        <v>938</v>
      </c>
      <c r="C83" s="91">
        <v>1</v>
      </c>
      <c r="D83" s="91">
        <v>1</v>
      </c>
      <c r="E83" s="91">
        <v>0</v>
      </c>
      <c r="F83" s="91">
        <v>1</v>
      </c>
      <c r="G83" s="91">
        <v>1</v>
      </c>
      <c r="H83" s="91">
        <v>0</v>
      </c>
      <c r="I83" s="53" t="s">
        <v>38</v>
      </c>
      <c r="J83" s="122" t="s">
        <v>939</v>
      </c>
      <c r="K83" s="116" t="s">
        <v>940</v>
      </c>
      <c r="L83" s="116" t="s">
        <v>748</v>
      </c>
      <c r="M83" s="69" t="s">
        <v>941</v>
      </c>
      <c r="N83" s="120" t="s">
        <v>942</v>
      </c>
      <c r="O83" s="69" t="s">
        <v>943</v>
      </c>
      <c r="P83" s="101"/>
      <c r="Q83" s="107"/>
      <c r="R83" s="107"/>
      <c r="S83" s="108"/>
      <c r="T83" s="108"/>
      <c r="U83" s="108"/>
      <c r="V83" s="108"/>
      <c r="W83" s="108"/>
      <c r="X83" s="108"/>
      <c r="Y83" s="108"/>
      <c r="Z83" s="108"/>
    </row>
    <row r="84" spans="1:26" ht="126.75" customHeight="1">
      <c r="A84" s="104"/>
      <c r="B84" s="891" t="s">
        <v>82</v>
      </c>
      <c r="C84" s="91">
        <v>1</v>
      </c>
      <c r="D84" s="91">
        <v>1</v>
      </c>
      <c r="E84" s="91">
        <v>0</v>
      </c>
      <c r="F84" s="91">
        <v>1</v>
      </c>
      <c r="G84" s="91">
        <v>1</v>
      </c>
      <c r="H84" s="91">
        <v>1</v>
      </c>
      <c r="I84" s="53" t="s">
        <v>38</v>
      </c>
      <c r="J84" s="69" t="s">
        <v>944</v>
      </c>
      <c r="K84" s="69" t="s">
        <v>945</v>
      </c>
      <c r="L84" s="69" t="s">
        <v>748</v>
      </c>
      <c r="M84" s="69" t="s">
        <v>946</v>
      </c>
      <c r="N84" s="69" t="s">
        <v>947</v>
      </c>
      <c r="O84" s="69" t="s">
        <v>948</v>
      </c>
      <c r="P84" s="101"/>
      <c r="Q84" s="107"/>
      <c r="R84" s="107"/>
      <c r="S84" s="108"/>
      <c r="T84" s="108"/>
      <c r="U84" s="108"/>
      <c r="V84" s="108"/>
      <c r="W84" s="108"/>
      <c r="X84" s="108"/>
      <c r="Y84" s="108"/>
      <c r="Z84" s="108"/>
    </row>
    <row r="85" spans="1:26" ht="114.75" customHeight="1">
      <c r="A85" s="104"/>
      <c r="B85" s="891" t="s">
        <v>83</v>
      </c>
      <c r="C85" s="91">
        <v>1</v>
      </c>
      <c r="D85" s="91">
        <v>0</v>
      </c>
      <c r="E85" s="91">
        <v>0</v>
      </c>
      <c r="F85" s="91">
        <v>1</v>
      </c>
      <c r="G85" s="91">
        <v>1</v>
      </c>
      <c r="H85" s="91">
        <v>1</v>
      </c>
      <c r="I85" s="53" t="s">
        <v>38</v>
      </c>
      <c r="J85" s="69" t="s">
        <v>949</v>
      </c>
      <c r="K85" s="122" t="s">
        <v>950</v>
      </c>
      <c r="L85" s="116" t="s">
        <v>748</v>
      </c>
      <c r="M85" s="69" t="s">
        <v>951</v>
      </c>
      <c r="N85" s="69" t="s">
        <v>952</v>
      </c>
      <c r="O85" s="69" t="s">
        <v>953</v>
      </c>
      <c r="P85" s="101"/>
      <c r="Q85" s="107"/>
      <c r="R85" s="107"/>
      <c r="S85" s="108"/>
      <c r="T85" s="108"/>
      <c r="U85" s="108"/>
      <c r="V85" s="108"/>
      <c r="W85" s="108"/>
      <c r="X85" s="108"/>
      <c r="Y85" s="108"/>
      <c r="Z85" s="108"/>
    </row>
    <row r="86" spans="1:26" ht="13.5" customHeight="1">
      <c r="A86" s="104"/>
      <c r="B86" s="105"/>
      <c r="C86" s="91"/>
      <c r="D86" s="91"/>
      <c r="E86" s="91"/>
      <c r="F86" s="91"/>
      <c r="G86" s="91"/>
      <c r="H86" s="91"/>
      <c r="I86" s="53"/>
      <c r="J86" s="69"/>
      <c r="K86" s="69"/>
      <c r="L86" s="69"/>
      <c r="M86" s="69"/>
      <c r="N86" s="69"/>
      <c r="O86" s="69"/>
      <c r="P86" s="101"/>
      <c r="Q86" s="107"/>
      <c r="R86" s="107"/>
      <c r="S86" s="108"/>
      <c r="T86" s="108"/>
      <c r="U86" s="108"/>
      <c r="V86" s="108"/>
      <c r="W86" s="108"/>
      <c r="X86" s="108"/>
      <c r="Y86" s="108"/>
      <c r="Z86" s="108"/>
    </row>
    <row r="87" spans="1:26" ht="36" customHeight="1">
      <c r="A87" s="119" t="s">
        <v>954</v>
      </c>
      <c r="B87" s="121" t="s">
        <v>243</v>
      </c>
      <c r="C87" s="51">
        <f t="shared" ref="C87:H87" si="23">AVERAGE(C88,C103,C165)</f>
        <v>0.70666177082474679</v>
      </c>
      <c r="D87" s="51">
        <f t="shared" si="23"/>
        <v>0.75332010582010589</v>
      </c>
      <c r="E87" s="51">
        <f t="shared" si="23"/>
        <v>0.15488574731079713</v>
      </c>
      <c r="F87" s="51">
        <f t="shared" si="23"/>
        <v>0.6057543685952248</v>
      </c>
      <c r="G87" s="51">
        <f t="shared" si="23"/>
        <v>0.4443703152655743</v>
      </c>
      <c r="H87" s="51">
        <f t="shared" si="23"/>
        <v>0.44312345955544186</v>
      </c>
      <c r="I87" s="53"/>
      <c r="J87" s="56"/>
      <c r="K87" s="56"/>
      <c r="L87" s="56"/>
      <c r="M87" s="56"/>
      <c r="N87" s="56"/>
      <c r="O87" s="56"/>
      <c r="P87" s="102"/>
      <c r="Q87" s="102"/>
      <c r="R87" s="102"/>
      <c r="S87" s="103"/>
      <c r="T87" s="103"/>
      <c r="U87" s="103"/>
      <c r="V87" s="103"/>
      <c r="W87" s="103"/>
      <c r="X87" s="103"/>
      <c r="Y87" s="103"/>
      <c r="Z87" s="103"/>
    </row>
    <row r="88" spans="1:26" ht="53.25" customHeight="1">
      <c r="A88" s="119" t="s">
        <v>955</v>
      </c>
      <c r="B88" s="121" t="s">
        <v>245</v>
      </c>
      <c r="C88" s="51">
        <f t="shared" ref="C88:H88" si="24">AVERAGE(C89,C91,C93,C95,C97,C99,C101)</f>
        <v>0.8571428571428571</v>
      </c>
      <c r="D88" s="51">
        <f t="shared" si="24"/>
        <v>0.5714285714285714</v>
      </c>
      <c r="E88" s="51">
        <f t="shared" si="24"/>
        <v>0</v>
      </c>
      <c r="F88" s="51">
        <f t="shared" si="24"/>
        <v>0.42857142857142855</v>
      </c>
      <c r="G88" s="51">
        <f t="shared" si="24"/>
        <v>0.5714285714285714</v>
      </c>
      <c r="H88" s="51">
        <f t="shared" si="24"/>
        <v>0.42857142857142855</v>
      </c>
      <c r="I88" s="53"/>
      <c r="J88" s="56"/>
      <c r="K88" s="56"/>
      <c r="L88" s="56"/>
      <c r="M88" s="56"/>
      <c r="N88" s="56"/>
      <c r="O88" s="56"/>
      <c r="P88" s="102"/>
      <c r="Q88" s="102"/>
      <c r="R88" s="102"/>
      <c r="S88" s="103"/>
      <c r="T88" s="103"/>
      <c r="U88" s="103"/>
      <c r="V88" s="103"/>
      <c r="W88" s="103"/>
      <c r="X88" s="103"/>
      <c r="Y88" s="103"/>
      <c r="Z88" s="103"/>
    </row>
    <row r="89" spans="1:26" ht="39.75" customHeight="1">
      <c r="A89" s="104" t="s">
        <v>736</v>
      </c>
      <c r="B89" s="173" t="s">
        <v>246</v>
      </c>
      <c r="C89" s="91">
        <v>1</v>
      </c>
      <c r="D89" s="91">
        <v>0</v>
      </c>
      <c r="E89" s="91">
        <v>0</v>
      </c>
      <c r="F89" s="91">
        <v>1</v>
      </c>
      <c r="G89" s="91">
        <v>1</v>
      </c>
      <c r="H89" s="91">
        <v>0</v>
      </c>
      <c r="I89" s="53" t="s">
        <v>38</v>
      </c>
      <c r="J89" s="69" t="s">
        <v>811</v>
      </c>
      <c r="K89" s="116" t="s">
        <v>956</v>
      </c>
      <c r="L89" s="69" t="s">
        <v>748</v>
      </c>
      <c r="M89" s="69" t="s">
        <v>957</v>
      </c>
      <c r="N89" s="69" t="s">
        <v>811</v>
      </c>
      <c r="O89" s="69" t="s">
        <v>958</v>
      </c>
      <c r="P89" s="101"/>
      <c r="Q89" s="107"/>
      <c r="R89" s="107"/>
      <c r="S89" s="108"/>
      <c r="T89" s="108"/>
      <c r="U89" s="108"/>
      <c r="V89" s="108"/>
      <c r="W89" s="108"/>
      <c r="X89" s="108"/>
      <c r="Y89" s="108"/>
      <c r="Z89" s="108"/>
    </row>
    <row r="90" spans="1:26" ht="13.5" customHeight="1">
      <c r="A90" s="104"/>
      <c r="B90" s="173"/>
      <c r="C90" s="91"/>
      <c r="D90" s="91"/>
      <c r="E90" s="91"/>
      <c r="F90" s="91"/>
      <c r="G90" s="91"/>
      <c r="H90" s="91"/>
      <c r="I90" s="53"/>
      <c r="J90" s="69"/>
      <c r="K90" s="115"/>
      <c r="L90" s="69"/>
      <c r="M90" s="69"/>
      <c r="N90" s="134"/>
      <c r="O90" s="115"/>
      <c r="P90" s="101"/>
      <c r="Q90" s="107"/>
      <c r="R90" s="107"/>
      <c r="S90" s="108"/>
      <c r="T90" s="108"/>
      <c r="U90" s="108"/>
      <c r="V90" s="108"/>
      <c r="W90" s="108"/>
      <c r="X90" s="108"/>
      <c r="Y90" s="108"/>
      <c r="Z90" s="108"/>
    </row>
    <row r="91" spans="1:26" ht="48.75" customHeight="1">
      <c r="A91" s="104" t="s">
        <v>736</v>
      </c>
      <c r="B91" s="173" t="s">
        <v>247</v>
      </c>
      <c r="C91" s="91">
        <v>1</v>
      </c>
      <c r="D91" s="91">
        <v>1</v>
      </c>
      <c r="E91" s="91">
        <v>0</v>
      </c>
      <c r="F91" s="91">
        <v>1</v>
      </c>
      <c r="G91" s="91">
        <v>1</v>
      </c>
      <c r="H91" s="91">
        <v>1</v>
      </c>
      <c r="I91" s="53" t="s">
        <v>38</v>
      </c>
      <c r="J91" s="69" t="s">
        <v>959</v>
      </c>
      <c r="K91" s="69" t="s">
        <v>960</v>
      </c>
      <c r="L91" s="69" t="s">
        <v>748</v>
      </c>
      <c r="M91" s="69" t="s">
        <v>961</v>
      </c>
      <c r="N91" s="120" t="s">
        <v>811</v>
      </c>
      <c r="O91" s="69" t="s">
        <v>811</v>
      </c>
      <c r="P91" s="101"/>
      <c r="Q91" s="107"/>
      <c r="R91" s="107"/>
      <c r="S91" s="108"/>
      <c r="T91" s="108"/>
      <c r="U91" s="108"/>
      <c r="V91" s="108"/>
      <c r="W91" s="108"/>
      <c r="X91" s="108"/>
      <c r="Y91" s="108"/>
      <c r="Z91" s="108"/>
    </row>
    <row r="92" spans="1:26" ht="13.5" customHeight="1">
      <c r="A92" s="104"/>
      <c r="B92" s="173"/>
      <c r="C92" s="91"/>
      <c r="D92" s="91"/>
      <c r="E92" s="91"/>
      <c r="F92" s="91"/>
      <c r="G92" s="91"/>
      <c r="H92" s="91"/>
      <c r="I92" s="53"/>
      <c r="J92" s="69"/>
      <c r="K92" s="115"/>
      <c r="L92" s="69"/>
      <c r="M92" s="69"/>
      <c r="N92" s="109"/>
      <c r="O92" s="115"/>
      <c r="P92" s="101"/>
      <c r="Q92" s="107"/>
      <c r="R92" s="107"/>
      <c r="S92" s="108"/>
      <c r="T92" s="108"/>
      <c r="U92" s="108"/>
      <c r="V92" s="108"/>
      <c r="W92" s="108"/>
      <c r="X92" s="108"/>
      <c r="Y92" s="108"/>
      <c r="Z92" s="108"/>
    </row>
    <row r="93" spans="1:26" ht="87" customHeight="1">
      <c r="A93" s="104" t="s">
        <v>736</v>
      </c>
      <c r="B93" s="173" t="s">
        <v>248</v>
      </c>
      <c r="C93" s="91">
        <v>0</v>
      </c>
      <c r="D93" s="91">
        <v>0</v>
      </c>
      <c r="E93" s="91">
        <v>0</v>
      </c>
      <c r="F93" s="91">
        <v>0</v>
      </c>
      <c r="G93" s="91">
        <v>0</v>
      </c>
      <c r="H93" s="91">
        <v>1</v>
      </c>
      <c r="I93" s="53" t="s">
        <v>38</v>
      </c>
      <c r="J93" s="109" t="s">
        <v>748</v>
      </c>
      <c r="K93" s="69" t="s">
        <v>748</v>
      </c>
      <c r="L93" s="69" t="s">
        <v>748</v>
      </c>
      <c r="M93" s="69" t="s">
        <v>748</v>
      </c>
      <c r="N93" s="69" t="s">
        <v>748</v>
      </c>
      <c r="O93" s="69" t="s">
        <v>811</v>
      </c>
      <c r="P93" s="101"/>
      <c r="Q93" s="107"/>
      <c r="R93" s="107"/>
      <c r="S93" s="108"/>
      <c r="T93" s="108"/>
      <c r="U93" s="108"/>
      <c r="V93" s="108"/>
      <c r="W93" s="108"/>
      <c r="X93" s="108"/>
      <c r="Y93" s="108"/>
      <c r="Z93" s="108"/>
    </row>
    <row r="94" spans="1:26" ht="13.5" customHeight="1">
      <c r="A94" s="104"/>
      <c r="B94" s="173"/>
      <c r="C94" s="91"/>
      <c r="D94" s="91"/>
      <c r="E94" s="91"/>
      <c r="F94" s="91"/>
      <c r="G94" s="91"/>
      <c r="H94" s="91"/>
      <c r="I94" s="53"/>
      <c r="J94" s="109"/>
      <c r="K94" s="115"/>
      <c r="L94" s="69"/>
      <c r="M94" s="69"/>
      <c r="N94" s="109"/>
      <c r="O94" s="115"/>
      <c r="P94" s="101"/>
      <c r="Q94" s="107"/>
      <c r="R94" s="107"/>
      <c r="S94" s="108"/>
      <c r="T94" s="108"/>
      <c r="U94" s="108"/>
      <c r="V94" s="108"/>
      <c r="W94" s="108"/>
      <c r="X94" s="108"/>
      <c r="Y94" s="108"/>
      <c r="Z94" s="108"/>
    </row>
    <row r="95" spans="1:26" ht="43.5" customHeight="1">
      <c r="A95" s="104" t="s">
        <v>736</v>
      </c>
      <c r="B95" s="173" t="s">
        <v>249</v>
      </c>
      <c r="C95" s="91">
        <v>1</v>
      </c>
      <c r="D95" s="899">
        <v>0</v>
      </c>
      <c r="E95" s="91">
        <v>0</v>
      </c>
      <c r="F95" s="91">
        <v>0</v>
      </c>
      <c r="G95" s="91">
        <v>1</v>
      </c>
      <c r="H95" s="91">
        <v>0</v>
      </c>
      <c r="I95" s="53" t="s">
        <v>38</v>
      </c>
      <c r="J95" s="69" t="s">
        <v>962</v>
      </c>
      <c r="K95" s="116" t="s">
        <v>963</v>
      </c>
      <c r="L95" s="69" t="s">
        <v>748</v>
      </c>
      <c r="M95" s="69" t="s">
        <v>748</v>
      </c>
      <c r="N95" s="120" t="s">
        <v>811</v>
      </c>
      <c r="O95" s="69" t="s">
        <v>964</v>
      </c>
      <c r="P95" s="101"/>
      <c r="Q95" s="107"/>
      <c r="R95" s="107"/>
      <c r="S95" s="108"/>
      <c r="T95" s="108"/>
      <c r="U95" s="108"/>
      <c r="V95" s="108"/>
      <c r="W95" s="108"/>
      <c r="X95" s="108"/>
      <c r="Y95" s="108"/>
      <c r="Z95" s="108"/>
    </row>
    <row r="96" spans="1:26" ht="20.25" customHeight="1">
      <c r="A96" s="104"/>
      <c r="B96" s="173"/>
      <c r="C96" s="91"/>
      <c r="D96" s="899"/>
      <c r="E96" s="91"/>
      <c r="F96" s="91"/>
      <c r="G96" s="91"/>
      <c r="H96" s="91"/>
      <c r="I96" s="53"/>
      <c r="J96" s="69"/>
      <c r="K96" s="115"/>
      <c r="L96" s="69"/>
      <c r="M96" s="69"/>
      <c r="N96" s="120"/>
      <c r="O96" s="69"/>
      <c r="P96" s="101"/>
      <c r="Q96" s="107"/>
      <c r="R96" s="107"/>
      <c r="S96" s="108"/>
      <c r="T96" s="108"/>
      <c r="U96" s="108"/>
      <c r="V96" s="108"/>
      <c r="W96" s="108"/>
      <c r="X96" s="108"/>
      <c r="Y96" s="108"/>
      <c r="Z96" s="108"/>
    </row>
    <row r="97" spans="1:26" ht="42" customHeight="1">
      <c r="A97" s="104" t="s">
        <v>736</v>
      </c>
      <c r="B97" s="173" t="s">
        <v>250</v>
      </c>
      <c r="C97" s="91">
        <v>1</v>
      </c>
      <c r="D97" s="91">
        <v>1</v>
      </c>
      <c r="E97" s="91">
        <v>0</v>
      </c>
      <c r="F97" s="91">
        <v>1</v>
      </c>
      <c r="G97" s="91">
        <v>1</v>
      </c>
      <c r="H97" s="91">
        <v>1</v>
      </c>
      <c r="I97" s="53" t="s">
        <v>38</v>
      </c>
      <c r="J97" s="69" t="s">
        <v>965</v>
      </c>
      <c r="K97" s="115" t="s">
        <v>811</v>
      </c>
      <c r="L97" s="69" t="s">
        <v>748</v>
      </c>
      <c r="M97" s="69" t="s">
        <v>966</v>
      </c>
      <c r="N97" s="120" t="s">
        <v>811</v>
      </c>
      <c r="O97" s="69" t="s">
        <v>811</v>
      </c>
      <c r="P97" s="101"/>
      <c r="Q97" s="107"/>
      <c r="R97" s="107"/>
      <c r="S97" s="108"/>
      <c r="T97" s="108"/>
      <c r="U97" s="108"/>
      <c r="V97" s="108"/>
      <c r="W97" s="108"/>
      <c r="X97" s="108"/>
      <c r="Y97" s="108"/>
      <c r="Z97" s="108"/>
    </row>
    <row r="98" spans="1:26" ht="13.5" customHeight="1">
      <c r="A98" s="104"/>
      <c r="B98" s="173"/>
      <c r="C98" s="91"/>
      <c r="D98" s="91"/>
      <c r="E98" s="91"/>
      <c r="F98" s="91"/>
      <c r="G98" s="91"/>
      <c r="H98" s="91"/>
      <c r="I98" s="53"/>
      <c r="J98" s="109"/>
      <c r="K98" s="115"/>
      <c r="L98" s="69"/>
      <c r="M98" s="69"/>
      <c r="N98" s="134"/>
      <c r="O98" s="115"/>
      <c r="P98" s="101"/>
      <c r="Q98" s="107"/>
      <c r="R98" s="107"/>
      <c r="S98" s="108"/>
      <c r="T98" s="108"/>
      <c r="U98" s="108"/>
      <c r="V98" s="108"/>
      <c r="W98" s="108"/>
      <c r="X98" s="108"/>
      <c r="Y98" s="108"/>
      <c r="Z98" s="108"/>
    </row>
    <row r="99" spans="1:26" ht="27.75" customHeight="1">
      <c r="A99" s="104" t="s">
        <v>736</v>
      </c>
      <c r="B99" s="173" t="s">
        <v>251</v>
      </c>
      <c r="C99" s="91">
        <v>1</v>
      </c>
      <c r="D99" s="91">
        <v>1</v>
      </c>
      <c r="E99" s="91">
        <v>0</v>
      </c>
      <c r="F99" s="91">
        <v>0</v>
      </c>
      <c r="G99" s="91">
        <v>0</v>
      </c>
      <c r="H99" s="91">
        <v>0</v>
      </c>
      <c r="I99" s="53" t="s">
        <v>38</v>
      </c>
      <c r="J99" s="69" t="s">
        <v>967</v>
      </c>
      <c r="K99" s="115" t="s">
        <v>811</v>
      </c>
      <c r="L99" s="69" t="s">
        <v>748</v>
      </c>
      <c r="M99" s="69" t="s">
        <v>748</v>
      </c>
      <c r="N99" s="134" t="s">
        <v>748</v>
      </c>
      <c r="O99" s="115" t="s">
        <v>968</v>
      </c>
      <c r="P99" s="101"/>
      <c r="Q99" s="107"/>
      <c r="R99" s="107"/>
      <c r="S99" s="108"/>
      <c r="T99" s="108"/>
      <c r="U99" s="108"/>
      <c r="V99" s="108"/>
      <c r="W99" s="108"/>
      <c r="X99" s="108"/>
      <c r="Y99" s="108"/>
      <c r="Z99" s="108"/>
    </row>
    <row r="100" spans="1:26" ht="13.5" customHeight="1">
      <c r="A100" s="104"/>
      <c r="B100" s="173"/>
      <c r="C100" s="91"/>
      <c r="D100" s="91"/>
      <c r="E100" s="91"/>
      <c r="F100" s="91"/>
      <c r="G100" s="91"/>
      <c r="H100" s="91"/>
      <c r="I100" s="53"/>
      <c r="J100" s="109"/>
      <c r="K100" s="115"/>
      <c r="L100" s="69"/>
      <c r="M100" s="69"/>
      <c r="N100" s="134"/>
      <c r="O100" s="115"/>
      <c r="P100" s="101"/>
      <c r="Q100" s="107"/>
      <c r="R100" s="107"/>
      <c r="S100" s="108"/>
      <c r="T100" s="108"/>
      <c r="U100" s="108"/>
      <c r="V100" s="108"/>
      <c r="W100" s="108"/>
      <c r="X100" s="108"/>
      <c r="Y100" s="108"/>
      <c r="Z100" s="108"/>
    </row>
    <row r="101" spans="1:26" ht="27.75" customHeight="1">
      <c r="A101" s="104" t="s">
        <v>736</v>
      </c>
      <c r="B101" s="173" t="s">
        <v>252</v>
      </c>
      <c r="C101" s="91">
        <v>1</v>
      </c>
      <c r="D101" s="91">
        <v>1</v>
      </c>
      <c r="E101" s="91">
        <v>0</v>
      </c>
      <c r="F101" s="91">
        <v>0</v>
      </c>
      <c r="G101" s="91">
        <v>0</v>
      </c>
      <c r="H101" s="91">
        <v>0</v>
      </c>
      <c r="I101" s="53" t="s">
        <v>38</v>
      </c>
      <c r="J101" s="69" t="s">
        <v>969</v>
      </c>
      <c r="K101" s="115" t="s">
        <v>811</v>
      </c>
      <c r="L101" s="69" t="s">
        <v>748</v>
      </c>
      <c r="M101" s="69" t="s">
        <v>748</v>
      </c>
      <c r="N101" s="134" t="s">
        <v>748</v>
      </c>
      <c r="O101" s="115" t="s">
        <v>748</v>
      </c>
      <c r="P101" s="101"/>
      <c r="Q101" s="107"/>
      <c r="R101" s="107"/>
      <c r="S101" s="108"/>
      <c r="T101" s="108"/>
      <c r="U101" s="108"/>
      <c r="V101" s="108"/>
      <c r="W101" s="108"/>
      <c r="X101" s="108"/>
      <c r="Y101" s="108"/>
      <c r="Z101" s="108"/>
    </row>
    <row r="102" spans="1:26" ht="20.25" customHeight="1">
      <c r="A102" s="104"/>
      <c r="B102" s="179"/>
      <c r="C102" s="91"/>
      <c r="D102" s="91"/>
      <c r="E102" s="91"/>
      <c r="F102" s="91"/>
      <c r="G102" s="91"/>
      <c r="H102" s="91"/>
      <c r="I102" s="53"/>
      <c r="J102" s="69"/>
      <c r="K102" s="109"/>
      <c r="L102" s="109"/>
      <c r="M102" s="69"/>
      <c r="N102" s="109"/>
      <c r="O102" s="109"/>
      <c r="P102" s="101"/>
      <c r="Q102" s="107"/>
      <c r="R102" s="107"/>
      <c r="S102" s="108"/>
      <c r="T102" s="108"/>
      <c r="U102" s="108"/>
      <c r="V102" s="108"/>
      <c r="W102" s="108"/>
      <c r="X102" s="108"/>
      <c r="Y102" s="108"/>
      <c r="Z102" s="108"/>
    </row>
    <row r="103" spans="1:26" ht="35.25" customHeight="1">
      <c r="A103" s="181" t="s">
        <v>970</v>
      </c>
      <c r="B103" s="183" t="s">
        <v>254</v>
      </c>
      <c r="C103" s="51">
        <f t="shared" ref="C103:H103" si="25">AVERAGE(C104,C106,C115,C117,C137,C139,C147,C152,C156,C163)</f>
        <v>0.83253968253968258</v>
      </c>
      <c r="D103" s="51">
        <f t="shared" si="25"/>
        <v>0.92888888888888899</v>
      </c>
      <c r="E103" s="51">
        <f t="shared" si="25"/>
        <v>0.31936507936507935</v>
      </c>
      <c r="F103" s="51">
        <f t="shared" si="25"/>
        <v>0.88015873015873003</v>
      </c>
      <c r="G103" s="51">
        <f t="shared" si="25"/>
        <v>0.48539682539682544</v>
      </c>
      <c r="H103" s="51">
        <f t="shared" si="25"/>
        <v>0.50753968253968262</v>
      </c>
      <c r="I103" s="53"/>
      <c r="J103" s="26"/>
      <c r="K103" s="26"/>
      <c r="L103" s="26"/>
      <c r="M103" s="139"/>
      <c r="N103" s="139"/>
      <c r="O103" s="26"/>
      <c r="P103" s="98"/>
      <c r="Q103" s="171"/>
      <c r="R103" s="171"/>
      <c r="S103" s="172"/>
      <c r="T103" s="172"/>
      <c r="U103" s="172"/>
      <c r="V103" s="172"/>
      <c r="W103" s="172"/>
      <c r="X103" s="172"/>
      <c r="Y103" s="172"/>
      <c r="Z103" s="172"/>
    </row>
    <row r="104" spans="1:26" ht="111" customHeight="1">
      <c r="A104" s="104" t="s">
        <v>736</v>
      </c>
      <c r="B104" s="60" t="s">
        <v>255</v>
      </c>
      <c r="C104" s="91">
        <v>1</v>
      </c>
      <c r="D104" s="91">
        <v>1</v>
      </c>
      <c r="E104" s="91">
        <v>0</v>
      </c>
      <c r="F104" s="91">
        <v>1</v>
      </c>
      <c r="G104" s="91">
        <v>0</v>
      </c>
      <c r="H104" s="91">
        <v>0</v>
      </c>
      <c r="I104" s="53" t="s">
        <v>38</v>
      </c>
      <c r="J104" s="69" t="s">
        <v>971</v>
      </c>
      <c r="K104" s="69" t="s">
        <v>972</v>
      </c>
      <c r="L104" s="69" t="s">
        <v>973</v>
      </c>
      <c r="M104" s="69" t="s">
        <v>974</v>
      </c>
      <c r="N104" s="69" t="s">
        <v>748</v>
      </c>
      <c r="O104" s="109" t="s">
        <v>943</v>
      </c>
      <c r="P104" s="98"/>
      <c r="Q104" s="141"/>
      <c r="R104" s="141"/>
      <c r="S104" s="142"/>
      <c r="T104" s="142"/>
      <c r="U104" s="142"/>
      <c r="V104" s="142"/>
      <c r="W104" s="142"/>
      <c r="X104" s="142"/>
      <c r="Y104" s="142"/>
      <c r="Z104" s="142"/>
    </row>
    <row r="105" spans="1:26" ht="19.5" customHeight="1">
      <c r="A105" s="104"/>
      <c r="B105" s="60"/>
      <c r="C105" s="91"/>
      <c r="D105" s="91"/>
      <c r="E105" s="91"/>
      <c r="F105" s="91"/>
      <c r="G105" s="91"/>
      <c r="H105" s="91"/>
      <c r="I105" s="53"/>
      <c r="J105" s="69"/>
      <c r="K105" s="69"/>
      <c r="L105" s="185"/>
      <c r="M105" s="69"/>
      <c r="N105" s="69"/>
      <c r="O105" s="69"/>
      <c r="P105" s="98"/>
      <c r="Q105" s="141"/>
      <c r="R105" s="141"/>
      <c r="S105" s="142"/>
      <c r="T105" s="142"/>
      <c r="U105" s="142"/>
      <c r="V105" s="142"/>
      <c r="W105" s="142"/>
      <c r="X105" s="142"/>
      <c r="Y105" s="142"/>
      <c r="Z105" s="142"/>
    </row>
    <row r="106" spans="1:26" ht="93.75" customHeight="1">
      <c r="A106" s="104" t="s">
        <v>736</v>
      </c>
      <c r="B106" s="60" t="s">
        <v>975</v>
      </c>
      <c r="C106" s="91">
        <f t="shared" ref="C106:H106" si="26">AVERAGE(C107:C113)</f>
        <v>0.7142857142857143</v>
      </c>
      <c r="D106" s="91">
        <f t="shared" si="26"/>
        <v>1</v>
      </c>
      <c r="E106" s="91">
        <f t="shared" si="26"/>
        <v>0.5714285714285714</v>
      </c>
      <c r="F106" s="91">
        <f t="shared" si="26"/>
        <v>0.8571428571428571</v>
      </c>
      <c r="G106" s="91">
        <f t="shared" si="26"/>
        <v>0.6428571428571429</v>
      </c>
      <c r="H106" s="91">
        <f t="shared" si="26"/>
        <v>0.7142857142857143</v>
      </c>
      <c r="I106" s="53"/>
      <c r="J106" s="69"/>
      <c r="K106" s="69"/>
      <c r="L106" s="189"/>
      <c r="M106" s="69"/>
      <c r="N106" s="69"/>
      <c r="O106" s="109"/>
      <c r="P106" s="98"/>
      <c r="Q106" s="141"/>
      <c r="R106" s="141"/>
      <c r="S106" s="142"/>
      <c r="T106" s="142"/>
      <c r="U106" s="142"/>
      <c r="V106" s="142"/>
      <c r="W106" s="142"/>
      <c r="X106" s="142"/>
      <c r="Y106" s="142"/>
      <c r="Z106" s="142"/>
    </row>
    <row r="107" spans="1:26" ht="67.5" customHeight="1">
      <c r="A107" s="104"/>
      <c r="B107" s="193" t="s">
        <v>257</v>
      </c>
      <c r="C107" s="91">
        <v>1</v>
      </c>
      <c r="D107" s="91">
        <v>1</v>
      </c>
      <c r="E107" s="91">
        <v>1</v>
      </c>
      <c r="F107" s="899">
        <v>1</v>
      </c>
      <c r="G107" s="91">
        <v>1</v>
      </c>
      <c r="H107" s="91">
        <v>1</v>
      </c>
      <c r="I107" s="53" t="s">
        <v>258</v>
      </c>
      <c r="J107" s="69" t="s">
        <v>976</v>
      </c>
      <c r="K107" s="69" t="s">
        <v>811</v>
      </c>
      <c r="L107" s="69" t="s">
        <v>811</v>
      </c>
      <c r="M107" s="69" t="s">
        <v>977</v>
      </c>
      <c r="N107" s="69" t="s">
        <v>811</v>
      </c>
      <c r="O107" s="109" t="s">
        <v>811</v>
      </c>
      <c r="P107" s="98"/>
      <c r="Q107" s="141"/>
      <c r="R107" s="141"/>
      <c r="S107" s="142"/>
      <c r="T107" s="142"/>
      <c r="U107" s="142"/>
      <c r="V107" s="142"/>
      <c r="W107" s="142"/>
      <c r="X107" s="142"/>
      <c r="Y107" s="142"/>
      <c r="Z107" s="142"/>
    </row>
    <row r="108" spans="1:26" ht="60" customHeight="1">
      <c r="A108" s="104"/>
      <c r="B108" s="193" t="s">
        <v>259</v>
      </c>
      <c r="C108" s="91">
        <v>1</v>
      </c>
      <c r="D108" s="91">
        <v>1</v>
      </c>
      <c r="E108" s="91">
        <v>1</v>
      </c>
      <c r="F108" s="91">
        <v>1</v>
      </c>
      <c r="G108" s="91">
        <v>1</v>
      </c>
      <c r="H108" s="91">
        <v>1</v>
      </c>
      <c r="I108" s="53" t="s">
        <v>123</v>
      </c>
      <c r="J108" s="69" t="s">
        <v>978</v>
      </c>
      <c r="K108" s="69" t="s">
        <v>979</v>
      </c>
      <c r="L108" s="69" t="s">
        <v>811</v>
      </c>
      <c r="M108" s="69" t="s">
        <v>980</v>
      </c>
      <c r="N108" s="69" t="s">
        <v>811</v>
      </c>
      <c r="O108" s="69" t="s">
        <v>981</v>
      </c>
      <c r="P108" s="47"/>
      <c r="Q108" s="141"/>
      <c r="R108" s="141"/>
      <c r="S108" s="142"/>
      <c r="T108" s="142"/>
      <c r="U108" s="142"/>
      <c r="V108" s="142"/>
      <c r="W108" s="142"/>
      <c r="X108" s="142"/>
      <c r="Y108" s="142"/>
      <c r="Z108" s="142"/>
    </row>
    <row r="109" spans="1:26" ht="63.75" customHeight="1">
      <c r="A109" s="104"/>
      <c r="B109" s="193" t="s">
        <v>260</v>
      </c>
      <c r="C109" s="91">
        <v>0</v>
      </c>
      <c r="D109" s="91">
        <v>1</v>
      </c>
      <c r="E109" s="91">
        <v>0</v>
      </c>
      <c r="F109" s="899">
        <v>0</v>
      </c>
      <c r="G109" s="91">
        <v>0</v>
      </c>
      <c r="H109" s="91">
        <v>0</v>
      </c>
      <c r="I109" s="53" t="s">
        <v>123</v>
      </c>
      <c r="J109" s="69" t="s">
        <v>982</v>
      </c>
      <c r="K109" s="69" t="s">
        <v>811</v>
      </c>
      <c r="L109" s="69" t="s">
        <v>748</v>
      </c>
      <c r="M109" s="69" t="s">
        <v>983</v>
      </c>
      <c r="N109" s="120" t="s">
        <v>748</v>
      </c>
      <c r="O109" s="69" t="s">
        <v>984</v>
      </c>
      <c r="P109" s="98"/>
      <c r="Q109" s="141"/>
      <c r="R109" s="141"/>
      <c r="S109" s="142"/>
      <c r="T109" s="142"/>
      <c r="U109" s="142"/>
      <c r="V109" s="142"/>
      <c r="W109" s="142"/>
      <c r="X109" s="142"/>
      <c r="Y109" s="142"/>
      <c r="Z109" s="142"/>
    </row>
    <row r="110" spans="1:26" ht="58.5" customHeight="1">
      <c r="A110" s="104"/>
      <c r="B110" s="193" t="s">
        <v>261</v>
      </c>
      <c r="C110" s="91">
        <v>0</v>
      </c>
      <c r="D110" s="91">
        <v>1</v>
      </c>
      <c r="E110" s="91">
        <v>0</v>
      </c>
      <c r="F110" s="899">
        <v>1</v>
      </c>
      <c r="G110" s="91">
        <v>0</v>
      </c>
      <c r="H110" s="91">
        <v>0</v>
      </c>
      <c r="I110" s="53" t="s">
        <v>262</v>
      </c>
      <c r="J110" s="69" t="s">
        <v>748</v>
      </c>
      <c r="K110" s="69" t="s">
        <v>985</v>
      </c>
      <c r="L110" s="69" t="s">
        <v>748</v>
      </c>
      <c r="M110" s="69" t="s">
        <v>986</v>
      </c>
      <c r="N110" s="120" t="s">
        <v>987</v>
      </c>
      <c r="O110" s="69" t="s">
        <v>748</v>
      </c>
      <c r="P110" s="98"/>
      <c r="Q110" s="141"/>
      <c r="R110" s="141"/>
      <c r="S110" s="142"/>
      <c r="T110" s="142"/>
      <c r="U110" s="142"/>
      <c r="V110" s="142"/>
      <c r="W110" s="142"/>
      <c r="X110" s="142"/>
      <c r="Y110" s="142"/>
      <c r="Z110" s="142"/>
    </row>
    <row r="111" spans="1:26" ht="64.5" customHeight="1">
      <c r="A111" s="104"/>
      <c r="B111" s="193" t="s">
        <v>263</v>
      </c>
      <c r="C111" s="91">
        <v>1</v>
      </c>
      <c r="D111" s="91">
        <v>1</v>
      </c>
      <c r="E111" s="91">
        <v>1</v>
      </c>
      <c r="F111" s="91">
        <v>1</v>
      </c>
      <c r="G111" s="91">
        <v>0.5</v>
      </c>
      <c r="H111" s="91">
        <v>1</v>
      </c>
      <c r="I111" s="53" t="s">
        <v>123</v>
      </c>
      <c r="J111" s="69" t="s">
        <v>988</v>
      </c>
      <c r="K111" s="69" t="s">
        <v>989</v>
      </c>
      <c r="L111" s="69" t="s">
        <v>811</v>
      </c>
      <c r="M111" s="69" t="s">
        <v>990</v>
      </c>
      <c r="N111" s="134" t="s">
        <v>991</v>
      </c>
      <c r="O111" s="69" t="s">
        <v>992</v>
      </c>
      <c r="P111" s="98"/>
      <c r="Q111" s="141"/>
      <c r="R111" s="141"/>
      <c r="S111" s="142"/>
      <c r="T111" s="142"/>
      <c r="U111" s="142"/>
      <c r="V111" s="142"/>
      <c r="W111" s="142"/>
      <c r="X111" s="142"/>
      <c r="Y111" s="142"/>
      <c r="Z111" s="142"/>
    </row>
    <row r="112" spans="1:26" ht="60.75" customHeight="1">
      <c r="A112" s="104"/>
      <c r="B112" s="193" t="s">
        <v>264</v>
      </c>
      <c r="C112" s="91">
        <v>1</v>
      </c>
      <c r="D112" s="91">
        <v>1</v>
      </c>
      <c r="E112" s="91">
        <v>1</v>
      </c>
      <c r="F112" s="91">
        <v>1</v>
      </c>
      <c r="G112" s="899">
        <v>1</v>
      </c>
      <c r="H112" s="91">
        <v>1</v>
      </c>
      <c r="I112" s="53" t="s">
        <v>123</v>
      </c>
      <c r="J112" s="69" t="s">
        <v>993</v>
      </c>
      <c r="K112" s="69" t="s">
        <v>811</v>
      </c>
      <c r="L112" s="69" t="s">
        <v>811</v>
      </c>
      <c r="M112" s="196" t="str">
        <f>HYPERLINK("https://matsne.gov.ge/index.php?option=com_ldmssearch&amp;view=docView&amp;id=1659419&amp;lang=ge","The Law of Georgia on Safety of Products and Free Circulation provides a very general principle of non-discrimination in provision of similar-type products on the market. ")</f>
        <v xml:space="preserve">The Law of Georgia on Safety of Products and Free Circulation provides a very general principle of non-discrimination in provision of similar-type products on the market. </v>
      </c>
      <c r="N112" s="69" t="s">
        <v>811</v>
      </c>
      <c r="O112" s="69" t="s">
        <v>811</v>
      </c>
      <c r="P112" s="98"/>
      <c r="Q112" s="141"/>
      <c r="R112" s="141"/>
      <c r="S112" s="142"/>
      <c r="T112" s="142"/>
      <c r="U112" s="142"/>
      <c r="V112" s="142"/>
      <c r="W112" s="142"/>
      <c r="X112" s="142"/>
      <c r="Y112" s="142"/>
      <c r="Z112" s="142"/>
    </row>
    <row r="113" spans="1:26" ht="45.75" customHeight="1">
      <c r="A113" s="104"/>
      <c r="B113" s="193" t="s">
        <v>265</v>
      </c>
      <c r="C113" s="91">
        <v>1</v>
      </c>
      <c r="D113" s="91">
        <v>1</v>
      </c>
      <c r="E113" s="91">
        <v>0</v>
      </c>
      <c r="F113" s="91">
        <v>1</v>
      </c>
      <c r="G113" s="91">
        <v>1</v>
      </c>
      <c r="H113" s="91">
        <v>1</v>
      </c>
      <c r="I113" s="53" t="s">
        <v>123</v>
      </c>
      <c r="J113" s="69" t="s">
        <v>994</v>
      </c>
      <c r="K113" s="69" t="s">
        <v>995</v>
      </c>
      <c r="L113" s="69" t="s">
        <v>748</v>
      </c>
      <c r="M113" s="69" t="s">
        <v>996</v>
      </c>
      <c r="N113" s="134" t="s">
        <v>811</v>
      </c>
      <c r="O113" s="69" t="s">
        <v>811</v>
      </c>
      <c r="P113" s="98"/>
      <c r="Q113" s="141"/>
      <c r="R113" s="141"/>
      <c r="S113" s="142"/>
      <c r="T113" s="142"/>
      <c r="U113" s="142"/>
      <c r="V113" s="142"/>
      <c r="W113" s="142"/>
      <c r="X113" s="142"/>
      <c r="Y113" s="142"/>
      <c r="Z113" s="142"/>
    </row>
    <row r="114" spans="1:26" ht="13.5" customHeight="1">
      <c r="A114" s="104"/>
      <c r="B114" s="201"/>
      <c r="C114" s="91"/>
      <c r="D114" s="91"/>
      <c r="E114" s="91"/>
      <c r="F114" s="91"/>
      <c r="G114" s="91"/>
      <c r="H114" s="91"/>
      <c r="I114" s="53"/>
      <c r="J114" s="69"/>
      <c r="K114" s="69"/>
      <c r="L114" s="185"/>
      <c r="M114" s="69"/>
      <c r="N114" s="69"/>
      <c r="O114" s="69"/>
      <c r="P114" s="98"/>
      <c r="Q114" s="141"/>
      <c r="R114" s="141"/>
      <c r="S114" s="142"/>
      <c r="T114" s="142"/>
      <c r="U114" s="142"/>
      <c r="V114" s="142"/>
      <c r="W114" s="142"/>
      <c r="X114" s="142"/>
      <c r="Y114" s="142"/>
      <c r="Z114" s="142"/>
    </row>
    <row r="115" spans="1:26" ht="208.5" customHeight="1">
      <c r="A115" s="104" t="s">
        <v>736</v>
      </c>
      <c r="B115" s="105" t="s">
        <v>266</v>
      </c>
      <c r="C115" s="91">
        <v>1</v>
      </c>
      <c r="D115" s="91">
        <v>0.5</v>
      </c>
      <c r="E115" s="91">
        <v>0.5</v>
      </c>
      <c r="F115" s="91">
        <v>0.5</v>
      </c>
      <c r="G115" s="91">
        <v>0.5</v>
      </c>
      <c r="H115" s="91">
        <v>0.5</v>
      </c>
      <c r="I115" s="53" t="s">
        <v>267</v>
      </c>
      <c r="J115" s="69" t="s">
        <v>997</v>
      </c>
      <c r="K115" s="69" t="s">
        <v>998</v>
      </c>
      <c r="L115" s="69" t="s">
        <v>999</v>
      </c>
      <c r="M115" s="69" t="s">
        <v>1000</v>
      </c>
      <c r="N115" s="120" t="s">
        <v>1001</v>
      </c>
      <c r="O115" s="69" t="s">
        <v>1002</v>
      </c>
      <c r="P115" s="101"/>
      <c r="Q115" s="107"/>
      <c r="R115" s="107"/>
      <c r="S115" s="108"/>
      <c r="T115" s="108"/>
      <c r="U115" s="108"/>
      <c r="V115" s="108"/>
      <c r="W115" s="108"/>
      <c r="X115" s="108"/>
      <c r="Y115" s="108"/>
      <c r="Z115" s="108"/>
    </row>
    <row r="116" spans="1:26" ht="20.25" customHeight="1">
      <c r="A116" s="104"/>
      <c r="B116" s="105"/>
      <c r="C116" s="91"/>
      <c r="D116" s="91"/>
      <c r="E116" s="91"/>
      <c r="F116" s="91"/>
      <c r="G116" s="91"/>
      <c r="H116" s="91"/>
      <c r="I116" s="53"/>
      <c r="J116" s="69"/>
      <c r="K116" s="69"/>
      <c r="L116" s="69"/>
      <c r="M116" s="69"/>
      <c r="N116" s="69"/>
      <c r="O116" s="69"/>
      <c r="P116" s="101"/>
      <c r="Q116" s="107"/>
      <c r="R116" s="107"/>
      <c r="S116" s="108"/>
      <c r="T116" s="108"/>
      <c r="U116" s="108"/>
      <c r="V116" s="108"/>
      <c r="W116" s="108"/>
      <c r="X116" s="108"/>
      <c r="Y116" s="108"/>
      <c r="Z116" s="108"/>
    </row>
    <row r="117" spans="1:26" ht="61.5" customHeight="1">
      <c r="A117" s="104" t="s">
        <v>736</v>
      </c>
      <c r="B117" s="105" t="s">
        <v>268</v>
      </c>
      <c r="C117" s="91">
        <f t="shared" ref="C117:H117" si="27">AVERAGE(C118:C135)</f>
        <v>0.77777777777777779</v>
      </c>
      <c r="D117" s="91">
        <f t="shared" si="27"/>
        <v>0.88888888888888884</v>
      </c>
      <c r="E117" s="91">
        <f t="shared" si="27"/>
        <v>0.55555555555555558</v>
      </c>
      <c r="F117" s="91">
        <f t="shared" si="27"/>
        <v>0.94444444444444442</v>
      </c>
      <c r="G117" s="91">
        <f t="shared" si="27"/>
        <v>0.69444444444444442</v>
      </c>
      <c r="H117" s="91">
        <f t="shared" si="27"/>
        <v>0.61111111111111116</v>
      </c>
      <c r="I117" s="53"/>
      <c r="J117" s="69"/>
      <c r="K117" s="69"/>
      <c r="L117" s="109"/>
      <c r="M117" s="69"/>
      <c r="N117" s="207"/>
      <c r="O117" s="109"/>
      <c r="P117" s="101"/>
      <c r="Q117" s="107"/>
      <c r="R117" s="107"/>
      <c r="S117" s="108"/>
      <c r="T117" s="108"/>
      <c r="U117" s="108"/>
      <c r="V117" s="108"/>
      <c r="W117" s="108"/>
      <c r="X117" s="108"/>
      <c r="Y117" s="108"/>
      <c r="Z117" s="108"/>
    </row>
    <row r="118" spans="1:26" ht="27.75" customHeight="1">
      <c r="A118" s="209"/>
      <c r="B118" s="193" t="s">
        <v>269</v>
      </c>
      <c r="C118" s="91">
        <v>1</v>
      </c>
      <c r="D118" s="91">
        <v>1</v>
      </c>
      <c r="E118" s="91">
        <v>1</v>
      </c>
      <c r="F118" s="91">
        <v>1</v>
      </c>
      <c r="G118" s="91">
        <v>1</v>
      </c>
      <c r="H118" s="91">
        <v>1</v>
      </c>
      <c r="I118" s="53" t="s">
        <v>123</v>
      </c>
      <c r="J118" s="109" t="s">
        <v>811</v>
      </c>
      <c r="K118" s="69" t="s">
        <v>811</v>
      </c>
      <c r="L118" s="69" t="s">
        <v>811</v>
      </c>
      <c r="M118" s="69" t="s">
        <v>1003</v>
      </c>
      <c r="N118" s="134" t="s">
        <v>811</v>
      </c>
      <c r="O118" s="109" t="s">
        <v>811</v>
      </c>
      <c r="P118" s="101"/>
      <c r="Q118" s="107"/>
      <c r="R118" s="107"/>
      <c r="S118" s="108"/>
      <c r="T118" s="108"/>
      <c r="U118" s="108"/>
      <c r="V118" s="108"/>
      <c r="W118" s="108"/>
      <c r="X118" s="108"/>
      <c r="Y118" s="108"/>
      <c r="Z118" s="108"/>
    </row>
    <row r="119" spans="1:26" ht="24" customHeight="1">
      <c r="A119" s="209"/>
      <c r="B119" s="193" t="s">
        <v>270</v>
      </c>
      <c r="C119" s="91">
        <v>1</v>
      </c>
      <c r="D119" s="91">
        <v>1</v>
      </c>
      <c r="E119" s="91">
        <v>1</v>
      </c>
      <c r="F119" s="91">
        <v>1</v>
      </c>
      <c r="G119" s="91">
        <v>1</v>
      </c>
      <c r="H119" s="91">
        <v>1</v>
      </c>
      <c r="I119" s="53" t="s">
        <v>123</v>
      </c>
      <c r="J119" s="109" t="s">
        <v>811</v>
      </c>
      <c r="K119" s="69" t="s">
        <v>811</v>
      </c>
      <c r="L119" s="69" t="s">
        <v>811</v>
      </c>
      <c r="M119" s="69" t="s">
        <v>1004</v>
      </c>
      <c r="N119" s="134" t="s">
        <v>811</v>
      </c>
      <c r="O119" s="109" t="s">
        <v>811</v>
      </c>
      <c r="P119" s="101"/>
      <c r="Q119" s="107"/>
      <c r="R119" s="107"/>
      <c r="S119" s="108"/>
      <c r="T119" s="108"/>
      <c r="U119" s="108"/>
      <c r="V119" s="108"/>
      <c r="W119" s="108"/>
      <c r="X119" s="108"/>
      <c r="Y119" s="108"/>
      <c r="Z119" s="108"/>
    </row>
    <row r="120" spans="1:26" ht="29.25" customHeight="1">
      <c r="A120" s="209"/>
      <c r="B120" s="193" t="s">
        <v>271</v>
      </c>
      <c r="C120" s="899">
        <v>1</v>
      </c>
      <c r="D120" s="91">
        <v>1</v>
      </c>
      <c r="E120" s="91">
        <v>1</v>
      </c>
      <c r="F120" s="91">
        <v>1</v>
      </c>
      <c r="G120" s="91">
        <v>1</v>
      </c>
      <c r="H120" s="91">
        <v>1</v>
      </c>
      <c r="I120" s="53" t="s">
        <v>123</v>
      </c>
      <c r="J120" s="69" t="s">
        <v>1005</v>
      </c>
      <c r="K120" s="69" t="s">
        <v>811</v>
      </c>
      <c r="L120" s="69" t="s">
        <v>811</v>
      </c>
      <c r="M120" s="69" t="s">
        <v>1006</v>
      </c>
      <c r="N120" s="69" t="s">
        <v>811</v>
      </c>
      <c r="O120" s="109" t="s">
        <v>811</v>
      </c>
      <c r="P120" s="101"/>
      <c r="Q120" s="107"/>
      <c r="R120" s="107"/>
      <c r="S120" s="108"/>
      <c r="T120" s="108"/>
      <c r="U120" s="108"/>
      <c r="V120" s="108"/>
      <c r="W120" s="108"/>
      <c r="X120" s="108"/>
      <c r="Y120" s="108"/>
      <c r="Z120" s="108"/>
    </row>
    <row r="121" spans="1:26" ht="24" customHeight="1">
      <c r="A121" s="209"/>
      <c r="B121" s="193" t="s">
        <v>272</v>
      </c>
      <c r="C121" s="91">
        <v>1</v>
      </c>
      <c r="D121" s="91">
        <v>1</v>
      </c>
      <c r="E121" s="91">
        <v>1</v>
      </c>
      <c r="F121" s="91">
        <v>1</v>
      </c>
      <c r="G121" s="91">
        <v>1</v>
      </c>
      <c r="H121" s="91">
        <v>1</v>
      </c>
      <c r="I121" s="53" t="s">
        <v>123</v>
      </c>
      <c r="J121" s="109" t="s">
        <v>811</v>
      </c>
      <c r="K121" s="69" t="s">
        <v>811</v>
      </c>
      <c r="L121" s="69" t="s">
        <v>811</v>
      </c>
      <c r="M121" s="69" t="s">
        <v>1004</v>
      </c>
      <c r="N121" s="177" t="s">
        <v>811</v>
      </c>
      <c r="O121" s="109" t="s">
        <v>811</v>
      </c>
      <c r="P121" s="101"/>
      <c r="Q121" s="107"/>
      <c r="R121" s="107"/>
      <c r="S121" s="108"/>
      <c r="T121" s="108"/>
      <c r="U121" s="108"/>
      <c r="V121" s="108"/>
      <c r="W121" s="108"/>
      <c r="X121" s="108"/>
      <c r="Y121" s="108"/>
      <c r="Z121" s="108"/>
    </row>
    <row r="122" spans="1:26" ht="24" customHeight="1">
      <c r="A122" s="209"/>
      <c r="B122" s="193" t="s">
        <v>273</v>
      </c>
      <c r="C122" s="91">
        <v>1</v>
      </c>
      <c r="D122" s="91">
        <v>1</v>
      </c>
      <c r="E122" s="91">
        <v>0</v>
      </c>
      <c r="F122" s="91">
        <v>1</v>
      </c>
      <c r="G122" s="91">
        <v>1</v>
      </c>
      <c r="H122" s="91">
        <v>0</v>
      </c>
      <c r="I122" s="53" t="s">
        <v>123</v>
      </c>
      <c r="J122" s="109" t="s">
        <v>811</v>
      </c>
      <c r="K122" s="69" t="s">
        <v>811</v>
      </c>
      <c r="L122" s="109" t="s">
        <v>748</v>
      </c>
      <c r="M122" s="69" t="s">
        <v>1006</v>
      </c>
      <c r="N122" s="134" t="s">
        <v>811</v>
      </c>
      <c r="O122" s="109" t="s">
        <v>748</v>
      </c>
      <c r="P122" s="101"/>
      <c r="Q122" s="107"/>
      <c r="R122" s="107"/>
      <c r="S122" s="108"/>
      <c r="T122" s="108"/>
      <c r="U122" s="108"/>
      <c r="V122" s="108"/>
      <c r="W122" s="108"/>
      <c r="X122" s="108"/>
      <c r="Y122" s="108"/>
      <c r="Z122" s="108"/>
    </row>
    <row r="123" spans="1:26" ht="48" customHeight="1">
      <c r="A123" s="209"/>
      <c r="B123" s="193" t="s">
        <v>274</v>
      </c>
      <c r="C123" s="91">
        <v>0</v>
      </c>
      <c r="D123" s="91">
        <v>1</v>
      </c>
      <c r="E123" s="91">
        <v>0</v>
      </c>
      <c r="F123" s="91">
        <v>1</v>
      </c>
      <c r="G123" s="91">
        <v>0</v>
      </c>
      <c r="H123" s="91">
        <v>0</v>
      </c>
      <c r="I123" s="53" t="s">
        <v>123</v>
      </c>
      <c r="J123" s="109" t="s">
        <v>748</v>
      </c>
      <c r="K123" s="69" t="s">
        <v>1007</v>
      </c>
      <c r="L123" s="109" t="s">
        <v>748</v>
      </c>
      <c r="M123" s="69" t="s">
        <v>1006</v>
      </c>
      <c r="N123" s="134" t="s">
        <v>748</v>
      </c>
      <c r="O123" s="109" t="s">
        <v>748</v>
      </c>
      <c r="P123" s="101"/>
      <c r="Q123" s="107"/>
      <c r="R123" s="107"/>
      <c r="S123" s="108"/>
      <c r="T123" s="108"/>
      <c r="U123" s="108"/>
      <c r="V123" s="108"/>
      <c r="W123" s="108"/>
      <c r="X123" s="108"/>
      <c r="Y123" s="108"/>
      <c r="Z123" s="108"/>
    </row>
    <row r="124" spans="1:26" ht="24" customHeight="1">
      <c r="A124" s="209"/>
      <c r="B124" s="193" t="s">
        <v>275</v>
      </c>
      <c r="C124" s="91">
        <v>0</v>
      </c>
      <c r="D124" s="91">
        <v>0</v>
      </c>
      <c r="E124" s="91">
        <v>0</v>
      </c>
      <c r="F124" s="91">
        <v>1</v>
      </c>
      <c r="G124" s="91">
        <v>0</v>
      </c>
      <c r="H124" s="91">
        <v>0</v>
      </c>
      <c r="I124" s="53" t="s">
        <v>123</v>
      </c>
      <c r="J124" s="109" t="s">
        <v>748</v>
      </c>
      <c r="K124" s="109" t="s">
        <v>748</v>
      </c>
      <c r="L124" s="109" t="s">
        <v>748</v>
      </c>
      <c r="M124" s="69" t="s">
        <v>1006</v>
      </c>
      <c r="N124" s="69" t="s">
        <v>748</v>
      </c>
      <c r="O124" s="109" t="s">
        <v>748</v>
      </c>
      <c r="P124" s="101"/>
      <c r="Q124" s="107"/>
      <c r="R124" s="107"/>
      <c r="S124" s="108"/>
      <c r="T124" s="108"/>
      <c r="U124" s="108"/>
      <c r="V124" s="108"/>
      <c r="W124" s="108"/>
      <c r="X124" s="108"/>
      <c r="Y124" s="108"/>
      <c r="Z124" s="108"/>
    </row>
    <row r="125" spans="1:26" ht="24" customHeight="1">
      <c r="A125" s="209"/>
      <c r="B125" s="193" t="s">
        <v>276</v>
      </c>
      <c r="C125" s="91">
        <v>1</v>
      </c>
      <c r="D125" s="91">
        <v>1</v>
      </c>
      <c r="E125" s="91">
        <v>1</v>
      </c>
      <c r="F125" s="91">
        <v>1</v>
      </c>
      <c r="G125" s="91">
        <v>1</v>
      </c>
      <c r="H125" s="91">
        <v>1</v>
      </c>
      <c r="I125" s="53" t="s">
        <v>123</v>
      </c>
      <c r="J125" s="109" t="s">
        <v>811</v>
      </c>
      <c r="K125" s="109" t="s">
        <v>811</v>
      </c>
      <c r="L125" s="109" t="s">
        <v>811</v>
      </c>
      <c r="M125" s="69" t="s">
        <v>1006</v>
      </c>
      <c r="N125" s="134" t="s">
        <v>811</v>
      </c>
      <c r="O125" s="109" t="s">
        <v>811</v>
      </c>
      <c r="P125" s="101"/>
      <c r="Q125" s="107"/>
      <c r="R125" s="107"/>
      <c r="S125" s="108"/>
      <c r="T125" s="108"/>
      <c r="U125" s="108"/>
      <c r="V125" s="108"/>
      <c r="W125" s="108"/>
      <c r="X125" s="108"/>
      <c r="Y125" s="108"/>
      <c r="Z125" s="108"/>
    </row>
    <row r="126" spans="1:26" ht="24" customHeight="1">
      <c r="A126" s="209"/>
      <c r="B126" s="193" t="s">
        <v>277</v>
      </c>
      <c r="C126" s="91">
        <v>1</v>
      </c>
      <c r="D126" s="91">
        <v>1</v>
      </c>
      <c r="E126" s="91">
        <v>1</v>
      </c>
      <c r="F126" s="91">
        <v>1</v>
      </c>
      <c r="G126" s="91">
        <v>1</v>
      </c>
      <c r="H126" s="91">
        <v>1</v>
      </c>
      <c r="I126" s="53" t="s">
        <v>123</v>
      </c>
      <c r="J126" s="109" t="s">
        <v>811</v>
      </c>
      <c r="K126" s="109" t="s">
        <v>811</v>
      </c>
      <c r="L126" s="109" t="s">
        <v>811</v>
      </c>
      <c r="M126" s="69" t="s">
        <v>1004</v>
      </c>
      <c r="N126" s="134" t="s">
        <v>811</v>
      </c>
      <c r="O126" s="109" t="s">
        <v>811</v>
      </c>
      <c r="P126" s="101"/>
      <c r="Q126" s="107"/>
      <c r="R126" s="107"/>
      <c r="S126" s="108"/>
      <c r="T126" s="108"/>
      <c r="U126" s="108"/>
      <c r="V126" s="108"/>
      <c r="W126" s="108"/>
      <c r="X126" s="108"/>
      <c r="Y126" s="108"/>
      <c r="Z126" s="108"/>
    </row>
    <row r="127" spans="1:26" ht="27.75" customHeight="1">
      <c r="A127" s="209"/>
      <c r="B127" s="193" t="s">
        <v>278</v>
      </c>
      <c r="C127" s="91">
        <v>1</v>
      </c>
      <c r="D127" s="91">
        <v>1</v>
      </c>
      <c r="E127" s="91">
        <v>1</v>
      </c>
      <c r="F127" s="91">
        <v>1</v>
      </c>
      <c r="G127" s="91">
        <v>1</v>
      </c>
      <c r="H127" s="91">
        <v>1</v>
      </c>
      <c r="I127" s="53" t="s">
        <v>123</v>
      </c>
      <c r="J127" s="109" t="s">
        <v>811</v>
      </c>
      <c r="K127" s="109" t="s">
        <v>811</v>
      </c>
      <c r="L127" s="109" t="s">
        <v>811</v>
      </c>
      <c r="M127" s="69" t="s">
        <v>1004</v>
      </c>
      <c r="N127" s="134" t="s">
        <v>811</v>
      </c>
      <c r="O127" s="109" t="s">
        <v>811</v>
      </c>
      <c r="P127" s="101"/>
      <c r="Q127" s="107"/>
      <c r="R127" s="107"/>
      <c r="S127" s="108"/>
      <c r="T127" s="108"/>
      <c r="U127" s="108"/>
      <c r="V127" s="108"/>
      <c r="W127" s="108"/>
      <c r="X127" s="108"/>
      <c r="Y127" s="108"/>
      <c r="Z127" s="108"/>
    </row>
    <row r="128" spans="1:26" ht="24" customHeight="1">
      <c r="A128" s="209"/>
      <c r="B128" s="193" t="s">
        <v>279</v>
      </c>
      <c r="C128" s="91">
        <v>1</v>
      </c>
      <c r="D128" s="91">
        <v>1</v>
      </c>
      <c r="E128" s="91">
        <v>1</v>
      </c>
      <c r="F128" s="91">
        <v>1</v>
      </c>
      <c r="G128" s="91">
        <v>1</v>
      </c>
      <c r="H128" s="91">
        <v>1</v>
      </c>
      <c r="I128" s="53" t="s">
        <v>123</v>
      </c>
      <c r="J128" s="109" t="s">
        <v>811</v>
      </c>
      <c r="K128" s="109" t="s">
        <v>811</v>
      </c>
      <c r="L128" s="109" t="s">
        <v>811</v>
      </c>
      <c r="M128" s="69" t="s">
        <v>1003</v>
      </c>
      <c r="N128" s="134" t="s">
        <v>811</v>
      </c>
      <c r="O128" s="109" t="s">
        <v>811</v>
      </c>
      <c r="P128" s="101"/>
      <c r="Q128" s="107"/>
      <c r="R128" s="107"/>
      <c r="S128" s="108"/>
      <c r="T128" s="108"/>
      <c r="U128" s="108"/>
      <c r="V128" s="108"/>
      <c r="W128" s="108"/>
      <c r="X128" s="108"/>
      <c r="Y128" s="108"/>
      <c r="Z128" s="108"/>
    </row>
    <row r="129" spans="1:26" ht="24" customHeight="1">
      <c r="A129" s="209"/>
      <c r="B129" s="193" t="s">
        <v>280</v>
      </c>
      <c r="C129" s="91">
        <v>1</v>
      </c>
      <c r="D129" s="91">
        <v>1</v>
      </c>
      <c r="E129" s="91">
        <v>1</v>
      </c>
      <c r="F129" s="91">
        <v>1</v>
      </c>
      <c r="G129" s="91">
        <v>1</v>
      </c>
      <c r="H129" s="91">
        <v>1</v>
      </c>
      <c r="I129" s="53" t="s">
        <v>123</v>
      </c>
      <c r="J129" s="109" t="s">
        <v>811</v>
      </c>
      <c r="K129" s="109" t="s">
        <v>811</v>
      </c>
      <c r="L129" s="109" t="s">
        <v>811</v>
      </c>
      <c r="M129" s="69" t="s">
        <v>1004</v>
      </c>
      <c r="N129" s="134" t="s">
        <v>811</v>
      </c>
      <c r="O129" s="109" t="s">
        <v>811</v>
      </c>
      <c r="P129" s="101"/>
      <c r="Q129" s="107"/>
      <c r="R129" s="107"/>
      <c r="S129" s="108"/>
      <c r="T129" s="108"/>
      <c r="U129" s="108"/>
      <c r="V129" s="108"/>
      <c r="W129" s="108"/>
      <c r="X129" s="108"/>
      <c r="Y129" s="108"/>
      <c r="Z129" s="108"/>
    </row>
    <row r="130" spans="1:26" ht="32.25" customHeight="1">
      <c r="A130" s="209"/>
      <c r="B130" s="193" t="s">
        <v>281</v>
      </c>
      <c r="C130" s="91">
        <v>1</v>
      </c>
      <c r="D130" s="91">
        <v>1</v>
      </c>
      <c r="E130" s="91">
        <v>0</v>
      </c>
      <c r="F130" s="91">
        <v>1</v>
      </c>
      <c r="G130" s="91">
        <v>1</v>
      </c>
      <c r="H130" s="91">
        <v>0</v>
      </c>
      <c r="I130" s="53" t="s">
        <v>123</v>
      </c>
      <c r="J130" s="109" t="s">
        <v>811</v>
      </c>
      <c r="K130" s="109" t="s">
        <v>811</v>
      </c>
      <c r="L130" s="134" t="s">
        <v>748</v>
      </c>
      <c r="M130" s="69" t="s">
        <v>1006</v>
      </c>
      <c r="N130" s="69" t="s">
        <v>811</v>
      </c>
      <c r="O130" s="109" t="s">
        <v>748</v>
      </c>
      <c r="P130" s="101"/>
      <c r="Q130" s="107"/>
      <c r="R130" s="107"/>
      <c r="S130" s="108"/>
      <c r="T130" s="108"/>
      <c r="U130" s="108"/>
      <c r="V130" s="108"/>
      <c r="W130" s="108"/>
      <c r="X130" s="108"/>
      <c r="Y130" s="108"/>
      <c r="Z130" s="108"/>
    </row>
    <row r="131" spans="1:26" ht="24" customHeight="1">
      <c r="A131" s="209"/>
      <c r="B131" s="193" t="s">
        <v>282</v>
      </c>
      <c r="C131" s="91">
        <v>1</v>
      </c>
      <c r="D131" s="91">
        <v>1</v>
      </c>
      <c r="E131" s="91">
        <v>0</v>
      </c>
      <c r="F131" s="91">
        <v>1</v>
      </c>
      <c r="G131" s="91">
        <v>0</v>
      </c>
      <c r="H131" s="91">
        <v>0</v>
      </c>
      <c r="I131" s="53" t="s">
        <v>123</v>
      </c>
      <c r="J131" s="109" t="s">
        <v>811</v>
      </c>
      <c r="K131" s="109" t="s">
        <v>811</v>
      </c>
      <c r="L131" s="134" t="s">
        <v>748</v>
      </c>
      <c r="M131" s="69" t="s">
        <v>1004</v>
      </c>
      <c r="N131" s="134" t="s">
        <v>748</v>
      </c>
      <c r="O131" s="109" t="s">
        <v>748</v>
      </c>
      <c r="P131" s="101"/>
      <c r="Q131" s="107"/>
      <c r="R131" s="107"/>
      <c r="S131" s="108"/>
      <c r="T131" s="108"/>
      <c r="U131" s="108"/>
      <c r="V131" s="108"/>
      <c r="W131" s="108"/>
      <c r="X131" s="108"/>
      <c r="Y131" s="108"/>
      <c r="Z131" s="108"/>
    </row>
    <row r="132" spans="1:26" ht="24" customHeight="1">
      <c r="A132" s="209"/>
      <c r="B132" s="193" t="s">
        <v>283</v>
      </c>
      <c r="C132" s="91">
        <v>1</v>
      </c>
      <c r="D132" s="91">
        <v>1</v>
      </c>
      <c r="E132" s="91">
        <v>0</v>
      </c>
      <c r="F132" s="91">
        <v>1</v>
      </c>
      <c r="G132" s="91">
        <v>0</v>
      </c>
      <c r="H132" s="91">
        <v>0</v>
      </c>
      <c r="I132" s="53" t="s">
        <v>123</v>
      </c>
      <c r="J132" s="109" t="s">
        <v>811</v>
      </c>
      <c r="K132" s="109" t="s">
        <v>811</v>
      </c>
      <c r="L132" s="134" t="s">
        <v>748</v>
      </c>
      <c r="M132" s="69" t="s">
        <v>1006</v>
      </c>
      <c r="N132" s="134" t="s">
        <v>748</v>
      </c>
      <c r="O132" s="109" t="s">
        <v>748</v>
      </c>
      <c r="P132" s="101"/>
      <c r="Q132" s="107"/>
      <c r="R132" s="107"/>
      <c r="S132" s="108"/>
      <c r="T132" s="108"/>
      <c r="U132" s="108"/>
      <c r="V132" s="108"/>
      <c r="W132" s="108"/>
      <c r="X132" s="108"/>
      <c r="Y132" s="108"/>
      <c r="Z132" s="108"/>
    </row>
    <row r="133" spans="1:26" ht="66" customHeight="1">
      <c r="A133" s="209"/>
      <c r="B133" s="193" t="s">
        <v>284</v>
      </c>
      <c r="C133" s="91">
        <v>1</v>
      </c>
      <c r="D133" s="91">
        <v>1</v>
      </c>
      <c r="E133" s="91">
        <v>1</v>
      </c>
      <c r="F133" s="91">
        <v>1</v>
      </c>
      <c r="G133" s="91">
        <v>1</v>
      </c>
      <c r="H133" s="91">
        <v>1</v>
      </c>
      <c r="I133" s="53" t="s">
        <v>123</v>
      </c>
      <c r="J133" s="69" t="s">
        <v>1008</v>
      </c>
      <c r="K133" s="109" t="s">
        <v>811</v>
      </c>
      <c r="L133" s="109" t="s">
        <v>811</v>
      </c>
      <c r="M133" s="69" t="s">
        <v>1009</v>
      </c>
      <c r="N133" s="69" t="s">
        <v>811</v>
      </c>
      <c r="O133" s="109" t="s">
        <v>811</v>
      </c>
      <c r="P133" s="101"/>
      <c r="Q133" s="107"/>
      <c r="R133" s="107"/>
      <c r="S133" s="108"/>
      <c r="T133" s="108"/>
      <c r="U133" s="108"/>
      <c r="V133" s="108"/>
      <c r="W133" s="108"/>
      <c r="X133" s="108"/>
      <c r="Y133" s="108"/>
      <c r="Z133" s="108"/>
    </row>
    <row r="134" spans="1:26" ht="13.5" customHeight="1">
      <c r="A134" s="209"/>
      <c r="B134" s="193" t="s">
        <v>285</v>
      </c>
      <c r="C134" s="91">
        <v>0</v>
      </c>
      <c r="D134" s="91">
        <v>0</v>
      </c>
      <c r="E134" s="91">
        <v>0</v>
      </c>
      <c r="F134" s="91">
        <v>0</v>
      </c>
      <c r="G134" s="91">
        <v>0</v>
      </c>
      <c r="H134" s="91">
        <v>0</v>
      </c>
      <c r="I134" s="53" t="s">
        <v>123</v>
      </c>
      <c r="J134" s="109" t="s">
        <v>748</v>
      </c>
      <c r="K134" s="109" t="s">
        <v>748</v>
      </c>
      <c r="L134" s="134" t="s">
        <v>748</v>
      </c>
      <c r="M134" s="69" t="s">
        <v>763</v>
      </c>
      <c r="N134" s="134" t="s">
        <v>748</v>
      </c>
      <c r="O134" s="109" t="s">
        <v>748</v>
      </c>
      <c r="P134" s="101"/>
      <c r="Q134" s="107"/>
      <c r="R134" s="107"/>
      <c r="S134" s="108"/>
      <c r="T134" s="108"/>
      <c r="U134" s="108"/>
      <c r="V134" s="108"/>
      <c r="W134" s="108"/>
      <c r="X134" s="108"/>
      <c r="Y134" s="108"/>
      <c r="Z134" s="108"/>
    </row>
    <row r="135" spans="1:26" ht="29.25" customHeight="1">
      <c r="A135" s="209"/>
      <c r="B135" s="193" t="s">
        <v>286</v>
      </c>
      <c r="C135" s="91">
        <v>0</v>
      </c>
      <c r="D135" s="91">
        <v>1</v>
      </c>
      <c r="E135" s="91">
        <v>0</v>
      </c>
      <c r="F135" s="91">
        <v>1</v>
      </c>
      <c r="G135" s="91">
        <v>0.5</v>
      </c>
      <c r="H135" s="91">
        <v>1</v>
      </c>
      <c r="I135" s="53"/>
      <c r="J135" s="109" t="s">
        <v>748</v>
      </c>
      <c r="K135" s="109" t="s">
        <v>811</v>
      </c>
      <c r="L135" s="134" t="s">
        <v>748</v>
      </c>
      <c r="M135" s="116" t="s">
        <v>1010</v>
      </c>
      <c r="N135" s="120" t="s">
        <v>1011</v>
      </c>
      <c r="O135" s="109" t="s">
        <v>811</v>
      </c>
      <c r="P135" s="101"/>
      <c r="Q135" s="107"/>
      <c r="R135" s="107"/>
      <c r="S135" s="108"/>
      <c r="T135" s="108"/>
      <c r="U135" s="108"/>
      <c r="V135" s="108"/>
      <c r="W135" s="108"/>
      <c r="X135" s="108"/>
      <c r="Y135" s="108"/>
      <c r="Z135" s="108"/>
    </row>
    <row r="136" spans="1:26" ht="13.5" customHeight="1">
      <c r="A136" s="209"/>
      <c r="B136" s="201"/>
      <c r="C136" s="91"/>
      <c r="D136" s="91"/>
      <c r="E136" s="91"/>
      <c r="F136" s="91"/>
      <c r="G136" s="91"/>
      <c r="H136" s="91"/>
      <c r="I136" s="53"/>
      <c r="J136" s="226"/>
      <c r="K136" s="109"/>
      <c r="L136" s="226"/>
      <c r="M136" s="115"/>
      <c r="N136" s="134"/>
      <c r="O136" s="109"/>
      <c r="P136" s="101"/>
      <c r="Q136" s="107"/>
      <c r="R136" s="107"/>
      <c r="S136" s="108"/>
      <c r="T136" s="108"/>
      <c r="U136" s="108"/>
      <c r="V136" s="108"/>
      <c r="W136" s="108"/>
      <c r="X136" s="108"/>
      <c r="Y136" s="108"/>
      <c r="Z136" s="108"/>
    </row>
    <row r="137" spans="1:26" ht="87.75" customHeight="1">
      <c r="A137" s="104" t="s">
        <v>736</v>
      </c>
      <c r="B137" s="60" t="s">
        <v>287</v>
      </c>
      <c r="C137" s="91">
        <v>1</v>
      </c>
      <c r="D137" s="91">
        <v>1</v>
      </c>
      <c r="E137" s="91">
        <v>0</v>
      </c>
      <c r="F137" s="899">
        <v>1</v>
      </c>
      <c r="G137" s="91">
        <v>0</v>
      </c>
      <c r="H137" s="91">
        <v>0</v>
      </c>
      <c r="I137" s="150" t="s">
        <v>288</v>
      </c>
      <c r="J137" s="228" t="s">
        <v>1012</v>
      </c>
      <c r="K137" s="69" t="s">
        <v>1013</v>
      </c>
      <c r="L137" s="109" t="s">
        <v>748</v>
      </c>
      <c r="M137" s="69" t="s">
        <v>1014</v>
      </c>
      <c r="N137" s="134" t="s">
        <v>748</v>
      </c>
      <c r="O137" s="134" t="s">
        <v>748</v>
      </c>
      <c r="P137" s="101"/>
      <c r="Q137" s="107"/>
      <c r="R137" s="107"/>
      <c r="S137" s="108"/>
      <c r="T137" s="108"/>
      <c r="U137" s="108"/>
      <c r="V137" s="108"/>
      <c r="W137" s="108"/>
      <c r="X137" s="108"/>
      <c r="Y137" s="108"/>
      <c r="Z137" s="108"/>
    </row>
    <row r="138" spans="1:26" ht="13.5" customHeight="1">
      <c r="A138" s="209"/>
      <c r="B138" s="201"/>
      <c r="C138" s="91"/>
      <c r="D138" s="91"/>
      <c r="E138" s="91"/>
      <c r="F138" s="91"/>
      <c r="G138" s="91"/>
      <c r="H138" s="91"/>
      <c r="I138" s="53"/>
      <c r="J138" s="226"/>
      <c r="K138" s="109"/>
      <c r="L138" s="116"/>
      <c r="M138" s="69"/>
      <c r="N138" s="69"/>
      <c r="O138" s="109"/>
      <c r="P138" s="101"/>
      <c r="Q138" s="107"/>
      <c r="R138" s="107"/>
      <c r="S138" s="108"/>
      <c r="T138" s="108"/>
      <c r="U138" s="108"/>
      <c r="V138" s="108"/>
      <c r="W138" s="108"/>
      <c r="X138" s="108"/>
      <c r="Y138" s="108"/>
      <c r="Z138" s="108"/>
    </row>
    <row r="139" spans="1:26" ht="27.75" customHeight="1">
      <c r="A139" s="104" t="s">
        <v>736</v>
      </c>
      <c r="B139" s="60" t="s">
        <v>289</v>
      </c>
      <c r="C139" s="91">
        <f t="shared" ref="C139:H139" si="28">AVERAGE(C140:C145)</f>
        <v>0.66666666666666663</v>
      </c>
      <c r="D139" s="91">
        <f t="shared" si="28"/>
        <v>1</v>
      </c>
      <c r="E139" s="91">
        <f t="shared" si="28"/>
        <v>0.16666666666666666</v>
      </c>
      <c r="F139" s="91">
        <f t="shared" si="28"/>
        <v>1</v>
      </c>
      <c r="G139" s="91">
        <f t="shared" si="28"/>
        <v>0.41666666666666669</v>
      </c>
      <c r="H139" s="91">
        <f t="shared" si="28"/>
        <v>0.25</v>
      </c>
      <c r="I139" s="53"/>
      <c r="J139" s="69"/>
      <c r="K139" s="109"/>
      <c r="L139" s="116"/>
      <c r="M139" s="116"/>
      <c r="N139" s="69"/>
      <c r="O139" s="109"/>
      <c r="P139" s="101"/>
      <c r="Q139" s="107"/>
      <c r="R139" s="107"/>
      <c r="S139" s="108"/>
      <c r="T139" s="108"/>
      <c r="U139" s="108"/>
      <c r="V139" s="108"/>
      <c r="W139" s="108"/>
      <c r="X139" s="108"/>
      <c r="Y139" s="108"/>
      <c r="Z139" s="108"/>
    </row>
    <row r="140" spans="1:26" ht="43.5" customHeight="1">
      <c r="A140" s="209"/>
      <c r="B140" s="193" t="s">
        <v>290</v>
      </c>
      <c r="C140" s="91">
        <v>1</v>
      </c>
      <c r="D140" s="899">
        <v>1</v>
      </c>
      <c r="E140" s="899">
        <v>0.5</v>
      </c>
      <c r="F140" s="899">
        <v>1</v>
      </c>
      <c r="G140" s="899">
        <v>0.5</v>
      </c>
      <c r="H140" s="899">
        <v>0.5</v>
      </c>
      <c r="I140" s="150" t="s">
        <v>291</v>
      </c>
      <c r="J140" s="116" t="s">
        <v>1015</v>
      </c>
      <c r="K140" s="109" t="s">
        <v>811</v>
      </c>
      <c r="L140" s="69" t="s">
        <v>1016</v>
      </c>
      <c r="M140" s="116" t="s">
        <v>1017</v>
      </c>
      <c r="N140" s="120" t="s">
        <v>811</v>
      </c>
      <c r="O140" s="69" t="s">
        <v>1018</v>
      </c>
      <c r="P140" s="101"/>
      <c r="Q140" s="107"/>
      <c r="R140" s="107"/>
      <c r="S140" s="108"/>
      <c r="T140" s="108"/>
      <c r="U140" s="108"/>
      <c r="V140" s="108"/>
      <c r="W140" s="108"/>
      <c r="X140" s="108"/>
      <c r="Y140" s="108"/>
      <c r="Z140" s="108"/>
    </row>
    <row r="141" spans="1:26" ht="52.5" customHeight="1">
      <c r="A141" s="209"/>
      <c r="B141" s="193" t="s">
        <v>292</v>
      </c>
      <c r="C141" s="91">
        <v>1</v>
      </c>
      <c r="D141" s="91">
        <v>1</v>
      </c>
      <c r="E141" s="91">
        <v>0.5</v>
      </c>
      <c r="F141" s="91">
        <v>1</v>
      </c>
      <c r="G141" s="91">
        <v>0.5</v>
      </c>
      <c r="H141" s="91">
        <v>0</v>
      </c>
      <c r="I141" s="150" t="s">
        <v>293</v>
      </c>
      <c r="J141" s="116" t="s">
        <v>1019</v>
      </c>
      <c r="K141" s="109" t="s">
        <v>811</v>
      </c>
      <c r="L141" s="69" t="s">
        <v>1016</v>
      </c>
      <c r="M141" s="116" t="s">
        <v>1020</v>
      </c>
      <c r="N141" s="120" t="s">
        <v>1021</v>
      </c>
      <c r="O141" s="69" t="s">
        <v>748</v>
      </c>
      <c r="P141" s="101"/>
      <c r="Q141" s="107"/>
      <c r="R141" s="107"/>
      <c r="S141" s="108"/>
      <c r="T141" s="108"/>
      <c r="U141" s="108"/>
      <c r="V141" s="108"/>
      <c r="W141" s="108"/>
      <c r="X141" s="108"/>
      <c r="Y141" s="108"/>
      <c r="Z141" s="108"/>
    </row>
    <row r="142" spans="1:26" ht="40.5" customHeight="1">
      <c r="A142" s="209"/>
      <c r="B142" s="193" t="s">
        <v>294</v>
      </c>
      <c r="C142" s="91">
        <v>1</v>
      </c>
      <c r="D142" s="91">
        <v>1</v>
      </c>
      <c r="E142" s="91">
        <v>0</v>
      </c>
      <c r="F142" s="91">
        <v>1</v>
      </c>
      <c r="G142" s="899">
        <v>0.5</v>
      </c>
      <c r="H142" s="91">
        <v>0</v>
      </c>
      <c r="I142" s="53" t="s">
        <v>211</v>
      </c>
      <c r="J142" s="116" t="s">
        <v>1022</v>
      </c>
      <c r="K142" s="109" t="s">
        <v>811</v>
      </c>
      <c r="L142" s="134" t="s">
        <v>748</v>
      </c>
      <c r="M142" s="116" t="s">
        <v>1023</v>
      </c>
      <c r="N142" s="134" t="s">
        <v>1024</v>
      </c>
      <c r="O142" s="115" t="s">
        <v>748</v>
      </c>
      <c r="P142" s="101"/>
      <c r="Q142" s="107"/>
      <c r="R142" s="107"/>
      <c r="S142" s="108"/>
      <c r="T142" s="108"/>
      <c r="U142" s="108"/>
      <c r="V142" s="108"/>
      <c r="W142" s="108"/>
      <c r="X142" s="108"/>
      <c r="Y142" s="108"/>
      <c r="Z142" s="108"/>
    </row>
    <row r="143" spans="1:26" ht="30" customHeight="1">
      <c r="A143" s="209"/>
      <c r="B143" s="193" t="s">
        <v>295</v>
      </c>
      <c r="C143" s="91">
        <v>0</v>
      </c>
      <c r="D143" s="91">
        <v>1</v>
      </c>
      <c r="E143" s="91">
        <v>0</v>
      </c>
      <c r="F143" s="91">
        <v>1</v>
      </c>
      <c r="G143" s="91">
        <v>0</v>
      </c>
      <c r="H143" s="91">
        <v>0</v>
      </c>
      <c r="I143" s="53" t="s">
        <v>123</v>
      </c>
      <c r="J143" s="69" t="s">
        <v>1025</v>
      </c>
      <c r="K143" s="69" t="s">
        <v>1026</v>
      </c>
      <c r="L143" s="134" t="s">
        <v>748</v>
      </c>
      <c r="M143" s="116" t="s">
        <v>1027</v>
      </c>
      <c r="N143" s="134" t="s">
        <v>748</v>
      </c>
      <c r="O143" s="115" t="s">
        <v>748</v>
      </c>
      <c r="P143" s="101"/>
      <c r="Q143" s="107"/>
      <c r="R143" s="107"/>
      <c r="S143" s="108"/>
      <c r="T143" s="108"/>
      <c r="U143" s="108"/>
      <c r="V143" s="108"/>
      <c r="W143" s="108"/>
      <c r="X143" s="108"/>
      <c r="Y143" s="108"/>
      <c r="Z143" s="108"/>
    </row>
    <row r="144" spans="1:26" ht="65.25" customHeight="1">
      <c r="A144" s="209"/>
      <c r="B144" s="193" t="s">
        <v>296</v>
      </c>
      <c r="C144" s="91">
        <v>1</v>
      </c>
      <c r="D144" s="91">
        <v>1</v>
      </c>
      <c r="E144" s="91">
        <v>0</v>
      </c>
      <c r="F144" s="91">
        <v>1</v>
      </c>
      <c r="G144" s="91">
        <v>1</v>
      </c>
      <c r="H144" s="899">
        <v>1</v>
      </c>
      <c r="I144" s="53" t="s">
        <v>211</v>
      </c>
      <c r="J144" s="69" t="s">
        <v>1028</v>
      </c>
      <c r="K144" s="109" t="s">
        <v>811</v>
      </c>
      <c r="L144" s="134" t="s">
        <v>748</v>
      </c>
      <c r="M144" s="116" t="s">
        <v>1029</v>
      </c>
      <c r="N144" s="134" t="s">
        <v>811</v>
      </c>
      <c r="O144" s="69" t="s">
        <v>811</v>
      </c>
      <c r="P144" s="101"/>
      <c r="Q144" s="107"/>
      <c r="R144" s="107"/>
      <c r="S144" s="108"/>
      <c r="T144" s="108"/>
      <c r="U144" s="108"/>
      <c r="V144" s="108"/>
      <c r="W144" s="108"/>
      <c r="X144" s="108"/>
      <c r="Y144" s="108"/>
      <c r="Z144" s="108"/>
    </row>
    <row r="145" spans="1:26" ht="111" customHeight="1">
      <c r="A145" s="209"/>
      <c r="B145" s="193" t="s">
        <v>297</v>
      </c>
      <c r="C145" s="91">
        <v>0</v>
      </c>
      <c r="D145" s="91">
        <v>1</v>
      </c>
      <c r="E145" s="91">
        <v>0</v>
      </c>
      <c r="F145" s="91">
        <v>1</v>
      </c>
      <c r="G145" s="91">
        <v>0</v>
      </c>
      <c r="H145" s="91">
        <v>0</v>
      </c>
      <c r="I145" s="53" t="s">
        <v>123</v>
      </c>
      <c r="J145" s="109" t="s">
        <v>748</v>
      </c>
      <c r="K145" s="109" t="s">
        <v>811</v>
      </c>
      <c r="L145" s="134" t="s">
        <v>748</v>
      </c>
      <c r="M145" s="236" t="s">
        <v>1030</v>
      </c>
      <c r="N145" s="134" t="s">
        <v>748</v>
      </c>
      <c r="O145" s="134" t="s">
        <v>748</v>
      </c>
      <c r="P145" s="101"/>
      <c r="Q145" s="107"/>
      <c r="R145" s="107"/>
      <c r="S145" s="108"/>
      <c r="T145" s="108"/>
      <c r="U145" s="108"/>
      <c r="V145" s="108"/>
      <c r="W145" s="108"/>
      <c r="X145" s="108"/>
      <c r="Y145" s="108"/>
      <c r="Z145" s="108"/>
    </row>
    <row r="146" spans="1:26" ht="27" customHeight="1">
      <c r="A146" s="209"/>
      <c r="B146" s="193"/>
      <c r="C146" s="91"/>
      <c r="D146" s="91"/>
      <c r="E146" s="91"/>
      <c r="F146" s="91"/>
      <c r="G146" s="91"/>
      <c r="H146" s="91"/>
      <c r="I146" s="53"/>
      <c r="J146" s="109"/>
      <c r="K146" s="109"/>
      <c r="L146" s="69"/>
      <c r="M146" s="115"/>
      <c r="N146" s="134"/>
      <c r="O146" s="115"/>
      <c r="P146" s="101"/>
      <c r="Q146" s="107"/>
      <c r="R146" s="107"/>
      <c r="S146" s="108"/>
      <c r="T146" s="108"/>
      <c r="U146" s="108"/>
      <c r="V146" s="108"/>
      <c r="W146" s="108"/>
      <c r="X146" s="108"/>
      <c r="Y146" s="108"/>
      <c r="Z146" s="108"/>
    </row>
    <row r="147" spans="1:26" ht="48.75" customHeight="1">
      <c r="A147" s="104" t="s">
        <v>736</v>
      </c>
      <c r="B147" s="60" t="s">
        <v>298</v>
      </c>
      <c r="C147" s="91">
        <f t="shared" ref="C147:H147" si="29">AVERAGE(C148:C150)</f>
        <v>0.16666666666666666</v>
      </c>
      <c r="D147" s="91">
        <f t="shared" si="29"/>
        <v>1</v>
      </c>
      <c r="E147" s="91">
        <f t="shared" si="29"/>
        <v>0</v>
      </c>
      <c r="F147" s="91">
        <f t="shared" si="29"/>
        <v>0.5</v>
      </c>
      <c r="G147" s="91">
        <f t="shared" si="29"/>
        <v>0</v>
      </c>
      <c r="H147" s="91">
        <f t="shared" si="29"/>
        <v>0</v>
      </c>
      <c r="I147" s="53"/>
      <c r="J147" s="69"/>
      <c r="K147" s="109"/>
      <c r="L147" s="109"/>
      <c r="M147" s="69"/>
      <c r="N147" s="69"/>
      <c r="O147" s="109"/>
      <c r="P147" s="101"/>
      <c r="Q147" s="107"/>
      <c r="R147" s="107"/>
      <c r="S147" s="108"/>
      <c r="T147" s="108"/>
      <c r="U147" s="108"/>
      <c r="V147" s="108"/>
      <c r="W147" s="108"/>
      <c r="X147" s="108"/>
      <c r="Y147" s="108"/>
      <c r="Z147" s="108"/>
    </row>
    <row r="148" spans="1:26" ht="123.75" customHeight="1">
      <c r="A148" s="209"/>
      <c r="B148" s="193" t="s">
        <v>299</v>
      </c>
      <c r="C148" s="91">
        <v>0.5</v>
      </c>
      <c r="D148" s="91">
        <v>1</v>
      </c>
      <c r="E148" s="91">
        <v>0</v>
      </c>
      <c r="F148" s="899">
        <v>0.5</v>
      </c>
      <c r="G148" s="91">
        <v>0</v>
      </c>
      <c r="H148" s="91">
        <v>0</v>
      </c>
      <c r="I148" s="150" t="s">
        <v>293</v>
      </c>
      <c r="J148" s="69" t="s">
        <v>1031</v>
      </c>
      <c r="K148" s="109" t="s">
        <v>811</v>
      </c>
      <c r="L148" s="134" t="s">
        <v>748</v>
      </c>
      <c r="M148" s="122" t="s">
        <v>1032</v>
      </c>
      <c r="N148" s="134" t="s">
        <v>748</v>
      </c>
      <c r="O148" s="134" t="s">
        <v>748</v>
      </c>
      <c r="P148" s="101"/>
      <c r="Q148" s="107"/>
      <c r="R148" s="107"/>
      <c r="S148" s="108"/>
      <c r="T148" s="108"/>
      <c r="U148" s="108"/>
      <c r="V148" s="108"/>
      <c r="W148" s="108"/>
      <c r="X148" s="108"/>
      <c r="Y148" s="108"/>
      <c r="Z148" s="108"/>
    </row>
    <row r="149" spans="1:26" ht="48.75" customHeight="1">
      <c r="A149" s="104"/>
      <c r="B149" s="193" t="s">
        <v>300</v>
      </c>
      <c r="C149" s="91">
        <v>0</v>
      </c>
      <c r="D149" s="91">
        <v>1</v>
      </c>
      <c r="E149" s="91">
        <v>0</v>
      </c>
      <c r="F149" s="91">
        <v>0</v>
      </c>
      <c r="G149" s="91">
        <v>0</v>
      </c>
      <c r="H149" s="91">
        <v>0</v>
      </c>
      <c r="I149" s="53" t="s">
        <v>123</v>
      </c>
      <c r="J149" s="109" t="s">
        <v>748</v>
      </c>
      <c r="K149" s="109" t="s">
        <v>811</v>
      </c>
      <c r="L149" s="109" t="s">
        <v>748</v>
      </c>
      <c r="M149" s="109" t="s">
        <v>763</v>
      </c>
      <c r="N149" s="134" t="s">
        <v>748</v>
      </c>
      <c r="O149" s="134" t="s">
        <v>748</v>
      </c>
      <c r="P149" s="101"/>
      <c r="Q149" s="107"/>
      <c r="R149" s="107"/>
      <c r="S149" s="108"/>
      <c r="T149" s="108"/>
      <c r="U149" s="108"/>
      <c r="V149" s="108"/>
      <c r="W149" s="108"/>
      <c r="X149" s="108"/>
      <c r="Y149" s="108"/>
      <c r="Z149" s="108"/>
    </row>
    <row r="150" spans="1:26" ht="48.75" customHeight="1">
      <c r="A150" s="104"/>
      <c r="B150" s="193" t="s">
        <v>301</v>
      </c>
      <c r="C150" s="91">
        <v>0</v>
      </c>
      <c r="D150" s="91">
        <v>1</v>
      </c>
      <c r="E150" s="91">
        <v>0</v>
      </c>
      <c r="F150" s="91">
        <v>1</v>
      </c>
      <c r="G150" s="91">
        <v>0</v>
      </c>
      <c r="H150" s="91">
        <v>0</v>
      </c>
      <c r="I150" s="53" t="s">
        <v>123</v>
      </c>
      <c r="J150" s="69" t="s">
        <v>1033</v>
      </c>
      <c r="K150" s="109" t="s">
        <v>811</v>
      </c>
      <c r="L150" s="109" t="s">
        <v>748</v>
      </c>
      <c r="M150" s="69" t="s">
        <v>1034</v>
      </c>
      <c r="N150" s="134" t="s">
        <v>748</v>
      </c>
      <c r="O150" s="134" t="s">
        <v>748</v>
      </c>
      <c r="P150" s="101"/>
      <c r="Q150" s="107"/>
      <c r="R150" s="107"/>
      <c r="S150" s="108"/>
      <c r="T150" s="108"/>
      <c r="U150" s="108"/>
      <c r="V150" s="108"/>
      <c r="W150" s="108"/>
      <c r="X150" s="108"/>
      <c r="Y150" s="108"/>
      <c r="Z150" s="108"/>
    </row>
    <row r="151" spans="1:26" ht="30.75" customHeight="1">
      <c r="A151" s="104"/>
      <c r="B151" s="201"/>
      <c r="C151" s="91"/>
      <c r="D151" s="91"/>
      <c r="E151" s="91"/>
      <c r="F151" s="91"/>
      <c r="G151" s="91"/>
      <c r="H151" s="91"/>
      <c r="I151" s="53"/>
      <c r="J151" s="69"/>
      <c r="K151" s="109"/>
      <c r="L151" s="116"/>
      <c r="M151" s="115"/>
      <c r="N151" s="69"/>
      <c r="O151" s="115"/>
      <c r="P151" s="101"/>
      <c r="Q151" s="107"/>
      <c r="R151" s="107"/>
      <c r="S151" s="108"/>
      <c r="T151" s="108"/>
      <c r="U151" s="108"/>
      <c r="V151" s="108"/>
      <c r="W151" s="108"/>
      <c r="X151" s="108"/>
      <c r="Y151" s="108"/>
      <c r="Z151" s="108"/>
    </row>
    <row r="152" spans="1:26" ht="30.75" customHeight="1">
      <c r="A152" s="104" t="s">
        <v>736</v>
      </c>
      <c r="B152" s="243" t="s">
        <v>302</v>
      </c>
      <c r="C152" s="91">
        <f t="shared" ref="C152:H152" si="30">AVERAGE(C153:C154)</f>
        <v>1</v>
      </c>
      <c r="D152" s="91">
        <f t="shared" si="30"/>
        <v>1</v>
      </c>
      <c r="E152" s="91">
        <f t="shared" si="30"/>
        <v>1</v>
      </c>
      <c r="F152" s="91">
        <f t="shared" si="30"/>
        <v>1</v>
      </c>
      <c r="G152" s="91">
        <f t="shared" si="30"/>
        <v>1</v>
      </c>
      <c r="H152" s="91">
        <f t="shared" si="30"/>
        <v>1</v>
      </c>
      <c r="I152" s="53"/>
      <c r="J152" s="69"/>
      <c r="K152" s="109"/>
      <c r="L152" s="116"/>
      <c r="M152" s="115"/>
      <c r="N152" s="69"/>
      <c r="O152" s="115"/>
      <c r="P152" s="101"/>
      <c r="Q152" s="107"/>
      <c r="R152" s="107"/>
      <c r="S152" s="108"/>
      <c r="T152" s="108"/>
      <c r="U152" s="108"/>
      <c r="V152" s="108"/>
      <c r="W152" s="108"/>
      <c r="X152" s="108"/>
      <c r="Y152" s="108"/>
      <c r="Z152" s="108"/>
    </row>
    <row r="153" spans="1:26" ht="30.75" customHeight="1">
      <c r="A153" s="104"/>
      <c r="B153" s="193" t="s">
        <v>303</v>
      </c>
      <c r="C153" s="91">
        <v>1</v>
      </c>
      <c r="D153" s="91">
        <v>1</v>
      </c>
      <c r="E153" s="91">
        <v>1</v>
      </c>
      <c r="F153" s="91">
        <v>1</v>
      </c>
      <c r="G153" s="91">
        <v>1</v>
      </c>
      <c r="H153" s="91">
        <v>1</v>
      </c>
      <c r="I153" s="53"/>
      <c r="J153" s="109" t="s">
        <v>811</v>
      </c>
      <c r="K153" s="109" t="s">
        <v>811</v>
      </c>
      <c r="L153" s="109" t="s">
        <v>811</v>
      </c>
      <c r="M153" s="69" t="s">
        <v>1035</v>
      </c>
      <c r="N153" s="134" t="s">
        <v>811</v>
      </c>
      <c r="O153" s="134" t="s">
        <v>811</v>
      </c>
      <c r="P153" s="101"/>
      <c r="Q153" s="107"/>
      <c r="R153" s="107"/>
      <c r="S153" s="108"/>
      <c r="T153" s="108"/>
      <c r="U153" s="108"/>
      <c r="V153" s="108"/>
      <c r="W153" s="108"/>
      <c r="X153" s="108"/>
      <c r="Y153" s="108"/>
      <c r="Z153" s="108"/>
    </row>
    <row r="154" spans="1:26" ht="30.75" customHeight="1">
      <c r="A154" s="104"/>
      <c r="B154" s="193" t="s">
        <v>304</v>
      </c>
      <c r="C154" s="91">
        <v>1</v>
      </c>
      <c r="D154" s="91">
        <v>1</v>
      </c>
      <c r="E154" s="91">
        <v>1</v>
      </c>
      <c r="F154" s="91">
        <v>1</v>
      </c>
      <c r="G154" s="91">
        <v>1</v>
      </c>
      <c r="H154" s="91">
        <v>1</v>
      </c>
      <c r="I154" s="53"/>
      <c r="J154" s="109" t="s">
        <v>811</v>
      </c>
      <c r="K154" s="109" t="s">
        <v>811</v>
      </c>
      <c r="L154" s="109" t="s">
        <v>811</v>
      </c>
      <c r="M154" s="69" t="s">
        <v>1035</v>
      </c>
      <c r="N154" s="134" t="s">
        <v>811</v>
      </c>
      <c r="O154" s="134" t="s">
        <v>811</v>
      </c>
      <c r="P154" s="101"/>
      <c r="Q154" s="107"/>
      <c r="R154" s="107"/>
      <c r="S154" s="108"/>
      <c r="T154" s="108"/>
      <c r="U154" s="108"/>
      <c r="V154" s="108"/>
      <c r="W154" s="108"/>
      <c r="X154" s="108"/>
      <c r="Y154" s="108"/>
      <c r="Z154" s="108"/>
    </row>
    <row r="155" spans="1:26" ht="13.5" customHeight="1">
      <c r="A155" s="104"/>
      <c r="B155" s="201"/>
      <c r="C155" s="91"/>
      <c r="D155" s="91"/>
      <c r="E155" s="91"/>
      <c r="F155" s="91"/>
      <c r="G155" s="91"/>
      <c r="H155" s="91"/>
      <c r="I155" s="53"/>
      <c r="J155" s="109"/>
      <c r="K155" s="109"/>
      <c r="L155" s="109"/>
      <c r="M155" s="69"/>
      <c r="N155" s="69"/>
      <c r="O155" s="109"/>
      <c r="P155" s="101"/>
      <c r="Q155" s="107"/>
      <c r="R155" s="107"/>
      <c r="S155" s="108"/>
      <c r="T155" s="108"/>
      <c r="U155" s="108"/>
      <c r="V155" s="108"/>
      <c r="W155" s="108"/>
      <c r="X155" s="108"/>
      <c r="Y155" s="108"/>
      <c r="Z155" s="108"/>
    </row>
    <row r="156" spans="1:26" ht="66.75" customHeight="1">
      <c r="A156" s="104" t="s">
        <v>736</v>
      </c>
      <c r="B156" s="243" t="s">
        <v>305</v>
      </c>
      <c r="C156" s="91">
        <f t="shared" ref="C156:H156" si="31">AVERAGE(C157:C161)</f>
        <v>1</v>
      </c>
      <c r="D156" s="91">
        <f t="shared" si="31"/>
        <v>0.9</v>
      </c>
      <c r="E156" s="91">
        <f t="shared" si="31"/>
        <v>0.4</v>
      </c>
      <c r="F156" s="91">
        <f t="shared" si="31"/>
        <v>1</v>
      </c>
      <c r="G156" s="91">
        <f t="shared" si="31"/>
        <v>0.6</v>
      </c>
      <c r="H156" s="91">
        <f t="shared" si="31"/>
        <v>1</v>
      </c>
      <c r="I156" s="53"/>
      <c r="J156" s="69"/>
      <c r="K156" s="69"/>
      <c r="L156" s="109"/>
      <c r="M156" s="69"/>
      <c r="N156" s="69"/>
      <c r="O156" s="109"/>
      <c r="P156" s="101"/>
      <c r="Q156" s="107"/>
      <c r="R156" s="107"/>
      <c r="S156" s="108"/>
      <c r="T156" s="108"/>
      <c r="U156" s="108"/>
      <c r="V156" s="108"/>
      <c r="W156" s="108"/>
      <c r="X156" s="108"/>
      <c r="Y156" s="108"/>
      <c r="Z156" s="108"/>
    </row>
    <row r="157" spans="1:26" ht="63" customHeight="1">
      <c r="A157" s="104"/>
      <c r="B157" s="193" t="s">
        <v>306</v>
      </c>
      <c r="C157" s="91">
        <v>1</v>
      </c>
      <c r="D157" s="91">
        <v>0.5</v>
      </c>
      <c r="E157" s="91">
        <v>1</v>
      </c>
      <c r="F157" s="899">
        <v>1</v>
      </c>
      <c r="G157" s="91">
        <v>1</v>
      </c>
      <c r="H157" s="91">
        <v>1</v>
      </c>
      <c r="I157" s="53" t="s">
        <v>123</v>
      </c>
      <c r="J157" s="109" t="s">
        <v>811</v>
      </c>
      <c r="K157" s="69" t="s">
        <v>1036</v>
      </c>
      <c r="L157" s="134" t="s">
        <v>811</v>
      </c>
      <c r="M157" s="69" t="s">
        <v>1037</v>
      </c>
      <c r="N157" s="134" t="s">
        <v>811</v>
      </c>
      <c r="O157" s="109" t="s">
        <v>811</v>
      </c>
      <c r="P157" s="101"/>
      <c r="Q157" s="107"/>
      <c r="R157" s="107"/>
      <c r="S157" s="108"/>
      <c r="T157" s="108"/>
      <c r="U157" s="108"/>
      <c r="V157" s="108"/>
      <c r="W157" s="108"/>
      <c r="X157" s="108"/>
      <c r="Y157" s="108"/>
      <c r="Z157" s="108"/>
    </row>
    <row r="158" spans="1:26" ht="84" customHeight="1">
      <c r="A158" s="104"/>
      <c r="B158" s="193" t="s">
        <v>307</v>
      </c>
      <c r="C158" s="91">
        <v>1</v>
      </c>
      <c r="D158" s="91">
        <v>1</v>
      </c>
      <c r="E158" s="91">
        <v>0</v>
      </c>
      <c r="F158" s="91">
        <v>1</v>
      </c>
      <c r="G158" s="91">
        <v>1</v>
      </c>
      <c r="H158" s="91">
        <v>1</v>
      </c>
      <c r="I158" s="53" t="s">
        <v>123</v>
      </c>
      <c r="J158" s="109" t="s">
        <v>811</v>
      </c>
      <c r="K158" s="69" t="s">
        <v>1038</v>
      </c>
      <c r="L158" s="109" t="s">
        <v>748</v>
      </c>
      <c r="M158" s="69" t="s">
        <v>1039</v>
      </c>
      <c r="N158" s="134" t="s">
        <v>811</v>
      </c>
      <c r="O158" s="109" t="s">
        <v>811</v>
      </c>
      <c r="P158" s="101"/>
      <c r="Q158" s="107"/>
      <c r="R158" s="107"/>
      <c r="S158" s="108"/>
      <c r="T158" s="108"/>
      <c r="U158" s="108"/>
      <c r="V158" s="108"/>
      <c r="W158" s="108"/>
      <c r="X158" s="108"/>
      <c r="Y158" s="108"/>
      <c r="Z158" s="108"/>
    </row>
    <row r="159" spans="1:26" ht="96" customHeight="1">
      <c r="A159" s="104"/>
      <c r="B159" s="193" t="s">
        <v>308</v>
      </c>
      <c r="C159" s="91">
        <v>1</v>
      </c>
      <c r="D159" s="91">
        <v>1</v>
      </c>
      <c r="E159" s="91">
        <v>1</v>
      </c>
      <c r="F159" s="91">
        <v>1</v>
      </c>
      <c r="G159" s="91">
        <v>0</v>
      </c>
      <c r="H159" s="91">
        <v>1</v>
      </c>
      <c r="I159" s="53" t="s">
        <v>123</v>
      </c>
      <c r="J159" s="109" t="s">
        <v>811</v>
      </c>
      <c r="K159" s="69" t="s">
        <v>948</v>
      </c>
      <c r="L159" s="109" t="s">
        <v>960</v>
      </c>
      <c r="M159" s="69" t="s">
        <v>1040</v>
      </c>
      <c r="N159" s="134" t="s">
        <v>748</v>
      </c>
      <c r="O159" s="109" t="s">
        <v>811</v>
      </c>
      <c r="P159" s="101"/>
      <c r="Q159" s="107"/>
      <c r="R159" s="107"/>
      <c r="S159" s="108"/>
      <c r="T159" s="108"/>
      <c r="U159" s="108"/>
      <c r="V159" s="108"/>
      <c r="W159" s="108"/>
      <c r="X159" s="108"/>
      <c r="Y159" s="108"/>
      <c r="Z159" s="108"/>
    </row>
    <row r="160" spans="1:26" ht="33" customHeight="1">
      <c r="A160" s="104"/>
      <c r="B160" s="193" t="s">
        <v>309</v>
      </c>
      <c r="C160" s="91">
        <v>1</v>
      </c>
      <c r="D160" s="91">
        <v>1</v>
      </c>
      <c r="E160" s="91">
        <v>0</v>
      </c>
      <c r="F160" s="91">
        <v>1</v>
      </c>
      <c r="G160" s="91">
        <v>0.5</v>
      </c>
      <c r="H160" s="91">
        <v>1</v>
      </c>
      <c r="I160" s="53" t="s">
        <v>310</v>
      </c>
      <c r="J160" s="109" t="s">
        <v>811</v>
      </c>
      <c r="K160" s="69" t="s">
        <v>948</v>
      </c>
      <c r="L160" s="109" t="s">
        <v>748</v>
      </c>
      <c r="M160" s="69" t="s">
        <v>1041</v>
      </c>
      <c r="N160" s="134" t="s">
        <v>811</v>
      </c>
      <c r="O160" s="109" t="s">
        <v>811</v>
      </c>
      <c r="P160" s="101"/>
      <c r="Q160" s="107"/>
      <c r="R160" s="107"/>
      <c r="S160" s="108"/>
      <c r="T160" s="108"/>
      <c r="U160" s="108"/>
      <c r="V160" s="108"/>
      <c r="W160" s="108"/>
      <c r="X160" s="108"/>
      <c r="Y160" s="108"/>
      <c r="Z160" s="108"/>
    </row>
    <row r="161" spans="1:26" ht="24.75" customHeight="1">
      <c r="A161" s="104"/>
      <c r="B161" s="193" t="s">
        <v>311</v>
      </c>
      <c r="C161" s="91">
        <v>1</v>
      </c>
      <c r="D161" s="91">
        <v>1</v>
      </c>
      <c r="E161" s="91">
        <v>0</v>
      </c>
      <c r="F161" s="91">
        <v>1</v>
      </c>
      <c r="G161" s="91">
        <v>0.5</v>
      </c>
      <c r="H161" s="91">
        <v>1</v>
      </c>
      <c r="I161" s="150" t="s">
        <v>123</v>
      </c>
      <c r="J161" s="109" t="s">
        <v>811</v>
      </c>
      <c r="K161" s="69" t="s">
        <v>811</v>
      </c>
      <c r="L161" s="109" t="s">
        <v>748</v>
      </c>
      <c r="M161" s="236" t="s">
        <v>1042</v>
      </c>
      <c r="N161" s="120" t="s">
        <v>1043</v>
      </c>
      <c r="O161" s="109" t="s">
        <v>811</v>
      </c>
      <c r="P161" s="101"/>
      <c r="Q161" s="107"/>
      <c r="R161" s="107"/>
      <c r="S161" s="108"/>
      <c r="T161" s="108"/>
      <c r="U161" s="108"/>
      <c r="V161" s="108"/>
      <c r="W161" s="108"/>
      <c r="X161" s="108"/>
      <c r="Y161" s="108"/>
      <c r="Z161" s="108"/>
    </row>
    <row r="162" spans="1:26" ht="29.25" customHeight="1">
      <c r="A162" s="104"/>
      <c r="B162" s="201"/>
      <c r="C162" s="91"/>
      <c r="D162" s="91"/>
      <c r="E162" s="91"/>
      <c r="F162" s="91"/>
      <c r="G162" s="91"/>
      <c r="H162" s="91"/>
      <c r="I162" s="53"/>
      <c r="J162" s="69"/>
      <c r="K162" s="69"/>
      <c r="L162" s="109"/>
      <c r="M162" s="69"/>
      <c r="N162" s="69"/>
      <c r="O162" s="109"/>
      <c r="P162" s="101"/>
      <c r="Q162" s="107"/>
      <c r="R162" s="107"/>
      <c r="S162" s="108"/>
      <c r="T162" s="108"/>
      <c r="U162" s="108"/>
      <c r="V162" s="108"/>
      <c r="W162" s="108"/>
      <c r="X162" s="108"/>
      <c r="Y162" s="108"/>
      <c r="Z162" s="108"/>
    </row>
    <row r="163" spans="1:26" ht="90" customHeight="1">
      <c r="A163" s="201" t="s">
        <v>736</v>
      </c>
      <c r="B163" s="243" t="s">
        <v>312</v>
      </c>
      <c r="C163" s="91">
        <v>1</v>
      </c>
      <c r="D163" s="91">
        <v>1</v>
      </c>
      <c r="E163" s="91">
        <v>0</v>
      </c>
      <c r="F163" s="91">
        <v>1</v>
      </c>
      <c r="G163" s="899">
        <v>1</v>
      </c>
      <c r="H163" s="91">
        <v>1</v>
      </c>
      <c r="I163" s="53" t="s">
        <v>123</v>
      </c>
      <c r="J163" s="69" t="s">
        <v>1044</v>
      </c>
      <c r="K163" s="69" t="s">
        <v>1045</v>
      </c>
      <c r="L163" s="109" t="s">
        <v>748</v>
      </c>
      <c r="M163" s="69" t="s">
        <v>1046</v>
      </c>
      <c r="N163" s="69" t="s">
        <v>1047</v>
      </c>
      <c r="O163" s="69" t="s">
        <v>1048</v>
      </c>
      <c r="P163" s="101"/>
      <c r="Q163" s="107"/>
      <c r="R163" s="107"/>
      <c r="S163" s="108"/>
      <c r="T163" s="108"/>
      <c r="U163" s="108"/>
      <c r="V163" s="108"/>
      <c r="W163" s="108"/>
      <c r="X163" s="108"/>
      <c r="Y163" s="108"/>
      <c r="Z163" s="108"/>
    </row>
    <row r="164" spans="1:26" ht="13.5" customHeight="1">
      <c r="A164" s="104"/>
      <c r="B164" s="243"/>
      <c r="C164" s="91"/>
      <c r="D164" s="91"/>
      <c r="E164" s="91"/>
      <c r="F164" s="91"/>
      <c r="G164" s="91"/>
      <c r="H164" s="91"/>
      <c r="I164" s="53"/>
      <c r="J164" s="109"/>
      <c r="K164" s="115"/>
      <c r="L164" s="109"/>
      <c r="M164" s="69"/>
      <c r="N164" s="69"/>
      <c r="O164" s="109"/>
      <c r="P164" s="101"/>
      <c r="Q164" s="107"/>
      <c r="R164" s="107"/>
      <c r="S164" s="108"/>
      <c r="T164" s="108"/>
      <c r="U164" s="108"/>
      <c r="V164" s="108"/>
      <c r="W164" s="108"/>
      <c r="X164" s="108"/>
      <c r="Y164" s="108"/>
      <c r="Z164" s="108"/>
    </row>
    <row r="165" spans="1:26" ht="13.5" customHeight="1">
      <c r="A165" s="181" t="s">
        <v>1049</v>
      </c>
      <c r="B165" s="183" t="s">
        <v>314</v>
      </c>
      <c r="C165" s="91">
        <f t="shared" ref="C165:H165" si="32">AVERAGE(C166,C168,C174,C184,C186,C190,C192)</f>
        <v>0.43030277279170087</v>
      </c>
      <c r="D165" s="91">
        <f t="shared" si="32"/>
        <v>0.75964285714285718</v>
      </c>
      <c r="E165" s="91">
        <f t="shared" si="32"/>
        <v>0.14529216256731203</v>
      </c>
      <c r="F165" s="91">
        <f t="shared" si="32"/>
        <v>0.50853294705551599</v>
      </c>
      <c r="G165" s="91">
        <f t="shared" si="32"/>
        <v>0.27628554897132612</v>
      </c>
      <c r="H165" s="91">
        <f t="shared" si="32"/>
        <v>0.39325926755521451</v>
      </c>
      <c r="I165" s="53"/>
      <c r="J165" s="115"/>
      <c r="K165" s="115"/>
      <c r="L165" s="109"/>
      <c r="M165" s="69"/>
      <c r="N165" s="69"/>
      <c r="O165" s="109"/>
      <c r="P165" s="101"/>
      <c r="Q165" s="102"/>
      <c r="R165" s="102"/>
      <c r="S165" s="103"/>
      <c r="T165" s="103"/>
      <c r="U165" s="103"/>
      <c r="V165" s="103"/>
      <c r="W165" s="103"/>
      <c r="X165" s="103"/>
      <c r="Y165" s="103"/>
      <c r="Z165" s="103"/>
    </row>
    <row r="166" spans="1:26" ht="177" customHeight="1">
      <c r="A166" s="201" t="s">
        <v>736</v>
      </c>
      <c r="B166" s="105" t="s">
        <v>315</v>
      </c>
      <c r="C166" s="899">
        <v>0.5</v>
      </c>
      <c r="D166" s="899">
        <v>0.5</v>
      </c>
      <c r="E166" s="899">
        <v>0</v>
      </c>
      <c r="F166" s="899">
        <v>1</v>
      </c>
      <c r="G166" s="899">
        <v>1</v>
      </c>
      <c r="H166" s="899">
        <v>0</v>
      </c>
      <c r="I166" s="150" t="s">
        <v>316</v>
      </c>
      <c r="J166" s="69" t="s">
        <v>1050</v>
      </c>
      <c r="K166" s="69" t="s">
        <v>1051</v>
      </c>
      <c r="L166" s="69" t="s">
        <v>748</v>
      </c>
      <c r="M166" s="69" t="s">
        <v>1052</v>
      </c>
      <c r="N166" s="252" t="s">
        <v>1053</v>
      </c>
      <c r="O166" s="69" t="s">
        <v>748</v>
      </c>
      <c r="P166" s="101"/>
      <c r="Q166" s="107"/>
      <c r="R166" s="107"/>
      <c r="S166" s="108"/>
      <c r="T166" s="108"/>
      <c r="U166" s="108"/>
      <c r="V166" s="108"/>
      <c r="W166" s="108"/>
      <c r="X166" s="108"/>
      <c r="Y166" s="108"/>
      <c r="Z166" s="108"/>
    </row>
    <row r="167" spans="1:26" ht="20.25" customHeight="1">
      <c r="A167" s="1"/>
      <c r="B167" s="918"/>
      <c r="C167" s="192"/>
      <c r="D167" s="192"/>
      <c r="E167" s="192"/>
      <c r="F167" s="192"/>
      <c r="G167" s="192"/>
      <c r="H167" s="192"/>
      <c r="I167" s="17"/>
      <c r="J167" s="69"/>
      <c r="K167" s="69"/>
      <c r="L167" s="109"/>
      <c r="M167" s="69"/>
      <c r="N167" s="109"/>
      <c r="O167" s="109"/>
      <c r="P167" s="19"/>
      <c r="Q167" s="12"/>
      <c r="R167" s="12"/>
      <c r="S167" s="12"/>
      <c r="T167" s="12"/>
      <c r="U167" s="12"/>
      <c r="V167" s="12"/>
      <c r="W167" s="12"/>
      <c r="X167" s="12"/>
      <c r="Y167" s="12"/>
      <c r="Z167" s="12"/>
    </row>
    <row r="168" spans="1:26" ht="60.75" customHeight="1">
      <c r="A168" s="201" t="s">
        <v>736</v>
      </c>
      <c r="B168" s="243" t="s">
        <v>1054</v>
      </c>
      <c r="C168" s="91">
        <f t="shared" ref="C168:H168" si="33">AVERAGE(C169:C172)</f>
        <v>0.25</v>
      </c>
      <c r="D168" s="91">
        <f t="shared" si="33"/>
        <v>0.5</v>
      </c>
      <c r="E168" s="91">
        <f t="shared" si="33"/>
        <v>0</v>
      </c>
      <c r="F168" s="91">
        <f t="shared" si="33"/>
        <v>0.25</v>
      </c>
      <c r="G168" s="91">
        <f t="shared" si="33"/>
        <v>0</v>
      </c>
      <c r="H168" s="91">
        <f t="shared" si="33"/>
        <v>0.5</v>
      </c>
      <c r="I168" s="53"/>
      <c r="J168" s="69"/>
      <c r="K168" s="69"/>
      <c r="L168" s="116"/>
      <c r="M168" s="69"/>
      <c r="N168" s="69"/>
      <c r="O168" s="115"/>
      <c r="P168" s="101"/>
      <c r="Q168" s="107"/>
      <c r="R168" s="107"/>
      <c r="S168" s="108"/>
      <c r="T168" s="108"/>
      <c r="U168" s="108"/>
      <c r="V168" s="108"/>
      <c r="W168" s="108"/>
      <c r="X168" s="108"/>
      <c r="Y168" s="108"/>
      <c r="Z168" s="108"/>
    </row>
    <row r="169" spans="1:26" ht="36" customHeight="1">
      <c r="A169" s="104"/>
      <c r="B169" s="193" t="s">
        <v>318</v>
      </c>
      <c r="C169" s="91">
        <v>0</v>
      </c>
      <c r="D169" s="899">
        <v>1</v>
      </c>
      <c r="E169" s="91">
        <v>0</v>
      </c>
      <c r="F169" s="91">
        <v>0</v>
      </c>
      <c r="G169" s="91">
        <v>0</v>
      </c>
      <c r="H169" s="91">
        <v>0</v>
      </c>
      <c r="I169" s="53" t="s">
        <v>38</v>
      </c>
      <c r="J169" s="109" t="s">
        <v>748</v>
      </c>
      <c r="K169" s="69" t="s">
        <v>1055</v>
      </c>
      <c r="L169" s="109" t="s">
        <v>748</v>
      </c>
      <c r="M169" s="109" t="s">
        <v>748</v>
      </c>
      <c r="N169" s="134" t="s">
        <v>748</v>
      </c>
      <c r="O169" s="109" t="s">
        <v>748</v>
      </c>
      <c r="P169" s="101"/>
      <c r="Q169" s="107"/>
      <c r="R169" s="107"/>
      <c r="S169" s="108"/>
      <c r="T169" s="108"/>
      <c r="U169" s="108"/>
      <c r="V169" s="108"/>
      <c r="W169" s="108"/>
      <c r="X169" s="108"/>
      <c r="Y169" s="108"/>
      <c r="Z169" s="108"/>
    </row>
    <row r="170" spans="1:26" ht="44.25" customHeight="1">
      <c r="A170" s="104"/>
      <c r="B170" s="193" t="s">
        <v>319</v>
      </c>
      <c r="C170" s="91">
        <v>0</v>
      </c>
      <c r="D170" s="91">
        <v>0</v>
      </c>
      <c r="E170" s="91">
        <v>0</v>
      </c>
      <c r="F170" s="91">
        <v>0</v>
      </c>
      <c r="G170" s="91">
        <v>0</v>
      </c>
      <c r="H170" s="91">
        <v>1</v>
      </c>
      <c r="I170" s="53" t="s">
        <v>38</v>
      </c>
      <c r="J170" s="109" t="s">
        <v>748</v>
      </c>
      <c r="K170" s="69" t="s">
        <v>748</v>
      </c>
      <c r="L170" s="109" t="s">
        <v>748</v>
      </c>
      <c r="M170" s="69" t="s">
        <v>748</v>
      </c>
      <c r="N170" s="134" t="s">
        <v>748</v>
      </c>
      <c r="O170" s="109" t="s">
        <v>811</v>
      </c>
      <c r="P170" s="101"/>
      <c r="Q170" s="107"/>
      <c r="R170" s="107"/>
      <c r="S170" s="108"/>
      <c r="T170" s="108"/>
      <c r="U170" s="108"/>
      <c r="V170" s="108"/>
      <c r="W170" s="108"/>
      <c r="X170" s="108"/>
      <c r="Y170" s="108"/>
      <c r="Z170" s="108"/>
    </row>
    <row r="171" spans="1:26" ht="60" customHeight="1">
      <c r="A171" s="104"/>
      <c r="B171" s="193" t="s">
        <v>320</v>
      </c>
      <c r="C171" s="91">
        <v>1</v>
      </c>
      <c r="D171" s="91">
        <v>1</v>
      </c>
      <c r="E171" s="91">
        <v>0</v>
      </c>
      <c r="F171" s="91">
        <v>1</v>
      </c>
      <c r="G171" s="91">
        <v>0</v>
      </c>
      <c r="H171" s="91">
        <v>1</v>
      </c>
      <c r="I171" s="53" t="s">
        <v>38</v>
      </c>
      <c r="J171" s="109" t="s">
        <v>811</v>
      </c>
      <c r="K171" s="69" t="s">
        <v>1056</v>
      </c>
      <c r="L171" s="109" t="s">
        <v>748</v>
      </c>
      <c r="M171" s="69" t="s">
        <v>1057</v>
      </c>
      <c r="N171" s="134" t="s">
        <v>748</v>
      </c>
      <c r="O171" s="109" t="s">
        <v>811</v>
      </c>
      <c r="P171" s="101"/>
      <c r="Q171" s="107"/>
      <c r="R171" s="107"/>
      <c r="S171" s="108"/>
      <c r="T171" s="108"/>
      <c r="U171" s="108"/>
      <c r="V171" s="108"/>
      <c r="W171" s="108"/>
      <c r="X171" s="108"/>
      <c r="Y171" s="108"/>
      <c r="Z171" s="108"/>
    </row>
    <row r="172" spans="1:26" ht="75" customHeight="1">
      <c r="A172" s="104"/>
      <c r="B172" s="193" t="s">
        <v>321</v>
      </c>
      <c r="C172" s="91">
        <v>0</v>
      </c>
      <c r="D172" s="91">
        <v>0</v>
      </c>
      <c r="E172" s="91">
        <v>0</v>
      </c>
      <c r="F172" s="91">
        <v>0</v>
      </c>
      <c r="G172" s="91">
        <v>0</v>
      </c>
      <c r="H172" s="91">
        <v>0</v>
      </c>
      <c r="I172" s="53" t="s">
        <v>38</v>
      </c>
      <c r="J172" s="109" t="s">
        <v>748</v>
      </c>
      <c r="K172" s="109" t="s">
        <v>748</v>
      </c>
      <c r="L172" s="69" t="s">
        <v>748</v>
      </c>
      <c r="M172" s="69" t="s">
        <v>748</v>
      </c>
      <c r="N172" s="134" t="s">
        <v>748</v>
      </c>
      <c r="O172" s="69" t="s">
        <v>748</v>
      </c>
      <c r="P172" s="101"/>
      <c r="Q172" s="107"/>
      <c r="R172" s="107"/>
      <c r="S172" s="108"/>
      <c r="T172" s="108"/>
      <c r="U172" s="108"/>
      <c r="V172" s="108"/>
      <c r="W172" s="108"/>
      <c r="X172" s="108"/>
      <c r="Y172" s="108"/>
      <c r="Z172" s="108"/>
    </row>
    <row r="173" spans="1:26" ht="24" customHeight="1">
      <c r="A173" s="104"/>
      <c r="B173" s="193"/>
      <c r="C173" s="91"/>
      <c r="D173" s="91"/>
      <c r="E173" s="91"/>
      <c r="F173" s="91"/>
      <c r="G173" s="91"/>
      <c r="H173" s="91"/>
      <c r="I173" s="53"/>
      <c r="J173" s="109"/>
      <c r="K173" s="109"/>
      <c r="L173" s="109"/>
      <c r="M173" s="69"/>
      <c r="N173" s="109"/>
      <c r="O173" s="69"/>
      <c r="P173" s="101"/>
      <c r="Q173" s="107"/>
      <c r="R173" s="107"/>
      <c r="S173" s="108"/>
      <c r="T173" s="108"/>
      <c r="U173" s="108"/>
      <c r="V173" s="108"/>
      <c r="W173" s="108"/>
      <c r="X173" s="108"/>
      <c r="Y173" s="108"/>
      <c r="Z173" s="108"/>
    </row>
    <row r="174" spans="1:26" ht="84" customHeight="1">
      <c r="A174" s="201" t="s">
        <v>736</v>
      </c>
      <c r="B174" s="243" t="s">
        <v>322</v>
      </c>
      <c r="C174" s="91">
        <f t="shared" ref="C174:H174" si="34">AVERAGE(C175:C182)</f>
        <v>0.5625</v>
      </c>
      <c r="D174" s="91">
        <f t="shared" si="34"/>
        <v>0.9375</v>
      </c>
      <c r="E174" s="91">
        <f t="shared" si="34"/>
        <v>0</v>
      </c>
      <c r="F174" s="91">
        <f t="shared" si="34"/>
        <v>0.5</v>
      </c>
      <c r="G174" s="91">
        <f t="shared" si="34"/>
        <v>0</v>
      </c>
      <c r="H174" s="91">
        <f t="shared" si="34"/>
        <v>0.8125</v>
      </c>
      <c r="I174" s="227" t="s">
        <v>323</v>
      </c>
      <c r="J174" s="69"/>
      <c r="K174" s="69"/>
      <c r="L174" s="109"/>
      <c r="M174" s="69" t="s">
        <v>1058</v>
      </c>
      <c r="N174" s="69" t="s">
        <v>1059</v>
      </c>
      <c r="O174" s="109"/>
      <c r="P174" s="101"/>
      <c r="Q174" s="107"/>
      <c r="R174" s="107"/>
      <c r="S174" s="108"/>
      <c r="T174" s="108"/>
      <c r="U174" s="108"/>
      <c r="V174" s="108"/>
      <c r="W174" s="108"/>
      <c r="X174" s="108"/>
      <c r="Y174" s="108"/>
      <c r="Z174" s="108"/>
    </row>
    <row r="175" spans="1:26" ht="27.75" customHeight="1">
      <c r="A175" s="104"/>
      <c r="B175" s="193" t="s">
        <v>324</v>
      </c>
      <c r="C175" s="899">
        <v>0</v>
      </c>
      <c r="D175" s="91">
        <v>1</v>
      </c>
      <c r="E175" s="91">
        <v>0</v>
      </c>
      <c r="F175" s="91">
        <v>0</v>
      </c>
      <c r="G175" s="91">
        <v>0</v>
      </c>
      <c r="H175" s="91">
        <v>0</v>
      </c>
      <c r="I175" s="53"/>
      <c r="J175" s="69" t="s">
        <v>748</v>
      </c>
      <c r="K175" s="69" t="s">
        <v>811</v>
      </c>
      <c r="L175" s="69" t="s">
        <v>748</v>
      </c>
      <c r="M175" s="69" t="s">
        <v>748</v>
      </c>
      <c r="N175" s="69" t="s">
        <v>748</v>
      </c>
      <c r="O175" s="109" t="s">
        <v>748</v>
      </c>
      <c r="P175" s="101"/>
      <c r="Q175" s="107"/>
      <c r="R175" s="107"/>
      <c r="S175" s="108"/>
      <c r="T175" s="108"/>
      <c r="U175" s="108"/>
      <c r="V175" s="108"/>
      <c r="W175" s="108"/>
      <c r="X175" s="108"/>
      <c r="Y175" s="108"/>
      <c r="Z175" s="108"/>
    </row>
    <row r="176" spans="1:26" ht="42" customHeight="1">
      <c r="A176" s="104"/>
      <c r="B176" s="193" t="s">
        <v>325</v>
      </c>
      <c r="C176" s="91">
        <v>1</v>
      </c>
      <c r="D176" s="91">
        <v>1</v>
      </c>
      <c r="E176" s="91">
        <v>0</v>
      </c>
      <c r="F176" s="91">
        <v>1</v>
      </c>
      <c r="G176" s="91">
        <v>0</v>
      </c>
      <c r="H176" s="91">
        <v>1</v>
      </c>
      <c r="I176" s="53"/>
      <c r="J176" s="69" t="s">
        <v>811</v>
      </c>
      <c r="K176" s="69" t="s">
        <v>811</v>
      </c>
      <c r="L176" s="109" t="s">
        <v>1060</v>
      </c>
      <c r="M176" s="69" t="s">
        <v>811</v>
      </c>
      <c r="N176" s="69" t="s">
        <v>748</v>
      </c>
      <c r="O176" s="109" t="s">
        <v>811</v>
      </c>
      <c r="P176" s="101"/>
      <c r="Q176" s="107"/>
      <c r="R176" s="107"/>
      <c r="S176" s="108"/>
      <c r="T176" s="108"/>
      <c r="U176" s="108"/>
      <c r="V176" s="108"/>
      <c r="W176" s="108"/>
      <c r="X176" s="108"/>
      <c r="Y176" s="108"/>
      <c r="Z176" s="108"/>
    </row>
    <row r="177" spans="1:26" ht="60" customHeight="1">
      <c r="A177" s="104"/>
      <c r="B177" s="193" t="s">
        <v>326</v>
      </c>
      <c r="C177" s="899">
        <v>0.5</v>
      </c>
      <c r="D177" s="899">
        <v>1</v>
      </c>
      <c r="E177" s="91">
        <v>0</v>
      </c>
      <c r="F177" s="91">
        <v>0</v>
      </c>
      <c r="G177" s="91">
        <v>0</v>
      </c>
      <c r="H177" s="91">
        <v>1</v>
      </c>
      <c r="I177" s="53"/>
      <c r="J177" s="69" t="s">
        <v>1061</v>
      </c>
      <c r="K177" s="69" t="s">
        <v>811</v>
      </c>
      <c r="L177" s="69" t="s">
        <v>748</v>
      </c>
      <c r="M177" s="69" t="s">
        <v>748</v>
      </c>
      <c r="N177" s="69" t="s">
        <v>748</v>
      </c>
      <c r="O177" s="109" t="s">
        <v>811</v>
      </c>
      <c r="P177" s="101"/>
      <c r="Q177" s="107"/>
      <c r="R177" s="107"/>
      <c r="S177" s="108"/>
      <c r="T177" s="108"/>
      <c r="U177" s="108"/>
      <c r="V177" s="108"/>
      <c r="W177" s="108"/>
      <c r="X177" s="108"/>
      <c r="Y177" s="108"/>
      <c r="Z177" s="108"/>
    </row>
    <row r="178" spans="1:26" ht="27.75" customHeight="1">
      <c r="A178" s="104"/>
      <c r="B178" s="193" t="s">
        <v>327</v>
      </c>
      <c r="C178" s="91">
        <v>0</v>
      </c>
      <c r="D178" s="91">
        <v>1</v>
      </c>
      <c r="E178" s="91">
        <v>0</v>
      </c>
      <c r="F178" s="899">
        <v>1</v>
      </c>
      <c r="G178" s="91">
        <v>0</v>
      </c>
      <c r="H178" s="91">
        <v>1</v>
      </c>
      <c r="I178" s="53"/>
      <c r="J178" s="109" t="s">
        <v>748</v>
      </c>
      <c r="K178" s="69" t="s">
        <v>811</v>
      </c>
      <c r="L178" s="69" t="s">
        <v>748</v>
      </c>
      <c r="M178" s="69" t="s">
        <v>811</v>
      </c>
      <c r="N178" s="69" t="s">
        <v>748</v>
      </c>
      <c r="O178" s="109" t="s">
        <v>811</v>
      </c>
      <c r="P178" s="101"/>
      <c r="Q178" s="107"/>
      <c r="R178" s="107"/>
      <c r="S178" s="108"/>
      <c r="T178" s="108"/>
      <c r="U178" s="108"/>
      <c r="V178" s="108"/>
      <c r="W178" s="108"/>
      <c r="X178" s="108"/>
      <c r="Y178" s="108"/>
      <c r="Z178" s="108"/>
    </row>
    <row r="179" spans="1:26" ht="72" customHeight="1">
      <c r="A179" s="104"/>
      <c r="B179" s="193" t="s">
        <v>328</v>
      </c>
      <c r="C179" s="91">
        <v>1</v>
      </c>
      <c r="D179" s="91">
        <v>0.5</v>
      </c>
      <c r="E179" s="91">
        <v>0</v>
      </c>
      <c r="F179" s="91">
        <v>1</v>
      </c>
      <c r="G179" s="91">
        <v>0</v>
      </c>
      <c r="H179" s="91">
        <v>1</v>
      </c>
      <c r="I179" s="53"/>
      <c r="J179" s="69" t="s">
        <v>1062</v>
      </c>
      <c r="K179" s="69" t="s">
        <v>1063</v>
      </c>
      <c r="L179" s="69" t="s">
        <v>748</v>
      </c>
      <c r="M179" s="69" t="s">
        <v>811</v>
      </c>
      <c r="N179" s="69" t="s">
        <v>748</v>
      </c>
      <c r="O179" s="109" t="s">
        <v>811</v>
      </c>
      <c r="P179" s="101"/>
      <c r="Q179" s="107"/>
      <c r="R179" s="107"/>
      <c r="S179" s="108"/>
      <c r="T179" s="108"/>
      <c r="U179" s="108"/>
      <c r="V179" s="108"/>
      <c r="W179" s="108"/>
      <c r="X179" s="108"/>
      <c r="Y179" s="108"/>
      <c r="Z179" s="108"/>
    </row>
    <row r="180" spans="1:26" ht="57" customHeight="1">
      <c r="A180" s="104"/>
      <c r="B180" s="193" t="s">
        <v>329</v>
      </c>
      <c r="C180" s="91">
        <v>1</v>
      </c>
      <c r="D180" s="91">
        <v>1</v>
      </c>
      <c r="E180" s="91">
        <v>0</v>
      </c>
      <c r="F180" s="91">
        <v>0</v>
      </c>
      <c r="G180" s="91">
        <v>0</v>
      </c>
      <c r="H180" s="899">
        <v>0.5</v>
      </c>
      <c r="I180" s="53"/>
      <c r="J180" s="69" t="s">
        <v>811</v>
      </c>
      <c r="K180" s="69" t="s">
        <v>811</v>
      </c>
      <c r="L180" s="69" t="s">
        <v>748</v>
      </c>
      <c r="M180" s="69" t="s">
        <v>748</v>
      </c>
      <c r="N180" s="69" t="s">
        <v>748</v>
      </c>
      <c r="O180" s="69" t="s">
        <v>1064</v>
      </c>
      <c r="P180" s="101"/>
      <c r="Q180" s="107"/>
      <c r="R180" s="107"/>
      <c r="S180" s="108"/>
      <c r="T180" s="108"/>
      <c r="U180" s="108"/>
      <c r="V180" s="108"/>
      <c r="W180" s="108"/>
      <c r="X180" s="108"/>
      <c r="Y180" s="108"/>
      <c r="Z180" s="108"/>
    </row>
    <row r="181" spans="1:26" ht="42" customHeight="1">
      <c r="A181" s="104"/>
      <c r="B181" s="193" t="s">
        <v>330</v>
      </c>
      <c r="C181" s="91">
        <v>1</v>
      </c>
      <c r="D181" s="91">
        <v>1</v>
      </c>
      <c r="E181" s="91">
        <v>0</v>
      </c>
      <c r="F181" s="91">
        <v>1</v>
      </c>
      <c r="G181" s="91">
        <v>0</v>
      </c>
      <c r="H181" s="91">
        <v>1</v>
      </c>
      <c r="I181" s="53"/>
      <c r="J181" s="69" t="s">
        <v>811</v>
      </c>
      <c r="K181" s="69" t="s">
        <v>811</v>
      </c>
      <c r="L181" s="69" t="s">
        <v>748</v>
      </c>
      <c r="M181" s="69" t="s">
        <v>811</v>
      </c>
      <c r="N181" s="69" t="s">
        <v>748</v>
      </c>
      <c r="O181" s="109" t="s">
        <v>811</v>
      </c>
      <c r="P181" s="101"/>
      <c r="Q181" s="107"/>
      <c r="R181" s="107"/>
      <c r="S181" s="108"/>
      <c r="T181" s="108"/>
      <c r="U181" s="108"/>
      <c r="V181" s="108"/>
      <c r="W181" s="108"/>
      <c r="X181" s="108"/>
      <c r="Y181" s="108"/>
      <c r="Z181" s="108"/>
    </row>
    <row r="182" spans="1:26" ht="30.75" customHeight="1">
      <c r="A182" s="104"/>
      <c r="B182" s="193" t="s">
        <v>331</v>
      </c>
      <c r="C182" s="91">
        <v>0</v>
      </c>
      <c r="D182" s="91">
        <v>1</v>
      </c>
      <c r="E182" s="91">
        <v>0</v>
      </c>
      <c r="F182" s="899">
        <v>0</v>
      </c>
      <c r="G182" s="91">
        <v>0</v>
      </c>
      <c r="H182" s="91">
        <v>1</v>
      </c>
      <c r="I182" s="53"/>
      <c r="J182" s="69" t="s">
        <v>1065</v>
      </c>
      <c r="K182" s="69" t="s">
        <v>1066</v>
      </c>
      <c r="L182" s="69" t="s">
        <v>748</v>
      </c>
      <c r="M182" s="69" t="s">
        <v>748</v>
      </c>
      <c r="N182" s="69" t="s">
        <v>748</v>
      </c>
      <c r="O182" s="109" t="s">
        <v>811</v>
      </c>
      <c r="P182" s="101"/>
      <c r="Q182" s="107"/>
      <c r="R182" s="107"/>
      <c r="S182" s="108"/>
      <c r="T182" s="108"/>
      <c r="U182" s="108"/>
      <c r="V182" s="108"/>
      <c r="W182" s="108"/>
      <c r="X182" s="108"/>
      <c r="Y182" s="108"/>
      <c r="Z182" s="108"/>
    </row>
    <row r="183" spans="1:26" ht="26.25" customHeight="1">
      <c r="A183" s="104"/>
      <c r="B183" s="193"/>
      <c r="C183" s="91"/>
      <c r="D183" s="91"/>
      <c r="E183" s="91"/>
      <c r="F183" s="91"/>
      <c r="G183" s="91"/>
      <c r="H183" s="91"/>
      <c r="I183" s="53"/>
      <c r="J183" s="69"/>
      <c r="K183" s="69"/>
      <c r="L183" s="69"/>
      <c r="M183" s="115"/>
      <c r="N183" s="109"/>
      <c r="O183" s="109"/>
      <c r="P183" s="101"/>
      <c r="Q183" s="107"/>
      <c r="R183" s="107"/>
      <c r="S183" s="108"/>
      <c r="T183" s="108"/>
      <c r="U183" s="108"/>
      <c r="V183" s="108"/>
      <c r="W183" s="108"/>
      <c r="X183" s="108"/>
      <c r="Y183" s="108"/>
      <c r="Z183" s="108"/>
    </row>
    <row r="184" spans="1:26" ht="87" customHeight="1">
      <c r="A184" s="201" t="s">
        <v>736</v>
      </c>
      <c r="B184" s="105" t="s">
        <v>1067</v>
      </c>
      <c r="C184" s="91">
        <v>1</v>
      </c>
      <c r="D184" s="91">
        <v>1</v>
      </c>
      <c r="E184" s="91">
        <v>0</v>
      </c>
      <c r="F184" s="91">
        <v>0</v>
      </c>
      <c r="G184" s="91">
        <v>0.5</v>
      </c>
      <c r="H184" s="91">
        <v>1</v>
      </c>
      <c r="I184" s="53"/>
      <c r="J184" s="69" t="s">
        <v>1068</v>
      </c>
      <c r="K184" s="69" t="s">
        <v>1069</v>
      </c>
      <c r="L184" s="69" t="s">
        <v>748</v>
      </c>
      <c r="M184" s="120" t="s">
        <v>763</v>
      </c>
      <c r="N184" s="120" t="s">
        <v>1070</v>
      </c>
      <c r="O184" s="120" t="s">
        <v>811</v>
      </c>
      <c r="P184" s="101"/>
      <c r="Q184" s="107"/>
      <c r="R184" s="107"/>
      <c r="S184" s="108"/>
      <c r="T184" s="108"/>
      <c r="U184" s="108"/>
      <c r="V184" s="108"/>
      <c r="W184" s="108"/>
      <c r="X184" s="108"/>
      <c r="Y184" s="108"/>
      <c r="Z184" s="108"/>
    </row>
    <row r="185" spans="1:26" ht="13.5" customHeight="1">
      <c r="A185" s="104"/>
      <c r="B185" s="201"/>
      <c r="C185" s="91"/>
      <c r="D185" s="91"/>
      <c r="E185" s="91"/>
      <c r="F185" s="91"/>
      <c r="G185" s="91"/>
      <c r="H185" s="91"/>
      <c r="I185" s="53"/>
      <c r="J185" s="69"/>
      <c r="K185" s="69"/>
      <c r="L185" s="109"/>
      <c r="M185" s="69"/>
      <c r="N185" s="69"/>
      <c r="O185" s="109"/>
      <c r="P185" s="101"/>
      <c r="Q185" s="107"/>
      <c r="R185" s="107"/>
      <c r="S185" s="108"/>
      <c r="T185" s="108"/>
      <c r="U185" s="108"/>
      <c r="V185" s="108"/>
      <c r="W185" s="108"/>
      <c r="X185" s="108"/>
      <c r="Y185" s="108"/>
      <c r="Z185" s="108"/>
    </row>
    <row r="186" spans="1:26" ht="62.25" customHeight="1">
      <c r="A186" s="201" t="s">
        <v>736</v>
      </c>
      <c r="B186" s="243" t="s">
        <v>333</v>
      </c>
      <c r="C186" s="91">
        <f t="shared" ref="C186:H186" si="35">AVERAGE(C187:C188)</f>
        <v>0.5</v>
      </c>
      <c r="D186" s="91">
        <f t="shared" si="35"/>
        <v>1</v>
      </c>
      <c r="E186" s="91">
        <f t="shared" si="35"/>
        <v>0</v>
      </c>
      <c r="F186" s="91">
        <f t="shared" si="35"/>
        <v>1</v>
      </c>
      <c r="G186" s="91">
        <f t="shared" si="35"/>
        <v>0</v>
      </c>
      <c r="H186" s="91">
        <f t="shared" si="35"/>
        <v>0</v>
      </c>
      <c r="I186" s="150" t="s">
        <v>334</v>
      </c>
      <c r="J186" s="69"/>
      <c r="K186" s="69"/>
      <c r="L186" s="109"/>
      <c r="M186" s="69" t="s">
        <v>1071</v>
      </c>
      <c r="N186" s="69"/>
      <c r="O186" s="109"/>
      <c r="P186" s="101"/>
      <c r="Q186" s="107"/>
      <c r="R186" s="107"/>
      <c r="S186" s="108"/>
      <c r="T186" s="108"/>
      <c r="U186" s="108"/>
      <c r="V186" s="108"/>
      <c r="W186" s="108"/>
      <c r="X186" s="108"/>
      <c r="Y186" s="108"/>
      <c r="Z186" s="108"/>
    </row>
    <row r="187" spans="1:26" ht="58.5" customHeight="1">
      <c r="A187" s="104"/>
      <c r="B187" s="193" t="s">
        <v>335</v>
      </c>
      <c r="C187" s="91">
        <v>1</v>
      </c>
      <c r="D187" s="91">
        <v>1</v>
      </c>
      <c r="E187" s="91">
        <v>0</v>
      </c>
      <c r="F187" s="899">
        <v>1</v>
      </c>
      <c r="G187" s="91">
        <v>0</v>
      </c>
      <c r="H187" s="91">
        <v>0</v>
      </c>
      <c r="I187" s="53"/>
      <c r="J187" s="69" t="s">
        <v>811</v>
      </c>
      <c r="K187" s="69" t="s">
        <v>1068</v>
      </c>
      <c r="L187" s="69" t="s">
        <v>748</v>
      </c>
      <c r="M187" s="69" t="s">
        <v>1072</v>
      </c>
      <c r="N187" s="69" t="s">
        <v>1073</v>
      </c>
      <c r="O187" s="109" t="s">
        <v>968</v>
      </c>
      <c r="P187" s="101"/>
      <c r="Q187" s="107"/>
      <c r="R187" s="107"/>
      <c r="S187" s="108"/>
      <c r="T187" s="108"/>
      <c r="U187" s="108"/>
      <c r="V187" s="108"/>
      <c r="W187" s="108"/>
      <c r="X187" s="108"/>
      <c r="Y187" s="108"/>
      <c r="Z187" s="108"/>
    </row>
    <row r="188" spans="1:26" ht="34.5" customHeight="1">
      <c r="A188" s="104"/>
      <c r="B188" s="193" t="s">
        <v>336</v>
      </c>
      <c r="C188" s="91">
        <v>0</v>
      </c>
      <c r="D188" s="91">
        <v>1</v>
      </c>
      <c r="E188" s="91">
        <v>0</v>
      </c>
      <c r="F188" s="91">
        <v>1</v>
      </c>
      <c r="G188" s="91">
        <v>0</v>
      </c>
      <c r="H188" s="91">
        <v>0</v>
      </c>
      <c r="I188" s="53"/>
      <c r="J188" s="69" t="s">
        <v>748</v>
      </c>
      <c r="K188" s="69" t="s">
        <v>1068</v>
      </c>
      <c r="L188" s="69" t="s">
        <v>748</v>
      </c>
      <c r="M188" s="69" t="s">
        <v>1074</v>
      </c>
      <c r="N188" s="120" t="s">
        <v>1073</v>
      </c>
      <c r="O188" s="109" t="s">
        <v>968</v>
      </c>
      <c r="P188" s="101"/>
      <c r="Q188" s="107"/>
      <c r="R188" s="107"/>
      <c r="S188" s="108"/>
      <c r="T188" s="108"/>
      <c r="U188" s="108"/>
      <c r="V188" s="108"/>
      <c r="W188" s="108"/>
      <c r="X188" s="108"/>
      <c r="Y188" s="108"/>
      <c r="Z188" s="108"/>
    </row>
    <row r="189" spans="1:26" ht="13.5" customHeight="1">
      <c r="A189" s="104"/>
      <c r="B189" s="201"/>
      <c r="C189" s="91"/>
      <c r="D189" s="91"/>
      <c r="E189" s="91"/>
      <c r="F189" s="91"/>
      <c r="G189" s="91"/>
      <c r="H189" s="91"/>
      <c r="I189" s="53"/>
      <c r="J189" s="69"/>
      <c r="K189" s="69"/>
      <c r="L189" s="109"/>
      <c r="M189" s="69"/>
      <c r="N189" s="109"/>
      <c r="O189" s="109"/>
      <c r="P189" s="101"/>
      <c r="Q189" s="107"/>
      <c r="R189" s="107"/>
      <c r="S189" s="108"/>
      <c r="T189" s="108"/>
      <c r="U189" s="108"/>
      <c r="V189" s="108"/>
      <c r="W189" s="108"/>
      <c r="X189" s="108"/>
      <c r="Y189" s="108"/>
      <c r="Z189" s="108"/>
    </row>
    <row r="190" spans="1:26" ht="110.25" customHeight="1">
      <c r="A190" s="104" t="s">
        <v>736</v>
      </c>
      <c r="B190" s="105" t="s">
        <v>1075</v>
      </c>
      <c r="C190" s="91">
        <f>(9.88-9.5)/(34-9.5)</f>
        <v>1.5510204081632685E-2</v>
      </c>
      <c r="D190" s="91">
        <f>(18.81-9.5)/(34-9.5)</f>
        <v>0.37999999999999995</v>
      </c>
      <c r="E190" s="91">
        <f>(27.3-9.5)/(34-9.5)</f>
        <v>0.72653061224489801</v>
      </c>
      <c r="F190" s="91">
        <f>(11.33-9.5)/(34-9.5)</f>
        <v>7.4693877551020416E-2</v>
      </c>
      <c r="G190" s="91">
        <f>(10.7-9.5)/(34-9.5)</f>
        <v>4.8979591836734664E-2</v>
      </c>
      <c r="H190" s="91">
        <f>(16-9.5)/(34-9.5)</f>
        <v>0.26530612244897961</v>
      </c>
      <c r="I190" s="262" t="s">
        <v>1076</v>
      </c>
      <c r="J190" s="69" t="s">
        <v>1077</v>
      </c>
      <c r="K190" s="69" t="s">
        <v>1078</v>
      </c>
      <c r="L190" s="69" t="s">
        <v>1079</v>
      </c>
      <c r="M190" s="69" t="s">
        <v>1080</v>
      </c>
      <c r="N190" s="69" t="s">
        <v>1081</v>
      </c>
      <c r="O190" s="69" t="s">
        <v>1082</v>
      </c>
      <c r="P190" s="101"/>
      <c r="Q190" s="107"/>
      <c r="R190" s="107"/>
      <c r="S190" s="108"/>
      <c r="T190" s="108"/>
      <c r="U190" s="108"/>
      <c r="V190" s="108"/>
      <c r="W190" s="108"/>
      <c r="X190" s="108"/>
      <c r="Y190" s="108"/>
      <c r="Z190" s="108"/>
    </row>
    <row r="191" spans="1:26" ht="13.5" customHeight="1">
      <c r="A191" s="104"/>
      <c r="B191" s="105"/>
      <c r="C191" s="91"/>
      <c r="D191" s="91"/>
      <c r="E191" s="91"/>
      <c r="F191" s="91"/>
      <c r="G191" s="91"/>
      <c r="H191" s="91"/>
      <c r="I191" s="262"/>
      <c r="J191" s="69"/>
      <c r="K191" s="69"/>
      <c r="L191" s="69"/>
      <c r="M191" s="263"/>
      <c r="N191" s="69"/>
      <c r="O191" s="69"/>
      <c r="P191" s="101"/>
      <c r="Q191" s="107"/>
      <c r="R191" s="107"/>
      <c r="S191" s="108"/>
      <c r="T191" s="108"/>
      <c r="U191" s="108"/>
      <c r="V191" s="108"/>
      <c r="W191" s="108"/>
      <c r="X191" s="108"/>
      <c r="Y191" s="108"/>
      <c r="Z191" s="108"/>
    </row>
    <row r="192" spans="1:26" ht="63.75" customHeight="1">
      <c r="A192" s="104" t="s">
        <v>736</v>
      </c>
      <c r="B192" s="105" t="s">
        <v>1083</v>
      </c>
      <c r="C192" s="91">
        <f>(5.26-0)/(28.57-0)</f>
        <v>0.18410920546027301</v>
      </c>
      <c r="D192" s="91">
        <f>(28.57-0)/(28.57-0)</f>
        <v>1</v>
      </c>
      <c r="E192" s="91">
        <f>(8.3-0)/(28.57-0)</f>
        <v>0.29051452572628633</v>
      </c>
      <c r="F192" s="91">
        <f>(21-0)/(28.57-0)</f>
        <v>0.73503675183759187</v>
      </c>
      <c r="G192" s="91">
        <f>(11-0)/(28.57-0)</f>
        <v>0.38501925096254813</v>
      </c>
      <c r="H192" s="91">
        <f>(5-0)/(28.57-0)</f>
        <v>0.17500875043752187</v>
      </c>
      <c r="I192" s="262" t="s">
        <v>1084</v>
      </c>
      <c r="J192" s="69" t="s">
        <v>1085</v>
      </c>
      <c r="K192" s="69" t="s">
        <v>1086</v>
      </c>
      <c r="L192" s="69" t="s">
        <v>1087</v>
      </c>
      <c r="M192" s="69" t="s">
        <v>1088</v>
      </c>
      <c r="N192" s="69" t="s">
        <v>1089</v>
      </c>
      <c r="O192" s="69" t="s">
        <v>1090</v>
      </c>
      <c r="P192" s="101"/>
      <c r="Q192" s="107"/>
      <c r="R192" s="107"/>
      <c r="S192" s="108"/>
      <c r="T192" s="108"/>
      <c r="U192" s="108"/>
      <c r="V192" s="108"/>
      <c r="W192" s="108"/>
      <c r="X192" s="108"/>
      <c r="Y192" s="108"/>
      <c r="Z192" s="108"/>
    </row>
    <row r="193" spans="1:26" ht="13.5" customHeight="1">
      <c r="A193" s="104"/>
      <c r="B193" s="201"/>
      <c r="C193" s="91"/>
      <c r="D193" s="91"/>
      <c r="E193" s="91"/>
      <c r="F193" s="91"/>
      <c r="G193" s="91"/>
      <c r="H193" s="91"/>
      <c r="I193" s="53"/>
      <c r="J193" s="69"/>
      <c r="K193" s="109"/>
      <c r="L193" s="109"/>
      <c r="M193" s="115"/>
      <c r="N193" s="69"/>
      <c r="O193" s="109"/>
      <c r="P193" s="101"/>
      <c r="Q193" s="107"/>
      <c r="R193" s="107"/>
      <c r="S193" s="108"/>
      <c r="T193" s="108"/>
      <c r="U193" s="108"/>
      <c r="V193" s="108"/>
      <c r="W193" s="108"/>
      <c r="X193" s="108"/>
      <c r="Y193" s="108"/>
      <c r="Z193" s="108"/>
    </row>
    <row r="194" spans="1:26" ht="13.5" customHeight="1">
      <c r="A194" s="1"/>
      <c r="B194" s="4"/>
      <c r="C194" s="145"/>
      <c r="D194" s="145"/>
      <c r="E194" s="145"/>
      <c r="F194" s="145"/>
      <c r="G194" s="145"/>
      <c r="H194" s="145"/>
      <c r="I194" s="17"/>
      <c r="J194" s="67"/>
      <c r="K194" s="67"/>
      <c r="L194" s="106"/>
      <c r="M194" s="67"/>
      <c r="N194" s="67"/>
      <c r="O194" s="67"/>
      <c r="P194" s="57"/>
      <c r="Q194" s="58"/>
      <c r="R194" s="58"/>
      <c r="S194" s="12"/>
      <c r="T194" s="12"/>
      <c r="U194" s="12"/>
      <c r="V194" s="12"/>
      <c r="W194" s="12"/>
      <c r="X194" s="12"/>
      <c r="Y194" s="12"/>
      <c r="Z194" s="12"/>
    </row>
    <row r="195" spans="1:26" ht="13.5" customHeight="1">
      <c r="A195" s="40" t="s">
        <v>184</v>
      </c>
      <c r="B195" s="41" t="s">
        <v>207</v>
      </c>
      <c r="C195" s="264">
        <f t="shared" ref="C195:H195" si="36">AVERAGE(C196,C203,C216,C227)</f>
        <v>0.47083333333333333</v>
      </c>
      <c r="D195" s="264">
        <f t="shared" si="36"/>
        <v>0.82916666666666661</v>
      </c>
      <c r="E195" s="264">
        <f t="shared" si="36"/>
        <v>0.23749999999999999</v>
      </c>
      <c r="F195" s="264">
        <f t="shared" si="36"/>
        <v>0.875</v>
      </c>
      <c r="G195" s="264">
        <f t="shared" si="36"/>
        <v>0.72499999999999998</v>
      </c>
      <c r="H195" s="264">
        <f t="shared" si="36"/>
        <v>0.27083333333333337</v>
      </c>
      <c r="I195" s="25"/>
      <c r="J195" s="44"/>
      <c r="K195" s="44"/>
      <c r="L195" s="44"/>
      <c r="M195" s="44"/>
      <c r="N195" s="44"/>
      <c r="O195" s="44"/>
      <c r="P195" s="28"/>
      <c r="Q195" s="28"/>
      <c r="R195" s="28"/>
      <c r="S195" s="28"/>
      <c r="T195" s="28"/>
      <c r="U195" s="28"/>
      <c r="V195" s="28"/>
      <c r="W195" s="28"/>
      <c r="X195" s="28"/>
      <c r="Y195" s="28"/>
      <c r="Z195" s="28"/>
    </row>
    <row r="196" spans="1:26" ht="27.75" customHeight="1">
      <c r="A196" s="13" t="s">
        <v>186</v>
      </c>
      <c r="B196" s="50" t="s">
        <v>209</v>
      </c>
      <c r="C196" s="265">
        <f t="shared" ref="C196:H196" si="37">AVERAGE(C197,C199,C201)</f>
        <v>0.16666666666666666</v>
      </c>
      <c r="D196" s="265">
        <f t="shared" si="37"/>
        <v>0.66666666666666663</v>
      </c>
      <c r="E196" s="265">
        <f t="shared" si="37"/>
        <v>0</v>
      </c>
      <c r="F196" s="265">
        <f t="shared" si="37"/>
        <v>0.66666666666666663</v>
      </c>
      <c r="G196" s="265">
        <f t="shared" si="37"/>
        <v>0.5</v>
      </c>
      <c r="H196" s="265">
        <f t="shared" si="37"/>
        <v>0</v>
      </c>
      <c r="I196" s="17"/>
      <c r="J196" s="56"/>
      <c r="K196" s="56"/>
      <c r="L196" s="56"/>
      <c r="M196" s="56"/>
      <c r="N196" s="56"/>
      <c r="O196" s="56"/>
      <c r="P196" s="57"/>
      <c r="Q196" s="82"/>
      <c r="R196" s="82"/>
      <c r="S196" s="20"/>
      <c r="T196" s="20"/>
      <c r="U196" s="20"/>
      <c r="V196" s="20"/>
      <c r="W196" s="20"/>
      <c r="X196" s="20"/>
      <c r="Y196" s="20"/>
      <c r="Z196" s="20"/>
    </row>
    <row r="197" spans="1:26" ht="157.5" customHeight="1">
      <c r="A197" s="1" t="s">
        <v>736</v>
      </c>
      <c r="B197" s="4" t="s">
        <v>210</v>
      </c>
      <c r="C197" s="145">
        <v>0.5</v>
      </c>
      <c r="D197" s="145">
        <v>0.5</v>
      </c>
      <c r="E197" s="145">
        <v>0</v>
      </c>
      <c r="F197" s="145">
        <v>1</v>
      </c>
      <c r="G197" s="900">
        <v>0.5</v>
      </c>
      <c r="H197" s="145">
        <v>0</v>
      </c>
      <c r="I197" s="17" t="s">
        <v>211</v>
      </c>
      <c r="J197" s="67" t="s">
        <v>1091</v>
      </c>
      <c r="K197" s="67" t="s">
        <v>1092</v>
      </c>
      <c r="L197" s="67" t="s">
        <v>1093</v>
      </c>
      <c r="M197" s="67" t="s">
        <v>1094</v>
      </c>
      <c r="N197" s="67" t="s">
        <v>1095</v>
      </c>
      <c r="O197" s="67" t="s">
        <v>1096</v>
      </c>
      <c r="P197" s="57"/>
      <c r="Q197" s="58"/>
      <c r="R197" s="58"/>
      <c r="S197" s="12"/>
      <c r="T197" s="12"/>
      <c r="U197" s="12"/>
      <c r="V197" s="12"/>
      <c r="W197" s="12"/>
      <c r="X197" s="12"/>
      <c r="Y197" s="12"/>
      <c r="Z197" s="12"/>
    </row>
    <row r="198" spans="1:26" ht="20.25" customHeight="1">
      <c r="A198" s="1"/>
      <c r="B198" s="4"/>
      <c r="C198" s="65"/>
      <c r="D198" s="65"/>
      <c r="E198" s="65"/>
      <c r="F198" s="65"/>
      <c r="G198" s="65"/>
      <c r="H198" s="65"/>
      <c r="I198" s="53"/>
      <c r="J198" s="67"/>
      <c r="K198" s="67"/>
      <c r="L198" s="67"/>
      <c r="M198" s="67"/>
      <c r="N198" s="67"/>
      <c r="O198" s="67"/>
      <c r="P198" s="57"/>
      <c r="Q198" s="58"/>
      <c r="R198" s="58"/>
      <c r="S198" s="12"/>
      <c r="T198" s="12"/>
      <c r="U198" s="12"/>
      <c r="V198" s="12"/>
      <c r="W198" s="12"/>
      <c r="X198" s="12"/>
      <c r="Y198" s="12"/>
      <c r="Z198" s="12"/>
    </row>
    <row r="199" spans="1:26" ht="145.5" customHeight="1">
      <c r="A199" s="1" t="s">
        <v>736</v>
      </c>
      <c r="B199" s="4" t="s">
        <v>212</v>
      </c>
      <c r="C199" s="145">
        <v>0</v>
      </c>
      <c r="D199" s="145">
        <v>0.5</v>
      </c>
      <c r="E199" s="145">
        <v>0</v>
      </c>
      <c r="F199" s="145">
        <v>0</v>
      </c>
      <c r="G199" s="901">
        <v>0</v>
      </c>
      <c r="H199" s="145">
        <v>0</v>
      </c>
      <c r="I199" s="17" t="s">
        <v>213</v>
      </c>
      <c r="J199" s="67" t="s">
        <v>1097</v>
      </c>
      <c r="K199" s="67" t="s">
        <v>1098</v>
      </c>
      <c r="L199" s="266" t="s">
        <v>1099</v>
      </c>
      <c r="M199" s="67" t="s">
        <v>1100</v>
      </c>
      <c r="N199" s="67" t="s">
        <v>1101</v>
      </c>
      <c r="O199" s="67" t="s">
        <v>1102</v>
      </c>
      <c r="P199" s="57"/>
      <c r="Q199" s="58"/>
      <c r="R199" s="58"/>
      <c r="S199" s="12"/>
      <c r="T199" s="12"/>
      <c r="U199" s="12"/>
      <c r="V199" s="12"/>
      <c r="W199" s="12"/>
      <c r="X199" s="12"/>
      <c r="Y199" s="12"/>
      <c r="Z199" s="12"/>
    </row>
    <row r="200" spans="1:26" ht="24" customHeight="1">
      <c r="A200" s="1"/>
      <c r="B200" s="4"/>
      <c r="C200" s="65"/>
      <c r="D200" s="65"/>
      <c r="E200" s="65"/>
      <c r="F200" s="65"/>
      <c r="G200" s="65"/>
      <c r="H200" s="65"/>
      <c r="I200" s="53"/>
      <c r="J200" s="67"/>
      <c r="K200" s="67"/>
      <c r="L200" s="67"/>
      <c r="M200" s="67"/>
      <c r="N200" s="67"/>
      <c r="O200" s="67"/>
      <c r="P200" s="57"/>
      <c r="Q200" s="58"/>
      <c r="R200" s="58"/>
      <c r="S200" s="12"/>
      <c r="T200" s="12"/>
      <c r="U200" s="12"/>
      <c r="V200" s="12"/>
      <c r="W200" s="12"/>
      <c r="X200" s="12"/>
      <c r="Y200" s="12"/>
      <c r="Z200" s="12"/>
    </row>
    <row r="201" spans="1:26" ht="141.75" customHeight="1">
      <c r="A201" s="1" t="s">
        <v>736</v>
      </c>
      <c r="B201" s="4" t="s">
        <v>214</v>
      </c>
      <c r="C201" s="145">
        <v>0</v>
      </c>
      <c r="D201" s="900">
        <v>1</v>
      </c>
      <c r="E201" s="900">
        <v>0</v>
      </c>
      <c r="F201" s="900">
        <v>1</v>
      </c>
      <c r="G201" s="900">
        <v>1</v>
      </c>
      <c r="H201" s="145">
        <v>0</v>
      </c>
      <c r="I201" s="17" t="s">
        <v>215</v>
      </c>
      <c r="J201" s="67" t="s">
        <v>1103</v>
      </c>
      <c r="K201" s="67" t="s">
        <v>1104</v>
      </c>
      <c r="L201" s="147" t="s">
        <v>1105</v>
      </c>
      <c r="M201" s="67" t="s">
        <v>1106</v>
      </c>
      <c r="N201" s="67" t="s">
        <v>1107</v>
      </c>
      <c r="O201" s="67" t="s">
        <v>1108</v>
      </c>
      <c r="P201" s="57"/>
      <c r="Q201" s="58"/>
      <c r="R201" s="58"/>
      <c r="S201" s="12"/>
      <c r="T201" s="12"/>
      <c r="U201" s="12"/>
      <c r="V201" s="12"/>
      <c r="W201" s="12"/>
      <c r="X201" s="12"/>
      <c r="Y201" s="12"/>
      <c r="Z201" s="12"/>
    </row>
    <row r="202" spans="1:26" ht="25.5" customHeight="1">
      <c r="A202" s="1"/>
      <c r="B202" s="4"/>
      <c r="C202" s="65"/>
      <c r="D202" s="65"/>
      <c r="E202" s="65"/>
      <c r="F202" s="65"/>
      <c r="G202" s="65"/>
      <c r="H202" s="65"/>
      <c r="I202" s="53"/>
      <c r="J202" s="67"/>
      <c r="K202" s="67"/>
      <c r="L202" s="67"/>
      <c r="M202" s="67"/>
      <c r="N202" s="67"/>
      <c r="O202" s="67"/>
      <c r="P202" s="57"/>
      <c r="Q202" s="58"/>
      <c r="R202" s="58"/>
      <c r="S202" s="12"/>
      <c r="T202" s="12"/>
      <c r="U202" s="12"/>
      <c r="V202" s="12"/>
      <c r="W202" s="12"/>
      <c r="X202" s="12"/>
      <c r="Y202" s="12"/>
      <c r="Z202" s="12"/>
    </row>
    <row r="203" spans="1:26" ht="26.25" customHeight="1">
      <c r="A203" s="13" t="s">
        <v>1109</v>
      </c>
      <c r="B203" s="50" t="s">
        <v>217</v>
      </c>
      <c r="C203" s="265">
        <f t="shared" ref="C203:H203" si="38">AVERAGE(C204,C206,C208,C210,C212,C214)</f>
        <v>0.41666666666666669</v>
      </c>
      <c r="D203" s="265">
        <f t="shared" si="38"/>
        <v>0.83333333333333337</v>
      </c>
      <c r="E203" s="265">
        <f t="shared" si="38"/>
        <v>0.25</v>
      </c>
      <c r="F203" s="265">
        <f t="shared" si="38"/>
        <v>1</v>
      </c>
      <c r="G203" s="265">
        <f t="shared" si="38"/>
        <v>0.83333333333333337</v>
      </c>
      <c r="H203" s="265">
        <f t="shared" si="38"/>
        <v>0.41666666666666669</v>
      </c>
      <c r="I203" s="17"/>
      <c r="J203" s="56"/>
      <c r="K203" s="268"/>
      <c r="L203" s="269"/>
      <c r="M203" s="268"/>
      <c r="N203" s="268"/>
      <c r="O203" s="56"/>
      <c r="P203" s="57"/>
      <c r="Q203" s="82"/>
      <c r="R203" s="82"/>
      <c r="S203" s="20"/>
      <c r="T203" s="20"/>
      <c r="U203" s="20"/>
      <c r="V203" s="20"/>
      <c r="W203" s="20"/>
      <c r="X203" s="20"/>
      <c r="Y203" s="20"/>
      <c r="Z203" s="20"/>
    </row>
    <row r="204" spans="1:26" ht="135" customHeight="1">
      <c r="A204" s="1" t="s">
        <v>736</v>
      </c>
      <c r="B204" s="4" t="s">
        <v>218</v>
      </c>
      <c r="C204" s="145">
        <v>0</v>
      </c>
      <c r="D204" s="145">
        <v>1</v>
      </c>
      <c r="E204" s="901">
        <v>0</v>
      </c>
      <c r="F204" s="900">
        <v>1</v>
      </c>
      <c r="G204" s="145">
        <v>0</v>
      </c>
      <c r="H204" s="145">
        <v>0</v>
      </c>
      <c r="I204" s="17" t="s">
        <v>219</v>
      </c>
      <c r="J204" s="67" t="s">
        <v>1110</v>
      </c>
      <c r="K204" s="67" t="s">
        <v>811</v>
      </c>
      <c r="L204" s="67" t="s">
        <v>1111</v>
      </c>
      <c r="M204" s="67" t="s">
        <v>1112</v>
      </c>
      <c r="N204" s="67" t="s">
        <v>1113</v>
      </c>
      <c r="O204" s="67" t="s">
        <v>1114</v>
      </c>
      <c r="P204" s="57"/>
      <c r="Q204" s="58"/>
      <c r="R204" s="58"/>
      <c r="S204" s="12"/>
      <c r="T204" s="12"/>
      <c r="U204" s="12"/>
      <c r="V204" s="12"/>
      <c r="W204" s="12"/>
      <c r="X204" s="12"/>
      <c r="Y204" s="12"/>
      <c r="Z204" s="12"/>
    </row>
    <row r="205" spans="1:26" ht="24.75" customHeight="1">
      <c r="A205" s="1"/>
      <c r="B205" s="4"/>
      <c r="C205" s="65"/>
      <c r="D205" s="65"/>
      <c r="E205" s="65"/>
      <c r="F205" s="65"/>
      <c r="G205" s="65"/>
      <c r="H205" s="65"/>
      <c r="I205" s="53"/>
      <c r="J205" s="67"/>
      <c r="K205" s="67"/>
      <c r="L205" s="67"/>
      <c r="M205" s="67"/>
      <c r="N205" s="67"/>
      <c r="O205" s="67"/>
      <c r="P205" s="57"/>
      <c r="Q205" s="58"/>
      <c r="R205" s="58"/>
      <c r="S205" s="12"/>
      <c r="T205" s="12"/>
      <c r="U205" s="12"/>
      <c r="V205" s="12"/>
      <c r="W205" s="12"/>
      <c r="X205" s="12"/>
      <c r="Y205" s="12"/>
      <c r="Z205" s="12"/>
    </row>
    <row r="206" spans="1:26" ht="169.5" customHeight="1">
      <c r="A206" s="1" t="s">
        <v>736</v>
      </c>
      <c r="B206" s="4" t="s">
        <v>220</v>
      </c>
      <c r="C206" s="145">
        <v>0.5</v>
      </c>
      <c r="D206" s="145">
        <v>1</v>
      </c>
      <c r="E206" s="145">
        <v>0</v>
      </c>
      <c r="F206" s="145">
        <v>1</v>
      </c>
      <c r="G206" s="900">
        <v>1</v>
      </c>
      <c r="H206" s="145">
        <v>0</v>
      </c>
      <c r="I206" s="17" t="s">
        <v>123</v>
      </c>
      <c r="J206" s="68" t="s">
        <v>1115</v>
      </c>
      <c r="K206" s="89" t="s">
        <v>1116</v>
      </c>
      <c r="L206" s="67" t="s">
        <v>1117</v>
      </c>
      <c r="M206" s="67" t="s">
        <v>1118</v>
      </c>
      <c r="N206" s="67" t="s">
        <v>1119</v>
      </c>
      <c r="O206" s="67" t="s">
        <v>1120</v>
      </c>
      <c r="P206" s="57"/>
      <c r="Q206" s="58"/>
      <c r="R206" s="58"/>
      <c r="S206" s="12"/>
      <c r="T206" s="12"/>
      <c r="U206" s="12"/>
      <c r="V206" s="12"/>
      <c r="W206" s="12"/>
      <c r="X206" s="12"/>
      <c r="Y206" s="12"/>
      <c r="Z206" s="12"/>
    </row>
    <row r="207" spans="1:26" ht="23.25" customHeight="1">
      <c r="A207" s="1"/>
      <c r="B207" s="4"/>
      <c r="C207" s="65"/>
      <c r="D207" s="65"/>
      <c r="E207" s="65"/>
      <c r="F207" s="65"/>
      <c r="G207" s="65"/>
      <c r="H207" s="65"/>
      <c r="I207" s="53"/>
      <c r="J207" s="68"/>
      <c r="K207" s="67"/>
      <c r="L207" s="67"/>
      <c r="M207" s="67"/>
      <c r="N207" s="67"/>
      <c r="O207" s="67"/>
      <c r="P207" s="57"/>
      <c r="Q207" s="58"/>
      <c r="R207" s="58"/>
      <c r="S207" s="12"/>
      <c r="T207" s="12"/>
      <c r="U207" s="12"/>
      <c r="V207" s="12"/>
      <c r="W207" s="12"/>
      <c r="X207" s="12"/>
      <c r="Y207" s="12"/>
      <c r="Z207" s="12"/>
    </row>
    <row r="208" spans="1:26" ht="153.75" customHeight="1">
      <c r="A208" s="1" t="s">
        <v>736</v>
      </c>
      <c r="B208" s="4" t="s">
        <v>222</v>
      </c>
      <c r="C208" s="145">
        <v>0</v>
      </c>
      <c r="D208" s="900">
        <v>0.5</v>
      </c>
      <c r="E208" s="145">
        <v>0</v>
      </c>
      <c r="F208" s="145">
        <v>1</v>
      </c>
      <c r="G208" s="145">
        <v>1</v>
      </c>
      <c r="H208" s="901">
        <v>0.5</v>
      </c>
      <c r="I208" s="17" t="s">
        <v>38</v>
      </c>
      <c r="J208" s="67" t="s">
        <v>1121</v>
      </c>
      <c r="K208" s="67" t="s">
        <v>1122</v>
      </c>
      <c r="L208" s="67" t="s">
        <v>748</v>
      </c>
      <c r="M208" s="67" t="s">
        <v>1123</v>
      </c>
      <c r="N208" s="67" t="s">
        <v>1124</v>
      </c>
      <c r="O208" s="67" t="s">
        <v>1125</v>
      </c>
      <c r="P208" s="57"/>
      <c r="Q208" s="58"/>
      <c r="R208" s="58"/>
      <c r="S208" s="12"/>
      <c r="T208" s="12"/>
      <c r="U208" s="12"/>
      <c r="V208" s="12"/>
      <c r="W208" s="12"/>
      <c r="X208" s="12"/>
      <c r="Y208" s="12"/>
      <c r="Z208" s="12"/>
    </row>
    <row r="209" spans="1:26" ht="20.25" customHeight="1">
      <c r="A209" s="1"/>
      <c r="B209" s="4"/>
      <c r="C209" s="65"/>
      <c r="D209" s="65"/>
      <c r="E209" s="65"/>
      <c r="F209" s="65"/>
      <c r="G209" s="65"/>
      <c r="H209" s="65"/>
      <c r="I209" s="53"/>
      <c r="J209" s="68"/>
      <c r="K209" s="67"/>
      <c r="L209" s="67"/>
      <c r="M209" s="67"/>
      <c r="N209" s="67"/>
      <c r="O209" s="67"/>
      <c r="P209" s="57"/>
      <c r="Q209" s="58"/>
      <c r="R209" s="58"/>
      <c r="S209" s="12"/>
      <c r="T209" s="12"/>
      <c r="U209" s="12"/>
      <c r="V209" s="12"/>
      <c r="W209" s="12"/>
      <c r="X209" s="12"/>
      <c r="Y209" s="12"/>
      <c r="Z209" s="12"/>
    </row>
    <row r="210" spans="1:26" ht="123.75" customHeight="1">
      <c r="A210" s="1" t="s">
        <v>736</v>
      </c>
      <c r="B210" s="4" t="s">
        <v>223</v>
      </c>
      <c r="C210" s="145">
        <v>1</v>
      </c>
      <c r="D210" s="900">
        <v>1</v>
      </c>
      <c r="E210" s="901">
        <v>0.5</v>
      </c>
      <c r="F210" s="900">
        <v>1</v>
      </c>
      <c r="G210" s="900">
        <v>1</v>
      </c>
      <c r="H210" s="900">
        <v>1</v>
      </c>
      <c r="I210" s="17" t="s">
        <v>147</v>
      </c>
      <c r="J210" s="67" t="s">
        <v>1126</v>
      </c>
      <c r="K210" s="67" t="s">
        <v>1127</v>
      </c>
      <c r="L210" s="270" t="s">
        <v>1128</v>
      </c>
      <c r="M210" s="67" t="s">
        <v>1129</v>
      </c>
      <c r="N210" s="67" t="s">
        <v>1130</v>
      </c>
      <c r="O210" s="67" t="s">
        <v>1131</v>
      </c>
      <c r="P210" s="57"/>
      <c r="Q210" s="58"/>
      <c r="R210" s="58"/>
      <c r="S210" s="12"/>
      <c r="T210" s="12"/>
      <c r="U210" s="12"/>
      <c r="V210" s="12"/>
      <c r="W210" s="12"/>
      <c r="X210" s="12"/>
      <c r="Y210" s="12"/>
      <c r="Z210" s="12"/>
    </row>
    <row r="211" spans="1:26" ht="22.5" customHeight="1">
      <c r="A211" s="1"/>
      <c r="B211" s="4"/>
      <c r="C211" s="65"/>
      <c r="D211" s="65"/>
      <c r="E211" s="65"/>
      <c r="F211" s="65"/>
      <c r="G211" s="65"/>
      <c r="H211" s="65"/>
      <c r="I211" s="53"/>
      <c r="J211" s="68"/>
      <c r="K211" s="67"/>
      <c r="L211" s="67"/>
      <c r="M211" s="67"/>
      <c r="N211" s="67"/>
      <c r="O211" s="67"/>
      <c r="P211" s="57"/>
      <c r="Q211" s="58"/>
      <c r="R211" s="58"/>
      <c r="S211" s="12"/>
      <c r="T211" s="12"/>
      <c r="U211" s="12"/>
      <c r="V211" s="12"/>
      <c r="W211" s="12"/>
      <c r="X211" s="12"/>
      <c r="Y211" s="12"/>
      <c r="Z211" s="12"/>
    </row>
    <row r="212" spans="1:26" ht="153" customHeight="1">
      <c r="A212" s="1" t="s">
        <v>736</v>
      </c>
      <c r="B212" s="4" t="s">
        <v>224</v>
      </c>
      <c r="C212" s="145">
        <v>1</v>
      </c>
      <c r="D212" s="145">
        <v>1</v>
      </c>
      <c r="E212" s="145">
        <v>1</v>
      </c>
      <c r="F212" s="145">
        <v>1</v>
      </c>
      <c r="G212" s="145">
        <v>1</v>
      </c>
      <c r="H212" s="145">
        <v>1</v>
      </c>
      <c r="I212" s="17" t="s">
        <v>38</v>
      </c>
      <c r="J212" s="67" t="s">
        <v>1132</v>
      </c>
      <c r="K212" s="67" t="s">
        <v>948</v>
      </c>
      <c r="L212" s="67" t="s">
        <v>1133</v>
      </c>
      <c r="M212" s="67" t="s">
        <v>1134</v>
      </c>
      <c r="N212" s="67" t="s">
        <v>1135</v>
      </c>
      <c r="O212" s="67" t="s">
        <v>1136</v>
      </c>
      <c r="P212" s="57"/>
      <c r="Q212" s="58"/>
      <c r="R212" s="58"/>
      <c r="S212" s="12"/>
      <c r="T212" s="12"/>
      <c r="U212" s="12"/>
      <c r="V212" s="12"/>
      <c r="W212" s="12"/>
      <c r="X212" s="12"/>
      <c r="Y212" s="12"/>
      <c r="Z212" s="12"/>
    </row>
    <row r="213" spans="1:26" ht="30.75" customHeight="1">
      <c r="A213" s="1"/>
      <c r="B213" s="4"/>
      <c r="C213" s="65"/>
      <c r="D213" s="65"/>
      <c r="E213" s="65"/>
      <c r="F213" s="65"/>
      <c r="G213" s="65"/>
      <c r="H213" s="65"/>
      <c r="I213" s="53"/>
      <c r="J213" s="68"/>
      <c r="K213" s="67"/>
      <c r="L213" s="67"/>
      <c r="M213" s="67"/>
      <c r="N213" s="67"/>
      <c r="O213" s="67"/>
      <c r="P213" s="57"/>
      <c r="Q213" s="58"/>
      <c r="R213" s="58"/>
      <c r="S213" s="12"/>
      <c r="T213" s="12"/>
      <c r="U213" s="12"/>
      <c r="V213" s="12"/>
      <c r="W213" s="12"/>
      <c r="X213" s="12"/>
      <c r="Y213" s="12"/>
      <c r="Z213" s="12"/>
    </row>
    <row r="214" spans="1:26" ht="158.25" customHeight="1">
      <c r="A214" s="1" t="s">
        <v>736</v>
      </c>
      <c r="B214" s="4" t="s">
        <v>225</v>
      </c>
      <c r="C214" s="900">
        <v>0</v>
      </c>
      <c r="D214" s="145">
        <v>0.5</v>
      </c>
      <c r="E214" s="145">
        <v>0</v>
      </c>
      <c r="F214" s="145">
        <v>1</v>
      </c>
      <c r="G214" s="900">
        <v>1</v>
      </c>
      <c r="H214" s="145">
        <v>0</v>
      </c>
      <c r="I214" s="17" t="s">
        <v>147</v>
      </c>
      <c r="J214" s="67" t="s">
        <v>1137</v>
      </c>
      <c r="K214" s="67" t="s">
        <v>1138</v>
      </c>
      <c r="L214" s="270" t="s">
        <v>1139</v>
      </c>
      <c r="M214" s="67" t="s">
        <v>1140</v>
      </c>
      <c r="N214" s="67" t="s">
        <v>1141</v>
      </c>
      <c r="O214" s="67" t="s">
        <v>1142</v>
      </c>
      <c r="P214" s="57"/>
      <c r="Q214" s="58"/>
      <c r="R214" s="58"/>
      <c r="S214" s="12"/>
      <c r="T214" s="12"/>
      <c r="U214" s="12"/>
      <c r="V214" s="12"/>
      <c r="W214" s="12"/>
      <c r="X214" s="12"/>
      <c r="Y214" s="12"/>
      <c r="Z214" s="12"/>
    </row>
    <row r="215" spans="1:26" ht="20.25" customHeight="1">
      <c r="A215" s="1"/>
      <c r="B215" s="4"/>
      <c r="C215" s="65"/>
      <c r="D215" s="65"/>
      <c r="E215" s="65"/>
      <c r="F215" s="65"/>
      <c r="G215" s="65"/>
      <c r="H215" s="65"/>
      <c r="I215" s="53"/>
      <c r="J215" s="67"/>
      <c r="K215" s="67"/>
      <c r="L215" s="67"/>
      <c r="M215" s="67"/>
      <c r="N215" s="67"/>
      <c r="O215" s="67"/>
      <c r="P215" s="57"/>
      <c r="Q215" s="58"/>
      <c r="R215" s="58"/>
      <c r="S215" s="12"/>
      <c r="T215" s="12"/>
      <c r="U215" s="12"/>
      <c r="V215" s="12"/>
      <c r="W215" s="12"/>
      <c r="X215" s="12"/>
      <c r="Y215" s="12"/>
      <c r="Z215" s="12"/>
    </row>
    <row r="216" spans="1:26" ht="13.5" customHeight="1">
      <c r="A216" s="278" t="s">
        <v>1143</v>
      </c>
      <c r="B216" s="50" t="s">
        <v>227</v>
      </c>
      <c r="C216" s="265">
        <f t="shared" ref="C216:H216" si="39">AVERAGE(C217,C219,C221,C223,C225)</f>
        <v>0.8</v>
      </c>
      <c r="D216" s="265">
        <f t="shared" si="39"/>
        <v>0.9</v>
      </c>
      <c r="E216" s="265">
        <f t="shared" si="39"/>
        <v>0.2</v>
      </c>
      <c r="F216" s="265">
        <f t="shared" si="39"/>
        <v>1</v>
      </c>
      <c r="G216" s="265">
        <f t="shared" si="39"/>
        <v>0.9</v>
      </c>
      <c r="H216" s="265">
        <f t="shared" si="39"/>
        <v>0.5</v>
      </c>
      <c r="I216" s="17"/>
      <c r="J216" s="56"/>
      <c r="K216" s="268"/>
      <c r="L216" s="269"/>
      <c r="M216" s="268"/>
      <c r="N216" s="268"/>
      <c r="O216" s="56"/>
      <c r="P216" s="57"/>
      <c r="Q216" s="82"/>
      <c r="R216" s="82"/>
      <c r="S216" s="20"/>
      <c r="T216" s="20"/>
      <c r="U216" s="20"/>
      <c r="V216" s="20"/>
      <c r="W216" s="20"/>
      <c r="X216" s="20"/>
      <c r="Y216" s="20"/>
      <c r="Z216" s="20"/>
    </row>
    <row r="217" spans="1:26" ht="196.5" customHeight="1">
      <c r="A217" s="1" t="s">
        <v>736</v>
      </c>
      <c r="B217" s="4" t="s">
        <v>228</v>
      </c>
      <c r="C217" s="145">
        <v>0.5</v>
      </c>
      <c r="D217" s="145">
        <v>0.5</v>
      </c>
      <c r="E217" s="900">
        <v>0.5</v>
      </c>
      <c r="F217" s="145">
        <v>1</v>
      </c>
      <c r="G217" s="900">
        <v>0.5</v>
      </c>
      <c r="H217" s="145">
        <v>0.5</v>
      </c>
      <c r="I217" s="17" t="s">
        <v>147</v>
      </c>
      <c r="J217" s="67" t="s">
        <v>1144</v>
      </c>
      <c r="K217" s="67" t="s">
        <v>1145</v>
      </c>
      <c r="L217" s="67" t="s">
        <v>1146</v>
      </c>
      <c r="M217" s="67" t="s">
        <v>1147</v>
      </c>
      <c r="N217" s="67" t="s">
        <v>1148</v>
      </c>
      <c r="O217" s="67" t="s">
        <v>1149</v>
      </c>
      <c r="P217" s="57"/>
      <c r="Q217" s="58"/>
      <c r="R217" s="58"/>
      <c r="S217" s="12"/>
      <c r="T217" s="12"/>
      <c r="U217" s="12"/>
      <c r="V217" s="12"/>
      <c r="W217" s="12"/>
      <c r="X217" s="12"/>
      <c r="Y217" s="12"/>
      <c r="Z217" s="12"/>
    </row>
    <row r="218" spans="1:26" ht="23.25" customHeight="1">
      <c r="A218" s="1"/>
      <c r="B218" s="4"/>
      <c r="C218" s="65"/>
      <c r="D218" s="65"/>
      <c r="E218" s="65"/>
      <c r="F218" s="65"/>
      <c r="G218" s="65"/>
      <c r="H218" s="65"/>
      <c r="I218" s="53"/>
      <c r="J218" s="67"/>
      <c r="K218" s="67"/>
      <c r="L218" s="67"/>
      <c r="M218" s="67"/>
      <c r="N218" s="67"/>
      <c r="O218" s="67"/>
      <c r="P218" s="57"/>
      <c r="Q218" s="58"/>
      <c r="R218" s="58"/>
      <c r="S218" s="12"/>
      <c r="T218" s="12"/>
      <c r="U218" s="12"/>
      <c r="V218" s="12"/>
      <c r="W218" s="12"/>
      <c r="X218" s="12"/>
      <c r="Y218" s="12"/>
      <c r="Z218" s="12"/>
    </row>
    <row r="219" spans="1:26" ht="279.75" customHeight="1">
      <c r="A219" s="1" t="s">
        <v>736</v>
      </c>
      <c r="B219" s="4" t="s">
        <v>229</v>
      </c>
      <c r="C219" s="145">
        <v>1</v>
      </c>
      <c r="D219" s="145">
        <v>1</v>
      </c>
      <c r="E219" s="145">
        <v>0</v>
      </c>
      <c r="F219" s="145">
        <v>1</v>
      </c>
      <c r="G219" s="145">
        <v>1</v>
      </c>
      <c r="H219" s="900">
        <v>1</v>
      </c>
      <c r="I219" s="17" t="s">
        <v>38</v>
      </c>
      <c r="J219" s="67" t="s">
        <v>1150</v>
      </c>
      <c r="K219" s="67" t="s">
        <v>1151</v>
      </c>
      <c r="L219" s="67" t="s">
        <v>748</v>
      </c>
      <c r="M219" s="67" t="s">
        <v>1152</v>
      </c>
      <c r="N219" s="67" t="s">
        <v>1153</v>
      </c>
      <c r="O219" s="67" t="s">
        <v>1154</v>
      </c>
      <c r="P219" s="57"/>
      <c r="Q219" s="58"/>
      <c r="R219" s="58"/>
      <c r="S219" s="12"/>
      <c r="T219" s="12"/>
      <c r="U219" s="12"/>
      <c r="V219" s="12"/>
      <c r="W219" s="12"/>
      <c r="X219" s="12"/>
      <c r="Y219" s="12"/>
      <c r="Z219" s="12"/>
    </row>
    <row r="220" spans="1:26" ht="17.25" customHeight="1">
      <c r="A220" s="1"/>
      <c r="B220" s="4"/>
      <c r="C220" s="65"/>
      <c r="D220" s="65"/>
      <c r="E220" s="65"/>
      <c r="F220" s="65"/>
      <c r="G220" s="65"/>
      <c r="H220" s="65"/>
      <c r="I220" s="53"/>
      <c r="J220" s="67"/>
      <c r="K220" s="67"/>
      <c r="L220" s="67"/>
      <c r="M220" s="67"/>
      <c r="N220" s="67"/>
      <c r="O220" s="67"/>
      <c r="P220" s="57"/>
      <c r="Q220" s="58"/>
      <c r="R220" s="58"/>
      <c r="S220" s="12"/>
      <c r="T220" s="12"/>
      <c r="U220" s="12"/>
      <c r="V220" s="12"/>
      <c r="W220" s="12"/>
      <c r="X220" s="12"/>
      <c r="Y220" s="12"/>
      <c r="Z220" s="12"/>
    </row>
    <row r="221" spans="1:26" ht="201.75" customHeight="1">
      <c r="A221" s="1" t="s">
        <v>736</v>
      </c>
      <c r="B221" s="4" t="s">
        <v>230</v>
      </c>
      <c r="C221" s="901">
        <v>0.5</v>
      </c>
      <c r="D221" s="901">
        <v>1</v>
      </c>
      <c r="E221" s="901">
        <v>0</v>
      </c>
      <c r="F221" s="145">
        <v>1</v>
      </c>
      <c r="G221" s="145">
        <v>1</v>
      </c>
      <c r="H221" s="145">
        <v>0</v>
      </c>
      <c r="I221" s="17" t="s">
        <v>38</v>
      </c>
      <c r="J221" s="67" t="s">
        <v>1155</v>
      </c>
      <c r="K221" s="67" t="s">
        <v>811</v>
      </c>
      <c r="L221" s="270" t="s">
        <v>1156</v>
      </c>
      <c r="M221" s="67" t="s">
        <v>1157</v>
      </c>
      <c r="N221" s="67" t="s">
        <v>1158</v>
      </c>
      <c r="O221" s="244" t="s">
        <v>1159</v>
      </c>
      <c r="P221" s="57"/>
      <c r="Q221" s="58"/>
      <c r="R221" s="58"/>
      <c r="S221" s="12"/>
      <c r="T221" s="12"/>
      <c r="U221" s="12"/>
      <c r="V221" s="12"/>
      <c r="W221" s="12"/>
      <c r="X221" s="12"/>
      <c r="Y221" s="12"/>
      <c r="Z221" s="12"/>
    </row>
    <row r="222" spans="1:26" ht="24.75" customHeight="1">
      <c r="A222" s="1"/>
      <c r="B222" s="4"/>
      <c r="C222" s="65"/>
      <c r="D222" s="65"/>
      <c r="E222" s="65"/>
      <c r="F222" s="65"/>
      <c r="G222" s="65"/>
      <c r="H222" s="65"/>
      <c r="I222" s="53"/>
      <c r="J222" s="67"/>
      <c r="K222" s="67"/>
      <c r="L222" s="67"/>
      <c r="M222" s="67"/>
      <c r="N222" s="67"/>
      <c r="O222" s="67"/>
      <c r="P222" s="57"/>
      <c r="Q222" s="58"/>
      <c r="R222" s="58"/>
      <c r="S222" s="12"/>
      <c r="T222" s="12"/>
      <c r="U222" s="12"/>
      <c r="V222" s="12"/>
      <c r="W222" s="12"/>
      <c r="X222" s="12"/>
      <c r="Y222" s="12"/>
      <c r="Z222" s="12"/>
    </row>
    <row r="223" spans="1:26" ht="208.5" customHeight="1">
      <c r="A223" s="1" t="s">
        <v>736</v>
      </c>
      <c r="B223" s="4" t="s">
        <v>231</v>
      </c>
      <c r="C223" s="900">
        <v>1</v>
      </c>
      <c r="D223" s="145">
        <v>1</v>
      </c>
      <c r="E223" s="145">
        <v>0</v>
      </c>
      <c r="F223" s="900">
        <v>1</v>
      </c>
      <c r="G223" s="900">
        <v>1</v>
      </c>
      <c r="H223" s="145">
        <v>1</v>
      </c>
      <c r="I223" s="17" t="s">
        <v>123</v>
      </c>
      <c r="J223" s="67" t="s">
        <v>1160</v>
      </c>
      <c r="K223" s="67" t="s">
        <v>1134</v>
      </c>
      <c r="L223" s="270" t="s">
        <v>1161</v>
      </c>
      <c r="M223" s="67" t="s">
        <v>1162</v>
      </c>
      <c r="N223" s="67" t="s">
        <v>1163</v>
      </c>
      <c r="O223" s="67" t="s">
        <v>1164</v>
      </c>
      <c r="P223" s="57"/>
      <c r="Q223" s="58"/>
      <c r="R223" s="58"/>
      <c r="S223" s="12"/>
      <c r="T223" s="12"/>
      <c r="U223" s="12"/>
      <c r="V223" s="12"/>
      <c r="W223" s="12"/>
      <c r="X223" s="12"/>
      <c r="Y223" s="12"/>
      <c r="Z223" s="12"/>
    </row>
    <row r="224" spans="1:26" ht="23.25" customHeight="1">
      <c r="A224" s="1"/>
      <c r="B224" s="4"/>
      <c r="C224" s="65"/>
      <c r="D224" s="65"/>
      <c r="E224" s="65"/>
      <c r="F224" s="65"/>
      <c r="G224" s="65"/>
      <c r="H224" s="65"/>
      <c r="I224" s="53"/>
      <c r="J224" s="67"/>
      <c r="K224" s="67"/>
      <c r="L224" s="67"/>
      <c r="M224" s="67"/>
      <c r="N224" s="67"/>
      <c r="O224" s="67"/>
      <c r="P224" s="57"/>
      <c r="Q224" s="58"/>
      <c r="R224" s="58"/>
      <c r="S224" s="12"/>
      <c r="T224" s="12"/>
      <c r="U224" s="12"/>
      <c r="V224" s="12"/>
      <c r="W224" s="12"/>
      <c r="X224" s="12"/>
      <c r="Y224" s="12"/>
      <c r="Z224" s="12"/>
    </row>
    <row r="225" spans="1:26" ht="228" customHeight="1">
      <c r="A225" s="1" t="s">
        <v>736</v>
      </c>
      <c r="B225" s="4" t="s">
        <v>232</v>
      </c>
      <c r="C225" s="145">
        <v>1</v>
      </c>
      <c r="D225" s="145">
        <v>1</v>
      </c>
      <c r="E225" s="901">
        <v>0.5</v>
      </c>
      <c r="F225" s="145">
        <v>1</v>
      </c>
      <c r="G225" s="145">
        <v>1</v>
      </c>
      <c r="H225" s="145">
        <v>0</v>
      </c>
      <c r="I225" s="17" t="s">
        <v>38</v>
      </c>
      <c r="J225" s="67" t="s">
        <v>1165</v>
      </c>
      <c r="K225" s="67" t="s">
        <v>1166</v>
      </c>
      <c r="L225" s="67" t="s">
        <v>1167</v>
      </c>
      <c r="M225" s="67" t="s">
        <v>1168</v>
      </c>
      <c r="N225" s="67" t="s">
        <v>1169</v>
      </c>
      <c r="O225" s="67" t="s">
        <v>1170</v>
      </c>
      <c r="P225" s="57"/>
      <c r="Q225" s="58"/>
      <c r="R225" s="58"/>
      <c r="S225" s="12"/>
      <c r="T225" s="12"/>
      <c r="U225" s="12"/>
      <c r="V225" s="12"/>
      <c r="W225" s="12"/>
      <c r="X225" s="12"/>
      <c r="Y225" s="12"/>
      <c r="Z225" s="12"/>
    </row>
    <row r="226" spans="1:26" ht="13.5" customHeight="1">
      <c r="A226" s="1"/>
      <c r="B226" s="918"/>
      <c r="C226" s="145"/>
      <c r="D226" s="145"/>
      <c r="E226" s="145"/>
      <c r="F226" s="145"/>
      <c r="G226" s="145"/>
      <c r="H226" s="145"/>
      <c r="I226" s="17"/>
      <c r="J226" s="67"/>
      <c r="K226" s="106"/>
      <c r="L226" s="159"/>
      <c r="M226" s="67"/>
      <c r="N226" s="106"/>
      <c r="O226" s="106"/>
      <c r="P226" s="19"/>
      <c r="Q226" s="12"/>
      <c r="R226" s="12"/>
      <c r="S226" s="12"/>
      <c r="T226" s="12"/>
      <c r="U226" s="12"/>
      <c r="V226" s="12"/>
      <c r="W226" s="12"/>
      <c r="X226" s="12"/>
      <c r="Y226" s="12"/>
      <c r="Z226" s="12"/>
    </row>
    <row r="227" spans="1:26" ht="29.25" customHeight="1">
      <c r="A227" s="13" t="s">
        <v>1171</v>
      </c>
      <c r="B227" s="50" t="s">
        <v>234</v>
      </c>
      <c r="C227" s="265">
        <f t="shared" ref="C227:H227" si="40">AVERAGE(C228, C230,C232,C234,C236,C238)</f>
        <v>0.5</v>
      </c>
      <c r="D227" s="265">
        <f t="shared" si="40"/>
        <v>0.91666666666666663</v>
      </c>
      <c r="E227" s="265">
        <f t="shared" si="40"/>
        <v>0.5</v>
      </c>
      <c r="F227" s="265">
        <f t="shared" si="40"/>
        <v>0.83333333333333337</v>
      </c>
      <c r="G227" s="265">
        <f t="shared" si="40"/>
        <v>0.66666666666666663</v>
      </c>
      <c r="H227" s="265">
        <f t="shared" si="40"/>
        <v>0.16666666666666666</v>
      </c>
      <c r="I227" s="17"/>
      <c r="J227" s="56"/>
      <c r="K227" s="268"/>
      <c r="L227" s="269"/>
      <c r="M227" s="274"/>
      <c r="N227" s="268"/>
      <c r="O227" s="56"/>
      <c r="P227" s="57"/>
      <c r="Q227" s="82"/>
      <c r="R227" s="82"/>
      <c r="S227" s="20"/>
      <c r="T227" s="20"/>
      <c r="U227" s="20"/>
      <c r="V227" s="20"/>
      <c r="W227" s="20"/>
      <c r="X227" s="20"/>
      <c r="Y227" s="20"/>
      <c r="Z227" s="20"/>
    </row>
    <row r="228" spans="1:26" ht="291" customHeight="1">
      <c r="A228" s="1" t="s">
        <v>736</v>
      </c>
      <c r="B228" s="906" t="s">
        <v>1172</v>
      </c>
      <c r="C228" s="145">
        <v>0.5</v>
      </c>
      <c r="D228" s="145">
        <v>1</v>
      </c>
      <c r="E228" s="901">
        <v>0</v>
      </c>
      <c r="F228" s="900">
        <v>0.5</v>
      </c>
      <c r="G228" s="900">
        <v>0.5</v>
      </c>
      <c r="H228" s="145">
        <v>0</v>
      </c>
      <c r="I228" s="17" t="s">
        <v>147</v>
      </c>
      <c r="J228" s="67" t="s">
        <v>1173</v>
      </c>
      <c r="K228" s="67" t="s">
        <v>1174</v>
      </c>
      <c r="L228" s="67" t="s">
        <v>1175</v>
      </c>
      <c r="M228" s="67" t="s">
        <v>1176</v>
      </c>
      <c r="N228" s="67" t="s">
        <v>1177</v>
      </c>
      <c r="O228" s="67" t="s">
        <v>1178</v>
      </c>
      <c r="P228" s="57"/>
      <c r="Q228" s="58"/>
      <c r="R228" s="58"/>
      <c r="S228" s="12"/>
      <c r="T228" s="12"/>
      <c r="U228" s="12"/>
      <c r="V228" s="12"/>
      <c r="W228" s="12"/>
      <c r="X228" s="12"/>
      <c r="Y228" s="12"/>
      <c r="Z228" s="12"/>
    </row>
    <row r="229" spans="1:26" ht="21" customHeight="1">
      <c r="A229" s="1"/>
      <c r="B229" s="4"/>
      <c r="C229" s="65"/>
      <c r="D229" s="65"/>
      <c r="E229" s="65"/>
      <c r="F229" s="65"/>
      <c r="G229" s="65"/>
      <c r="H229" s="65"/>
      <c r="I229" s="53"/>
      <c r="J229" s="67"/>
      <c r="K229" s="67"/>
      <c r="L229" s="67"/>
      <c r="M229" s="67"/>
      <c r="N229" s="67"/>
      <c r="O229" s="67"/>
      <c r="P229" s="57"/>
      <c r="Q229" s="58"/>
      <c r="R229" s="58"/>
      <c r="S229" s="12"/>
      <c r="T229" s="12"/>
      <c r="U229" s="12"/>
      <c r="V229" s="12"/>
      <c r="W229" s="12"/>
      <c r="X229" s="12"/>
      <c r="Y229" s="12"/>
      <c r="Z229" s="12"/>
    </row>
    <row r="230" spans="1:26" ht="239.25" customHeight="1">
      <c r="A230" s="1" t="s">
        <v>736</v>
      </c>
      <c r="B230" s="4" t="s">
        <v>237</v>
      </c>
      <c r="C230" s="145">
        <v>0.5</v>
      </c>
      <c r="D230" s="145">
        <v>1</v>
      </c>
      <c r="E230" s="145">
        <v>0.5</v>
      </c>
      <c r="F230" s="145">
        <v>1</v>
      </c>
      <c r="G230" s="900">
        <v>0.5</v>
      </c>
      <c r="H230" s="145">
        <v>0.5</v>
      </c>
      <c r="I230" s="17" t="s">
        <v>147</v>
      </c>
      <c r="J230" s="67" t="s">
        <v>1179</v>
      </c>
      <c r="K230" s="67" t="s">
        <v>1180</v>
      </c>
      <c r="L230" s="67" t="s">
        <v>1181</v>
      </c>
      <c r="M230" s="67" t="s">
        <v>1182</v>
      </c>
      <c r="N230" s="67" t="s">
        <v>1183</v>
      </c>
      <c r="O230" s="67" t="s">
        <v>1184</v>
      </c>
      <c r="P230" s="57"/>
      <c r="Q230" s="58"/>
      <c r="R230" s="58"/>
      <c r="S230" s="12"/>
      <c r="T230" s="12"/>
      <c r="U230" s="12"/>
      <c r="V230" s="12"/>
      <c r="W230" s="12"/>
      <c r="X230" s="12"/>
      <c r="Y230" s="12"/>
      <c r="Z230" s="12"/>
    </row>
    <row r="231" spans="1:26" ht="27.75" customHeight="1">
      <c r="A231" s="1"/>
      <c r="B231" s="4"/>
      <c r="C231" s="65"/>
      <c r="D231" s="65"/>
      <c r="E231" s="65"/>
      <c r="F231" s="65"/>
      <c r="G231" s="65"/>
      <c r="H231" s="65"/>
      <c r="I231" s="53"/>
      <c r="J231" s="67"/>
      <c r="K231" s="67"/>
      <c r="L231" s="67"/>
      <c r="M231" s="67"/>
      <c r="N231" s="67"/>
      <c r="O231" s="67"/>
      <c r="P231" s="57"/>
      <c r="Q231" s="58"/>
      <c r="R231" s="58"/>
      <c r="S231" s="12"/>
      <c r="T231" s="12"/>
      <c r="U231" s="12"/>
      <c r="V231" s="12"/>
      <c r="W231" s="12"/>
      <c r="X231" s="12"/>
      <c r="Y231" s="12"/>
      <c r="Z231" s="12"/>
    </row>
    <row r="232" spans="1:26" ht="270.75" customHeight="1">
      <c r="A232" s="1" t="s">
        <v>736</v>
      </c>
      <c r="B232" s="4" t="s">
        <v>238</v>
      </c>
      <c r="C232" s="145">
        <v>1</v>
      </c>
      <c r="D232" s="145">
        <v>1</v>
      </c>
      <c r="E232" s="145">
        <v>1</v>
      </c>
      <c r="F232" s="145">
        <v>1</v>
      </c>
      <c r="G232" s="900">
        <v>1</v>
      </c>
      <c r="H232" s="145">
        <v>0</v>
      </c>
      <c r="I232" s="17" t="s">
        <v>38</v>
      </c>
      <c r="J232" s="67" t="s">
        <v>1185</v>
      </c>
      <c r="K232" s="67" t="s">
        <v>1186</v>
      </c>
      <c r="L232" s="270" t="s">
        <v>1187</v>
      </c>
      <c r="M232" s="67" t="s">
        <v>1188</v>
      </c>
      <c r="N232" s="67" t="s">
        <v>1189</v>
      </c>
      <c r="O232" s="67" t="s">
        <v>1190</v>
      </c>
      <c r="P232" s="57"/>
      <c r="Q232" s="58"/>
      <c r="R232" s="58"/>
      <c r="S232" s="12"/>
      <c r="T232" s="12"/>
      <c r="U232" s="12"/>
      <c r="V232" s="12"/>
      <c r="W232" s="12"/>
      <c r="X232" s="12"/>
      <c r="Y232" s="12"/>
      <c r="Z232" s="12"/>
    </row>
    <row r="233" spans="1:26" ht="13.5" customHeight="1">
      <c r="A233" s="1"/>
      <c r="B233" s="918"/>
      <c r="C233" s="145"/>
      <c r="D233" s="145"/>
      <c r="E233" s="145"/>
      <c r="F233" s="145"/>
      <c r="G233" s="145"/>
      <c r="H233" s="145"/>
      <c r="I233" s="17"/>
      <c r="J233" s="67"/>
      <c r="K233" s="67"/>
      <c r="L233" s="106"/>
      <c r="M233" s="67"/>
      <c r="N233" s="106"/>
      <c r="O233" s="106"/>
      <c r="P233" s="19"/>
      <c r="Q233" s="12"/>
      <c r="R233" s="12"/>
      <c r="S233" s="12"/>
      <c r="T233" s="12"/>
      <c r="U233" s="12"/>
      <c r="V233" s="12"/>
      <c r="W233" s="12"/>
      <c r="X233" s="12"/>
      <c r="Y233" s="12"/>
      <c r="Z233" s="12"/>
    </row>
    <row r="234" spans="1:26" ht="124.5" customHeight="1">
      <c r="A234" s="1" t="s">
        <v>736</v>
      </c>
      <c r="B234" s="4" t="s">
        <v>239</v>
      </c>
      <c r="C234" s="145">
        <v>0.5</v>
      </c>
      <c r="D234" s="145">
        <v>0.5</v>
      </c>
      <c r="E234" s="145">
        <v>0.5</v>
      </c>
      <c r="F234" s="900">
        <v>1</v>
      </c>
      <c r="G234" s="900">
        <v>0.5</v>
      </c>
      <c r="H234" s="145">
        <v>0</v>
      </c>
      <c r="I234" s="17" t="s">
        <v>240</v>
      </c>
      <c r="J234" s="67" t="s">
        <v>1191</v>
      </c>
      <c r="K234" s="67" t="s">
        <v>1192</v>
      </c>
      <c r="L234" s="270" t="s">
        <v>1193</v>
      </c>
      <c r="M234" s="176" t="s">
        <v>1194</v>
      </c>
      <c r="N234" s="67" t="s">
        <v>1195</v>
      </c>
      <c r="O234" s="277" t="s">
        <v>1196</v>
      </c>
      <c r="P234" s="57"/>
      <c r="Q234" s="58"/>
      <c r="R234" s="58"/>
      <c r="S234" s="12"/>
      <c r="T234" s="12"/>
      <c r="U234" s="12"/>
      <c r="V234" s="12"/>
      <c r="W234" s="12"/>
      <c r="X234" s="12"/>
      <c r="Y234" s="12"/>
      <c r="Z234" s="12"/>
    </row>
    <row r="235" spans="1:26" ht="20.25" customHeight="1">
      <c r="A235" s="1"/>
      <c r="B235" s="4"/>
      <c r="C235" s="65"/>
      <c r="D235" s="65"/>
      <c r="E235" s="65"/>
      <c r="F235" s="65"/>
      <c r="G235" s="65"/>
      <c r="H235" s="65"/>
      <c r="I235" s="53"/>
      <c r="J235" s="67"/>
      <c r="K235" s="67"/>
      <c r="L235" s="67"/>
      <c r="M235" s="67"/>
      <c r="N235" s="67"/>
      <c r="O235" s="67"/>
      <c r="P235" s="57"/>
      <c r="Q235" s="58"/>
      <c r="R235" s="58"/>
      <c r="S235" s="12"/>
      <c r="T235" s="12"/>
      <c r="U235" s="12"/>
      <c r="V235" s="12"/>
      <c r="W235" s="12"/>
      <c r="X235" s="12"/>
      <c r="Y235" s="12"/>
      <c r="Z235" s="12"/>
    </row>
    <row r="236" spans="1:26" ht="126" customHeight="1">
      <c r="A236" s="1" t="s">
        <v>736</v>
      </c>
      <c r="B236" s="4" t="s">
        <v>241</v>
      </c>
      <c r="C236" s="145">
        <v>0.5</v>
      </c>
      <c r="D236" s="900">
        <v>1</v>
      </c>
      <c r="E236" s="145">
        <v>0.5</v>
      </c>
      <c r="F236" s="901">
        <v>0.5</v>
      </c>
      <c r="G236" s="145">
        <v>0.5</v>
      </c>
      <c r="H236" s="145">
        <v>0</v>
      </c>
      <c r="I236" s="17" t="s">
        <v>240</v>
      </c>
      <c r="J236" s="67" t="s">
        <v>1197</v>
      </c>
      <c r="K236" s="67" t="s">
        <v>1198</v>
      </c>
      <c r="L236" s="270" t="s">
        <v>1199</v>
      </c>
      <c r="M236" s="69" t="s">
        <v>1200</v>
      </c>
      <c r="N236" s="67" t="s">
        <v>1201</v>
      </c>
      <c r="O236" s="277" t="s">
        <v>1202</v>
      </c>
      <c r="P236" s="57"/>
      <c r="Q236" s="58"/>
      <c r="R236" s="58"/>
      <c r="S236" s="12"/>
      <c r="T236" s="12"/>
      <c r="U236" s="12"/>
      <c r="V236" s="12"/>
      <c r="W236" s="12"/>
      <c r="X236" s="12"/>
      <c r="Y236" s="12"/>
      <c r="Z236" s="12"/>
    </row>
    <row r="237" spans="1:26" ht="13.5" customHeight="1">
      <c r="A237" s="1"/>
      <c r="B237" s="918"/>
      <c r="C237" s="145"/>
      <c r="D237" s="145"/>
      <c r="E237" s="145"/>
      <c r="F237" s="145"/>
      <c r="G237" s="145"/>
      <c r="H237" s="145"/>
      <c r="I237" s="17"/>
      <c r="J237" s="67"/>
      <c r="K237" s="67"/>
      <c r="L237" s="106"/>
      <c r="M237" s="67"/>
      <c r="N237" s="106"/>
      <c r="O237" s="106"/>
      <c r="P237" s="19"/>
      <c r="Q237" s="12"/>
      <c r="R237" s="12"/>
      <c r="S237" s="12"/>
      <c r="T237" s="12"/>
      <c r="U237" s="12"/>
      <c r="V237" s="12"/>
      <c r="W237" s="12"/>
      <c r="X237" s="12"/>
      <c r="Y237" s="12"/>
      <c r="Z237" s="12"/>
    </row>
    <row r="238" spans="1:26" ht="118.5" customHeight="1">
      <c r="A238" s="1" t="s">
        <v>736</v>
      </c>
      <c r="B238" s="4" t="s">
        <v>242</v>
      </c>
      <c r="C238" s="145">
        <v>0</v>
      </c>
      <c r="D238" s="900">
        <v>1</v>
      </c>
      <c r="E238" s="901">
        <v>0.5</v>
      </c>
      <c r="F238" s="145">
        <v>1</v>
      </c>
      <c r="G238" s="900">
        <v>1</v>
      </c>
      <c r="H238" s="900">
        <v>0.5</v>
      </c>
      <c r="I238" s="17" t="s">
        <v>38</v>
      </c>
      <c r="J238" s="67" t="s">
        <v>1203</v>
      </c>
      <c r="K238" s="68" t="s">
        <v>1204</v>
      </c>
      <c r="L238" s="67" t="s">
        <v>1205</v>
      </c>
      <c r="M238" s="67" t="s">
        <v>1206</v>
      </c>
      <c r="N238" s="67" t="s">
        <v>1207</v>
      </c>
      <c r="O238" s="67" t="s">
        <v>1208</v>
      </c>
      <c r="P238" s="57"/>
      <c r="Q238" s="58"/>
      <c r="R238" s="58"/>
      <c r="S238" s="12"/>
      <c r="T238" s="12"/>
      <c r="U238" s="12"/>
      <c r="V238" s="12"/>
      <c r="W238" s="12"/>
      <c r="X238" s="12"/>
      <c r="Y238" s="12"/>
      <c r="Z238" s="12"/>
    </row>
    <row r="239" spans="1:26" ht="13.5" customHeight="1">
      <c r="A239" s="1"/>
      <c r="B239" s="918"/>
      <c r="C239" s="145"/>
      <c r="D239" s="145"/>
      <c r="E239" s="145"/>
      <c r="F239" s="145"/>
      <c r="G239" s="145"/>
      <c r="H239" s="145"/>
      <c r="I239" s="17"/>
      <c r="J239" s="67"/>
      <c r="K239" s="106"/>
      <c r="L239" s="159"/>
      <c r="M239" s="67"/>
      <c r="N239" s="106"/>
      <c r="O239" s="106"/>
      <c r="P239" s="19"/>
      <c r="Q239" s="12"/>
      <c r="R239" s="12"/>
      <c r="S239" s="12"/>
      <c r="T239" s="12"/>
      <c r="U239" s="12"/>
      <c r="V239" s="12"/>
      <c r="W239" s="12"/>
      <c r="X239" s="12"/>
      <c r="Y239" s="12"/>
      <c r="Z239" s="12"/>
    </row>
    <row r="240" spans="1:26" ht="32.25" customHeight="1">
      <c r="A240" s="294" t="s">
        <v>1209</v>
      </c>
      <c r="B240" s="295" t="s">
        <v>1210</v>
      </c>
      <c r="C240" s="296">
        <f t="shared" ref="C240:H240" si="41">AVERAGE(C241,C266)</f>
        <v>0.59573083778966129</v>
      </c>
      <c r="D240" s="296">
        <f t="shared" si="41"/>
        <v>0.7519385026737968</v>
      </c>
      <c r="E240" s="296">
        <f t="shared" si="41"/>
        <v>0.45053921568627453</v>
      </c>
      <c r="F240" s="296">
        <f t="shared" si="41"/>
        <v>0.57540998217468808</v>
      </c>
      <c r="G240" s="296">
        <f t="shared" si="41"/>
        <v>0.61936720142602497</v>
      </c>
      <c r="H240" s="296">
        <f t="shared" si="41"/>
        <v>0.43570855614973258</v>
      </c>
      <c r="I240" s="6"/>
      <c r="J240" s="44"/>
      <c r="K240" s="44"/>
      <c r="L240" s="136"/>
      <c r="M240" s="44"/>
      <c r="N240" s="44"/>
      <c r="O240" s="44"/>
      <c r="P240" s="49"/>
      <c r="Q240" s="49"/>
      <c r="R240" s="49"/>
      <c r="S240" s="49"/>
      <c r="T240" s="49"/>
      <c r="U240" s="49"/>
      <c r="V240" s="49"/>
      <c r="W240" s="49"/>
      <c r="X240" s="49"/>
      <c r="Y240" s="49"/>
      <c r="Z240" s="49"/>
    </row>
    <row r="241" spans="1:26" ht="23.25" customHeight="1">
      <c r="A241" s="298" t="s">
        <v>1211</v>
      </c>
      <c r="B241" s="302" t="s">
        <v>371</v>
      </c>
      <c r="C241" s="268">
        <f t="shared" ref="C241:H241" si="42">AVERAGE(C242,C244,C246,C248,C250,C252,C254,C256,C258,C260,C262,C264)</f>
        <v>0.75</v>
      </c>
      <c r="D241" s="268">
        <f t="shared" si="42"/>
        <v>0.875</v>
      </c>
      <c r="E241" s="268">
        <f t="shared" si="42"/>
        <v>0.625</v>
      </c>
      <c r="F241" s="268">
        <f t="shared" si="42"/>
        <v>0.75</v>
      </c>
      <c r="G241" s="268">
        <f t="shared" si="42"/>
        <v>0.75</v>
      </c>
      <c r="H241" s="268">
        <f t="shared" si="42"/>
        <v>0.45833333333333331</v>
      </c>
      <c r="I241" s="306"/>
      <c r="J241" s="56"/>
      <c r="K241" s="56"/>
      <c r="L241" s="56"/>
      <c r="M241" s="56"/>
      <c r="N241" s="56"/>
      <c r="O241" s="56"/>
      <c r="P241" s="57"/>
      <c r="Q241" s="58"/>
      <c r="R241" s="58"/>
      <c r="S241" s="58"/>
      <c r="T241" s="58"/>
      <c r="U241" s="58"/>
      <c r="V241" s="58"/>
      <c r="W241" s="58"/>
      <c r="X241" s="58"/>
      <c r="Y241" s="58"/>
      <c r="Z241" s="58"/>
    </row>
    <row r="242" spans="1:26" ht="201" customHeight="1">
      <c r="A242" s="308" t="s">
        <v>736</v>
      </c>
      <c r="B242" s="105" t="s">
        <v>372</v>
      </c>
      <c r="C242" s="292">
        <v>0.5</v>
      </c>
      <c r="D242" s="292">
        <v>0.5</v>
      </c>
      <c r="E242" s="65">
        <v>0</v>
      </c>
      <c r="F242" s="65">
        <v>0</v>
      </c>
      <c r="G242" s="898">
        <v>0</v>
      </c>
      <c r="H242" s="898">
        <v>0</v>
      </c>
      <c r="I242" s="306" t="s">
        <v>240</v>
      </c>
      <c r="J242" s="232" t="s">
        <v>1212</v>
      </c>
      <c r="K242" s="311" t="s">
        <v>1213</v>
      </c>
      <c r="L242" s="312" t="s">
        <v>1214</v>
      </c>
      <c r="M242" s="69" t="s">
        <v>1215</v>
      </c>
      <c r="N242" s="69" t="s">
        <v>1216</v>
      </c>
      <c r="O242" s="69" t="s">
        <v>1217</v>
      </c>
      <c r="P242" s="57"/>
      <c r="Q242" s="58"/>
      <c r="R242" s="58"/>
      <c r="S242" s="58"/>
      <c r="T242" s="58"/>
      <c r="U242" s="58"/>
      <c r="V242" s="58"/>
      <c r="W242" s="58"/>
      <c r="X242" s="58"/>
      <c r="Y242" s="58"/>
      <c r="Z242" s="58"/>
    </row>
    <row r="243" spans="1:26" ht="13.5" customHeight="1">
      <c r="A243" s="308"/>
      <c r="B243" s="105"/>
      <c r="C243" s="65"/>
      <c r="D243" s="65"/>
      <c r="E243" s="65"/>
      <c r="F243" s="65"/>
      <c r="G243" s="898"/>
      <c r="H243" s="898"/>
      <c r="I243" s="306"/>
      <c r="J243" s="232"/>
      <c r="K243" s="67"/>
      <c r="L243" s="312"/>
      <c r="M243" s="69"/>
      <c r="N243" s="69"/>
      <c r="O243" s="69"/>
      <c r="P243" s="57"/>
      <c r="Q243" s="58"/>
      <c r="R243" s="58"/>
      <c r="S243" s="58"/>
      <c r="T243" s="58"/>
      <c r="U243" s="58"/>
      <c r="V243" s="58"/>
      <c r="W243" s="58"/>
      <c r="X243" s="58"/>
      <c r="Y243" s="58"/>
      <c r="Z243" s="58"/>
    </row>
    <row r="244" spans="1:26" ht="206.25" customHeight="1">
      <c r="A244" s="308" t="s">
        <v>736</v>
      </c>
      <c r="B244" s="105" t="s">
        <v>373</v>
      </c>
      <c r="C244" s="65">
        <v>0.5</v>
      </c>
      <c r="D244" s="65">
        <v>0.5</v>
      </c>
      <c r="E244" s="898">
        <v>0</v>
      </c>
      <c r="F244" s="65">
        <v>0.5</v>
      </c>
      <c r="G244" s="65">
        <v>0.5</v>
      </c>
      <c r="H244" s="65">
        <v>0</v>
      </c>
      <c r="I244" s="306" t="s">
        <v>240</v>
      </c>
      <c r="J244" s="232" t="s">
        <v>1218</v>
      </c>
      <c r="K244" s="67" t="s">
        <v>1219</v>
      </c>
      <c r="L244" s="312" t="s">
        <v>1220</v>
      </c>
      <c r="M244" s="69" t="s">
        <v>1221</v>
      </c>
      <c r="N244" s="69" t="s">
        <v>1222</v>
      </c>
      <c r="O244" s="316" t="s">
        <v>1223</v>
      </c>
      <c r="P244" s="57"/>
      <c r="Q244" s="58"/>
      <c r="R244" s="58"/>
      <c r="S244" s="58"/>
      <c r="T244" s="58"/>
      <c r="U244" s="58"/>
      <c r="V244" s="58"/>
      <c r="W244" s="58"/>
      <c r="X244" s="58"/>
      <c r="Y244" s="58"/>
      <c r="Z244" s="58"/>
    </row>
    <row r="245" spans="1:26" ht="13.5" customHeight="1">
      <c r="A245" s="308"/>
      <c r="B245" s="105"/>
      <c r="C245" s="65"/>
      <c r="D245" s="65"/>
      <c r="E245" s="65"/>
      <c r="F245" s="155"/>
      <c r="G245" s="65"/>
      <c r="H245" s="65"/>
      <c r="I245" s="306"/>
      <c r="J245" s="232"/>
      <c r="K245" s="67"/>
      <c r="L245" s="312"/>
      <c r="M245" s="69"/>
      <c r="N245" s="69"/>
      <c r="O245" s="69"/>
      <c r="P245" s="57"/>
      <c r="Q245" s="58"/>
      <c r="R245" s="58"/>
      <c r="S245" s="58"/>
      <c r="T245" s="58"/>
      <c r="U245" s="58"/>
      <c r="V245" s="58"/>
      <c r="W245" s="58"/>
      <c r="X245" s="58"/>
      <c r="Y245" s="58"/>
      <c r="Z245" s="58"/>
    </row>
    <row r="246" spans="1:26" ht="208.5" customHeight="1">
      <c r="A246" s="308" t="s">
        <v>736</v>
      </c>
      <c r="B246" s="152" t="s">
        <v>374</v>
      </c>
      <c r="C246" s="65">
        <v>0.5</v>
      </c>
      <c r="D246" s="65">
        <v>1</v>
      </c>
      <c r="E246" s="65">
        <v>0</v>
      </c>
      <c r="F246" s="898">
        <v>1</v>
      </c>
      <c r="G246" s="65">
        <v>0.5</v>
      </c>
      <c r="H246" s="897">
        <v>0</v>
      </c>
      <c r="I246" s="306" t="s">
        <v>240</v>
      </c>
      <c r="J246" s="232" t="s">
        <v>1224</v>
      </c>
      <c r="K246" s="67" t="s">
        <v>1225</v>
      </c>
      <c r="L246" s="67" t="s">
        <v>748</v>
      </c>
      <c r="M246" s="69" t="s">
        <v>1226</v>
      </c>
      <c r="N246" s="69" t="s">
        <v>1227</v>
      </c>
      <c r="O246" s="69" t="s">
        <v>1228</v>
      </c>
      <c r="P246" s="57"/>
      <c r="Q246" s="58"/>
      <c r="R246" s="58"/>
      <c r="S246" s="58"/>
      <c r="T246" s="58"/>
      <c r="U246" s="58"/>
      <c r="V246" s="58"/>
      <c r="W246" s="58"/>
      <c r="X246" s="58"/>
      <c r="Y246" s="58"/>
      <c r="Z246" s="58"/>
    </row>
    <row r="247" spans="1:26" ht="27.75" customHeight="1">
      <c r="A247" s="308"/>
      <c r="B247" s="105"/>
      <c r="C247" s="58"/>
      <c r="D247" s="58"/>
      <c r="E247" s="58"/>
      <c r="F247" s="58"/>
      <c r="G247" s="58"/>
      <c r="H247" s="58"/>
      <c r="I247" s="306"/>
      <c r="J247" s="232"/>
      <c r="K247" s="67"/>
      <c r="L247" s="176"/>
      <c r="M247" s="69"/>
      <c r="N247" s="177"/>
      <c r="O247" s="69"/>
      <c r="P247" s="57"/>
      <c r="Q247" s="58"/>
      <c r="R247" s="58"/>
      <c r="S247" s="58"/>
      <c r="T247" s="58"/>
      <c r="U247" s="58"/>
      <c r="V247" s="58"/>
      <c r="W247" s="58"/>
      <c r="X247" s="58"/>
      <c r="Y247" s="58"/>
      <c r="Z247" s="58"/>
    </row>
    <row r="248" spans="1:26" ht="126.75" customHeight="1">
      <c r="A248" s="308" t="s">
        <v>736</v>
      </c>
      <c r="B248" s="105" t="s">
        <v>375</v>
      </c>
      <c r="C248" s="65">
        <v>1</v>
      </c>
      <c r="D248" s="65">
        <v>1</v>
      </c>
      <c r="E248" s="65">
        <v>1</v>
      </c>
      <c r="F248" s="65">
        <v>1</v>
      </c>
      <c r="G248" s="65">
        <v>1</v>
      </c>
      <c r="H248" s="65">
        <v>1</v>
      </c>
      <c r="I248" s="306" t="s">
        <v>38</v>
      </c>
      <c r="J248" s="232" t="s">
        <v>1229</v>
      </c>
      <c r="K248" s="67" t="s">
        <v>1230</v>
      </c>
      <c r="L248" s="312" t="s">
        <v>1231</v>
      </c>
      <c r="M248" s="69" t="s">
        <v>1232</v>
      </c>
      <c r="N248" s="69" t="s">
        <v>1233</v>
      </c>
      <c r="O248" s="69" t="s">
        <v>1234</v>
      </c>
      <c r="P248" s="57"/>
      <c r="Q248" s="58"/>
      <c r="R248" s="58"/>
      <c r="S248" s="58"/>
      <c r="T248" s="58"/>
      <c r="U248" s="58"/>
      <c r="V248" s="58"/>
      <c r="W248" s="58"/>
      <c r="X248" s="58"/>
      <c r="Y248" s="58"/>
      <c r="Z248" s="58"/>
    </row>
    <row r="249" spans="1:26" ht="13.5" customHeight="1">
      <c r="A249" s="1"/>
      <c r="B249" s="105"/>
      <c r="C249" s="145"/>
      <c r="D249" s="145"/>
      <c r="E249" s="145"/>
      <c r="F249" s="145"/>
      <c r="G249" s="145"/>
      <c r="H249" s="145"/>
      <c r="I249" s="17"/>
      <c r="J249" s="232"/>
      <c r="K249" s="106"/>
      <c r="L249" s="321"/>
      <c r="M249" s="69"/>
      <c r="N249" s="109"/>
      <c r="O249" s="109"/>
      <c r="P249" s="19"/>
      <c r="Q249" s="12"/>
      <c r="R249" s="12"/>
      <c r="S249" s="12"/>
      <c r="T249" s="12"/>
      <c r="U249" s="12"/>
      <c r="V249" s="12"/>
      <c r="W249" s="12"/>
      <c r="X249" s="12"/>
      <c r="Y249" s="12"/>
      <c r="Z249" s="12"/>
    </row>
    <row r="250" spans="1:26" ht="192" customHeight="1">
      <c r="A250" s="308" t="s">
        <v>736</v>
      </c>
      <c r="B250" s="105" t="s">
        <v>376</v>
      </c>
      <c r="C250" s="65">
        <v>1</v>
      </c>
      <c r="D250" s="898">
        <v>1</v>
      </c>
      <c r="E250" s="65">
        <v>1</v>
      </c>
      <c r="F250" s="65">
        <v>1</v>
      </c>
      <c r="G250" s="65">
        <v>1</v>
      </c>
      <c r="H250" s="899">
        <v>1</v>
      </c>
      <c r="I250" s="306" t="s">
        <v>38</v>
      </c>
      <c r="J250" s="232" t="s">
        <v>1235</v>
      </c>
      <c r="K250" s="67" t="s">
        <v>948</v>
      </c>
      <c r="L250" s="67" t="s">
        <v>948</v>
      </c>
      <c r="M250" s="69" t="s">
        <v>1236</v>
      </c>
      <c r="N250" s="69" t="s">
        <v>1237</v>
      </c>
      <c r="O250" s="69" t="s">
        <v>1238</v>
      </c>
      <c r="P250" s="57"/>
      <c r="Q250" s="58"/>
      <c r="R250" s="58"/>
      <c r="S250" s="58"/>
      <c r="T250" s="58"/>
      <c r="U250" s="58"/>
      <c r="V250" s="58"/>
      <c r="W250" s="58"/>
      <c r="X250" s="58"/>
      <c r="Y250" s="58"/>
      <c r="Z250" s="58"/>
    </row>
    <row r="251" spans="1:26" ht="18" customHeight="1">
      <c r="A251" s="1"/>
      <c r="B251" s="105"/>
      <c r="C251" s="145"/>
      <c r="D251" s="145"/>
      <c r="E251" s="145"/>
      <c r="F251" s="145"/>
      <c r="G251" s="145"/>
      <c r="H251" s="145"/>
      <c r="I251" s="17"/>
      <c r="J251" s="232"/>
      <c r="K251" s="106"/>
      <c r="L251" s="321"/>
      <c r="M251" s="69"/>
      <c r="N251" s="109"/>
      <c r="O251" s="109"/>
      <c r="P251" s="19"/>
      <c r="Q251" s="12"/>
      <c r="R251" s="12"/>
      <c r="S251" s="12"/>
      <c r="T251" s="12"/>
      <c r="U251" s="12"/>
      <c r="V251" s="12"/>
      <c r="W251" s="12"/>
      <c r="X251" s="12"/>
      <c r="Y251" s="12"/>
      <c r="Z251" s="12"/>
    </row>
    <row r="252" spans="1:26" ht="171.75" customHeight="1">
      <c r="A252" s="308" t="s">
        <v>736</v>
      </c>
      <c r="B252" s="152" t="s">
        <v>377</v>
      </c>
      <c r="C252" s="899">
        <v>1</v>
      </c>
      <c r="D252" s="899">
        <v>1</v>
      </c>
      <c r="E252" s="899">
        <v>1</v>
      </c>
      <c r="F252" s="899">
        <v>1</v>
      </c>
      <c r="G252" s="899">
        <v>1</v>
      </c>
      <c r="H252" s="899">
        <v>1</v>
      </c>
      <c r="I252" s="306" t="s">
        <v>38</v>
      </c>
      <c r="J252" s="232" t="s">
        <v>1239</v>
      </c>
      <c r="K252" s="67" t="s">
        <v>1240</v>
      </c>
      <c r="L252" s="312" t="s">
        <v>1241</v>
      </c>
      <c r="M252" s="69" t="s">
        <v>1242</v>
      </c>
      <c r="N252" s="69" t="s">
        <v>1243</v>
      </c>
      <c r="O252" s="69" t="s">
        <v>1244</v>
      </c>
      <c r="P252" s="57"/>
      <c r="Q252" s="58"/>
      <c r="R252" s="58"/>
      <c r="S252" s="58"/>
      <c r="T252" s="58"/>
      <c r="U252" s="58"/>
      <c r="V252" s="58"/>
      <c r="W252" s="58"/>
      <c r="X252" s="58"/>
      <c r="Y252" s="58"/>
      <c r="Z252" s="58"/>
    </row>
    <row r="253" spans="1:26" ht="13.5" customHeight="1">
      <c r="A253" s="1"/>
      <c r="B253" s="105"/>
      <c r="C253" s="145"/>
      <c r="D253" s="145"/>
      <c r="E253" s="145"/>
      <c r="F253" s="145"/>
      <c r="G253" s="145"/>
      <c r="H253" s="145"/>
      <c r="I253" s="17"/>
      <c r="J253" s="232"/>
      <c r="K253" s="106"/>
      <c r="L253" s="321"/>
      <c r="M253" s="69"/>
      <c r="N253" s="109"/>
      <c r="O253" s="109"/>
      <c r="P253" s="19"/>
      <c r="Q253" s="12"/>
      <c r="R253" s="12"/>
      <c r="S253" s="12"/>
      <c r="T253" s="12"/>
      <c r="U253" s="12"/>
      <c r="V253" s="12"/>
      <c r="W253" s="12"/>
      <c r="X253" s="12"/>
      <c r="Y253" s="12"/>
      <c r="Z253" s="12"/>
    </row>
    <row r="254" spans="1:26" ht="137.25" customHeight="1">
      <c r="A254" s="308" t="s">
        <v>736</v>
      </c>
      <c r="B254" s="105" t="s">
        <v>378</v>
      </c>
      <c r="C254" s="65">
        <v>1</v>
      </c>
      <c r="D254" s="65">
        <v>1</v>
      </c>
      <c r="E254" s="65">
        <v>1</v>
      </c>
      <c r="F254" s="65">
        <v>1</v>
      </c>
      <c r="G254" s="65">
        <v>1</v>
      </c>
      <c r="H254" s="915">
        <v>0.5</v>
      </c>
      <c r="I254" s="306" t="s">
        <v>38</v>
      </c>
      <c r="J254" s="232" t="s">
        <v>1245</v>
      </c>
      <c r="K254" s="67" t="s">
        <v>948</v>
      </c>
      <c r="L254" s="312" t="s">
        <v>1246</v>
      </c>
      <c r="M254" s="69" t="s">
        <v>1247</v>
      </c>
      <c r="N254" s="69" t="s">
        <v>1248</v>
      </c>
      <c r="O254" s="69" t="s">
        <v>1249</v>
      </c>
      <c r="P254" s="57"/>
      <c r="Q254" s="58"/>
      <c r="R254" s="58"/>
      <c r="S254" s="58"/>
      <c r="T254" s="58"/>
      <c r="U254" s="58"/>
      <c r="V254" s="58"/>
      <c r="W254" s="58"/>
      <c r="X254" s="58"/>
      <c r="Y254" s="58"/>
      <c r="Z254" s="58"/>
    </row>
    <row r="255" spans="1:26" ht="24.75" customHeight="1">
      <c r="A255" s="308"/>
      <c r="B255" s="105"/>
      <c r="C255" s="65"/>
      <c r="D255" s="65"/>
      <c r="E255" s="65"/>
      <c r="F255" s="65"/>
      <c r="G255" s="65"/>
      <c r="H255" s="65"/>
      <c r="I255" s="306"/>
      <c r="J255" s="232"/>
      <c r="K255" s="67"/>
      <c r="L255" s="312"/>
      <c r="M255" s="69"/>
      <c r="N255" s="69"/>
      <c r="O255" s="69"/>
      <c r="P255" s="57"/>
      <c r="Q255" s="58"/>
      <c r="R255" s="58"/>
      <c r="S255" s="58"/>
      <c r="T255" s="58"/>
      <c r="U255" s="58"/>
      <c r="V255" s="58"/>
      <c r="W255" s="58"/>
      <c r="X255" s="58"/>
      <c r="Y255" s="58"/>
      <c r="Z255" s="58"/>
    </row>
    <row r="256" spans="1:26" ht="110.25" customHeight="1">
      <c r="A256" s="308" t="s">
        <v>736</v>
      </c>
      <c r="B256" s="105" t="s">
        <v>379</v>
      </c>
      <c r="C256" s="65">
        <v>1</v>
      </c>
      <c r="D256" s="65">
        <v>1</v>
      </c>
      <c r="E256" s="898">
        <v>1</v>
      </c>
      <c r="F256" s="65">
        <v>1</v>
      </c>
      <c r="G256" s="65">
        <v>1</v>
      </c>
      <c r="H256" s="65">
        <v>1</v>
      </c>
      <c r="I256" s="306" t="s">
        <v>38</v>
      </c>
      <c r="J256" s="232" t="s">
        <v>1250</v>
      </c>
      <c r="K256" s="67" t="s">
        <v>1251</v>
      </c>
      <c r="L256" s="67" t="s">
        <v>811</v>
      </c>
      <c r="M256" s="69" t="s">
        <v>1252</v>
      </c>
      <c r="N256" s="69" t="s">
        <v>1253</v>
      </c>
      <c r="O256" s="69" t="s">
        <v>1254</v>
      </c>
      <c r="P256" s="57"/>
      <c r="Q256" s="58"/>
      <c r="R256" s="58"/>
      <c r="S256" s="58"/>
      <c r="T256" s="58"/>
      <c r="U256" s="58"/>
      <c r="V256" s="58"/>
      <c r="W256" s="58"/>
      <c r="X256" s="58"/>
      <c r="Y256" s="58"/>
      <c r="Z256" s="58"/>
    </row>
    <row r="257" spans="1:26" ht="13.5" customHeight="1">
      <c r="A257" s="1"/>
      <c r="B257" s="105"/>
      <c r="C257" s="145"/>
      <c r="D257" s="145"/>
      <c r="E257" s="145"/>
      <c r="F257" s="145"/>
      <c r="G257" s="145"/>
      <c r="H257" s="145"/>
      <c r="I257" s="17"/>
      <c r="J257" s="232"/>
      <c r="K257" s="106"/>
      <c r="L257" s="321"/>
      <c r="M257" s="69"/>
      <c r="N257" s="109"/>
      <c r="O257" s="109"/>
      <c r="P257" s="19"/>
      <c r="Q257" s="12"/>
      <c r="R257" s="12"/>
      <c r="S257" s="12"/>
      <c r="T257" s="12"/>
      <c r="U257" s="12"/>
      <c r="V257" s="12"/>
      <c r="W257" s="12"/>
      <c r="X257" s="12"/>
      <c r="Y257" s="12"/>
      <c r="Z257" s="12"/>
    </row>
    <row r="258" spans="1:26" ht="108.75" customHeight="1">
      <c r="A258" s="308" t="s">
        <v>736</v>
      </c>
      <c r="B258" s="152" t="s">
        <v>380</v>
      </c>
      <c r="C258" s="899">
        <v>1</v>
      </c>
      <c r="D258" s="899">
        <v>1</v>
      </c>
      <c r="E258" s="899">
        <v>0</v>
      </c>
      <c r="F258" s="899">
        <v>0.5</v>
      </c>
      <c r="G258" s="899">
        <v>1</v>
      </c>
      <c r="H258" s="899">
        <v>0</v>
      </c>
      <c r="I258" s="306" t="s">
        <v>240</v>
      </c>
      <c r="J258" s="232" t="s">
        <v>1255</v>
      </c>
      <c r="K258" s="67" t="s">
        <v>811</v>
      </c>
      <c r="L258" s="312" t="s">
        <v>1256</v>
      </c>
      <c r="M258" s="69" t="s">
        <v>1257</v>
      </c>
      <c r="N258" s="69" t="s">
        <v>1258</v>
      </c>
      <c r="O258" s="69" t="s">
        <v>1259</v>
      </c>
      <c r="P258" s="57"/>
      <c r="Q258" s="58"/>
      <c r="R258" s="58"/>
      <c r="S258" s="58"/>
      <c r="T258" s="58"/>
      <c r="U258" s="58"/>
      <c r="V258" s="58"/>
      <c r="W258" s="58"/>
      <c r="X258" s="58"/>
      <c r="Y258" s="58"/>
      <c r="Z258" s="58"/>
    </row>
    <row r="259" spans="1:26" ht="25.5" customHeight="1">
      <c r="A259" s="308"/>
      <c r="B259" s="105"/>
      <c r="C259" s="65"/>
      <c r="D259" s="65"/>
      <c r="E259" s="65"/>
      <c r="F259" s="898"/>
      <c r="G259" s="65"/>
      <c r="H259" s="65"/>
      <c r="I259" s="306"/>
      <c r="J259" s="232"/>
      <c r="K259" s="67"/>
      <c r="L259" s="312"/>
      <c r="M259" s="69"/>
      <c r="N259" s="69"/>
      <c r="O259" s="69"/>
      <c r="P259" s="57"/>
      <c r="Q259" s="58"/>
      <c r="R259" s="58"/>
      <c r="S259" s="58"/>
      <c r="T259" s="58"/>
      <c r="U259" s="58"/>
      <c r="V259" s="58"/>
      <c r="W259" s="58"/>
      <c r="X259" s="58"/>
      <c r="Y259" s="58"/>
      <c r="Z259" s="58"/>
    </row>
    <row r="260" spans="1:26" ht="128.25" customHeight="1">
      <c r="A260" s="308" t="s">
        <v>736</v>
      </c>
      <c r="B260" s="105" t="s">
        <v>381</v>
      </c>
      <c r="C260" s="65">
        <v>1</v>
      </c>
      <c r="D260" s="65">
        <v>1</v>
      </c>
      <c r="E260" s="897">
        <v>1</v>
      </c>
      <c r="F260" s="65">
        <v>1</v>
      </c>
      <c r="G260" s="65">
        <v>1</v>
      </c>
      <c r="H260" s="65">
        <v>0.5</v>
      </c>
      <c r="I260" s="306" t="s">
        <v>240</v>
      </c>
      <c r="J260" s="232" t="s">
        <v>1260</v>
      </c>
      <c r="K260" s="67" t="s">
        <v>811</v>
      </c>
      <c r="L260" s="312" t="s">
        <v>1261</v>
      </c>
      <c r="M260" s="69" t="s">
        <v>1262</v>
      </c>
      <c r="N260" s="69" t="s">
        <v>1263</v>
      </c>
      <c r="O260" s="69" t="s">
        <v>1264</v>
      </c>
      <c r="P260" s="57"/>
      <c r="Q260" s="58"/>
      <c r="R260" s="58"/>
      <c r="S260" s="58"/>
      <c r="T260" s="58"/>
      <c r="U260" s="58"/>
      <c r="V260" s="58"/>
      <c r="W260" s="58"/>
      <c r="X260" s="58"/>
      <c r="Y260" s="58"/>
      <c r="Z260" s="58"/>
    </row>
    <row r="261" spans="1:26" ht="13.5" customHeight="1">
      <c r="A261" s="1"/>
      <c r="B261" s="105"/>
      <c r="C261" s="145"/>
      <c r="D261" s="145"/>
      <c r="E261" s="145"/>
      <c r="F261" s="145"/>
      <c r="G261" s="145"/>
      <c r="H261" s="145"/>
      <c r="I261" s="17"/>
      <c r="J261" s="232"/>
      <c r="K261" s="106"/>
      <c r="L261" s="321"/>
      <c r="M261" s="69"/>
      <c r="N261" s="109"/>
      <c r="O261" s="109"/>
      <c r="P261" s="19"/>
      <c r="Q261" s="12"/>
      <c r="R261" s="12"/>
      <c r="S261" s="12"/>
      <c r="T261" s="12"/>
      <c r="U261" s="12"/>
      <c r="V261" s="12"/>
      <c r="W261" s="12"/>
      <c r="X261" s="12"/>
      <c r="Y261" s="12"/>
      <c r="Z261" s="12"/>
    </row>
    <row r="262" spans="1:26" ht="110.25" customHeight="1">
      <c r="A262" s="308" t="s">
        <v>736</v>
      </c>
      <c r="B262" s="105" t="s">
        <v>382</v>
      </c>
      <c r="C262" s="899">
        <v>0</v>
      </c>
      <c r="D262" s="65">
        <v>1</v>
      </c>
      <c r="E262" s="898">
        <v>1</v>
      </c>
      <c r="F262" s="65">
        <v>0.5</v>
      </c>
      <c r="G262" s="899">
        <v>0.5</v>
      </c>
      <c r="H262" s="65">
        <v>0</v>
      </c>
      <c r="I262" s="306" t="s">
        <v>38</v>
      </c>
      <c r="J262" s="232" t="s">
        <v>1265</v>
      </c>
      <c r="K262" s="67" t="s">
        <v>1266</v>
      </c>
      <c r="L262" s="312" t="s">
        <v>1267</v>
      </c>
      <c r="M262" s="69" t="s">
        <v>1268</v>
      </c>
      <c r="N262" s="69" t="s">
        <v>1269</v>
      </c>
      <c r="O262" s="69" t="s">
        <v>1270</v>
      </c>
      <c r="P262" s="57"/>
      <c r="Q262" s="58"/>
      <c r="R262" s="58"/>
      <c r="S262" s="58"/>
      <c r="T262" s="58"/>
      <c r="U262" s="58"/>
      <c r="V262" s="58"/>
      <c r="W262" s="58"/>
      <c r="X262" s="58"/>
      <c r="Y262" s="58"/>
      <c r="Z262" s="58"/>
    </row>
    <row r="263" spans="1:26" ht="13.5" customHeight="1">
      <c r="A263" s="1"/>
      <c r="B263" s="105"/>
      <c r="C263" s="145"/>
      <c r="D263" s="145"/>
      <c r="E263" s="145"/>
      <c r="F263" s="145"/>
      <c r="G263" s="145"/>
      <c r="H263" s="145"/>
      <c r="I263" s="17"/>
      <c r="J263" s="232"/>
      <c r="K263" s="106"/>
      <c r="L263" s="321"/>
      <c r="M263" s="69"/>
      <c r="N263" s="109"/>
      <c r="O263" s="109"/>
      <c r="P263" s="19"/>
      <c r="Q263" s="12"/>
      <c r="R263" s="12"/>
      <c r="S263" s="12"/>
      <c r="T263" s="12"/>
      <c r="U263" s="12"/>
      <c r="V263" s="12"/>
      <c r="W263" s="12"/>
      <c r="X263" s="12"/>
      <c r="Y263" s="12"/>
      <c r="Z263" s="12"/>
    </row>
    <row r="264" spans="1:26" ht="90.75" customHeight="1">
      <c r="A264" s="308" t="s">
        <v>736</v>
      </c>
      <c r="B264" s="152" t="s">
        <v>383</v>
      </c>
      <c r="C264" s="898">
        <v>0.5</v>
      </c>
      <c r="D264" s="898">
        <v>0.5</v>
      </c>
      <c r="E264" s="898">
        <v>0.5</v>
      </c>
      <c r="F264" s="898">
        <v>0.5</v>
      </c>
      <c r="G264" s="898">
        <v>0.5</v>
      </c>
      <c r="H264" s="898">
        <v>0.5</v>
      </c>
      <c r="I264" s="306" t="s">
        <v>240</v>
      </c>
      <c r="J264" s="232" t="s">
        <v>1271</v>
      </c>
      <c r="K264" s="67" t="s">
        <v>1272</v>
      </c>
      <c r="L264" s="312" t="s">
        <v>1273</v>
      </c>
      <c r="M264" s="69" t="s">
        <v>1274</v>
      </c>
      <c r="N264" s="69" t="s">
        <v>1275</v>
      </c>
      <c r="O264" s="69" t="s">
        <v>1276</v>
      </c>
      <c r="P264" s="57"/>
      <c r="Q264" s="58"/>
      <c r="R264" s="58"/>
      <c r="S264" s="58"/>
      <c r="T264" s="58"/>
      <c r="U264" s="58"/>
      <c r="V264" s="58"/>
      <c r="W264" s="58"/>
      <c r="X264" s="58"/>
      <c r="Y264" s="58"/>
      <c r="Z264" s="58"/>
    </row>
    <row r="265" spans="1:26" ht="13.5" customHeight="1">
      <c r="A265" s="1"/>
      <c r="B265" s="918"/>
      <c r="C265" s="145"/>
      <c r="D265" s="145"/>
      <c r="E265" s="145"/>
      <c r="F265" s="145"/>
      <c r="G265" s="145"/>
      <c r="H265" s="145"/>
      <c r="I265" s="17"/>
      <c r="J265" s="232"/>
      <c r="K265" s="106"/>
      <c r="L265" s="159"/>
      <c r="M265" s="106"/>
      <c r="N265" s="106"/>
      <c r="O265" s="106"/>
      <c r="P265" s="19"/>
      <c r="Q265" s="12"/>
      <c r="R265" s="12"/>
      <c r="S265" s="12"/>
      <c r="T265" s="12"/>
      <c r="U265" s="12"/>
      <c r="V265" s="12"/>
      <c r="W265" s="12"/>
      <c r="X265" s="12"/>
      <c r="Y265" s="12"/>
      <c r="Z265" s="12"/>
    </row>
    <row r="266" spans="1:26" ht="28.5" customHeight="1">
      <c r="A266" s="326" t="s">
        <v>1277</v>
      </c>
      <c r="B266" s="302" t="s">
        <v>385</v>
      </c>
      <c r="C266" s="327">
        <f t="shared" ref="C266:H266" si="43">AVERAGE(C267,C290,C297,C301,C336)</f>
        <v>0.44146167557932259</v>
      </c>
      <c r="D266" s="327">
        <f t="shared" si="43"/>
        <v>0.62887700534759361</v>
      </c>
      <c r="E266" s="327">
        <f t="shared" si="43"/>
        <v>0.276078431372549</v>
      </c>
      <c r="F266" s="329">
        <f t="shared" si="43"/>
        <v>0.40081996434937606</v>
      </c>
      <c r="G266" s="327">
        <f t="shared" si="43"/>
        <v>0.48873440285204994</v>
      </c>
      <c r="H266" s="327">
        <f t="shared" si="43"/>
        <v>0.41308377896613191</v>
      </c>
      <c r="I266" s="306"/>
      <c r="J266" s="78"/>
      <c r="K266" s="78"/>
      <c r="L266" s="78"/>
      <c r="M266" s="78"/>
      <c r="N266" s="268"/>
      <c r="O266" s="78"/>
      <c r="P266" s="57"/>
      <c r="Q266" s="58"/>
      <c r="R266" s="58"/>
      <c r="S266" s="58"/>
      <c r="T266" s="58"/>
      <c r="U266" s="58"/>
      <c r="V266" s="58"/>
      <c r="W266" s="58"/>
      <c r="X266" s="58"/>
      <c r="Y266" s="58"/>
      <c r="Z266" s="58"/>
    </row>
    <row r="267" spans="1:26" ht="34.5" customHeight="1">
      <c r="A267" s="331" t="s">
        <v>1278</v>
      </c>
      <c r="B267" s="302" t="s">
        <v>387</v>
      </c>
      <c r="C267" s="329">
        <f t="shared" ref="C267:H267" si="44">AVERAGE(C268,C270,C272,C274,C276,C278,C280,C282,C284,C286,C288)</f>
        <v>0.68181818181818177</v>
      </c>
      <c r="D267" s="329">
        <f t="shared" si="44"/>
        <v>0.90909090909090906</v>
      </c>
      <c r="E267" s="329">
        <f t="shared" si="44"/>
        <v>0.5</v>
      </c>
      <c r="F267" s="329">
        <f t="shared" si="44"/>
        <v>0.77272727272727271</v>
      </c>
      <c r="G267" s="329">
        <f t="shared" si="44"/>
        <v>0.81818181818181823</v>
      </c>
      <c r="H267" s="329">
        <f t="shared" si="44"/>
        <v>0.59090909090909094</v>
      </c>
      <c r="I267" s="306"/>
      <c r="J267" s="78"/>
      <c r="K267" s="78"/>
      <c r="L267" s="78"/>
      <c r="M267" s="78"/>
      <c r="N267" s="268"/>
      <c r="O267" s="78"/>
      <c r="P267" s="57"/>
      <c r="Q267" s="82"/>
      <c r="R267" s="82"/>
      <c r="S267" s="82"/>
      <c r="T267" s="82"/>
      <c r="U267" s="82"/>
      <c r="V267" s="82"/>
      <c r="W267" s="82"/>
      <c r="X267" s="82"/>
      <c r="Y267" s="82"/>
      <c r="Z267" s="82"/>
    </row>
    <row r="268" spans="1:26" ht="102" customHeight="1">
      <c r="A268" s="308" t="s">
        <v>736</v>
      </c>
      <c r="B268" s="105" t="s">
        <v>388</v>
      </c>
      <c r="C268" s="65">
        <v>1</v>
      </c>
      <c r="D268" s="65">
        <v>1</v>
      </c>
      <c r="E268" s="65">
        <v>1</v>
      </c>
      <c r="F268" s="65">
        <v>1</v>
      </c>
      <c r="G268" s="65">
        <v>1</v>
      </c>
      <c r="H268" s="65">
        <v>1</v>
      </c>
      <c r="I268" s="306" t="s">
        <v>38</v>
      </c>
      <c r="J268" s="232" t="s">
        <v>1279</v>
      </c>
      <c r="K268" s="67" t="s">
        <v>811</v>
      </c>
      <c r="L268" s="312" t="s">
        <v>1280</v>
      </c>
      <c r="M268" s="69" t="s">
        <v>1281</v>
      </c>
      <c r="N268" s="69" t="s">
        <v>1282</v>
      </c>
      <c r="O268" s="69" t="s">
        <v>1283</v>
      </c>
      <c r="P268" s="57"/>
      <c r="Q268" s="58"/>
      <c r="R268" s="58"/>
      <c r="S268" s="58"/>
      <c r="T268" s="58"/>
      <c r="U268" s="58"/>
      <c r="V268" s="58"/>
      <c r="W268" s="58"/>
      <c r="X268" s="58"/>
      <c r="Y268" s="58"/>
      <c r="Z268" s="58"/>
    </row>
    <row r="269" spans="1:26" ht="22.5" customHeight="1">
      <c r="A269" s="1"/>
      <c r="B269" s="105"/>
      <c r="C269" s="145"/>
      <c r="D269" s="145"/>
      <c r="E269" s="145"/>
      <c r="F269" s="145"/>
      <c r="G269" s="145"/>
      <c r="H269" s="145"/>
      <c r="I269" s="17"/>
      <c r="J269" s="232"/>
      <c r="K269" s="106"/>
      <c r="L269" s="321"/>
      <c r="M269" s="69"/>
      <c r="N269" s="109"/>
      <c r="O269" s="109"/>
      <c r="P269" s="19"/>
      <c r="Q269" s="12"/>
      <c r="R269" s="12"/>
      <c r="S269" s="12"/>
      <c r="T269" s="12"/>
      <c r="U269" s="12"/>
      <c r="V269" s="12"/>
      <c r="W269" s="12"/>
      <c r="X269" s="12"/>
      <c r="Y269" s="12"/>
      <c r="Z269" s="12"/>
    </row>
    <row r="270" spans="1:26" ht="146.25" customHeight="1">
      <c r="A270" s="308" t="s">
        <v>736</v>
      </c>
      <c r="B270" s="105" t="s">
        <v>389</v>
      </c>
      <c r="C270" s="898">
        <v>0.5</v>
      </c>
      <c r="D270" s="65">
        <v>1</v>
      </c>
      <c r="E270" s="65">
        <v>1</v>
      </c>
      <c r="F270" s="65">
        <v>1</v>
      </c>
      <c r="G270" s="65">
        <v>1</v>
      </c>
      <c r="H270" s="65">
        <v>1</v>
      </c>
      <c r="I270" s="306" t="s">
        <v>240</v>
      </c>
      <c r="J270" s="232" t="s">
        <v>1284</v>
      </c>
      <c r="K270" s="67" t="s">
        <v>811</v>
      </c>
      <c r="L270" s="67" t="s">
        <v>811</v>
      </c>
      <c r="M270" s="69" t="s">
        <v>1285</v>
      </c>
      <c r="N270" s="69" t="s">
        <v>1286</v>
      </c>
      <c r="O270" s="69" t="s">
        <v>1287</v>
      </c>
      <c r="P270" s="57"/>
      <c r="Q270" s="58"/>
      <c r="R270" s="58"/>
      <c r="S270" s="58"/>
      <c r="T270" s="58"/>
      <c r="U270" s="58"/>
      <c r="V270" s="58"/>
      <c r="W270" s="58"/>
      <c r="X270" s="58"/>
      <c r="Y270" s="58"/>
      <c r="Z270" s="58"/>
    </row>
    <row r="271" spans="1:26" ht="13.5" customHeight="1">
      <c r="A271" s="1"/>
      <c r="B271" s="105"/>
      <c r="C271" s="145"/>
      <c r="D271" s="145"/>
      <c r="E271" s="145"/>
      <c r="F271" s="145"/>
      <c r="G271" s="145"/>
      <c r="H271" s="145"/>
      <c r="I271" s="17"/>
      <c r="J271" s="232"/>
      <c r="K271" s="106"/>
      <c r="L271" s="321"/>
      <c r="M271" s="69"/>
      <c r="N271" s="109"/>
      <c r="O271" s="109"/>
      <c r="P271" s="19"/>
      <c r="Q271" s="12"/>
      <c r="R271" s="12"/>
      <c r="S271" s="12"/>
      <c r="T271" s="12"/>
      <c r="U271" s="12"/>
      <c r="V271" s="12"/>
      <c r="W271" s="12"/>
      <c r="X271" s="12"/>
      <c r="Y271" s="12"/>
      <c r="Z271" s="12"/>
    </row>
    <row r="272" spans="1:26" ht="105.75" customHeight="1">
      <c r="A272" s="308" t="s">
        <v>736</v>
      </c>
      <c r="B272" s="105" t="s">
        <v>390</v>
      </c>
      <c r="C272" s="65">
        <v>1</v>
      </c>
      <c r="D272" s="65">
        <v>1</v>
      </c>
      <c r="E272" s="65">
        <v>0.5</v>
      </c>
      <c r="F272" s="65">
        <v>1</v>
      </c>
      <c r="G272" s="65">
        <v>0.5</v>
      </c>
      <c r="H272" s="65">
        <v>1</v>
      </c>
      <c r="I272" s="306" t="s">
        <v>38</v>
      </c>
      <c r="J272" s="232" t="s">
        <v>1288</v>
      </c>
      <c r="K272" s="67" t="s">
        <v>811</v>
      </c>
      <c r="L272" s="312" t="s">
        <v>1289</v>
      </c>
      <c r="M272" s="69" t="s">
        <v>1290</v>
      </c>
      <c r="N272" s="69" t="s">
        <v>1291</v>
      </c>
      <c r="O272" s="69" t="s">
        <v>1292</v>
      </c>
      <c r="P272" s="57"/>
      <c r="Q272" s="58"/>
      <c r="R272" s="58"/>
      <c r="S272" s="58"/>
      <c r="T272" s="58"/>
      <c r="U272" s="58"/>
      <c r="V272" s="58"/>
      <c r="W272" s="58"/>
      <c r="X272" s="58"/>
      <c r="Y272" s="58"/>
      <c r="Z272" s="58"/>
    </row>
    <row r="273" spans="1:26" ht="19.5" customHeight="1">
      <c r="A273" s="1"/>
      <c r="B273" s="105"/>
      <c r="C273" s="145"/>
      <c r="D273" s="145"/>
      <c r="E273" s="145"/>
      <c r="F273" s="145"/>
      <c r="G273" s="145"/>
      <c r="H273" s="145"/>
      <c r="I273" s="17"/>
      <c r="J273" s="232"/>
      <c r="K273" s="106"/>
      <c r="L273" s="321"/>
      <c r="M273" s="69"/>
      <c r="N273" s="109"/>
      <c r="O273" s="109"/>
      <c r="P273" s="19"/>
      <c r="Q273" s="12"/>
      <c r="R273" s="12"/>
      <c r="S273" s="12"/>
      <c r="T273" s="12"/>
      <c r="U273" s="12"/>
      <c r="V273" s="12"/>
      <c r="W273" s="12"/>
      <c r="X273" s="12"/>
      <c r="Y273" s="12"/>
      <c r="Z273" s="12"/>
    </row>
    <row r="274" spans="1:26" ht="141" customHeight="1">
      <c r="A274" s="308" t="s">
        <v>736</v>
      </c>
      <c r="B274" s="152" t="s">
        <v>391</v>
      </c>
      <c r="C274" s="65">
        <v>0.5</v>
      </c>
      <c r="D274" s="65">
        <v>1</v>
      </c>
      <c r="E274" s="65">
        <v>0.5</v>
      </c>
      <c r="F274" s="65">
        <v>1</v>
      </c>
      <c r="G274" s="65">
        <v>1</v>
      </c>
      <c r="H274" s="898">
        <v>0.5</v>
      </c>
      <c r="I274" s="306" t="s">
        <v>240</v>
      </c>
      <c r="J274" s="232" t="s">
        <v>1293</v>
      </c>
      <c r="K274" s="67" t="s">
        <v>811</v>
      </c>
      <c r="L274" s="312" t="s">
        <v>1294</v>
      </c>
      <c r="M274" s="69" t="s">
        <v>1295</v>
      </c>
      <c r="N274" s="69" t="s">
        <v>1296</v>
      </c>
      <c r="O274" s="69" t="s">
        <v>1297</v>
      </c>
      <c r="P274" s="57"/>
      <c r="Q274" s="58"/>
      <c r="R274" s="58"/>
      <c r="S274" s="58"/>
      <c r="T274" s="58"/>
      <c r="U274" s="58"/>
      <c r="V274" s="58"/>
      <c r="W274" s="58"/>
      <c r="X274" s="58"/>
      <c r="Y274" s="58"/>
      <c r="Z274" s="58"/>
    </row>
    <row r="275" spans="1:26" ht="23.25" customHeight="1">
      <c r="A275" s="308"/>
      <c r="B275" s="105"/>
      <c r="C275" s="65"/>
      <c r="D275" s="65"/>
      <c r="E275" s="65"/>
      <c r="F275" s="65"/>
      <c r="G275" s="65"/>
      <c r="H275" s="65"/>
      <c r="I275" s="53"/>
      <c r="J275" s="232"/>
      <c r="K275" s="67"/>
      <c r="L275" s="312"/>
      <c r="M275" s="69"/>
      <c r="N275" s="69"/>
      <c r="O275" s="69"/>
      <c r="P275" s="57"/>
      <c r="Q275" s="58"/>
      <c r="R275" s="58"/>
      <c r="S275" s="58"/>
      <c r="T275" s="58"/>
      <c r="U275" s="58"/>
      <c r="V275" s="58"/>
      <c r="W275" s="58"/>
      <c r="X275" s="58"/>
      <c r="Y275" s="58"/>
      <c r="Z275" s="58"/>
    </row>
    <row r="276" spans="1:26" ht="169.5" customHeight="1">
      <c r="A276" s="308" t="s">
        <v>736</v>
      </c>
      <c r="B276" s="105" t="s">
        <v>392</v>
      </c>
      <c r="C276" s="65">
        <v>0</v>
      </c>
      <c r="D276" s="65">
        <v>1</v>
      </c>
      <c r="E276" s="65">
        <v>0</v>
      </c>
      <c r="F276" s="65">
        <v>0.5</v>
      </c>
      <c r="G276" s="897">
        <v>1</v>
      </c>
      <c r="H276" s="898">
        <v>0.5</v>
      </c>
      <c r="I276" s="306" t="s">
        <v>240</v>
      </c>
      <c r="J276" s="232" t="s">
        <v>1298</v>
      </c>
      <c r="K276" s="67" t="s">
        <v>811</v>
      </c>
      <c r="L276" s="67" t="s">
        <v>748</v>
      </c>
      <c r="M276" s="69" t="s">
        <v>1299</v>
      </c>
      <c r="N276" s="69" t="s">
        <v>1300</v>
      </c>
      <c r="O276" s="69" t="s">
        <v>1301</v>
      </c>
      <c r="P276" s="57"/>
      <c r="Q276" s="58"/>
      <c r="R276" s="58"/>
      <c r="S276" s="58"/>
      <c r="T276" s="58"/>
      <c r="U276" s="58"/>
      <c r="V276" s="58"/>
      <c r="W276" s="58"/>
      <c r="X276" s="58"/>
      <c r="Y276" s="58"/>
      <c r="Z276" s="58"/>
    </row>
    <row r="277" spans="1:26" ht="13.5" customHeight="1">
      <c r="A277" s="1"/>
      <c r="B277" s="105"/>
      <c r="C277" s="145"/>
      <c r="D277" s="145"/>
      <c r="E277" s="145"/>
      <c r="F277" s="145"/>
      <c r="G277" s="145"/>
      <c r="H277" s="145"/>
      <c r="I277" s="17"/>
      <c r="J277" s="232"/>
      <c r="K277" s="106"/>
      <c r="L277" s="321"/>
      <c r="M277" s="69"/>
      <c r="N277" s="109"/>
      <c r="O277" s="109"/>
      <c r="P277" s="19"/>
      <c r="Q277" s="12"/>
      <c r="R277" s="12"/>
      <c r="S277" s="12"/>
      <c r="T277" s="12"/>
      <c r="U277" s="12"/>
      <c r="V277" s="12"/>
      <c r="W277" s="12"/>
      <c r="X277" s="12"/>
      <c r="Y277" s="12"/>
      <c r="Z277" s="12"/>
    </row>
    <row r="278" spans="1:26" ht="196.5" customHeight="1">
      <c r="A278" s="308" t="s">
        <v>736</v>
      </c>
      <c r="B278" s="105" t="s">
        <v>393</v>
      </c>
      <c r="C278" s="65">
        <v>1</v>
      </c>
      <c r="D278" s="65">
        <v>1</v>
      </c>
      <c r="E278" s="898">
        <v>0</v>
      </c>
      <c r="F278" s="65">
        <v>1</v>
      </c>
      <c r="G278" s="65">
        <v>1</v>
      </c>
      <c r="H278" s="898">
        <v>0.5</v>
      </c>
      <c r="I278" s="306" t="s">
        <v>123</v>
      </c>
      <c r="J278" s="232" t="s">
        <v>1302</v>
      </c>
      <c r="K278" s="67" t="s">
        <v>811</v>
      </c>
      <c r="L278" s="312" t="s">
        <v>1303</v>
      </c>
      <c r="M278" s="69" t="s">
        <v>1304</v>
      </c>
      <c r="N278" s="69" t="s">
        <v>1305</v>
      </c>
      <c r="O278" s="69" t="s">
        <v>1306</v>
      </c>
      <c r="P278" s="57"/>
      <c r="Q278" s="58"/>
      <c r="R278" s="58"/>
      <c r="S278" s="58"/>
      <c r="T278" s="58"/>
      <c r="U278" s="58"/>
      <c r="V278" s="58"/>
      <c r="W278" s="58"/>
      <c r="X278" s="58"/>
      <c r="Y278" s="58"/>
      <c r="Z278" s="58"/>
    </row>
    <row r="279" spans="1:26" ht="13.5" customHeight="1">
      <c r="A279" s="1"/>
      <c r="B279" s="105"/>
      <c r="C279" s="145"/>
      <c r="D279" s="145"/>
      <c r="E279" s="145"/>
      <c r="F279" s="145"/>
      <c r="G279" s="145"/>
      <c r="H279" s="145"/>
      <c r="I279" s="17"/>
      <c r="J279" s="232"/>
      <c r="K279" s="106"/>
      <c r="L279" s="321"/>
      <c r="M279" s="69"/>
      <c r="N279" s="109"/>
      <c r="O279" s="109"/>
      <c r="P279" s="19"/>
      <c r="Q279" s="12"/>
      <c r="R279" s="12"/>
      <c r="S279" s="12"/>
      <c r="T279" s="12"/>
      <c r="U279" s="12"/>
      <c r="V279" s="12"/>
      <c r="W279" s="12"/>
      <c r="X279" s="12"/>
      <c r="Y279" s="12"/>
      <c r="Z279" s="12"/>
    </row>
    <row r="280" spans="1:26" ht="161.25" customHeight="1">
      <c r="A280" s="308" t="s">
        <v>736</v>
      </c>
      <c r="B280" s="105" t="s">
        <v>394</v>
      </c>
      <c r="C280" s="122">
        <v>0.5</v>
      </c>
      <c r="D280" s="899">
        <v>0.5</v>
      </c>
      <c r="E280" s="899">
        <v>0</v>
      </c>
      <c r="F280" s="899">
        <v>0.5</v>
      </c>
      <c r="G280" s="899">
        <v>0.5</v>
      </c>
      <c r="H280" s="899">
        <v>0</v>
      </c>
      <c r="I280" s="306" t="s">
        <v>240</v>
      </c>
      <c r="J280" s="232" t="s">
        <v>1307</v>
      </c>
      <c r="K280" s="67" t="s">
        <v>1308</v>
      </c>
      <c r="L280" s="67" t="s">
        <v>748</v>
      </c>
      <c r="M280" s="69" t="s">
        <v>1309</v>
      </c>
      <c r="N280" s="69" t="s">
        <v>1310</v>
      </c>
      <c r="O280" s="69" t="s">
        <v>1311</v>
      </c>
      <c r="P280" s="57"/>
      <c r="Q280" s="58"/>
      <c r="R280" s="58"/>
      <c r="S280" s="58"/>
      <c r="T280" s="58"/>
      <c r="U280" s="58"/>
      <c r="V280" s="58"/>
      <c r="W280" s="58"/>
      <c r="X280" s="58"/>
      <c r="Y280" s="58"/>
      <c r="Z280" s="58"/>
    </row>
    <row r="281" spans="1:26" ht="13.5" customHeight="1">
      <c r="A281" s="1"/>
      <c r="B281" s="105"/>
      <c r="C281" s="145"/>
      <c r="D281" s="145"/>
      <c r="E281" s="145"/>
      <c r="F281" s="145"/>
      <c r="G281" s="145"/>
      <c r="H281" s="145"/>
      <c r="I281" s="17"/>
      <c r="J281" s="232"/>
      <c r="K281" s="106"/>
      <c r="L281" s="321"/>
      <c r="M281" s="69"/>
      <c r="N281" s="109"/>
      <c r="O281" s="109"/>
      <c r="P281" s="19"/>
      <c r="Q281" s="12"/>
      <c r="R281" s="12"/>
      <c r="S281" s="12"/>
      <c r="T281" s="12"/>
      <c r="U281" s="12"/>
      <c r="V281" s="12"/>
      <c r="W281" s="12"/>
      <c r="X281" s="12"/>
      <c r="Y281" s="12"/>
      <c r="Z281" s="12"/>
    </row>
    <row r="282" spans="1:26" ht="138" customHeight="1">
      <c r="A282" s="308" t="s">
        <v>736</v>
      </c>
      <c r="B282" s="105" t="s">
        <v>395</v>
      </c>
      <c r="C282" s="65">
        <v>0.5</v>
      </c>
      <c r="D282" s="65">
        <v>1</v>
      </c>
      <c r="E282" s="65">
        <v>0</v>
      </c>
      <c r="F282" s="65">
        <v>0</v>
      </c>
      <c r="G282" s="898">
        <v>0.5</v>
      </c>
      <c r="H282" s="898">
        <v>0.5</v>
      </c>
      <c r="I282" s="306" t="s">
        <v>38</v>
      </c>
      <c r="J282" s="232" t="s">
        <v>1312</v>
      </c>
      <c r="K282" s="67" t="s">
        <v>1134</v>
      </c>
      <c r="L282" s="67" t="s">
        <v>748</v>
      </c>
      <c r="M282" s="69" t="s">
        <v>1313</v>
      </c>
      <c r="N282" s="69" t="s">
        <v>1314</v>
      </c>
      <c r="O282" s="69" t="s">
        <v>1315</v>
      </c>
      <c r="P282" s="57"/>
      <c r="Q282" s="58"/>
      <c r="R282" s="58"/>
      <c r="S282" s="58"/>
      <c r="T282" s="58"/>
      <c r="U282" s="58"/>
      <c r="V282" s="58"/>
      <c r="W282" s="58"/>
      <c r="X282" s="58"/>
      <c r="Y282" s="58"/>
      <c r="Z282" s="58"/>
    </row>
    <row r="283" spans="1:26" ht="15.75" customHeight="1">
      <c r="A283" s="1"/>
      <c r="B283" s="105"/>
      <c r="C283" s="145"/>
      <c r="D283" s="145"/>
      <c r="E283" s="145"/>
      <c r="F283" s="145"/>
      <c r="G283" s="145"/>
      <c r="H283" s="145"/>
      <c r="I283" s="17"/>
      <c r="J283" s="232"/>
      <c r="K283" s="106"/>
      <c r="L283" s="321"/>
      <c r="M283" s="69"/>
      <c r="N283" s="109"/>
      <c r="O283" s="109"/>
      <c r="P283" s="19"/>
      <c r="Q283" s="12"/>
      <c r="R283" s="12"/>
      <c r="S283" s="12"/>
      <c r="T283" s="12"/>
      <c r="U283" s="12"/>
      <c r="V283" s="12"/>
      <c r="W283" s="12"/>
      <c r="X283" s="12"/>
      <c r="Y283" s="12"/>
      <c r="Z283" s="12"/>
    </row>
    <row r="284" spans="1:26" ht="108" customHeight="1">
      <c r="A284" s="308" t="s">
        <v>736</v>
      </c>
      <c r="B284" s="105" t="s">
        <v>396</v>
      </c>
      <c r="C284" s="65">
        <v>1</v>
      </c>
      <c r="D284" s="65">
        <v>1</v>
      </c>
      <c r="E284" s="896">
        <v>1</v>
      </c>
      <c r="F284" s="65">
        <v>1</v>
      </c>
      <c r="G284" s="65">
        <v>1</v>
      </c>
      <c r="H284" s="65">
        <v>1</v>
      </c>
      <c r="I284" s="306" t="s">
        <v>38</v>
      </c>
      <c r="J284" s="232" t="s">
        <v>1316</v>
      </c>
      <c r="K284" s="67" t="s">
        <v>811</v>
      </c>
      <c r="L284" s="312" t="s">
        <v>1317</v>
      </c>
      <c r="M284" s="69" t="s">
        <v>1318</v>
      </c>
      <c r="N284" s="69" t="s">
        <v>1319</v>
      </c>
      <c r="O284" s="69" t="s">
        <v>1320</v>
      </c>
      <c r="P284" s="57"/>
      <c r="Q284" s="58"/>
      <c r="R284" s="58"/>
      <c r="S284" s="58"/>
      <c r="T284" s="58"/>
      <c r="U284" s="58"/>
      <c r="V284" s="58"/>
      <c r="W284" s="58"/>
      <c r="X284" s="58"/>
      <c r="Y284" s="58"/>
      <c r="Z284" s="58"/>
    </row>
    <row r="285" spans="1:26" ht="19.5" customHeight="1">
      <c r="A285" s="1"/>
      <c r="B285" s="105"/>
      <c r="C285" s="145"/>
      <c r="D285" s="145"/>
      <c r="E285" s="145"/>
      <c r="F285" s="145"/>
      <c r="G285" s="145"/>
      <c r="H285" s="145"/>
      <c r="I285" s="17"/>
      <c r="J285" s="232"/>
      <c r="K285" s="106"/>
      <c r="L285" s="321"/>
      <c r="M285" s="69"/>
      <c r="N285" s="109"/>
      <c r="O285" s="109"/>
      <c r="P285" s="19"/>
      <c r="Q285" s="12"/>
      <c r="R285" s="12"/>
      <c r="S285" s="12"/>
      <c r="T285" s="12"/>
      <c r="U285" s="12"/>
      <c r="V285" s="12"/>
      <c r="W285" s="12"/>
      <c r="X285" s="12"/>
      <c r="Y285" s="12"/>
      <c r="Z285" s="12"/>
    </row>
    <row r="286" spans="1:26" ht="51.75" customHeight="1">
      <c r="A286" s="308" t="s">
        <v>736</v>
      </c>
      <c r="B286" s="105" t="s">
        <v>397</v>
      </c>
      <c r="C286" s="65">
        <v>1</v>
      </c>
      <c r="D286" s="65">
        <v>1</v>
      </c>
      <c r="E286" s="65">
        <v>1</v>
      </c>
      <c r="F286" s="898">
        <v>1</v>
      </c>
      <c r="G286" s="65">
        <v>1</v>
      </c>
      <c r="H286" s="898">
        <v>0</v>
      </c>
      <c r="I286" s="306" t="s">
        <v>38</v>
      </c>
      <c r="J286" s="232" t="s">
        <v>1321</v>
      </c>
      <c r="K286" s="67" t="s">
        <v>960</v>
      </c>
      <c r="L286" s="312" t="s">
        <v>1322</v>
      </c>
      <c r="M286" s="69" t="s">
        <v>1323</v>
      </c>
      <c r="N286" s="69" t="s">
        <v>1324</v>
      </c>
      <c r="O286" s="69" t="s">
        <v>1325</v>
      </c>
      <c r="P286" s="57"/>
      <c r="Q286" s="58"/>
      <c r="R286" s="58"/>
      <c r="S286" s="58"/>
      <c r="T286" s="58"/>
      <c r="U286" s="58"/>
      <c r="V286" s="58"/>
      <c r="W286" s="58"/>
      <c r="X286" s="58"/>
      <c r="Y286" s="58"/>
      <c r="Z286" s="58"/>
    </row>
    <row r="287" spans="1:26" ht="13.5" customHeight="1">
      <c r="A287" s="1"/>
      <c r="B287" s="105"/>
      <c r="C287" s="145"/>
      <c r="D287" s="145"/>
      <c r="E287" s="145"/>
      <c r="F287" s="145"/>
      <c r="G287" s="145"/>
      <c r="H287" s="145"/>
      <c r="I287" s="17"/>
      <c r="J287" s="232"/>
      <c r="K287" s="106"/>
      <c r="L287" s="321"/>
      <c r="M287" s="69"/>
      <c r="N287" s="109"/>
      <c r="O287" s="109"/>
      <c r="P287" s="19"/>
      <c r="Q287" s="12"/>
      <c r="R287" s="12"/>
      <c r="S287" s="12"/>
      <c r="T287" s="12"/>
      <c r="U287" s="12"/>
      <c r="V287" s="12"/>
      <c r="W287" s="12"/>
      <c r="X287" s="12"/>
      <c r="Y287" s="12"/>
      <c r="Z287" s="12"/>
    </row>
    <row r="288" spans="1:26" ht="87" customHeight="1">
      <c r="A288" s="308" t="s">
        <v>736</v>
      </c>
      <c r="B288" s="152" t="s">
        <v>398</v>
      </c>
      <c r="C288" s="65">
        <v>0.5</v>
      </c>
      <c r="D288" s="65">
        <v>0.5</v>
      </c>
      <c r="E288" s="65">
        <v>0.5</v>
      </c>
      <c r="F288" s="898">
        <v>0.5</v>
      </c>
      <c r="G288" s="65">
        <v>0.5</v>
      </c>
      <c r="H288" s="898">
        <v>0.5</v>
      </c>
      <c r="I288" s="306" t="s">
        <v>240</v>
      </c>
      <c r="J288" s="232" t="s">
        <v>1326</v>
      </c>
      <c r="K288" s="67" t="s">
        <v>1327</v>
      </c>
      <c r="L288" s="312" t="s">
        <v>1328</v>
      </c>
      <c r="M288" s="69" t="s">
        <v>1329</v>
      </c>
      <c r="N288" s="69" t="s">
        <v>1330</v>
      </c>
      <c r="O288" s="69" t="s">
        <v>1331</v>
      </c>
      <c r="P288" s="57"/>
      <c r="Q288" s="58"/>
      <c r="R288" s="58"/>
      <c r="S288" s="58"/>
      <c r="T288" s="58"/>
      <c r="U288" s="58"/>
      <c r="V288" s="58"/>
      <c r="W288" s="58"/>
      <c r="X288" s="58"/>
      <c r="Y288" s="58"/>
      <c r="Z288" s="58"/>
    </row>
    <row r="289" spans="1:26" ht="18.75" customHeight="1">
      <c r="A289" s="308"/>
      <c r="B289" s="334"/>
      <c r="C289" s="65"/>
      <c r="D289" s="65"/>
      <c r="E289" s="65"/>
      <c r="F289" s="65"/>
      <c r="G289" s="65"/>
      <c r="H289" s="65"/>
      <c r="I289" s="53"/>
      <c r="J289" s="232"/>
      <c r="K289" s="67"/>
      <c r="L289" s="312"/>
      <c r="M289" s="69"/>
      <c r="N289" s="69"/>
      <c r="O289" s="69"/>
      <c r="P289" s="57"/>
      <c r="Q289" s="58"/>
      <c r="R289" s="58"/>
      <c r="S289" s="58"/>
      <c r="T289" s="58"/>
      <c r="U289" s="58"/>
      <c r="V289" s="58"/>
      <c r="W289" s="58"/>
      <c r="X289" s="58"/>
      <c r="Y289" s="58"/>
      <c r="Z289" s="58"/>
    </row>
    <row r="290" spans="1:26" ht="12" customHeight="1">
      <c r="A290" s="326" t="s">
        <v>1332</v>
      </c>
      <c r="B290" s="302" t="s">
        <v>400</v>
      </c>
      <c r="C290" s="268">
        <f t="shared" ref="C290:H290" si="45">AVERAGE(C291,C293,C295)</f>
        <v>0.66666666666666663</v>
      </c>
      <c r="D290" s="268">
        <f t="shared" si="45"/>
        <v>1</v>
      </c>
      <c r="E290" s="268">
        <f t="shared" si="45"/>
        <v>0.33333333333333331</v>
      </c>
      <c r="F290" s="268">
        <f t="shared" si="45"/>
        <v>0.66666666666666663</v>
      </c>
      <c r="G290" s="268">
        <f t="shared" si="45"/>
        <v>0.66666666666666663</v>
      </c>
      <c r="H290" s="268">
        <f t="shared" si="45"/>
        <v>0.83333333333333337</v>
      </c>
      <c r="I290" s="306"/>
      <c r="J290" s="78"/>
      <c r="K290" s="78"/>
      <c r="L290" s="78"/>
      <c r="M290" s="78"/>
      <c r="N290" s="268"/>
      <c r="O290" s="78"/>
      <c r="P290" s="57"/>
      <c r="Q290" s="82"/>
      <c r="R290" s="82"/>
      <c r="S290" s="82"/>
      <c r="T290" s="82"/>
      <c r="U290" s="82"/>
      <c r="V290" s="82"/>
      <c r="W290" s="82"/>
      <c r="X290" s="82"/>
      <c r="Y290" s="82"/>
      <c r="Z290" s="82"/>
    </row>
    <row r="291" spans="1:26" ht="105.75" customHeight="1">
      <c r="A291" s="308" t="s">
        <v>736</v>
      </c>
      <c r="B291" s="105" t="s">
        <v>401</v>
      </c>
      <c r="C291" s="65">
        <v>1</v>
      </c>
      <c r="D291" s="65">
        <v>1</v>
      </c>
      <c r="E291" s="899">
        <v>0.5</v>
      </c>
      <c r="F291" s="65">
        <v>1</v>
      </c>
      <c r="G291" s="65">
        <v>1</v>
      </c>
      <c r="H291" s="65">
        <v>1</v>
      </c>
      <c r="I291" s="306" t="s">
        <v>38</v>
      </c>
      <c r="J291" s="232" t="s">
        <v>1333</v>
      </c>
      <c r="K291" s="67" t="s">
        <v>811</v>
      </c>
      <c r="L291" s="312" t="s">
        <v>1334</v>
      </c>
      <c r="M291" s="69" t="s">
        <v>1335</v>
      </c>
      <c r="N291" s="69" t="s">
        <v>1336</v>
      </c>
      <c r="O291" s="67" t="s">
        <v>1337</v>
      </c>
      <c r="P291" s="57"/>
      <c r="Q291" s="58"/>
      <c r="R291" s="58"/>
      <c r="S291" s="58"/>
      <c r="T291" s="58"/>
      <c r="U291" s="58"/>
      <c r="V291" s="58"/>
      <c r="W291" s="58"/>
      <c r="X291" s="58"/>
      <c r="Y291" s="58"/>
      <c r="Z291" s="58"/>
    </row>
    <row r="292" spans="1:26" ht="13.5" customHeight="1">
      <c r="A292" s="308"/>
      <c r="B292" s="105"/>
      <c r="C292" s="65"/>
      <c r="D292" s="65"/>
      <c r="E292" s="65"/>
      <c r="F292" s="65"/>
      <c r="G292" s="65"/>
      <c r="H292" s="65"/>
      <c r="I292" s="306"/>
      <c r="J292" s="232"/>
      <c r="K292" s="67"/>
      <c r="L292" s="312"/>
      <c r="M292" s="69"/>
      <c r="N292" s="69"/>
      <c r="O292" s="67"/>
      <c r="P292" s="57"/>
      <c r="Q292" s="58"/>
      <c r="R292" s="58"/>
      <c r="S292" s="58"/>
      <c r="T292" s="58"/>
      <c r="U292" s="58"/>
      <c r="V292" s="58"/>
      <c r="W292" s="58"/>
      <c r="X292" s="58"/>
      <c r="Y292" s="58"/>
      <c r="Z292" s="58"/>
    </row>
    <row r="293" spans="1:26" ht="204.75" customHeight="1">
      <c r="A293" s="308" t="s">
        <v>736</v>
      </c>
      <c r="B293" s="105" t="s">
        <v>402</v>
      </c>
      <c r="C293" s="65">
        <v>1</v>
      </c>
      <c r="D293" s="65">
        <v>1</v>
      </c>
      <c r="E293" s="65">
        <v>0.5</v>
      </c>
      <c r="F293" s="899">
        <v>1</v>
      </c>
      <c r="G293" s="65">
        <v>1</v>
      </c>
      <c r="H293" s="65">
        <v>1</v>
      </c>
      <c r="I293" s="306" t="s">
        <v>38</v>
      </c>
      <c r="J293" s="232" t="s">
        <v>1338</v>
      </c>
      <c r="K293" s="67" t="s">
        <v>811</v>
      </c>
      <c r="L293" s="312" t="s">
        <v>1339</v>
      </c>
      <c r="M293" s="69" t="s">
        <v>1340</v>
      </c>
      <c r="N293" s="69" t="s">
        <v>811</v>
      </c>
      <c r="O293" s="89" t="s">
        <v>1341</v>
      </c>
      <c r="P293" s="57"/>
      <c r="Q293" s="58"/>
      <c r="R293" s="58"/>
      <c r="S293" s="58"/>
      <c r="T293" s="58"/>
      <c r="U293" s="58"/>
      <c r="V293" s="58"/>
      <c r="W293" s="58"/>
      <c r="X293" s="58"/>
      <c r="Y293" s="58"/>
      <c r="Z293" s="58"/>
    </row>
    <row r="294" spans="1:26" ht="13.5" customHeight="1">
      <c r="A294" s="1"/>
      <c r="B294" s="105"/>
      <c r="C294" s="145"/>
      <c r="D294" s="145"/>
      <c r="E294" s="145"/>
      <c r="F294" s="145"/>
      <c r="G294" s="145"/>
      <c r="H294" s="145"/>
      <c r="I294" s="17"/>
      <c r="J294" s="232"/>
      <c r="K294" s="106"/>
      <c r="L294" s="321"/>
      <c r="M294" s="69"/>
      <c r="N294" s="109"/>
      <c r="O294" s="106"/>
      <c r="P294" s="19"/>
      <c r="Q294" s="12"/>
      <c r="R294" s="12"/>
      <c r="S294" s="12"/>
      <c r="T294" s="12"/>
      <c r="U294" s="12"/>
      <c r="V294" s="12"/>
      <c r="W294" s="12"/>
      <c r="X294" s="12"/>
      <c r="Y294" s="12"/>
      <c r="Z294" s="12"/>
    </row>
    <row r="295" spans="1:26" ht="84.75" customHeight="1">
      <c r="A295" s="308" t="s">
        <v>736</v>
      </c>
      <c r="B295" s="105" t="s">
        <v>403</v>
      </c>
      <c r="C295" s="65">
        <v>0</v>
      </c>
      <c r="D295" s="65">
        <v>1</v>
      </c>
      <c r="E295" s="898">
        <v>0</v>
      </c>
      <c r="F295" s="65">
        <v>0</v>
      </c>
      <c r="G295" s="65">
        <v>0</v>
      </c>
      <c r="H295" s="899">
        <v>0.5</v>
      </c>
      <c r="I295" s="306" t="s">
        <v>38</v>
      </c>
      <c r="J295" s="232" t="s">
        <v>1342</v>
      </c>
      <c r="K295" s="67" t="s">
        <v>1343</v>
      </c>
      <c r="L295" s="67" t="s">
        <v>748</v>
      </c>
      <c r="M295" s="69" t="s">
        <v>1344</v>
      </c>
      <c r="N295" s="69" t="s">
        <v>748</v>
      </c>
      <c r="O295" s="232" t="s">
        <v>1345</v>
      </c>
      <c r="P295" s="57"/>
      <c r="Q295" s="58"/>
      <c r="R295" s="58"/>
      <c r="S295" s="58"/>
      <c r="T295" s="58"/>
      <c r="U295" s="58"/>
      <c r="V295" s="58"/>
      <c r="W295" s="58"/>
      <c r="X295" s="58"/>
      <c r="Y295" s="58"/>
      <c r="Z295" s="58"/>
    </row>
    <row r="296" spans="1:26" ht="13.5" customHeight="1">
      <c r="A296" s="1"/>
      <c r="B296" s="918"/>
      <c r="C296" s="145"/>
      <c r="D296" s="145"/>
      <c r="E296" s="145"/>
      <c r="F296" s="145"/>
      <c r="G296" s="145"/>
      <c r="H296" s="145"/>
      <c r="I296" s="17"/>
      <c r="J296" s="67"/>
      <c r="K296" s="106"/>
      <c r="L296" s="159"/>
      <c r="M296" s="69"/>
      <c r="N296" s="109"/>
      <c r="O296" s="106"/>
      <c r="P296" s="19"/>
      <c r="Q296" s="12"/>
      <c r="R296" s="12"/>
      <c r="S296" s="12"/>
      <c r="T296" s="12"/>
      <c r="U296" s="12"/>
      <c r="V296" s="12"/>
      <c r="W296" s="12"/>
      <c r="X296" s="12"/>
      <c r="Y296" s="12"/>
      <c r="Z296" s="12"/>
    </row>
    <row r="297" spans="1:26" ht="36" customHeight="1">
      <c r="A297" s="326" t="s">
        <v>1346</v>
      </c>
      <c r="B297" s="302" t="s">
        <v>405</v>
      </c>
      <c r="C297" s="51">
        <f t="shared" ref="C297:H297" si="46">AVERAGE(C299)</f>
        <v>0</v>
      </c>
      <c r="D297" s="51">
        <f t="shared" si="46"/>
        <v>0</v>
      </c>
      <c r="E297" s="51">
        <f t="shared" si="46"/>
        <v>0</v>
      </c>
      <c r="F297" s="51">
        <f t="shared" si="46"/>
        <v>0</v>
      </c>
      <c r="G297" s="51">
        <f t="shared" si="46"/>
        <v>0</v>
      </c>
      <c r="H297" s="51">
        <f t="shared" si="46"/>
        <v>0</v>
      </c>
      <c r="I297" s="306"/>
      <c r="J297" s="78"/>
      <c r="K297" s="78"/>
      <c r="L297" s="78"/>
      <c r="M297" s="78"/>
      <c r="N297" s="268"/>
      <c r="O297" s="78"/>
      <c r="P297" s="57"/>
      <c r="Q297" s="82"/>
      <c r="R297" s="82"/>
      <c r="S297" s="82"/>
      <c r="T297" s="82"/>
      <c r="U297" s="82"/>
      <c r="V297" s="82"/>
      <c r="W297" s="82"/>
      <c r="X297" s="82"/>
      <c r="Y297" s="82"/>
      <c r="Z297" s="82"/>
    </row>
    <row r="298" spans="1:26" ht="22.5" customHeight="1">
      <c r="A298" s="308"/>
      <c r="B298" s="105"/>
      <c r="C298" s="65"/>
      <c r="D298" s="65"/>
      <c r="E298" s="65"/>
      <c r="F298" s="65"/>
      <c r="G298" s="65"/>
      <c r="H298" s="65"/>
      <c r="I298" s="306"/>
      <c r="J298" s="232"/>
      <c r="K298" s="67"/>
      <c r="L298" s="312"/>
      <c r="M298" s="69"/>
      <c r="N298" s="69"/>
      <c r="O298" s="67"/>
      <c r="P298" s="57"/>
      <c r="Q298" s="58"/>
      <c r="R298" s="58"/>
      <c r="S298" s="58"/>
      <c r="T298" s="58"/>
      <c r="U298" s="58"/>
      <c r="V298" s="58"/>
      <c r="W298" s="58"/>
      <c r="X298" s="58"/>
      <c r="Y298" s="58"/>
      <c r="Z298" s="58"/>
    </row>
    <row r="299" spans="1:26" ht="115.5" customHeight="1">
      <c r="A299" s="308" t="s">
        <v>736</v>
      </c>
      <c r="B299" s="105" t="s">
        <v>406</v>
      </c>
      <c r="C299" s="65">
        <v>0</v>
      </c>
      <c r="D299" s="65">
        <v>0</v>
      </c>
      <c r="E299" s="65">
        <v>0</v>
      </c>
      <c r="F299" s="898">
        <v>0</v>
      </c>
      <c r="G299" s="65">
        <v>0</v>
      </c>
      <c r="H299" s="65">
        <v>0</v>
      </c>
      <c r="I299" s="257" t="s">
        <v>123</v>
      </c>
      <c r="J299" s="232" t="s">
        <v>1347</v>
      </c>
      <c r="K299" s="67" t="s">
        <v>943</v>
      </c>
      <c r="L299" s="266" t="s">
        <v>1348</v>
      </c>
      <c r="M299" s="69" t="s">
        <v>1349</v>
      </c>
      <c r="N299" s="69" t="s">
        <v>1350</v>
      </c>
      <c r="O299" s="68" t="s">
        <v>1351</v>
      </c>
      <c r="P299" s="57"/>
      <c r="Q299" s="58"/>
      <c r="R299" s="58"/>
      <c r="S299" s="58"/>
      <c r="T299" s="58"/>
      <c r="U299" s="58"/>
      <c r="V299" s="58"/>
      <c r="W299" s="58"/>
      <c r="X299" s="58"/>
      <c r="Y299" s="58"/>
      <c r="Z299" s="58"/>
    </row>
    <row r="300" spans="1:26" ht="13.5" customHeight="1">
      <c r="A300" s="1"/>
      <c r="B300" s="918"/>
      <c r="C300" s="145"/>
      <c r="D300" s="145"/>
      <c r="E300" s="145"/>
      <c r="F300" s="145"/>
      <c r="G300" s="145"/>
      <c r="H300" s="145"/>
      <c r="I300" s="17"/>
      <c r="J300" s="67"/>
      <c r="K300" s="106"/>
      <c r="L300" s="159"/>
      <c r="M300" s="69"/>
      <c r="N300" s="109"/>
      <c r="O300" s="106"/>
      <c r="P300" s="19"/>
      <c r="Q300" s="12"/>
      <c r="R300" s="12"/>
      <c r="S300" s="12"/>
      <c r="T300" s="12"/>
      <c r="U300" s="12"/>
      <c r="V300" s="12"/>
      <c r="W300" s="12"/>
      <c r="X300" s="12"/>
      <c r="Y300" s="12"/>
      <c r="Z300" s="12"/>
    </row>
    <row r="301" spans="1:26" ht="24" customHeight="1">
      <c r="A301" s="326" t="s">
        <v>1352</v>
      </c>
      <c r="B301" s="302" t="s">
        <v>408</v>
      </c>
      <c r="C301" s="268">
        <f t="shared" ref="C301:H301" si="47">AVERAGE(C302,C304,C306,C308,C310,C312,C314,C316,C318,C320,C322,C324,C326,C328,C330,C332,C334)</f>
        <v>0.55882352941176472</v>
      </c>
      <c r="D301" s="268">
        <f t="shared" si="47"/>
        <v>0.73529411764705888</v>
      </c>
      <c r="E301" s="268">
        <f t="shared" si="47"/>
        <v>0.14705882352941177</v>
      </c>
      <c r="F301" s="268">
        <f t="shared" si="47"/>
        <v>0.26470588235294118</v>
      </c>
      <c r="G301" s="268">
        <f t="shared" si="47"/>
        <v>0.55882352941176472</v>
      </c>
      <c r="H301" s="268">
        <f t="shared" si="47"/>
        <v>0.44117647058823528</v>
      </c>
      <c r="I301" s="306"/>
      <c r="J301" s="78"/>
      <c r="K301" s="78"/>
      <c r="L301" s="78"/>
      <c r="M301" s="78"/>
      <c r="N301" s="268"/>
      <c r="O301" s="78"/>
      <c r="P301" s="57"/>
      <c r="Q301" s="82"/>
      <c r="R301" s="82"/>
      <c r="S301" s="82"/>
      <c r="T301" s="82"/>
      <c r="U301" s="82"/>
      <c r="V301" s="82"/>
      <c r="W301" s="82"/>
      <c r="X301" s="82"/>
      <c r="Y301" s="82"/>
      <c r="Z301" s="82"/>
    </row>
    <row r="302" spans="1:26" ht="108.75" customHeight="1">
      <c r="A302" s="308" t="s">
        <v>736</v>
      </c>
      <c r="B302" s="105" t="s">
        <v>409</v>
      </c>
      <c r="C302" s="897">
        <v>0</v>
      </c>
      <c r="D302" s="899">
        <v>0</v>
      </c>
      <c r="E302" s="899">
        <v>0</v>
      </c>
      <c r="F302" s="65">
        <v>0</v>
      </c>
      <c r="G302" s="65">
        <v>0</v>
      </c>
      <c r="H302" s="65">
        <v>1</v>
      </c>
      <c r="I302" s="306" t="s">
        <v>38</v>
      </c>
      <c r="J302" s="232" t="s">
        <v>1353</v>
      </c>
      <c r="K302" s="67" t="s">
        <v>1354</v>
      </c>
      <c r="L302" s="67" t="s">
        <v>748</v>
      </c>
      <c r="M302" s="69" t="s">
        <v>1355</v>
      </c>
      <c r="N302" s="69" t="s">
        <v>1356</v>
      </c>
      <c r="O302" s="67" t="s">
        <v>1357</v>
      </c>
      <c r="P302" s="57"/>
      <c r="Q302" s="58"/>
      <c r="R302" s="58"/>
      <c r="S302" s="58"/>
      <c r="T302" s="58"/>
      <c r="U302" s="58"/>
      <c r="V302" s="58"/>
      <c r="W302" s="58"/>
      <c r="X302" s="58"/>
      <c r="Y302" s="58"/>
      <c r="Z302" s="58"/>
    </row>
    <row r="303" spans="1:26" ht="13.5" customHeight="1">
      <c r="A303" s="1"/>
      <c r="B303" s="105"/>
      <c r="C303" s="145"/>
      <c r="D303" s="145"/>
      <c r="E303" s="145"/>
      <c r="F303" s="145"/>
      <c r="G303" s="145"/>
      <c r="H303" s="145"/>
      <c r="I303" s="17"/>
      <c r="J303" s="232"/>
      <c r="K303" s="106"/>
      <c r="L303" s="321"/>
      <c r="M303" s="69"/>
      <c r="N303" s="109"/>
      <c r="O303" s="106"/>
      <c r="P303" s="19"/>
      <c r="Q303" s="12"/>
      <c r="R303" s="12"/>
      <c r="S303" s="12"/>
      <c r="T303" s="12"/>
      <c r="U303" s="12"/>
      <c r="V303" s="12"/>
      <c r="W303" s="12"/>
      <c r="X303" s="12"/>
      <c r="Y303" s="12"/>
      <c r="Z303" s="12"/>
    </row>
    <row r="304" spans="1:26" ht="84" customHeight="1">
      <c r="A304" s="308" t="s">
        <v>736</v>
      </c>
      <c r="B304" s="105" t="s">
        <v>410</v>
      </c>
      <c r="C304" s="65">
        <v>0</v>
      </c>
      <c r="D304" s="65">
        <v>1</v>
      </c>
      <c r="E304" s="65">
        <v>0</v>
      </c>
      <c r="F304" s="65">
        <v>0</v>
      </c>
      <c r="G304" s="898">
        <v>1</v>
      </c>
      <c r="H304" s="898">
        <v>0</v>
      </c>
      <c r="I304" s="306" t="s">
        <v>38</v>
      </c>
      <c r="J304" s="232" t="s">
        <v>1358</v>
      </c>
      <c r="K304" s="67" t="s">
        <v>811</v>
      </c>
      <c r="L304" s="67" t="s">
        <v>748</v>
      </c>
      <c r="M304" s="69" t="s">
        <v>1359</v>
      </c>
      <c r="N304" s="69" t="s">
        <v>1360</v>
      </c>
      <c r="O304" s="67" t="s">
        <v>1361</v>
      </c>
      <c r="P304" s="57"/>
      <c r="Q304" s="58"/>
      <c r="R304" s="58"/>
      <c r="S304" s="58"/>
      <c r="T304" s="58"/>
      <c r="U304" s="58"/>
      <c r="V304" s="58"/>
      <c r="W304" s="58"/>
      <c r="X304" s="58"/>
      <c r="Y304" s="58"/>
      <c r="Z304" s="58"/>
    </row>
    <row r="305" spans="1:26" ht="21.75" customHeight="1">
      <c r="A305" s="1"/>
      <c r="B305" s="105"/>
      <c r="C305" s="145"/>
      <c r="D305" s="145"/>
      <c r="E305" s="145"/>
      <c r="F305" s="145"/>
      <c r="G305" s="145"/>
      <c r="H305" s="145"/>
      <c r="I305" s="17"/>
      <c r="J305" s="232"/>
      <c r="K305" s="106"/>
      <c r="L305" s="321"/>
      <c r="M305" s="69"/>
      <c r="N305" s="109"/>
      <c r="O305" s="106"/>
      <c r="P305" s="19"/>
      <c r="Q305" s="12"/>
      <c r="R305" s="12"/>
      <c r="S305" s="12"/>
      <c r="T305" s="12"/>
      <c r="U305" s="12"/>
      <c r="V305" s="12"/>
      <c r="W305" s="12"/>
      <c r="X305" s="12"/>
      <c r="Y305" s="12"/>
      <c r="Z305" s="12"/>
    </row>
    <row r="306" spans="1:26" ht="132.75" customHeight="1">
      <c r="A306" s="308" t="s">
        <v>736</v>
      </c>
      <c r="B306" s="105" t="s">
        <v>411</v>
      </c>
      <c r="C306" s="898">
        <v>1</v>
      </c>
      <c r="D306" s="898">
        <v>1</v>
      </c>
      <c r="E306" s="65">
        <v>0</v>
      </c>
      <c r="F306" s="65">
        <v>1</v>
      </c>
      <c r="G306" s="65">
        <v>1</v>
      </c>
      <c r="H306" s="898">
        <v>1</v>
      </c>
      <c r="I306" s="306" t="s">
        <v>123</v>
      </c>
      <c r="J306" s="232" t="s">
        <v>1362</v>
      </c>
      <c r="K306" s="67" t="s">
        <v>1363</v>
      </c>
      <c r="L306" s="67" t="s">
        <v>1364</v>
      </c>
      <c r="M306" s="69" t="s">
        <v>1365</v>
      </c>
      <c r="N306" s="69" t="s">
        <v>1366</v>
      </c>
      <c r="O306" s="67" t="s">
        <v>1367</v>
      </c>
      <c r="P306" s="57"/>
      <c r="Q306" s="58"/>
      <c r="R306" s="58"/>
      <c r="S306" s="58"/>
      <c r="T306" s="58"/>
      <c r="U306" s="58"/>
      <c r="V306" s="58"/>
      <c r="W306" s="58"/>
      <c r="X306" s="58"/>
      <c r="Y306" s="58"/>
      <c r="Z306" s="58"/>
    </row>
    <row r="307" spans="1:26" ht="13.5" customHeight="1">
      <c r="A307" s="1"/>
      <c r="B307" s="105"/>
      <c r="C307" s="145"/>
      <c r="D307" s="145"/>
      <c r="E307" s="145"/>
      <c r="F307" s="145"/>
      <c r="G307" s="145"/>
      <c r="H307" s="145"/>
      <c r="I307" s="17"/>
      <c r="J307" s="232"/>
      <c r="K307" s="106"/>
      <c r="L307" s="321"/>
      <c r="M307" s="69"/>
      <c r="N307" s="109"/>
      <c r="O307" s="106"/>
      <c r="P307" s="19"/>
      <c r="Q307" s="12"/>
      <c r="R307" s="12"/>
      <c r="S307" s="12"/>
      <c r="T307" s="12"/>
      <c r="U307" s="12"/>
      <c r="V307" s="12"/>
      <c r="W307" s="12"/>
      <c r="X307" s="12"/>
      <c r="Y307" s="12"/>
      <c r="Z307" s="12"/>
    </row>
    <row r="308" spans="1:26" ht="173.25" customHeight="1">
      <c r="A308" s="308" t="s">
        <v>736</v>
      </c>
      <c r="B308" s="105" t="s">
        <v>412</v>
      </c>
      <c r="C308" s="899">
        <v>0</v>
      </c>
      <c r="D308" s="899">
        <v>1</v>
      </c>
      <c r="E308" s="899">
        <v>0</v>
      </c>
      <c r="F308" s="899">
        <v>0</v>
      </c>
      <c r="G308" s="899">
        <v>0.5</v>
      </c>
      <c r="H308" s="899">
        <v>0</v>
      </c>
      <c r="I308" s="306" t="s">
        <v>91</v>
      </c>
      <c r="J308" s="232" t="s">
        <v>1368</v>
      </c>
      <c r="K308" s="67" t="s">
        <v>948</v>
      </c>
      <c r="L308" s="67" t="s">
        <v>1369</v>
      </c>
      <c r="M308" s="69" t="s">
        <v>1370</v>
      </c>
      <c r="N308" s="69" t="s">
        <v>1371</v>
      </c>
      <c r="O308" s="67" t="s">
        <v>1372</v>
      </c>
      <c r="P308" s="57"/>
      <c r="Q308" s="58"/>
      <c r="R308" s="58"/>
      <c r="S308" s="58"/>
      <c r="T308" s="58"/>
      <c r="U308" s="58"/>
      <c r="V308" s="58"/>
      <c r="W308" s="58"/>
      <c r="X308" s="58"/>
      <c r="Y308" s="58"/>
      <c r="Z308" s="58"/>
    </row>
    <row r="309" spans="1:26" ht="13.5" customHeight="1">
      <c r="A309" s="1"/>
      <c r="B309" s="105"/>
      <c r="C309" s="145"/>
      <c r="D309" s="145"/>
      <c r="E309" s="145"/>
      <c r="F309" s="145"/>
      <c r="G309" s="145"/>
      <c r="H309" s="145"/>
      <c r="I309" s="17"/>
      <c r="J309" s="232"/>
      <c r="K309" s="106"/>
      <c r="L309" s="321"/>
      <c r="M309" s="69"/>
      <c r="N309" s="109"/>
      <c r="O309" s="106"/>
      <c r="P309" s="19"/>
      <c r="Q309" s="12"/>
      <c r="R309" s="12"/>
      <c r="S309" s="12"/>
      <c r="T309" s="12"/>
      <c r="U309" s="12"/>
      <c r="V309" s="12"/>
      <c r="W309" s="12"/>
      <c r="X309" s="12"/>
      <c r="Y309" s="12"/>
      <c r="Z309" s="12"/>
    </row>
    <row r="310" spans="1:26" ht="142.5" customHeight="1">
      <c r="A310" s="308" t="s">
        <v>736</v>
      </c>
      <c r="B310" s="105" t="s">
        <v>413</v>
      </c>
      <c r="C310" s="65">
        <v>1</v>
      </c>
      <c r="D310" s="65">
        <v>1</v>
      </c>
      <c r="E310" s="65">
        <v>0.5</v>
      </c>
      <c r="F310" s="65">
        <v>0.5</v>
      </c>
      <c r="G310" s="65">
        <v>1</v>
      </c>
      <c r="H310" s="65">
        <v>0.5</v>
      </c>
      <c r="I310" s="306" t="s">
        <v>91</v>
      </c>
      <c r="J310" s="232" t="s">
        <v>1373</v>
      </c>
      <c r="K310" s="67" t="s">
        <v>811</v>
      </c>
      <c r="L310" s="67" t="s">
        <v>1374</v>
      </c>
      <c r="M310" s="69" t="s">
        <v>1375</v>
      </c>
      <c r="N310" s="69" t="s">
        <v>811</v>
      </c>
      <c r="O310" s="67" t="s">
        <v>1376</v>
      </c>
      <c r="P310" s="57"/>
      <c r="Q310" s="58"/>
      <c r="R310" s="58"/>
      <c r="S310" s="58"/>
      <c r="T310" s="58"/>
      <c r="U310" s="58"/>
      <c r="V310" s="58"/>
      <c r="W310" s="58"/>
      <c r="X310" s="58"/>
      <c r="Y310" s="58"/>
      <c r="Z310" s="58"/>
    </row>
    <row r="311" spans="1:26" ht="13.5" customHeight="1">
      <c r="A311" s="1"/>
      <c r="B311" s="105"/>
      <c r="C311" s="145"/>
      <c r="D311" s="145"/>
      <c r="E311" s="145"/>
      <c r="F311" s="145"/>
      <c r="G311" s="145"/>
      <c r="H311" s="145"/>
      <c r="I311" s="17"/>
      <c r="J311" s="232"/>
      <c r="K311" s="106"/>
      <c r="L311" s="321"/>
      <c r="M311" s="69"/>
      <c r="N311" s="109"/>
      <c r="O311" s="106"/>
      <c r="P311" s="19"/>
      <c r="Q311" s="12"/>
      <c r="R311" s="12"/>
      <c r="S311" s="12"/>
      <c r="T311" s="12"/>
      <c r="U311" s="12"/>
      <c r="V311" s="12"/>
      <c r="W311" s="12"/>
      <c r="X311" s="12"/>
      <c r="Y311" s="12"/>
      <c r="Z311" s="12"/>
    </row>
    <row r="312" spans="1:26" ht="158.25" customHeight="1">
      <c r="A312" s="308" t="s">
        <v>736</v>
      </c>
      <c r="B312" s="105" t="s">
        <v>414</v>
      </c>
      <c r="C312" s="65">
        <v>1</v>
      </c>
      <c r="D312" s="65">
        <v>1</v>
      </c>
      <c r="E312" s="65">
        <v>0</v>
      </c>
      <c r="F312" s="65">
        <v>0.5</v>
      </c>
      <c r="G312" s="65">
        <v>0</v>
      </c>
      <c r="H312" s="65">
        <v>0</v>
      </c>
      <c r="I312" s="306" t="s">
        <v>91</v>
      </c>
      <c r="J312" s="232" t="s">
        <v>1377</v>
      </c>
      <c r="K312" s="67" t="s">
        <v>811</v>
      </c>
      <c r="L312" s="67" t="s">
        <v>748</v>
      </c>
      <c r="M312" s="69" t="s">
        <v>1378</v>
      </c>
      <c r="N312" s="69" t="s">
        <v>748</v>
      </c>
      <c r="O312" s="67" t="s">
        <v>1379</v>
      </c>
      <c r="P312" s="57"/>
      <c r="Q312" s="58"/>
      <c r="R312" s="58"/>
      <c r="S312" s="58"/>
      <c r="T312" s="58"/>
      <c r="U312" s="58"/>
      <c r="V312" s="58"/>
      <c r="W312" s="58"/>
      <c r="X312" s="58"/>
      <c r="Y312" s="58"/>
      <c r="Z312" s="58"/>
    </row>
    <row r="313" spans="1:26" ht="13.5" customHeight="1">
      <c r="A313" s="1"/>
      <c r="B313" s="105"/>
      <c r="C313" s="145"/>
      <c r="D313" s="145"/>
      <c r="E313" s="145"/>
      <c r="F313" s="145"/>
      <c r="G313" s="145"/>
      <c r="H313" s="145"/>
      <c r="I313" s="17"/>
      <c r="J313" s="232"/>
      <c r="K313" s="106"/>
      <c r="L313" s="321"/>
      <c r="M313" s="69"/>
      <c r="N313" s="109"/>
      <c r="O313" s="106"/>
      <c r="P313" s="19"/>
      <c r="Q313" s="12"/>
      <c r="R313" s="12"/>
      <c r="S313" s="12"/>
      <c r="T313" s="12"/>
      <c r="U313" s="12"/>
      <c r="V313" s="12"/>
      <c r="W313" s="12"/>
      <c r="X313" s="12"/>
      <c r="Y313" s="12"/>
      <c r="Z313" s="12"/>
    </row>
    <row r="314" spans="1:26" ht="116.25" customHeight="1">
      <c r="A314" s="308" t="s">
        <v>736</v>
      </c>
      <c r="B314" s="105" t="s">
        <v>415</v>
      </c>
      <c r="C314" s="65">
        <v>1</v>
      </c>
      <c r="D314" s="65">
        <v>1</v>
      </c>
      <c r="E314" s="65">
        <v>0</v>
      </c>
      <c r="F314" s="65">
        <v>0</v>
      </c>
      <c r="G314" s="65">
        <v>1</v>
      </c>
      <c r="H314" s="898">
        <v>0</v>
      </c>
      <c r="I314" s="306" t="s">
        <v>91</v>
      </c>
      <c r="J314" s="232" t="s">
        <v>1380</v>
      </c>
      <c r="K314" s="67" t="s">
        <v>1381</v>
      </c>
      <c r="L314" s="312" t="s">
        <v>1382</v>
      </c>
      <c r="M314" s="69" t="s">
        <v>1383</v>
      </c>
      <c r="N314" s="69" t="s">
        <v>811</v>
      </c>
      <c r="O314" s="67" t="s">
        <v>748</v>
      </c>
      <c r="P314" s="57"/>
      <c r="Q314" s="58"/>
      <c r="R314" s="58"/>
      <c r="S314" s="58"/>
      <c r="T314" s="58"/>
      <c r="U314" s="58"/>
      <c r="V314" s="58"/>
      <c r="W314" s="58"/>
      <c r="X314" s="58"/>
      <c r="Y314" s="58"/>
      <c r="Z314" s="58"/>
    </row>
    <row r="315" spans="1:26" ht="13.5" customHeight="1">
      <c r="A315" s="1"/>
      <c r="B315" s="105"/>
      <c r="C315" s="145"/>
      <c r="D315" s="145"/>
      <c r="E315" s="145"/>
      <c r="F315" s="145"/>
      <c r="G315" s="145"/>
      <c r="H315" s="145"/>
      <c r="I315" s="17"/>
      <c r="J315" s="232"/>
      <c r="K315" s="106"/>
      <c r="L315" s="321"/>
      <c r="M315" s="69"/>
      <c r="N315" s="109"/>
      <c r="O315" s="106"/>
      <c r="P315" s="19"/>
      <c r="Q315" s="12"/>
      <c r="R315" s="12"/>
      <c r="S315" s="12"/>
      <c r="T315" s="12"/>
      <c r="U315" s="12"/>
      <c r="V315" s="12"/>
      <c r="W315" s="12"/>
      <c r="X315" s="12"/>
      <c r="Y315" s="12"/>
      <c r="Z315" s="12"/>
    </row>
    <row r="316" spans="1:26" ht="112.5" customHeight="1">
      <c r="A316" s="308" t="s">
        <v>736</v>
      </c>
      <c r="B316" s="105" t="s">
        <v>416</v>
      </c>
      <c r="C316" s="65">
        <v>1</v>
      </c>
      <c r="D316" s="65">
        <v>1</v>
      </c>
      <c r="E316" s="898">
        <v>0.5</v>
      </c>
      <c r="F316" s="65">
        <v>0</v>
      </c>
      <c r="G316" s="65">
        <v>1</v>
      </c>
      <c r="H316" s="65">
        <v>1</v>
      </c>
      <c r="I316" s="306" t="s">
        <v>91</v>
      </c>
      <c r="J316" s="232" t="s">
        <v>1384</v>
      </c>
      <c r="K316" s="67" t="s">
        <v>811</v>
      </c>
      <c r="L316" s="312" t="s">
        <v>1385</v>
      </c>
      <c r="M316" s="69" t="s">
        <v>1386</v>
      </c>
      <c r="N316" s="69" t="s">
        <v>1387</v>
      </c>
      <c r="O316" s="67" t="s">
        <v>1388</v>
      </c>
      <c r="P316" s="57"/>
      <c r="Q316" s="58"/>
      <c r="R316" s="58"/>
      <c r="S316" s="58"/>
      <c r="T316" s="58"/>
      <c r="U316" s="58"/>
      <c r="V316" s="58"/>
      <c r="W316" s="58"/>
      <c r="X316" s="58"/>
      <c r="Y316" s="58"/>
      <c r="Z316" s="58"/>
    </row>
    <row r="317" spans="1:26" ht="13.5" customHeight="1">
      <c r="A317" s="1"/>
      <c r="B317" s="105"/>
      <c r="C317" s="145"/>
      <c r="D317" s="145"/>
      <c r="E317" s="145"/>
      <c r="F317" s="145"/>
      <c r="G317" s="145"/>
      <c r="H317" s="145"/>
      <c r="I317" s="17"/>
      <c r="J317" s="232"/>
      <c r="K317" s="106"/>
      <c r="L317" s="321"/>
      <c r="M317" s="69"/>
      <c r="N317" s="109"/>
      <c r="O317" s="106"/>
      <c r="P317" s="19"/>
      <c r="Q317" s="12"/>
      <c r="R317" s="12"/>
      <c r="S317" s="12"/>
      <c r="T317" s="12"/>
      <c r="U317" s="12"/>
      <c r="V317" s="12"/>
      <c r="W317" s="12"/>
      <c r="X317" s="12"/>
      <c r="Y317" s="12"/>
      <c r="Z317" s="12"/>
    </row>
    <row r="318" spans="1:26" ht="180" customHeight="1">
      <c r="A318" s="308" t="s">
        <v>736</v>
      </c>
      <c r="B318" s="105" t="s">
        <v>417</v>
      </c>
      <c r="C318" s="65">
        <v>1</v>
      </c>
      <c r="D318" s="65">
        <v>1</v>
      </c>
      <c r="E318" s="65">
        <v>0</v>
      </c>
      <c r="F318" s="898">
        <v>0.5</v>
      </c>
      <c r="G318" s="65">
        <v>1</v>
      </c>
      <c r="H318" s="65">
        <v>1</v>
      </c>
      <c r="I318" s="306" t="s">
        <v>38</v>
      </c>
      <c r="J318" s="232" t="s">
        <v>1389</v>
      </c>
      <c r="K318" s="67" t="s">
        <v>811</v>
      </c>
      <c r="L318" s="67" t="s">
        <v>748</v>
      </c>
      <c r="M318" s="69" t="s">
        <v>1390</v>
      </c>
      <c r="N318" s="69" t="s">
        <v>1391</v>
      </c>
      <c r="O318" s="67" t="s">
        <v>1392</v>
      </c>
      <c r="P318" s="57"/>
      <c r="Q318" s="58"/>
      <c r="R318" s="58"/>
      <c r="S318" s="58"/>
      <c r="T318" s="58"/>
      <c r="U318" s="58"/>
      <c r="V318" s="58"/>
      <c r="W318" s="58"/>
      <c r="X318" s="58"/>
      <c r="Y318" s="58"/>
      <c r="Z318" s="58"/>
    </row>
    <row r="319" spans="1:26" ht="13.5" customHeight="1">
      <c r="A319" s="1"/>
      <c r="B319" s="105"/>
      <c r="C319" s="145"/>
      <c r="D319" s="145"/>
      <c r="E319" s="145"/>
      <c r="F319" s="145"/>
      <c r="G319" s="145"/>
      <c r="H319" s="145"/>
      <c r="I319" s="17"/>
      <c r="J319" s="232"/>
      <c r="K319" s="106"/>
      <c r="L319" s="321"/>
      <c r="M319" s="69"/>
      <c r="N319" s="109"/>
      <c r="O319" s="106"/>
      <c r="P319" s="19"/>
      <c r="Q319" s="12"/>
      <c r="R319" s="12"/>
      <c r="S319" s="12"/>
      <c r="T319" s="12"/>
      <c r="U319" s="12"/>
      <c r="V319" s="12"/>
      <c r="W319" s="12"/>
      <c r="X319" s="12"/>
      <c r="Y319" s="12"/>
      <c r="Z319" s="12"/>
    </row>
    <row r="320" spans="1:26" ht="238.5" customHeight="1">
      <c r="A320" s="308" t="s">
        <v>736</v>
      </c>
      <c r="B320" s="105" t="s">
        <v>418</v>
      </c>
      <c r="C320" s="65">
        <v>1</v>
      </c>
      <c r="D320" s="65">
        <v>1</v>
      </c>
      <c r="E320" s="65">
        <v>0.5</v>
      </c>
      <c r="F320" s="65">
        <v>0.5</v>
      </c>
      <c r="G320" s="899">
        <v>1</v>
      </c>
      <c r="H320" s="65">
        <v>1</v>
      </c>
      <c r="I320" s="306" t="s">
        <v>38</v>
      </c>
      <c r="J320" s="232" t="s">
        <v>1393</v>
      </c>
      <c r="K320" s="67" t="s">
        <v>811</v>
      </c>
      <c r="L320" s="67" t="s">
        <v>1394</v>
      </c>
      <c r="M320" s="69" t="s">
        <v>1395</v>
      </c>
      <c r="N320" s="69" t="s">
        <v>1396</v>
      </c>
      <c r="O320" s="67" t="s">
        <v>1397</v>
      </c>
      <c r="P320" s="57"/>
      <c r="Q320" s="58"/>
      <c r="R320" s="58"/>
      <c r="S320" s="58"/>
      <c r="T320" s="58"/>
      <c r="U320" s="58"/>
      <c r="V320" s="58"/>
      <c r="W320" s="58"/>
      <c r="X320" s="58"/>
      <c r="Y320" s="58"/>
      <c r="Z320" s="58"/>
    </row>
    <row r="321" spans="1:26" ht="13.5" customHeight="1">
      <c r="A321" s="1"/>
      <c r="B321" s="105"/>
      <c r="C321" s="145"/>
      <c r="D321" s="145"/>
      <c r="E321" s="145"/>
      <c r="F321" s="145"/>
      <c r="G321" s="145"/>
      <c r="H321" s="145"/>
      <c r="I321" s="17"/>
      <c r="J321" s="232"/>
      <c r="K321" s="106"/>
      <c r="L321" s="67"/>
      <c r="M321" s="69"/>
      <c r="N321" s="109"/>
      <c r="O321" s="106"/>
      <c r="P321" s="19"/>
      <c r="Q321" s="12"/>
      <c r="R321" s="12"/>
      <c r="S321" s="12"/>
      <c r="T321" s="12"/>
      <c r="U321" s="12"/>
      <c r="V321" s="12"/>
      <c r="W321" s="12"/>
      <c r="X321" s="12"/>
      <c r="Y321" s="12"/>
      <c r="Z321" s="12"/>
    </row>
    <row r="322" spans="1:26" ht="135.75" customHeight="1">
      <c r="A322" s="308" t="s">
        <v>736</v>
      </c>
      <c r="B322" s="105" t="s">
        <v>419</v>
      </c>
      <c r="C322" s="65">
        <v>0</v>
      </c>
      <c r="D322" s="65">
        <v>0</v>
      </c>
      <c r="E322" s="65">
        <v>0</v>
      </c>
      <c r="F322" s="65">
        <v>0</v>
      </c>
      <c r="G322" s="65">
        <v>0</v>
      </c>
      <c r="H322" s="65">
        <v>0</v>
      </c>
      <c r="I322" s="306" t="s">
        <v>38</v>
      </c>
      <c r="J322" s="232" t="s">
        <v>1398</v>
      </c>
      <c r="K322" s="67" t="s">
        <v>943</v>
      </c>
      <c r="L322" s="67" t="s">
        <v>748</v>
      </c>
      <c r="M322" s="69" t="s">
        <v>1399</v>
      </c>
      <c r="N322" s="69" t="s">
        <v>1400</v>
      </c>
      <c r="O322" s="67" t="s">
        <v>1401</v>
      </c>
      <c r="P322" s="57"/>
      <c r="Q322" s="58"/>
      <c r="R322" s="58"/>
      <c r="S322" s="58"/>
      <c r="T322" s="58"/>
      <c r="U322" s="58"/>
      <c r="V322" s="58"/>
      <c r="W322" s="58"/>
      <c r="X322" s="58"/>
      <c r="Y322" s="58"/>
      <c r="Z322" s="58"/>
    </row>
    <row r="323" spans="1:26" ht="25.5" customHeight="1">
      <c r="A323" s="308"/>
      <c r="B323" s="105"/>
      <c r="C323" s="65"/>
      <c r="D323" s="65"/>
      <c r="E323" s="65"/>
      <c r="F323" s="65"/>
      <c r="G323" s="65"/>
      <c r="H323" s="65"/>
      <c r="I323" s="53"/>
      <c r="J323" s="232"/>
      <c r="K323" s="67"/>
      <c r="L323" s="312"/>
      <c r="M323" s="69"/>
      <c r="N323" s="69"/>
      <c r="O323" s="67"/>
      <c r="P323" s="57"/>
      <c r="Q323" s="58"/>
      <c r="R323" s="58"/>
      <c r="S323" s="58"/>
      <c r="T323" s="58"/>
      <c r="U323" s="58"/>
      <c r="V323" s="58"/>
      <c r="W323" s="58"/>
      <c r="X323" s="58"/>
      <c r="Y323" s="58"/>
      <c r="Z323" s="58"/>
    </row>
    <row r="324" spans="1:26" ht="125.25" customHeight="1">
      <c r="A324" s="308" t="s">
        <v>736</v>
      </c>
      <c r="B324" s="105" t="s">
        <v>420</v>
      </c>
      <c r="C324" s="65">
        <v>0</v>
      </c>
      <c r="D324" s="65">
        <v>0</v>
      </c>
      <c r="E324" s="65">
        <v>0</v>
      </c>
      <c r="F324" s="65">
        <v>0</v>
      </c>
      <c r="G324" s="899">
        <v>0.5</v>
      </c>
      <c r="H324" s="65">
        <v>0</v>
      </c>
      <c r="I324" s="306" t="s">
        <v>38</v>
      </c>
      <c r="J324" s="232" t="s">
        <v>1402</v>
      </c>
      <c r="K324" s="67" t="s">
        <v>748</v>
      </c>
      <c r="L324" s="67" t="s">
        <v>748</v>
      </c>
      <c r="M324" s="69" t="s">
        <v>1403</v>
      </c>
      <c r="N324" s="69" t="s">
        <v>1404</v>
      </c>
      <c r="O324" s="67" t="s">
        <v>748</v>
      </c>
      <c r="P324" s="57"/>
      <c r="Q324" s="58"/>
      <c r="R324" s="58"/>
      <c r="S324" s="58"/>
      <c r="T324" s="58"/>
      <c r="U324" s="58"/>
      <c r="V324" s="58"/>
      <c r="W324" s="58"/>
      <c r="X324" s="58"/>
      <c r="Y324" s="58"/>
      <c r="Z324" s="58"/>
    </row>
    <row r="325" spans="1:26" ht="18" customHeight="1">
      <c r="A325" s="308"/>
      <c r="B325" s="105"/>
      <c r="C325" s="65"/>
      <c r="D325" s="65"/>
      <c r="E325" s="65"/>
      <c r="F325" s="65"/>
      <c r="G325" s="65"/>
      <c r="H325" s="65"/>
      <c r="I325" s="53"/>
      <c r="J325" s="232"/>
      <c r="K325" s="67"/>
      <c r="L325" s="312"/>
      <c r="M325" s="69"/>
      <c r="N325" s="69"/>
      <c r="O325" s="67"/>
      <c r="P325" s="57"/>
      <c r="Q325" s="58"/>
      <c r="R325" s="58"/>
      <c r="S325" s="58"/>
      <c r="T325" s="58"/>
      <c r="U325" s="58"/>
      <c r="V325" s="58"/>
      <c r="W325" s="58"/>
      <c r="X325" s="58"/>
      <c r="Y325" s="58"/>
      <c r="Z325" s="58"/>
    </row>
    <row r="326" spans="1:26" ht="96" customHeight="1">
      <c r="A326" s="308" t="s">
        <v>736</v>
      </c>
      <c r="B326" s="105" t="s">
        <v>421</v>
      </c>
      <c r="C326" s="65">
        <v>0</v>
      </c>
      <c r="D326" s="65">
        <v>1</v>
      </c>
      <c r="E326" s="65">
        <v>0</v>
      </c>
      <c r="F326" s="65">
        <v>0</v>
      </c>
      <c r="G326" s="65">
        <v>0</v>
      </c>
      <c r="H326" s="65">
        <v>0</v>
      </c>
      <c r="I326" s="306" t="s">
        <v>38</v>
      </c>
      <c r="J326" s="232" t="s">
        <v>1405</v>
      </c>
      <c r="K326" s="67" t="s">
        <v>1406</v>
      </c>
      <c r="L326" s="67" t="s">
        <v>1407</v>
      </c>
      <c r="M326" s="69" t="s">
        <v>1408</v>
      </c>
      <c r="N326" s="69" t="s">
        <v>748</v>
      </c>
      <c r="O326" s="67" t="s">
        <v>1409</v>
      </c>
      <c r="P326" s="57"/>
      <c r="Q326" s="58"/>
      <c r="R326" s="58"/>
      <c r="S326" s="58"/>
      <c r="T326" s="58"/>
      <c r="U326" s="58"/>
      <c r="V326" s="58"/>
      <c r="W326" s="58"/>
      <c r="X326" s="58"/>
      <c r="Y326" s="58"/>
      <c r="Z326" s="58"/>
    </row>
    <row r="327" spans="1:26" ht="13.5" customHeight="1">
      <c r="A327" s="1"/>
      <c r="B327" s="105"/>
      <c r="C327" s="145"/>
      <c r="D327" s="145"/>
      <c r="E327" s="145"/>
      <c r="F327" s="145"/>
      <c r="G327" s="145"/>
      <c r="H327" s="145"/>
      <c r="I327" s="17"/>
      <c r="J327" s="232"/>
      <c r="K327" s="106"/>
      <c r="L327" s="106"/>
      <c r="M327" s="69"/>
      <c r="N327" s="109"/>
      <c r="O327" s="106"/>
      <c r="P327" s="19"/>
      <c r="Q327" s="12"/>
      <c r="R327" s="12"/>
      <c r="S327" s="12"/>
      <c r="T327" s="12"/>
      <c r="U327" s="12"/>
      <c r="V327" s="12"/>
      <c r="W327" s="12"/>
      <c r="X327" s="12"/>
      <c r="Y327" s="12"/>
      <c r="Z327" s="12"/>
    </row>
    <row r="328" spans="1:26" ht="111" customHeight="1">
      <c r="A328" s="308" t="s">
        <v>736</v>
      </c>
      <c r="B328" s="105" t="s">
        <v>422</v>
      </c>
      <c r="C328" s="898">
        <v>1</v>
      </c>
      <c r="D328" s="898">
        <v>0.5</v>
      </c>
      <c r="E328" s="898">
        <v>0.5</v>
      </c>
      <c r="F328" s="898">
        <v>1</v>
      </c>
      <c r="G328" s="65">
        <v>0</v>
      </c>
      <c r="H328" s="899">
        <v>0.5</v>
      </c>
      <c r="I328" s="306" t="s">
        <v>91</v>
      </c>
      <c r="J328" s="232" t="s">
        <v>1410</v>
      </c>
      <c r="K328" s="67" t="s">
        <v>1411</v>
      </c>
      <c r="L328" s="67" t="s">
        <v>1412</v>
      </c>
      <c r="M328" s="69" t="s">
        <v>1413</v>
      </c>
      <c r="N328" s="69" t="s">
        <v>748</v>
      </c>
      <c r="O328" s="67" t="s">
        <v>1414</v>
      </c>
      <c r="P328" s="57"/>
      <c r="Q328" s="58"/>
      <c r="R328" s="58"/>
      <c r="S328" s="58"/>
      <c r="T328" s="58"/>
      <c r="U328" s="58"/>
      <c r="V328" s="58"/>
      <c r="W328" s="58"/>
      <c r="X328" s="58"/>
      <c r="Y328" s="58"/>
      <c r="Z328" s="58"/>
    </row>
    <row r="329" spans="1:26" ht="13.5" customHeight="1">
      <c r="A329" s="1"/>
      <c r="B329" s="105"/>
      <c r="C329" s="900"/>
      <c r="D329" s="900"/>
      <c r="E329" s="900"/>
      <c r="F329" s="145"/>
      <c r="G329" s="145"/>
      <c r="H329" s="145"/>
      <c r="I329" s="17"/>
      <c r="J329" s="232"/>
      <c r="K329" s="106"/>
      <c r="L329" s="321"/>
      <c r="M329" s="69"/>
      <c r="N329" s="109"/>
      <c r="O329" s="106"/>
      <c r="P329" s="19"/>
      <c r="Q329" s="12"/>
      <c r="R329" s="12"/>
      <c r="S329" s="12"/>
      <c r="T329" s="12"/>
      <c r="U329" s="12"/>
      <c r="V329" s="12"/>
      <c r="W329" s="12"/>
      <c r="X329" s="12"/>
      <c r="Y329" s="12"/>
      <c r="Z329" s="12"/>
    </row>
    <row r="330" spans="1:26" ht="98.25" customHeight="1">
      <c r="A330" s="308" t="s">
        <v>736</v>
      </c>
      <c r="B330" s="105" t="s">
        <v>423</v>
      </c>
      <c r="C330" s="898">
        <v>0.5</v>
      </c>
      <c r="D330" s="898">
        <v>1</v>
      </c>
      <c r="E330" s="898">
        <v>0</v>
      </c>
      <c r="F330" s="65">
        <v>0.5</v>
      </c>
      <c r="G330" s="65">
        <v>0.5</v>
      </c>
      <c r="H330" s="65">
        <v>0.5</v>
      </c>
      <c r="I330" s="306" t="s">
        <v>424</v>
      </c>
      <c r="J330" s="232" t="s">
        <v>1415</v>
      </c>
      <c r="K330" s="67" t="s">
        <v>1416</v>
      </c>
      <c r="L330" s="69" t="s">
        <v>748</v>
      </c>
      <c r="M330" s="69" t="s">
        <v>1417</v>
      </c>
      <c r="N330" s="69" t="s">
        <v>1418</v>
      </c>
      <c r="O330" s="67" t="s">
        <v>1419</v>
      </c>
      <c r="P330" s="57"/>
      <c r="Q330" s="58"/>
      <c r="R330" s="58"/>
      <c r="S330" s="58"/>
      <c r="T330" s="58"/>
      <c r="U330" s="58"/>
      <c r="V330" s="58"/>
      <c r="W330" s="58"/>
      <c r="X330" s="58"/>
      <c r="Y330" s="58"/>
      <c r="Z330" s="58"/>
    </row>
    <row r="331" spans="1:26" ht="13.5" customHeight="1">
      <c r="A331" s="1"/>
      <c r="B331" s="105"/>
      <c r="C331" s="145"/>
      <c r="D331" s="145"/>
      <c r="E331" s="145"/>
      <c r="F331" s="145"/>
      <c r="G331" s="145"/>
      <c r="H331" s="145"/>
      <c r="I331" s="17"/>
      <c r="J331" s="232"/>
      <c r="K331" s="106"/>
      <c r="L331" s="321"/>
      <c r="M331" s="69"/>
      <c r="N331" s="109"/>
      <c r="O331" s="106"/>
      <c r="P331" s="19"/>
      <c r="Q331" s="12"/>
      <c r="R331" s="12"/>
      <c r="S331" s="12"/>
      <c r="T331" s="12"/>
      <c r="U331" s="12"/>
      <c r="V331" s="12"/>
      <c r="W331" s="12"/>
      <c r="X331" s="12"/>
      <c r="Y331" s="12"/>
      <c r="Z331" s="12"/>
    </row>
    <row r="332" spans="1:26" ht="115.5" customHeight="1">
      <c r="A332" s="308" t="s">
        <v>736</v>
      </c>
      <c r="B332" s="105" t="s">
        <v>425</v>
      </c>
      <c r="C332" s="65">
        <v>1</v>
      </c>
      <c r="D332" s="65">
        <v>1</v>
      </c>
      <c r="E332" s="65">
        <v>0.5</v>
      </c>
      <c r="F332" s="65">
        <v>0</v>
      </c>
      <c r="G332" s="65">
        <v>1</v>
      </c>
      <c r="H332" s="65">
        <v>1</v>
      </c>
      <c r="I332" s="306" t="s">
        <v>426</v>
      </c>
      <c r="J332" s="232" t="s">
        <v>1420</v>
      </c>
      <c r="K332" s="67" t="s">
        <v>1421</v>
      </c>
      <c r="L332" s="312" t="s">
        <v>1422</v>
      </c>
      <c r="M332" s="69" t="s">
        <v>1423</v>
      </c>
      <c r="N332" s="69" t="s">
        <v>1424</v>
      </c>
      <c r="O332" s="67" t="s">
        <v>1425</v>
      </c>
      <c r="P332" s="57"/>
      <c r="Q332" s="58"/>
      <c r="R332" s="58"/>
      <c r="S332" s="58"/>
      <c r="T332" s="58"/>
      <c r="U332" s="58"/>
      <c r="V332" s="58"/>
      <c r="W332" s="58"/>
      <c r="X332" s="58"/>
      <c r="Y332" s="58"/>
      <c r="Z332" s="58"/>
    </row>
    <row r="333" spans="1:26" ht="13.5" customHeight="1">
      <c r="A333" s="1"/>
      <c r="B333" s="105"/>
      <c r="C333" s="145"/>
      <c r="D333" s="145"/>
      <c r="E333" s="145"/>
      <c r="F333" s="145"/>
      <c r="G333" s="145"/>
      <c r="H333" s="145"/>
      <c r="I333" s="17"/>
      <c r="J333" s="232"/>
      <c r="K333" s="106"/>
      <c r="L333" s="321"/>
      <c r="M333" s="69"/>
      <c r="N333" s="109"/>
      <c r="O333" s="106"/>
      <c r="P333" s="19"/>
      <c r="Q333" s="12"/>
      <c r="R333" s="12"/>
      <c r="S333" s="12"/>
      <c r="T333" s="12"/>
      <c r="U333" s="12"/>
      <c r="V333" s="12"/>
      <c r="W333" s="12"/>
      <c r="X333" s="12"/>
      <c r="Y333" s="12"/>
      <c r="Z333" s="12"/>
    </row>
    <row r="334" spans="1:26" ht="89.25" customHeight="1">
      <c r="A334" s="308" t="s">
        <v>736</v>
      </c>
      <c r="B334" s="105" t="s">
        <v>427</v>
      </c>
      <c r="C334" s="65">
        <v>0</v>
      </c>
      <c r="D334" s="65">
        <v>0</v>
      </c>
      <c r="E334" s="65">
        <v>0</v>
      </c>
      <c r="F334" s="65">
        <v>0</v>
      </c>
      <c r="G334" s="65">
        <v>0</v>
      </c>
      <c r="H334" s="65">
        <v>0</v>
      </c>
      <c r="I334" s="306" t="s">
        <v>38</v>
      </c>
      <c r="J334" s="232" t="s">
        <v>1426</v>
      </c>
      <c r="K334" s="67" t="s">
        <v>748</v>
      </c>
      <c r="L334" s="69" t="s">
        <v>748</v>
      </c>
      <c r="M334" s="69" t="s">
        <v>1427</v>
      </c>
      <c r="N334" s="69" t="s">
        <v>748</v>
      </c>
      <c r="O334" s="69" t="s">
        <v>1428</v>
      </c>
      <c r="P334" s="57"/>
      <c r="Q334" s="58"/>
      <c r="R334" s="58"/>
      <c r="S334" s="58"/>
      <c r="T334" s="58"/>
      <c r="U334" s="58"/>
      <c r="V334" s="58"/>
      <c r="W334" s="58"/>
      <c r="X334" s="58"/>
      <c r="Y334" s="58"/>
      <c r="Z334" s="58"/>
    </row>
    <row r="335" spans="1:26" ht="13.5" customHeight="1">
      <c r="A335" s="1"/>
      <c r="B335" s="918"/>
      <c r="C335" s="145"/>
      <c r="D335" s="145"/>
      <c r="E335" s="145"/>
      <c r="F335" s="145"/>
      <c r="G335" s="145"/>
      <c r="H335" s="145"/>
      <c r="I335" s="17"/>
      <c r="J335" s="232"/>
      <c r="K335" s="106"/>
      <c r="L335" s="159"/>
      <c r="M335" s="69"/>
      <c r="N335" s="109"/>
      <c r="O335" s="106"/>
      <c r="P335" s="19"/>
      <c r="Q335" s="12"/>
      <c r="R335" s="12"/>
      <c r="S335" s="12"/>
      <c r="T335" s="12"/>
      <c r="U335" s="12"/>
      <c r="V335" s="12"/>
      <c r="W335" s="12"/>
      <c r="X335" s="12"/>
      <c r="Y335" s="12"/>
      <c r="Z335" s="12"/>
    </row>
    <row r="336" spans="1:26" ht="37.5" customHeight="1">
      <c r="A336" s="326" t="s">
        <v>1429</v>
      </c>
      <c r="B336" s="302" t="s">
        <v>429</v>
      </c>
      <c r="C336" s="268">
        <f t="shared" ref="C336:H336" si="48">AVERAGE(C337,C339,C341,C343,C345)</f>
        <v>0.3</v>
      </c>
      <c r="D336" s="268">
        <f t="shared" si="48"/>
        <v>0.5</v>
      </c>
      <c r="E336" s="268">
        <f t="shared" si="48"/>
        <v>0.4</v>
      </c>
      <c r="F336" s="268">
        <f t="shared" si="48"/>
        <v>0.3</v>
      </c>
      <c r="G336" s="268">
        <f t="shared" si="48"/>
        <v>0.4</v>
      </c>
      <c r="H336" s="268">
        <f t="shared" si="48"/>
        <v>0.2</v>
      </c>
      <c r="I336" s="306"/>
      <c r="J336" s="78"/>
      <c r="K336" s="78"/>
      <c r="L336" s="78"/>
      <c r="M336" s="78"/>
      <c r="N336" s="268"/>
      <c r="O336" s="268"/>
      <c r="P336" s="57"/>
      <c r="Q336" s="82"/>
      <c r="R336" s="82"/>
      <c r="S336" s="82"/>
      <c r="T336" s="82"/>
      <c r="U336" s="82"/>
      <c r="V336" s="82"/>
      <c r="W336" s="82"/>
      <c r="X336" s="82"/>
      <c r="Y336" s="82"/>
      <c r="Z336" s="82"/>
    </row>
    <row r="337" spans="1:26" ht="84.75" customHeight="1">
      <c r="A337" s="308" t="s">
        <v>736</v>
      </c>
      <c r="B337" s="105" t="s">
        <v>430</v>
      </c>
      <c r="C337" s="65">
        <v>0.5</v>
      </c>
      <c r="D337" s="65">
        <v>0.5</v>
      </c>
      <c r="E337" s="898">
        <v>0.5</v>
      </c>
      <c r="F337" s="898">
        <v>0</v>
      </c>
      <c r="G337" s="65">
        <v>0.5</v>
      </c>
      <c r="H337" s="65">
        <v>0</v>
      </c>
      <c r="I337" s="306"/>
      <c r="J337" s="232" t="s">
        <v>1430</v>
      </c>
      <c r="K337" s="67" t="s">
        <v>1431</v>
      </c>
      <c r="L337" s="176" t="s">
        <v>1432</v>
      </c>
      <c r="M337" s="69" t="s">
        <v>1433</v>
      </c>
      <c r="N337" s="92" t="s">
        <v>1434</v>
      </c>
      <c r="O337" s="85" t="s">
        <v>1435</v>
      </c>
      <c r="P337" s="57"/>
      <c r="Q337" s="58"/>
      <c r="R337" s="58"/>
      <c r="S337" s="58"/>
      <c r="T337" s="58"/>
      <c r="U337" s="58"/>
      <c r="V337" s="58"/>
      <c r="W337" s="58"/>
      <c r="X337" s="58"/>
      <c r="Y337" s="58"/>
      <c r="Z337" s="58"/>
    </row>
    <row r="338" spans="1:26" ht="18.75" customHeight="1">
      <c r="A338" s="308"/>
      <c r="B338" s="105"/>
      <c r="C338" s="65"/>
      <c r="D338" s="65"/>
      <c r="E338" s="65"/>
      <c r="F338" s="65"/>
      <c r="G338" s="65"/>
      <c r="H338" s="65"/>
      <c r="I338" s="306"/>
      <c r="J338" s="232"/>
      <c r="K338" s="67"/>
      <c r="L338" s="176"/>
      <c r="M338" s="69"/>
      <c r="N338" s="92"/>
      <c r="O338" s="232"/>
      <c r="P338" s="57"/>
      <c r="Q338" s="58"/>
      <c r="R338" s="58"/>
      <c r="S338" s="58"/>
      <c r="T338" s="58"/>
      <c r="U338" s="58"/>
      <c r="V338" s="58"/>
      <c r="W338" s="58"/>
      <c r="X338" s="58"/>
      <c r="Y338" s="58"/>
      <c r="Z338" s="58"/>
    </row>
    <row r="339" spans="1:26" ht="54.75" customHeight="1">
      <c r="A339" s="308" t="s">
        <v>736</v>
      </c>
      <c r="B339" s="105" t="s">
        <v>431</v>
      </c>
      <c r="C339" s="65">
        <v>0</v>
      </c>
      <c r="D339" s="65">
        <v>1</v>
      </c>
      <c r="E339" s="65">
        <v>0</v>
      </c>
      <c r="F339" s="65">
        <v>0</v>
      </c>
      <c r="G339" s="898">
        <v>0.5</v>
      </c>
      <c r="H339" s="65">
        <v>0</v>
      </c>
      <c r="I339" s="306"/>
      <c r="J339" s="69" t="s">
        <v>748</v>
      </c>
      <c r="K339" s="107" t="s">
        <v>1436</v>
      </c>
      <c r="L339" s="312" t="s">
        <v>1437</v>
      </c>
      <c r="M339" s="69" t="s">
        <v>748</v>
      </c>
      <c r="N339" s="92" t="s">
        <v>1438</v>
      </c>
      <c r="O339" s="85" t="s">
        <v>748</v>
      </c>
      <c r="P339" s="57"/>
      <c r="Q339" s="58"/>
      <c r="R339" s="58"/>
      <c r="S339" s="58"/>
      <c r="T339" s="58"/>
      <c r="U339" s="58"/>
      <c r="V339" s="58"/>
      <c r="W339" s="58"/>
      <c r="X339" s="58"/>
      <c r="Y339" s="58"/>
      <c r="Z339" s="58"/>
    </row>
    <row r="340" spans="1:26" ht="22.5" customHeight="1">
      <c r="A340" s="308"/>
      <c r="B340" s="68"/>
      <c r="C340" s="65"/>
      <c r="D340" s="65"/>
      <c r="E340" s="65"/>
      <c r="F340" s="65"/>
      <c r="G340" s="898"/>
      <c r="H340" s="65"/>
      <c r="I340" s="306"/>
      <c r="J340" s="232"/>
      <c r="K340" s="67"/>
      <c r="L340" s="312"/>
      <c r="M340" s="92"/>
      <c r="N340" s="92"/>
      <c r="O340" s="232"/>
      <c r="P340" s="57"/>
      <c r="Q340" s="58"/>
      <c r="R340" s="58"/>
      <c r="S340" s="58"/>
      <c r="T340" s="58"/>
      <c r="U340" s="58"/>
      <c r="V340" s="58"/>
      <c r="W340" s="58"/>
      <c r="X340" s="58"/>
      <c r="Y340" s="58"/>
      <c r="Z340" s="58"/>
    </row>
    <row r="341" spans="1:26" ht="201.75" customHeight="1">
      <c r="A341" s="308" t="s">
        <v>736</v>
      </c>
      <c r="B341" s="105" t="s">
        <v>432</v>
      </c>
      <c r="C341" s="898">
        <v>0</v>
      </c>
      <c r="D341" s="65">
        <v>0</v>
      </c>
      <c r="E341" s="65">
        <v>0</v>
      </c>
      <c r="F341" s="65">
        <v>0</v>
      </c>
      <c r="G341" s="65">
        <v>0</v>
      </c>
      <c r="H341" s="65">
        <v>0</v>
      </c>
      <c r="I341" s="306"/>
      <c r="J341" s="69" t="s">
        <v>748</v>
      </c>
      <c r="K341" s="67" t="s">
        <v>748</v>
      </c>
      <c r="L341" s="69" t="s">
        <v>748</v>
      </c>
      <c r="M341" s="69" t="s">
        <v>748</v>
      </c>
      <c r="N341" s="92" t="s">
        <v>1439</v>
      </c>
      <c r="O341" s="85" t="s">
        <v>1440</v>
      </c>
      <c r="P341" s="57"/>
      <c r="Q341" s="58"/>
      <c r="R341" s="58"/>
      <c r="S341" s="58"/>
      <c r="T341" s="58"/>
      <c r="U341" s="58"/>
      <c r="V341" s="58"/>
      <c r="W341" s="58"/>
      <c r="X341" s="58"/>
      <c r="Y341" s="58"/>
      <c r="Z341" s="58"/>
    </row>
    <row r="342" spans="1:26" ht="27.75" customHeight="1">
      <c r="A342" s="308"/>
      <c r="B342" s="68"/>
      <c r="C342" s="898"/>
      <c r="D342" s="65"/>
      <c r="E342" s="65"/>
      <c r="F342" s="65"/>
      <c r="G342" s="65"/>
      <c r="H342" s="65"/>
      <c r="I342" s="306"/>
      <c r="J342" s="232"/>
      <c r="K342" s="67"/>
      <c r="L342" s="312"/>
      <c r="M342" s="69"/>
      <c r="N342" s="92"/>
      <c r="O342" s="232"/>
      <c r="P342" s="57"/>
      <c r="Q342" s="58"/>
      <c r="R342" s="58"/>
      <c r="S342" s="58"/>
      <c r="T342" s="58"/>
      <c r="U342" s="58"/>
      <c r="V342" s="58"/>
      <c r="W342" s="58"/>
      <c r="X342" s="58"/>
      <c r="Y342" s="58"/>
      <c r="Z342" s="58"/>
    </row>
    <row r="343" spans="1:26" ht="163.5" customHeight="1">
      <c r="A343" s="308" t="s">
        <v>736</v>
      </c>
      <c r="B343" s="105" t="s">
        <v>433</v>
      </c>
      <c r="C343" s="65">
        <v>1</v>
      </c>
      <c r="D343" s="65">
        <v>1</v>
      </c>
      <c r="E343" s="65">
        <v>1</v>
      </c>
      <c r="F343" s="898">
        <v>1</v>
      </c>
      <c r="G343" s="65">
        <v>1</v>
      </c>
      <c r="H343" s="65">
        <v>1</v>
      </c>
      <c r="I343" s="306"/>
      <c r="J343" s="232" t="s">
        <v>1441</v>
      </c>
      <c r="K343" s="67" t="s">
        <v>811</v>
      </c>
      <c r="L343" s="176" t="s">
        <v>1442</v>
      </c>
      <c r="M343" s="92" t="s">
        <v>1443</v>
      </c>
      <c r="N343" s="67" t="s">
        <v>811</v>
      </c>
      <c r="O343" s="232" t="s">
        <v>1444</v>
      </c>
      <c r="P343" s="57"/>
      <c r="Q343" s="58"/>
      <c r="R343" s="58"/>
      <c r="S343" s="58"/>
      <c r="T343" s="58"/>
      <c r="U343" s="58"/>
      <c r="V343" s="58"/>
      <c r="W343" s="58"/>
      <c r="X343" s="58"/>
      <c r="Y343" s="58"/>
      <c r="Z343" s="58"/>
    </row>
    <row r="344" spans="1:26" ht="22.5" customHeight="1">
      <c r="A344" s="308"/>
      <c r="B344" s="105"/>
      <c r="C344" s="65"/>
      <c r="D344" s="65"/>
      <c r="E344" s="65"/>
      <c r="F344" s="898"/>
      <c r="G344" s="65"/>
      <c r="H344" s="65"/>
      <c r="I344" s="306"/>
      <c r="J344" s="232"/>
      <c r="K344" s="67"/>
      <c r="L344" s="176"/>
      <c r="M344" s="92"/>
      <c r="N344" s="92"/>
      <c r="O344" s="232"/>
      <c r="P344" s="57"/>
      <c r="Q344" s="58"/>
      <c r="R344" s="58"/>
      <c r="S344" s="58"/>
      <c r="T344" s="58"/>
      <c r="U344" s="58"/>
      <c r="V344" s="58"/>
      <c r="W344" s="58"/>
      <c r="X344" s="58"/>
      <c r="Y344" s="58"/>
      <c r="Z344" s="58"/>
    </row>
    <row r="345" spans="1:26" ht="114" customHeight="1">
      <c r="A345" s="308" t="s">
        <v>736</v>
      </c>
      <c r="B345" s="105" t="s">
        <v>434</v>
      </c>
      <c r="C345" s="65">
        <v>0</v>
      </c>
      <c r="D345" s="65">
        <v>0</v>
      </c>
      <c r="E345" s="65">
        <v>0.5</v>
      </c>
      <c r="F345" s="898">
        <v>0.5</v>
      </c>
      <c r="G345" s="65">
        <v>0</v>
      </c>
      <c r="H345" s="898">
        <v>0</v>
      </c>
      <c r="I345" s="306"/>
      <c r="J345" s="232" t="s">
        <v>1445</v>
      </c>
      <c r="K345" s="67" t="s">
        <v>1446</v>
      </c>
      <c r="L345" s="71" t="s">
        <v>1447</v>
      </c>
      <c r="M345" s="92" t="s">
        <v>1448</v>
      </c>
      <c r="N345" s="92" t="s">
        <v>1449</v>
      </c>
      <c r="O345" s="176" t="s">
        <v>1450</v>
      </c>
      <c r="P345" s="57"/>
      <c r="Q345" s="58"/>
      <c r="R345" s="58"/>
      <c r="S345" s="58"/>
      <c r="T345" s="58"/>
      <c r="U345" s="58"/>
      <c r="V345" s="58"/>
      <c r="W345" s="58"/>
      <c r="X345" s="58"/>
      <c r="Y345" s="58"/>
      <c r="Z345" s="58"/>
    </row>
    <row r="346" spans="1:26" ht="26.25" customHeight="1">
      <c r="A346" s="174"/>
      <c r="B346" s="4"/>
      <c r="C346" s="65"/>
      <c r="D346" s="65"/>
      <c r="E346" s="337"/>
      <c r="F346" s="898"/>
      <c r="G346" s="65"/>
      <c r="H346" s="65"/>
      <c r="I346" s="17"/>
      <c r="J346" s="232"/>
      <c r="K346" s="67"/>
      <c r="L346" s="232"/>
      <c r="M346" s="71"/>
      <c r="N346" s="85"/>
      <c r="O346" s="176"/>
      <c r="P346" s="57"/>
      <c r="Q346" s="58"/>
      <c r="R346" s="58"/>
      <c r="S346" s="12"/>
      <c r="T346" s="12"/>
      <c r="U346" s="12"/>
      <c r="V346" s="12"/>
      <c r="W346" s="12"/>
      <c r="X346" s="12"/>
      <c r="Y346" s="12"/>
      <c r="Z346" s="12"/>
    </row>
    <row r="347" spans="1:26" ht="13.5" customHeight="1">
      <c r="A347" s="112" t="s">
        <v>1451</v>
      </c>
      <c r="B347" s="96" t="s">
        <v>1452</v>
      </c>
      <c r="C347" s="131">
        <f t="shared" ref="C347:H347" si="49">AVERAGE(C348,C353,C382)</f>
        <v>0.60311791383219948</v>
      </c>
      <c r="D347" s="131">
        <f t="shared" si="49"/>
        <v>0.73248299319727883</v>
      </c>
      <c r="E347" s="131">
        <f t="shared" si="49"/>
        <v>0.41887755102040813</v>
      </c>
      <c r="F347" s="131">
        <f t="shared" si="49"/>
        <v>0.80770975056689354</v>
      </c>
      <c r="G347" s="131">
        <f t="shared" si="49"/>
        <v>0.6829931972789115</v>
      </c>
      <c r="H347" s="131">
        <f t="shared" si="49"/>
        <v>0.22358276643990929</v>
      </c>
      <c r="I347" s="260"/>
      <c r="J347" s="44"/>
      <c r="K347" s="44"/>
      <c r="L347" s="38"/>
      <c r="M347" s="44"/>
      <c r="N347" s="44"/>
      <c r="O347" s="44"/>
      <c r="P347" s="98"/>
      <c r="Q347" s="98"/>
      <c r="R347" s="98"/>
      <c r="S347" s="99"/>
      <c r="T347" s="99"/>
      <c r="U347" s="99"/>
      <c r="V347" s="99"/>
      <c r="W347" s="99"/>
      <c r="X347" s="99"/>
      <c r="Y347" s="99"/>
      <c r="Z347" s="99"/>
    </row>
    <row r="348" spans="1:26" ht="13.5" customHeight="1">
      <c r="A348" s="338" t="s">
        <v>1453</v>
      </c>
      <c r="B348" s="121" t="s">
        <v>342</v>
      </c>
      <c r="C348" s="51">
        <f t="shared" ref="C348:H348" si="50">AVERAGE(C349,C351)</f>
        <v>0.13673469387755102</v>
      </c>
      <c r="D348" s="51">
        <f t="shared" si="50"/>
        <v>0.35816326530612247</v>
      </c>
      <c r="E348" s="51">
        <f t="shared" si="50"/>
        <v>0.32806122448979591</v>
      </c>
      <c r="F348" s="51">
        <f t="shared" si="50"/>
        <v>0.75051020408163271</v>
      </c>
      <c r="G348" s="51">
        <f t="shared" si="50"/>
        <v>0.44183673469387758</v>
      </c>
      <c r="H348" s="51">
        <f t="shared" si="50"/>
        <v>0.23622448979591837</v>
      </c>
      <c r="I348" s="53"/>
      <c r="J348" s="56"/>
      <c r="K348" s="56"/>
      <c r="L348" s="100"/>
      <c r="M348" s="56"/>
      <c r="N348" s="56"/>
      <c r="O348" s="56"/>
      <c r="P348" s="101"/>
      <c r="Q348" s="102"/>
      <c r="R348" s="102"/>
      <c r="S348" s="103"/>
      <c r="T348" s="103"/>
      <c r="U348" s="103"/>
      <c r="V348" s="103"/>
      <c r="W348" s="103"/>
      <c r="X348" s="103"/>
      <c r="Y348" s="103"/>
      <c r="Z348" s="103"/>
    </row>
    <row r="349" spans="1:26" ht="126" customHeight="1">
      <c r="A349" s="104" t="s">
        <v>736</v>
      </c>
      <c r="B349" s="105" t="s">
        <v>1454</v>
      </c>
      <c r="C349" s="91">
        <f t="shared" ref="C349:H349" si="51">(J349-(-1.34))/(1.11-(-1.34))</f>
        <v>0.1020408163265306</v>
      </c>
      <c r="D349" s="91">
        <f t="shared" si="51"/>
        <v>0.24489795918367349</v>
      </c>
      <c r="E349" s="91">
        <f t="shared" si="51"/>
        <v>0.33469387755102042</v>
      </c>
      <c r="F349" s="91">
        <f t="shared" si="51"/>
        <v>0.69387755102040816</v>
      </c>
      <c r="G349" s="91">
        <f t="shared" si="51"/>
        <v>0.35510204081632657</v>
      </c>
      <c r="H349" s="91">
        <f t="shared" si="51"/>
        <v>0.17959183673469389</v>
      </c>
      <c r="I349" s="53" t="s">
        <v>1455</v>
      </c>
      <c r="J349" s="69">
        <v>-1.0900000000000001</v>
      </c>
      <c r="K349" s="69">
        <v>-0.74</v>
      </c>
      <c r="L349" s="69">
        <v>-0.52</v>
      </c>
      <c r="M349" s="69">
        <v>0.36</v>
      </c>
      <c r="N349" s="109">
        <v>-0.47</v>
      </c>
      <c r="O349" s="69">
        <v>-0.9</v>
      </c>
      <c r="P349" s="101"/>
      <c r="Q349" s="107"/>
      <c r="R349" s="107"/>
      <c r="S349" s="108"/>
      <c r="T349" s="108"/>
      <c r="U349" s="108"/>
      <c r="V349" s="108"/>
      <c r="W349" s="108"/>
      <c r="X349" s="108"/>
      <c r="Y349" s="108"/>
      <c r="Z349" s="108"/>
    </row>
    <row r="350" spans="1:26" ht="13.5" customHeight="1">
      <c r="A350" s="104"/>
      <c r="B350" s="105"/>
      <c r="C350" s="65"/>
      <c r="D350" s="65"/>
      <c r="E350" s="65"/>
      <c r="F350" s="65"/>
      <c r="G350" s="65"/>
      <c r="H350" s="65"/>
      <c r="I350" s="53"/>
      <c r="J350" s="69"/>
      <c r="K350" s="69"/>
      <c r="L350" s="69"/>
      <c r="M350" s="69"/>
      <c r="N350" s="69"/>
      <c r="O350" s="69"/>
      <c r="P350" s="101"/>
      <c r="Q350" s="107"/>
      <c r="R350" s="107"/>
      <c r="S350" s="108"/>
      <c r="T350" s="108"/>
      <c r="U350" s="108"/>
      <c r="V350" s="108"/>
      <c r="W350" s="108"/>
      <c r="X350" s="108"/>
      <c r="Y350" s="108"/>
      <c r="Z350" s="108"/>
    </row>
    <row r="351" spans="1:26" ht="153.75" customHeight="1">
      <c r="A351" s="104" t="s">
        <v>736</v>
      </c>
      <c r="B351" s="105" t="s">
        <v>1456</v>
      </c>
      <c r="C351" s="91">
        <f>(144-168)/(28-168)</f>
        <v>0.17142857142857143</v>
      </c>
      <c r="D351" s="91">
        <f>(102-168)/(28-168)</f>
        <v>0.47142857142857142</v>
      </c>
      <c r="E351" s="91">
        <f>(123-168)/(28-168)</f>
        <v>0.32142857142857145</v>
      </c>
      <c r="F351" s="91">
        <f>(55-168)/(28-168)</f>
        <v>0.80714285714285716</v>
      </c>
      <c r="G351" s="91">
        <f>(94-168)/(28-168)</f>
        <v>0.52857142857142858</v>
      </c>
      <c r="H351" s="91">
        <f>(127-168)/(28-168)</f>
        <v>0.29285714285714287</v>
      </c>
      <c r="I351" s="919" t="s">
        <v>1457</v>
      </c>
      <c r="J351" s="69" t="s">
        <v>1458</v>
      </c>
      <c r="K351" s="69" t="s">
        <v>1459</v>
      </c>
      <c r="L351" s="69" t="s">
        <v>1460</v>
      </c>
      <c r="M351" s="69" t="s">
        <v>1461</v>
      </c>
      <c r="N351" s="69" t="s">
        <v>1462</v>
      </c>
      <c r="O351" s="69" t="s">
        <v>1463</v>
      </c>
      <c r="P351" s="101"/>
      <c r="Q351" s="67"/>
      <c r="R351" s="107"/>
      <c r="S351" s="108"/>
      <c r="T351" s="108"/>
      <c r="U351" s="108"/>
      <c r="V351" s="108"/>
      <c r="W351" s="108"/>
      <c r="X351" s="108"/>
      <c r="Y351" s="108"/>
      <c r="Z351" s="108"/>
    </row>
    <row r="352" spans="1:26" ht="13.5" customHeight="1">
      <c r="A352" s="104"/>
      <c r="B352" s="105"/>
      <c r="C352" s="65"/>
      <c r="D352" s="65"/>
      <c r="E352" s="65"/>
      <c r="F352" s="65"/>
      <c r="G352" s="65"/>
      <c r="H352" s="65"/>
      <c r="I352" s="919"/>
      <c r="J352" s="67"/>
      <c r="K352" s="67"/>
      <c r="L352" s="67"/>
      <c r="M352" s="67"/>
      <c r="N352" s="67"/>
      <c r="O352" s="67"/>
      <c r="P352" s="101"/>
      <c r="Q352" s="67"/>
      <c r="R352" s="107"/>
      <c r="S352" s="108"/>
      <c r="T352" s="108"/>
      <c r="U352" s="108"/>
      <c r="V352" s="108"/>
      <c r="W352" s="108"/>
      <c r="X352" s="108"/>
      <c r="Y352" s="108"/>
      <c r="Z352" s="108"/>
    </row>
    <row r="353" spans="1:26" ht="13.5" customHeight="1">
      <c r="A353" s="119" t="s">
        <v>1464</v>
      </c>
      <c r="B353" s="121" t="s">
        <v>346</v>
      </c>
      <c r="C353" s="51">
        <f t="shared" ref="C353:H353" si="52">AVERAGE(C354,C356,C358,C360,C362,C364,C366,C368,C370,C372,C374,C376,C378,C380)</f>
        <v>0.9642857142857143</v>
      </c>
      <c r="D353" s="51">
        <f t="shared" si="52"/>
        <v>0.9642857142857143</v>
      </c>
      <c r="E353" s="51">
        <f t="shared" si="52"/>
        <v>0.42857142857142855</v>
      </c>
      <c r="F353" s="51">
        <f t="shared" si="52"/>
        <v>0.9642857142857143</v>
      </c>
      <c r="G353" s="51">
        <f t="shared" si="52"/>
        <v>0.8571428571428571</v>
      </c>
      <c r="H353" s="51">
        <f t="shared" si="52"/>
        <v>0.39285714285714285</v>
      </c>
      <c r="I353" s="53"/>
      <c r="J353" s="56"/>
      <c r="K353" s="56"/>
      <c r="L353" s="56"/>
      <c r="M353" s="56"/>
      <c r="N353" s="56"/>
      <c r="O353" s="56"/>
      <c r="P353" s="101"/>
      <c r="Q353" s="107"/>
      <c r="R353" s="107"/>
      <c r="S353" s="108"/>
      <c r="T353" s="108"/>
      <c r="U353" s="108"/>
      <c r="V353" s="108"/>
      <c r="W353" s="108"/>
      <c r="X353" s="108"/>
      <c r="Y353" s="108"/>
      <c r="Z353" s="108"/>
    </row>
    <row r="354" spans="1:26" ht="60" customHeight="1">
      <c r="A354" s="104" t="s">
        <v>736</v>
      </c>
      <c r="B354" s="105" t="s">
        <v>347</v>
      </c>
      <c r="C354" s="65">
        <v>1</v>
      </c>
      <c r="D354" s="65">
        <v>1</v>
      </c>
      <c r="E354" s="65">
        <v>1</v>
      </c>
      <c r="F354" s="65">
        <v>1</v>
      </c>
      <c r="G354" s="65">
        <v>1</v>
      </c>
      <c r="H354" s="65">
        <v>1</v>
      </c>
      <c r="I354" s="53" t="s">
        <v>38</v>
      </c>
      <c r="J354" s="67" t="s">
        <v>1465</v>
      </c>
      <c r="K354" s="67" t="s">
        <v>1466</v>
      </c>
      <c r="L354" s="69" t="s">
        <v>1467</v>
      </c>
      <c r="M354" s="340" t="s">
        <v>1468</v>
      </c>
      <c r="N354" s="69" t="s">
        <v>1469</v>
      </c>
      <c r="O354" s="67" t="s">
        <v>1470</v>
      </c>
      <c r="P354" s="341"/>
      <c r="Q354" s="107"/>
      <c r="R354" s="107"/>
      <c r="S354" s="108"/>
      <c r="T354" s="108"/>
      <c r="U354" s="108"/>
      <c r="V354" s="108"/>
      <c r="W354" s="108"/>
      <c r="X354" s="108"/>
      <c r="Y354" s="108"/>
      <c r="Z354" s="108"/>
    </row>
    <row r="355" spans="1:26" ht="13.5" customHeight="1">
      <c r="A355" s="1"/>
      <c r="B355" s="918"/>
      <c r="C355" s="145"/>
      <c r="D355" s="145"/>
      <c r="E355" s="145"/>
      <c r="F355" s="145"/>
      <c r="G355" s="145"/>
      <c r="H355" s="145"/>
      <c r="I355" s="17"/>
      <c r="J355" s="67"/>
      <c r="K355" s="106"/>
      <c r="L355" s="106"/>
      <c r="M355" s="69"/>
      <c r="N355" s="109"/>
      <c r="O355" s="106"/>
      <c r="P355" s="19"/>
      <c r="Q355" s="12"/>
      <c r="R355" s="12"/>
      <c r="S355" s="12"/>
      <c r="T355" s="12"/>
      <c r="U355" s="12"/>
      <c r="V355" s="12"/>
      <c r="W355" s="12"/>
      <c r="X355" s="12"/>
      <c r="Y355" s="12"/>
      <c r="Z355" s="12"/>
    </row>
    <row r="356" spans="1:26" ht="165.75" customHeight="1">
      <c r="A356" s="104" t="s">
        <v>736</v>
      </c>
      <c r="B356" s="105" t="s">
        <v>348</v>
      </c>
      <c r="C356" s="65">
        <v>1</v>
      </c>
      <c r="D356" s="65">
        <v>1</v>
      </c>
      <c r="E356" s="65">
        <v>0</v>
      </c>
      <c r="F356" s="65">
        <v>1</v>
      </c>
      <c r="G356" s="898">
        <v>1</v>
      </c>
      <c r="H356" s="65">
        <v>0</v>
      </c>
      <c r="I356" s="53" t="s">
        <v>38</v>
      </c>
      <c r="J356" s="67" t="s">
        <v>1471</v>
      </c>
      <c r="K356" s="67" t="s">
        <v>1472</v>
      </c>
      <c r="L356" s="67" t="s">
        <v>1473</v>
      </c>
      <c r="M356" s="92" t="s">
        <v>1474</v>
      </c>
      <c r="N356" s="92" t="s">
        <v>1475</v>
      </c>
      <c r="O356" s="67" t="s">
        <v>1476</v>
      </c>
      <c r="P356" s="341"/>
      <c r="Q356" s="107"/>
      <c r="R356" s="107"/>
      <c r="S356" s="108"/>
      <c r="T356" s="108"/>
      <c r="U356" s="108"/>
      <c r="V356" s="108"/>
      <c r="W356" s="108"/>
      <c r="X356" s="108"/>
      <c r="Y356" s="108"/>
      <c r="Z356" s="108"/>
    </row>
    <row r="357" spans="1:26" ht="13.5" customHeight="1">
      <c r="A357" s="1"/>
      <c r="B357" s="918"/>
      <c r="C357" s="145"/>
      <c r="D357" s="145"/>
      <c r="E357" s="145"/>
      <c r="F357" s="145"/>
      <c r="G357" s="145"/>
      <c r="H357" s="145"/>
      <c r="I357" s="17"/>
      <c r="J357" s="67"/>
      <c r="K357" s="106"/>
      <c r="L357" s="106"/>
      <c r="M357" s="69"/>
      <c r="N357" s="109"/>
      <c r="O357" s="106"/>
      <c r="P357" s="19"/>
      <c r="Q357" s="12"/>
      <c r="R357" s="12"/>
      <c r="S357" s="12"/>
      <c r="T357" s="12"/>
      <c r="U357" s="12"/>
      <c r="V357" s="12"/>
      <c r="W357" s="12"/>
      <c r="X357" s="12"/>
      <c r="Y357" s="12"/>
      <c r="Z357" s="12"/>
    </row>
    <row r="358" spans="1:26" ht="135" customHeight="1">
      <c r="A358" s="104" t="s">
        <v>736</v>
      </c>
      <c r="B358" s="105" t="s">
        <v>349</v>
      </c>
      <c r="C358" s="65">
        <v>1</v>
      </c>
      <c r="D358" s="65">
        <v>1</v>
      </c>
      <c r="E358" s="65">
        <v>0</v>
      </c>
      <c r="F358" s="65">
        <v>1</v>
      </c>
      <c r="G358" s="65">
        <v>1</v>
      </c>
      <c r="H358" s="898">
        <v>0.5</v>
      </c>
      <c r="I358" s="53" t="s">
        <v>91</v>
      </c>
      <c r="J358" s="67" t="s">
        <v>1477</v>
      </c>
      <c r="K358" s="67" t="s">
        <v>1478</v>
      </c>
      <c r="L358" s="69" t="s">
        <v>1479</v>
      </c>
      <c r="M358" s="69" t="s">
        <v>1480</v>
      </c>
      <c r="N358" s="92" t="s">
        <v>1481</v>
      </c>
      <c r="O358" s="67" t="s">
        <v>1482</v>
      </c>
      <c r="P358" s="341"/>
      <c r="Q358" s="107"/>
      <c r="R358" s="107"/>
      <c r="S358" s="108"/>
      <c r="T358" s="108"/>
      <c r="U358" s="108"/>
      <c r="V358" s="108"/>
      <c r="W358" s="108"/>
      <c r="X358" s="108"/>
      <c r="Y358" s="108"/>
      <c r="Z358" s="108"/>
    </row>
    <row r="359" spans="1:26" ht="13.5" customHeight="1">
      <c r="A359" s="1"/>
      <c r="B359" s="918"/>
      <c r="C359" s="145"/>
      <c r="D359" s="145"/>
      <c r="E359" s="145"/>
      <c r="F359" s="145"/>
      <c r="G359" s="145"/>
      <c r="H359" s="145"/>
      <c r="I359" s="17"/>
      <c r="J359" s="67"/>
      <c r="K359" s="106"/>
      <c r="L359" s="106"/>
      <c r="M359" s="69"/>
      <c r="N359" s="109"/>
      <c r="O359" s="106"/>
      <c r="P359" s="19"/>
      <c r="Q359" s="12"/>
      <c r="R359" s="12"/>
      <c r="S359" s="12"/>
      <c r="T359" s="12"/>
      <c r="U359" s="12"/>
      <c r="V359" s="12"/>
      <c r="W359" s="12"/>
      <c r="X359" s="12"/>
      <c r="Y359" s="12"/>
      <c r="Z359" s="12"/>
    </row>
    <row r="360" spans="1:26" ht="143.25" customHeight="1">
      <c r="A360" s="104" t="s">
        <v>736</v>
      </c>
      <c r="B360" s="105" t="s">
        <v>350</v>
      </c>
      <c r="C360" s="65">
        <v>1</v>
      </c>
      <c r="D360" s="65">
        <v>1</v>
      </c>
      <c r="E360" s="65">
        <v>0</v>
      </c>
      <c r="F360" s="65">
        <v>1</v>
      </c>
      <c r="G360" s="898">
        <v>0.5</v>
      </c>
      <c r="H360" s="898">
        <v>0</v>
      </c>
      <c r="I360" s="53" t="s">
        <v>38</v>
      </c>
      <c r="J360" s="67" t="s">
        <v>1483</v>
      </c>
      <c r="K360" s="67" t="s">
        <v>1484</v>
      </c>
      <c r="L360" s="67" t="s">
        <v>748</v>
      </c>
      <c r="M360" s="69" t="s">
        <v>1485</v>
      </c>
      <c r="N360" s="69" t="s">
        <v>1486</v>
      </c>
      <c r="O360" s="67" t="s">
        <v>1487</v>
      </c>
      <c r="P360" s="341"/>
      <c r="Q360" s="107"/>
      <c r="R360" s="107"/>
      <c r="S360" s="108"/>
      <c r="T360" s="108"/>
      <c r="U360" s="108"/>
      <c r="V360" s="108"/>
      <c r="W360" s="108"/>
      <c r="X360" s="108"/>
      <c r="Y360" s="108"/>
      <c r="Z360" s="108"/>
    </row>
    <row r="361" spans="1:26" ht="13.5" customHeight="1">
      <c r="A361" s="1"/>
      <c r="B361" s="918"/>
      <c r="C361" s="145"/>
      <c r="D361" s="145"/>
      <c r="E361" s="145"/>
      <c r="F361" s="145"/>
      <c r="G361" s="145"/>
      <c r="H361" s="145"/>
      <c r="I361" s="17"/>
      <c r="J361" s="67"/>
      <c r="K361" s="106"/>
      <c r="L361" s="106"/>
      <c r="M361" s="69"/>
      <c r="N361" s="109"/>
      <c r="O361" s="106"/>
      <c r="P361" s="19"/>
      <c r="Q361" s="12"/>
      <c r="R361" s="12"/>
      <c r="S361" s="12"/>
      <c r="T361" s="12"/>
      <c r="U361" s="12"/>
      <c r="V361" s="12"/>
      <c r="W361" s="12"/>
      <c r="X361" s="12"/>
      <c r="Y361" s="12"/>
      <c r="Z361" s="12"/>
    </row>
    <row r="362" spans="1:26" ht="123.75" customHeight="1">
      <c r="A362" s="104" t="s">
        <v>736</v>
      </c>
      <c r="B362" s="105" t="s">
        <v>351</v>
      </c>
      <c r="C362" s="65">
        <v>1</v>
      </c>
      <c r="D362" s="65">
        <v>1</v>
      </c>
      <c r="E362" s="65">
        <v>1</v>
      </c>
      <c r="F362" s="65">
        <v>1</v>
      </c>
      <c r="G362" s="65">
        <v>1</v>
      </c>
      <c r="H362" s="65">
        <v>1</v>
      </c>
      <c r="I362" s="53" t="s">
        <v>123</v>
      </c>
      <c r="J362" s="67" t="s">
        <v>1488</v>
      </c>
      <c r="K362" s="67" t="s">
        <v>1489</v>
      </c>
      <c r="L362" s="67" t="s">
        <v>1490</v>
      </c>
      <c r="M362" s="69" t="s">
        <v>1491</v>
      </c>
      <c r="N362" s="92" t="s">
        <v>1492</v>
      </c>
      <c r="O362" s="67" t="s">
        <v>1493</v>
      </c>
      <c r="P362" s="341"/>
      <c r="Q362" s="107"/>
      <c r="R362" s="107"/>
      <c r="S362" s="108"/>
      <c r="T362" s="108"/>
      <c r="U362" s="108"/>
      <c r="V362" s="108"/>
      <c r="W362" s="108"/>
      <c r="X362" s="108"/>
      <c r="Y362" s="108"/>
      <c r="Z362" s="108"/>
    </row>
    <row r="363" spans="1:26" ht="13.5" customHeight="1">
      <c r="A363" s="1"/>
      <c r="B363" s="918"/>
      <c r="C363" s="145"/>
      <c r="D363" s="145"/>
      <c r="E363" s="145"/>
      <c r="F363" s="145"/>
      <c r="G363" s="145"/>
      <c r="H363" s="145"/>
      <c r="I363" s="17"/>
      <c r="J363" s="67"/>
      <c r="K363" s="106"/>
      <c r="L363" s="106"/>
      <c r="M363" s="69"/>
      <c r="N363" s="109"/>
      <c r="O363" s="106"/>
      <c r="P363" s="19"/>
      <c r="Q363" s="12"/>
      <c r="R363" s="12"/>
      <c r="S363" s="12"/>
      <c r="T363" s="12"/>
      <c r="U363" s="12"/>
      <c r="V363" s="12"/>
      <c r="W363" s="12"/>
      <c r="X363" s="12"/>
      <c r="Y363" s="12"/>
      <c r="Z363" s="12"/>
    </row>
    <row r="364" spans="1:26" ht="136.5" customHeight="1">
      <c r="A364" s="104" t="s">
        <v>736</v>
      </c>
      <c r="B364" s="105" t="s">
        <v>352</v>
      </c>
      <c r="C364" s="65">
        <v>1</v>
      </c>
      <c r="D364" s="65">
        <v>1</v>
      </c>
      <c r="E364" s="65">
        <v>1</v>
      </c>
      <c r="F364" s="65">
        <v>1</v>
      </c>
      <c r="G364" s="65">
        <v>1</v>
      </c>
      <c r="H364" s="65">
        <v>0</v>
      </c>
      <c r="I364" s="53" t="s">
        <v>123</v>
      </c>
      <c r="J364" s="67" t="s">
        <v>1494</v>
      </c>
      <c r="K364" s="67" t="s">
        <v>1495</v>
      </c>
      <c r="L364" s="69" t="s">
        <v>1496</v>
      </c>
      <c r="M364" s="69" t="s">
        <v>1497</v>
      </c>
      <c r="N364" s="69" t="s">
        <v>1498</v>
      </c>
      <c r="O364" s="67" t="s">
        <v>1499</v>
      </c>
      <c r="P364" s="341"/>
      <c r="Q364" s="107"/>
      <c r="R364" s="107"/>
      <c r="S364" s="108"/>
      <c r="T364" s="108"/>
      <c r="U364" s="108"/>
      <c r="V364" s="108"/>
      <c r="W364" s="108"/>
      <c r="X364" s="108"/>
      <c r="Y364" s="108"/>
      <c r="Z364" s="108"/>
    </row>
    <row r="365" spans="1:26" ht="13.5" customHeight="1">
      <c r="A365" s="1"/>
      <c r="B365" s="918"/>
      <c r="C365" s="145"/>
      <c r="D365" s="145"/>
      <c r="E365" s="145"/>
      <c r="F365" s="145"/>
      <c r="G365" s="145"/>
      <c r="H365" s="145"/>
      <c r="I365" s="17"/>
      <c r="J365" s="67"/>
      <c r="K365" s="106"/>
      <c r="L365" s="106"/>
      <c r="M365" s="69"/>
      <c r="N365" s="109"/>
      <c r="O365" s="106"/>
      <c r="P365" s="19"/>
      <c r="Q365" s="12"/>
      <c r="R365" s="12"/>
      <c r="S365" s="12"/>
      <c r="T365" s="12"/>
      <c r="U365" s="12"/>
      <c r="V365" s="12"/>
      <c r="W365" s="12"/>
      <c r="X365" s="12"/>
      <c r="Y365" s="12"/>
      <c r="Z365" s="12"/>
    </row>
    <row r="366" spans="1:26" ht="153" customHeight="1">
      <c r="A366" s="104" t="s">
        <v>736</v>
      </c>
      <c r="B366" s="105" t="s">
        <v>353</v>
      </c>
      <c r="C366" s="65">
        <v>1</v>
      </c>
      <c r="D366" s="65">
        <v>1</v>
      </c>
      <c r="E366" s="898">
        <v>0.5</v>
      </c>
      <c r="F366" s="898">
        <v>1</v>
      </c>
      <c r="G366" s="898">
        <v>1</v>
      </c>
      <c r="H366" s="898">
        <v>0</v>
      </c>
      <c r="I366" s="53" t="s">
        <v>123</v>
      </c>
      <c r="J366" s="67" t="s">
        <v>1500</v>
      </c>
      <c r="K366" s="67" t="s">
        <v>1501</v>
      </c>
      <c r="L366" s="69" t="s">
        <v>1502</v>
      </c>
      <c r="M366" s="69" t="s">
        <v>1503</v>
      </c>
      <c r="N366" s="69" t="s">
        <v>1504</v>
      </c>
      <c r="O366" s="67" t="s">
        <v>1505</v>
      </c>
      <c r="P366" s="341"/>
      <c r="Q366" s="107"/>
      <c r="R366" s="107"/>
      <c r="S366" s="108"/>
      <c r="T366" s="108"/>
      <c r="U366" s="108"/>
      <c r="V366" s="108"/>
      <c r="W366" s="108"/>
      <c r="X366" s="108"/>
      <c r="Y366" s="108"/>
      <c r="Z366" s="108"/>
    </row>
    <row r="367" spans="1:26" ht="13.5" customHeight="1">
      <c r="A367" s="1"/>
      <c r="B367" s="918"/>
      <c r="C367" s="145"/>
      <c r="D367" s="145"/>
      <c r="E367" s="145"/>
      <c r="F367" s="145"/>
      <c r="G367" s="145"/>
      <c r="H367" s="145"/>
      <c r="I367" s="17"/>
      <c r="J367" s="67"/>
      <c r="K367" s="106"/>
      <c r="L367" s="106"/>
      <c r="M367" s="69"/>
      <c r="N367" s="109"/>
      <c r="O367" s="106"/>
      <c r="P367" s="19"/>
      <c r="Q367" s="12"/>
      <c r="R367" s="12"/>
      <c r="S367" s="12"/>
      <c r="T367" s="12"/>
      <c r="U367" s="12"/>
      <c r="V367" s="12"/>
      <c r="W367" s="12"/>
      <c r="X367" s="12"/>
      <c r="Y367" s="12"/>
      <c r="Z367" s="12"/>
    </row>
    <row r="368" spans="1:26" ht="123" customHeight="1">
      <c r="A368" s="104" t="s">
        <v>736</v>
      </c>
      <c r="B368" s="105" t="s">
        <v>354</v>
      </c>
      <c r="C368" s="65">
        <v>0.5</v>
      </c>
      <c r="D368" s="65">
        <v>1</v>
      </c>
      <c r="E368" s="898">
        <v>0.5</v>
      </c>
      <c r="F368" s="897">
        <v>1</v>
      </c>
      <c r="G368" s="898">
        <v>0.5</v>
      </c>
      <c r="H368" s="898">
        <v>0.5</v>
      </c>
      <c r="I368" s="53" t="s">
        <v>91</v>
      </c>
      <c r="J368" s="67" t="s">
        <v>1506</v>
      </c>
      <c r="K368" s="67" t="s">
        <v>1507</v>
      </c>
      <c r="L368" s="147" t="s">
        <v>1508</v>
      </c>
      <c r="M368" s="69" t="s">
        <v>1509</v>
      </c>
      <c r="N368" s="69" t="s">
        <v>1510</v>
      </c>
      <c r="O368" s="67" t="s">
        <v>1511</v>
      </c>
      <c r="P368" s="341"/>
      <c r="Q368" s="107"/>
      <c r="R368" s="107"/>
      <c r="S368" s="108"/>
      <c r="T368" s="108"/>
      <c r="U368" s="108"/>
      <c r="V368" s="108"/>
      <c r="W368" s="108"/>
      <c r="X368" s="108"/>
      <c r="Y368" s="108"/>
      <c r="Z368" s="108"/>
    </row>
    <row r="369" spans="1:26" ht="13.5" customHeight="1">
      <c r="A369" s="1"/>
      <c r="B369" s="918"/>
      <c r="C369" s="145"/>
      <c r="D369" s="145"/>
      <c r="E369" s="900"/>
      <c r="F369" s="900"/>
      <c r="G369" s="900"/>
      <c r="H369" s="900"/>
      <c r="I369" s="17"/>
      <c r="J369" s="67"/>
      <c r="K369" s="106"/>
      <c r="L369" s="106"/>
      <c r="M369" s="69"/>
      <c r="N369" s="109"/>
      <c r="O369" s="106"/>
      <c r="P369" s="19"/>
      <c r="Q369" s="12"/>
      <c r="R369" s="12"/>
      <c r="S369" s="12"/>
      <c r="T369" s="12"/>
      <c r="U369" s="12"/>
      <c r="V369" s="12"/>
      <c r="W369" s="12"/>
      <c r="X369" s="12"/>
      <c r="Y369" s="12"/>
      <c r="Z369" s="12"/>
    </row>
    <row r="370" spans="1:26" ht="78.75" customHeight="1">
      <c r="A370" s="104" t="s">
        <v>736</v>
      </c>
      <c r="B370" s="105" t="s">
        <v>355</v>
      </c>
      <c r="C370" s="65">
        <v>1</v>
      </c>
      <c r="D370" s="65">
        <v>1</v>
      </c>
      <c r="E370" s="898">
        <v>1</v>
      </c>
      <c r="F370" s="898">
        <v>1</v>
      </c>
      <c r="G370" s="898">
        <v>0.5</v>
      </c>
      <c r="H370" s="898">
        <v>0.5</v>
      </c>
      <c r="I370" s="53" t="s">
        <v>91</v>
      </c>
      <c r="J370" s="67" t="s">
        <v>1512</v>
      </c>
      <c r="K370" s="67" t="s">
        <v>1513</v>
      </c>
      <c r="L370" s="67" t="s">
        <v>811</v>
      </c>
      <c r="M370" s="69" t="s">
        <v>1514</v>
      </c>
      <c r="N370" s="69" t="s">
        <v>1515</v>
      </c>
      <c r="O370" s="67" t="s">
        <v>1516</v>
      </c>
      <c r="P370" s="341"/>
      <c r="Q370" s="107"/>
      <c r="R370" s="107"/>
      <c r="S370" s="108"/>
      <c r="T370" s="108"/>
      <c r="U370" s="108"/>
      <c r="V370" s="108"/>
      <c r="W370" s="108"/>
      <c r="X370" s="108"/>
      <c r="Y370" s="108"/>
      <c r="Z370" s="108"/>
    </row>
    <row r="371" spans="1:26" ht="13.5" customHeight="1">
      <c r="A371" s="1"/>
      <c r="B371" s="918"/>
      <c r="C371" s="145"/>
      <c r="D371" s="145"/>
      <c r="E371" s="145"/>
      <c r="F371" s="145"/>
      <c r="G371" s="145"/>
      <c r="H371" s="145"/>
      <c r="I371" s="17"/>
      <c r="J371" s="67"/>
      <c r="K371" s="106"/>
      <c r="L371" s="106"/>
      <c r="M371" s="69"/>
      <c r="N371" s="109"/>
      <c r="O371" s="106"/>
      <c r="P371" s="19"/>
      <c r="Q371" s="12"/>
      <c r="R371" s="12"/>
      <c r="S371" s="12"/>
      <c r="T371" s="12"/>
      <c r="U371" s="12"/>
      <c r="V371" s="12"/>
      <c r="W371" s="12"/>
      <c r="X371" s="12"/>
      <c r="Y371" s="12"/>
      <c r="Z371" s="12"/>
    </row>
    <row r="372" spans="1:26" ht="83.25" customHeight="1">
      <c r="A372" s="104" t="s">
        <v>736</v>
      </c>
      <c r="B372" s="105" t="s">
        <v>356</v>
      </c>
      <c r="C372" s="65">
        <v>1</v>
      </c>
      <c r="D372" s="65">
        <v>1</v>
      </c>
      <c r="E372" s="65">
        <v>0</v>
      </c>
      <c r="F372" s="65">
        <v>1</v>
      </c>
      <c r="G372" s="65">
        <v>1</v>
      </c>
      <c r="H372" s="898">
        <v>0</v>
      </c>
      <c r="I372" s="53" t="s">
        <v>38</v>
      </c>
      <c r="J372" s="67" t="s">
        <v>1517</v>
      </c>
      <c r="K372" s="67" t="s">
        <v>1518</v>
      </c>
      <c r="L372" s="67" t="s">
        <v>748</v>
      </c>
      <c r="M372" s="69" t="s">
        <v>1519</v>
      </c>
      <c r="N372" s="69" t="s">
        <v>1520</v>
      </c>
      <c r="O372" s="67" t="s">
        <v>1521</v>
      </c>
      <c r="P372" s="349"/>
      <c r="Q372" s="107"/>
      <c r="R372" s="107"/>
      <c r="S372" s="108"/>
      <c r="T372" s="108"/>
      <c r="U372" s="108"/>
      <c r="V372" s="108"/>
      <c r="W372" s="108"/>
      <c r="X372" s="108"/>
      <c r="Y372" s="108"/>
      <c r="Z372" s="108"/>
    </row>
    <row r="373" spans="1:26" ht="13.5" customHeight="1">
      <c r="A373" s="1"/>
      <c r="B373" s="918"/>
      <c r="C373" s="145"/>
      <c r="D373" s="145"/>
      <c r="E373" s="145"/>
      <c r="F373" s="145"/>
      <c r="G373" s="145"/>
      <c r="H373" s="145"/>
      <c r="I373" s="17"/>
      <c r="J373" s="67"/>
      <c r="K373" s="106"/>
      <c r="L373" s="106"/>
      <c r="M373" s="69"/>
      <c r="N373" s="109"/>
      <c r="O373" s="106"/>
      <c r="P373" s="19"/>
      <c r="Q373" s="12"/>
      <c r="R373" s="12"/>
      <c r="S373" s="12"/>
      <c r="T373" s="12"/>
      <c r="U373" s="12"/>
      <c r="V373" s="12"/>
      <c r="W373" s="12"/>
      <c r="X373" s="12"/>
      <c r="Y373" s="12"/>
      <c r="Z373" s="12"/>
    </row>
    <row r="374" spans="1:26" ht="103.5" customHeight="1">
      <c r="A374" s="104" t="s">
        <v>736</v>
      </c>
      <c r="B374" s="105" t="s">
        <v>357</v>
      </c>
      <c r="C374" s="65">
        <v>1</v>
      </c>
      <c r="D374" s="65">
        <v>1</v>
      </c>
      <c r="E374" s="65">
        <v>0</v>
      </c>
      <c r="F374" s="898">
        <v>1</v>
      </c>
      <c r="G374" s="65">
        <v>1</v>
      </c>
      <c r="H374" s="898">
        <v>0.5</v>
      </c>
      <c r="I374" s="53" t="s">
        <v>91</v>
      </c>
      <c r="J374" s="67" t="s">
        <v>1522</v>
      </c>
      <c r="K374" s="67" t="s">
        <v>1523</v>
      </c>
      <c r="L374" s="67" t="s">
        <v>748</v>
      </c>
      <c r="M374" s="69" t="s">
        <v>1524</v>
      </c>
      <c r="N374" s="69" t="s">
        <v>1525</v>
      </c>
      <c r="O374" s="67" t="s">
        <v>1526</v>
      </c>
      <c r="P374" s="341"/>
      <c r="Q374" s="107"/>
      <c r="R374" s="107"/>
      <c r="S374" s="108"/>
      <c r="T374" s="108"/>
      <c r="U374" s="108"/>
      <c r="V374" s="108"/>
      <c r="W374" s="108"/>
      <c r="X374" s="108"/>
      <c r="Y374" s="108"/>
      <c r="Z374" s="108"/>
    </row>
    <row r="375" spans="1:26" ht="13.5" customHeight="1">
      <c r="A375" s="1"/>
      <c r="B375" s="918"/>
      <c r="C375" s="145"/>
      <c r="D375" s="145"/>
      <c r="E375" s="145"/>
      <c r="F375" s="145"/>
      <c r="G375" s="145"/>
      <c r="H375" s="145"/>
      <c r="I375" s="17"/>
      <c r="J375" s="67"/>
      <c r="K375" s="106"/>
      <c r="L375" s="106"/>
      <c r="M375" s="69"/>
      <c r="N375" s="109"/>
      <c r="O375" s="106"/>
      <c r="P375" s="19"/>
      <c r="Q375" s="12"/>
      <c r="R375" s="12"/>
      <c r="S375" s="12"/>
      <c r="T375" s="12"/>
      <c r="U375" s="12"/>
      <c r="V375" s="12"/>
      <c r="W375" s="12"/>
      <c r="X375" s="12"/>
      <c r="Y375" s="12"/>
      <c r="Z375" s="12"/>
    </row>
    <row r="376" spans="1:26" ht="150" customHeight="1">
      <c r="A376" s="104" t="s">
        <v>736</v>
      </c>
      <c r="B376" s="105" t="s">
        <v>358</v>
      </c>
      <c r="C376" s="902">
        <v>1</v>
      </c>
      <c r="D376" s="902">
        <v>1</v>
      </c>
      <c r="E376" s="902">
        <v>1</v>
      </c>
      <c r="F376" s="902">
        <v>1</v>
      </c>
      <c r="G376" s="900">
        <v>1</v>
      </c>
      <c r="H376" s="902">
        <v>0</v>
      </c>
      <c r="I376" s="53" t="s">
        <v>91</v>
      </c>
      <c r="J376" s="67" t="s">
        <v>1527</v>
      </c>
      <c r="K376" s="67" t="s">
        <v>1528</v>
      </c>
      <c r="L376" s="69" t="s">
        <v>1529</v>
      </c>
      <c r="M376" s="69" t="s">
        <v>1530</v>
      </c>
      <c r="N376" s="92" t="s">
        <v>1531</v>
      </c>
      <c r="O376" s="67" t="s">
        <v>1532</v>
      </c>
      <c r="P376" s="341"/>
      <c r="Q376" s="107"/>
      <c r="R376" s="107"/>
      <c r="S376" s="108"/>
      <c r="T376" s="108"/>
      <c r="U376" s="108"/>
      <c r="V376" s="108"/>
      <c r="W376" s="108"/>
      <c r="X376" s="108"/>
      <c r="Y376" s="108"/>
      <c r="Z376" s="108"/>
    </row>
    <row r="377" spans="1:26" ht="13.5" customHeight="1">
      <c r="A377" s="1"/>
      <c r="B377" s="918"/>
      <c r="C377" s="145"/>
      <c r="D377" s="145"/>
      <c r="E377" s="145"/>
      <c r="F377" s="145"/>
      <c r="G377" s="145"/>
      <c r="H377" s="145"/>
      <c r="I377" s="17"/>
      <c r="J377" s="67"/>
      <c r="K377" s="106"/>
      <c r="L377" s="106"/>
      <c r="M377" s="69"/>
      <c r="N377" s="109"/>
      <c r="O377" s="106"/>
      <c r="P377" s="19"/>
      <c r="Q377" s="12"/>
      <c r="R377" s="12"/>
      <c r="S377" s="12"/>
      <c r="T377" s="12"/>
      <c r="U377" s="12"/>
      <c r="V377" s="12"/>
      <c r="W377" s="12"/>
      <c r="X377" s="12"/>
      <c r="Y377" s="12"/>
      <c r="Z377" s="12"/>
    </row>
    <row r="378" spans="1:26" ht="158.25" customHeight="1">
      <c r="A378" s="104" t="s">
        <v>736</v>
      </c>
      <c r="B378" s="105" t="s">
        <v>359</v>
      </c>
      <c r="C378" s="65">
        <v>1</v>
      </c>
      <c r="D378" s="898">
        <v>0.5</v>
      </c>
      <c r="E378" s="65">
        <v>0</v>
      </c>
      <c r="F378" s="898">
        <v>0.5</v>
      </c>
      <c r="G378" s="898">
        <v>0.5</v>
      </c>
      <c r="H378" s="898">
        <v>0.5</v>
      </c>
      <c r="I378" s="53" t="s">
        <v>91</v>
      </c>
      <c r="J378" s="67" t="s">
        <v>1533</v>
      </c>
      <c r="K378" s="67" t="s">
        <v>1534</v>
      </c>
      <c r="L378" s="67" t="s">
        <v>748</v>
      </c>
      <c r="M378" s="69" t="s">
        <v>1535</v>
      </c>
      <c r="N378" s="69" t="s">
        <v>1536</v>
      </c>
      <c r="O378" s="67" t="s">
        <v>1537</v>
      </c>
      <c r="P378" s="341"/>
      <c r="Q378" s="107"/>
      <c r="R378" s="107"/>
      <c r="S378" s="108"/>
      <c r="T378" s="108"/>
      <c r="U378" s="108"/>
      <c r="V378" s="108"/>
      <c r="W378" s="108"/>
      <c r="X378" s="108"/>
      <c r="Y378" s="108"/>
      <c r="Z378" s="108"/>
    </row>
    <row r="379" spans="1:26" ht="13.5" customHeight="1">
      <c r="A379" s="1"/>
      <c r="B379" s="918"/>
      <c r="C379" s="145"/>
      <c r="D379" s="145"/>
      <c r="E379" s="145"/>
      <c r="F379" s="145"/>
      <c r="G379" s="145"/>
      <c r="H379" s="145"/>
      <c r="I379" s="17"/>
      <c r="J379" s="67"/>
      <c r="K379" s="106"/>
      <c r="L379" s="106"/>
      <c r="M379" s="69"/>
      <c r="N379" s="109"/>
      <c r="O379" s="106"/>
      <c r="P379" s="19"/>
      <c r="Q379" s="12"/>
      <c r="R379" s="12"/>
      <c r="S379" s="12"/>
      <c r="T379" s="12"/>
      <c r="U379" s="12"/>
      <c r="V379" s="12"/>
      <c r="W379" s="12"/>
      <c r="X379" s="12"/>
      <c r="Y379" s="12"/>
      <c r="Z379" s="12"/>
    </row>
    <row r="380" spans="1:26" ht="44.25" customHeight="1">
      <c r="A380" s="104" t="s">
        <v>736</v>
      </c>
      <c r="B380" s="105" t="s">
        <v>360</v>
      </c>
      <c r="C380" s="65">
        <v>1</v>
      </c>
      <c r="D380" s="65">
        <v>1</v>
      </c>
      <c r="E380" s="65">
        <v>0</v>
      </c>
      <c r="F380" s="65">
        <v>1</v>
      </c>
      <c r="G380" s="65">
        <v>1</v>
      </c>
      <c r="H380" s="65">
        <v>1</v>
      </c>
      <c r="I380" s="53" t="s">
        <v>38</v>
      </c>
      <c r="J380" s="67" t="s">
        <v>1538</v>
      </c>
      <c r="K380" s="67" t="s">
        <v>1539</v>
      </c>
      <c r="L380" s="67" t="s">
        <v>748</v>
      </c>
      <c r="M380" s="122" t="s">
        <v>1540</v>
      </c>
      <c r="N380" s="69" t="s">
        <v>1541</v>
      </c>
      <c r="O380" s="67" t="s">
        <v>1542</v>
      </c>
      <c r="P380" s="349"/>
      <c r="Q380" s="107"/>
      <c r="R380" s="107"/>
      <c r="S380" s="108"/>
      <c r="T380" s="108"/>
      <c r="U380" s="108"/>
      <c r="V380" s="108"/>
      <c r="W380" s="108"/>
      <c r="X380" s="108"/>
      <c r="Y380" s="108"/>
      <c r="Z380" s="108"/>
    </row>
    <row r="381" spans="1:26" ht="13.5" customHeight="1">
      <c r="A381" s="1"/>
      <c r="B381" s="918"/>
      <c r="C381" s="145"/>
      <c r="D381" s="145"/>
      <c r="E381" s="145"/>
      <c r="F381" s="145"/>
      <c r="G381" s="145"/>
      <c r="H381" s="145"/>
      <c r="I381" s="17"/>
      <c r="J381" s="67"/>
      <c r="K381" s="106"/>
      <c r="L381" s="107"/>
      <c r="M381" s="69"/>
      <c r="N381" s="109"/>
      <c r="O381" s="106"/>
      <c r="P381" s="19"/>
      <c r="Q381" s="12"/>
      <c r="R381" s="12"/>
      <c r="S381" s="12"/>
      <c r="T381" s="12"/>
      <c r="U381" s="12"/>
      <c r="V381" s="12"/>
      <c r="W381" s="12"/>
      <c r="X381" s="12"/>
      <c r="Y381" s="12"/>
      <c r="Z381" s="12"/>
    </row>
    <row r="382" spans="1:26" ht="42" customHeight="1">
      <c r="A382" s="119" t="s">
        <v>1543</v>
      </c>
      <c r="B382" s="121" t="s">
        <v>362</v>
      </c>
      <c r="C382" s="51">
        <f t="shared" ref="C382:H382" si="53">AVERAGE(C383,C385,C387,C389,C391,C393)</f>
        <v>0.70833333333333337</v>
      </c>
      <c r="D382" s="51">
        <f t="shared" si="53"/>
        <v>0.875</v>
      </c>
      <c r="E382" s="51">
        <f t="shared" si="53"/>
        <v>0.5</v>
      </c>
      <c r="F382" s="51">
        <f t="shared" si="53"/>
        <v>0.70833333333333337</v>
      </c>
      <c r="G382" s="51">
        <f t="shared" si="53"/>
        <v>0.75</v>
      </c>
      <c r="H382" s="51">
        <f t="shared" si="53"/>
        <v>4.1666666666666664E-2</v>
      </c>
      <c r="I382" s="53"/>
      <c r="J382" s="56"/>
      <c r="K382" s="56"/>
      <c r="L382" s="56"/>
      <c r="M382" s="56"/>
      <c r="N382" s="56"/>
      <c r="O382" s="56"/>
      <c r="P382" s="349"/>
      <c r="Q382" s="107"/>
      <c r="R382" s="107"/>
      <c r="S382" s="108"/>
      <c r="T382" s="108"/>
      <c r="U382" s="108"/>
      <c r="V382" s="108"/>
      <c r="W382" s="108"/>
      <c r="X382" s="108"/>
      <c r="Y382" s="108"/>
      <c r="Z382" s="108"/>
    </row>
    <row r="383" spans="1:26" ht="108" customHeight="1">
      <c r="A383" s="104" t="s">
        <v>736</v>
      </c>
      <c r="B383" s="105" t="s">
        <v>363</v>
      </c>
      <c r="C383" s="91">
        <v>0.5</v>
      </c>
      <c r="D383" s="899">
        <v>0.75</v>
      </c>
      <c r="E383" s="91">
        <v>0.5</v>
      </c>
      <c r="F383" s="91">
        <v>0.75</v>
      </c>
      <c r="G383" s="91">
        <v>0.25</v>
      </c>
      <c r="H383" s="91">
        <v>0.25</v>
      </c>
      <c r="I383" s="53" t="s">
        <v>38</v>
      </c>
      <c r="J383" s="67" t="s">
        <v>1544</v>
      </c>
      <c r="K383" s="67" t="s">
        <v>1545</v>
      </c>
      <c r="L383" s="67" t="s">
        <v>1546</v>
      </c>
      <c r="M383" s="122" t="s">
        <v>1547</v>
      </c>
      <c r="N383" s="92" t="s">
        <v>1548</v>
      </c>
      <c r="O383" s="67" t="s">
        <v>1549</v>
      </c>
      <c r="P383" s="341"/>
      <c r="Q383" s="107"/>
      <c r="R383" s="107"/>
      <c r="S383" s="108"/>
      <c r="T383" s="108"/>
      <c r="U383" s="108"/>
      <c r="V383" s="108"/>
      <c r="W383" s="108"/>
      <c r="X383" s="108"/>
      <c r="Y383" s="108"/>
      <c r="Z383" s="108"/>
    </row>
    <row r="384" spans="1:26" ht="13.5" customHeight="1">
      <c r="A384" s="1"/>
      <c r="B384" s="918"/>
      <c r="C384" s="145"/>
      <c r="D384" s="145"/>
      <c r="E384" s="145"/>
      <c r="F384" s="145"/>
      <c r="G384" s="145"/>
      <c r="H384" s="145"/>
      <c r="I384" s="17"/>
      <c r="J384" s="67"/>
      <c r="K384" s="106"/>
      <c r="L384" s="106"/>
      <c r="M384" s="69"/>
      <c r="N384" s="109"/>
      <c r="O384" s="106"/>
      <c r="P384" s="19"/>
      <c r="Q384" s="12"/>
      <c r="R384" s="12"/>
      <c r="S384" s="12"/>
      <c r="T384" s="12"/>
      <c r="U384" s="12"/>
      <c r="V384" s="12"/>
      <c r="W384" s="12"/>
      <c r="X384" s="12"/>
      <c r="Y384" s="12"/>
      <c r="Z384" s="12"/>
    </row>
    <row r="385" spans="1:26" ht="195.75" customHeight="1">
      <c r="A385" s="104" t="s">
        <v>736</v>
      </c>
      <c r="B385" s="105" t="s">
        <v>364</v>
      </c>
      <c r="C385" s="894">
        <v>0.5</v>
      </c>
      <c r="D385" s="902">
        <v>0.5</v>
      </c>
      <c r="E385" s="894">
        <v>0.25</v>
      </c>
      <c r="F385" s="145">
        <v>0.5</v>
      </c>
      <c r="G385" s="902">
        <v>0.5</v>
      </c>
      <c r="H385" s="902">
        <v>0</v>
      </c>
      <c r="I385" s="53" t="s">
        <v>38</v>
      </c>
      <c r="J385" s="69" t="s">
        <v>1550</v>
      </c>
      <c r="K385" s="67" t="s">
        <v>1551</v>
      </c>
      <c r="L385" s="67" t="s">
        <v>811</v>
      </c>
      <c r="M385" s="122" t="s">
        <v>1552</v>
      </c>
      <c r="N385" s="92" t="s">
        <v>1553</v>
      </c>
      <c r="O385" s="67" t="s">
        <v>1554</v>
      </c>
      <c r="P385" s="341"/>
      <c r="Q385" s="107"/>
      <c r="R385" s="107"/>
      <c r="S385" s="108"/>
      <c r="T385" s="108"/>
      <c r="U385" s="108"/>
      <c r="V385" s="108"/>
      <c r="W385" s="108"/>
      <c r="X385" s="108"/>
      <c r="Y385" s="108"/>
      <c r="Z385" s="108"/>
    </row>
    <row r="386" spans="1:26" ht="13.5" customHeight="1">
      <c r="A386" s="1"/>
      <c r="B386" s="918"/>
      <c r="C386" s="145"/>
      <c r="D386" s="145"/>
      <c r="E386" s="145"/>
      <c r="F386" s="145"/>
      <c r="G386" s="145"/>
      <c r="H386" s="145"/>
      <c r="I386" s="17"/>
      <c r="J386" s="67"/>
      <c r="K386" s="106"/>
      <c r="L386" s="106"/>
      <c r="M386" s="69"/>
      <c r="N386" s="109"/>
      <c r="O386" s="106"/>
      <c r="P386" s="19"/>
      <c r="Q386" s="12"/>
      <c r="R386" s="12"/>
      <c r="S386" s="12"/>
      <c r="T386" s="12"/>
      <c r="U386" s="12"/>
      <c r="V386" s="12"/>
      <c r="W386" s="12"/>
      <c r="X386" s="12"/>
      <c r="Y386" s="12"/>
      <c r="Z386" s="12"/>
    </row>
    <row r="387" spans="1:26" ht="159" customHeight="1">
      <c r="A387" s="104" t="s">
        <v>736</v>
      </c>
      <c r="B387" s="105" t="s">
        <v>365</v>
      </c>
      <c r="C387" s="905">
        <v>0.5</v>
      </c>
      <c r="D387" s="902">
        <v>1</v>
      </c>
      <c r="E387" s="902">
        <v>0.25</v>
      </c>
      <c r="F387" s="902">
        <v>1</v>
      </c>
      <c r="G387" s="902">
        <v>1</v>
      </c>
      <c r="H387" s="902">
        <v>0</v>
      </c>
      <c r="I387" s="53" t="s">
        <v>38</v>
      </c>
      <c r="J387" s="67" t="s">
        <v>1555</v>
      </c>
      <c r="K387" s="67" t="s">
        <v>1556</v>
      </c>
      <c r="L387" s="69" t="s">
        <v>1557</v>
      </c>
      <c r="M387" s="122" t="s">
        <v>1558</v>
      </c>
      <c r="N387" s="353" t="s">
        <v>1559</v>
      </c>
      <c r="O387" s="69" t="s">
        <v>1560</v>
      </c>
      <c r="P387" s="341"/>
      <c r="Q387" s="107"/>
      <c r="R387" s="107"/>
      <c r="S387" s="108"/>
      <c r="T387" s="108"/>
      <c r="U387" s="108"/>
      <c r="V387" s="108"/>
      <c r="W387" s="108"/>
      <c r="X387" s="108"/>
      <c r="Y387" s="108"/>
      <c r="Z387" s="108"/>
    </row>
    <row r="388" spans="1:26" ht="22.5" customHeight="1">
      <c r="A388" s="104"/>
      <c r="B388" s="105"/>
      <c r="C388" s="898"/>
      <c r="D388" s="898"/>
      <c r="E388" s="898"/>
      <c r="F388" s="65"/>
      <c r="G388" s="65"/>
      <c r="H388" s="65"/>
      <c r="I388" s="53"/>
      <c r="J388" s="67"/>
      <c r="K388" s="67"/>
      <c r="L388" s="67"/>
      <c r="M388" s="69"/>
      <c r="N388" s="353"/>
      <c r="O388" s="67"/>
      <c r="P388" s="349"/>
      <c r="Q388" s="107"/>
      <c r="R388" s="107"/>
      <c r="S388" s="108"/>
      <c r="T388" s="108"/>
      <c r="U388" s="108"/>
      <c r="V388" s="108"/>
      <c r="W388" s="108"/>
      <c r="X388" s="108"/>
      <c r="Y388" s="108"/>
      <c r="Z388" s="108"/>
    </row>
    <row r="389" spans="1:26" ht="81" customHeight="1">
      <c r="A389" s="104" t="s">
        <v>736</v>
      </c>
      <c r="B389" s="105" t="s">
        <v>366</v>
      </c>
      <c r="C389" s="902">
        <v>0.75</v>
      </c>
      <c r="D389" s="902">
        <v>1</v>
      </c>
      <c r="E389" s="902">
        <v>0</v>
      </c>
      <c r="F389" s="902">
        <v>0</v>
      </c>
      <c r="G389" s="902">
        <v>1</v>
      </c>
      <c r="H389" s="902">
        <v>0</v>
      </c>
      <c r="I389" s="53" t="s">
        <v>38</v>
      </c>
      <c r="J389" s="67" t="s">
        <v>1561</v>
      </c>
      <c r="K389" s="67" t="s">
        <v>1562</v>
      </c>
      <c r="L389" s="147" t="s">
        <v>748</v>
      </c>
      <c r="M389" s="69" t="s">
        <v>1563</v>
      </c>
      <c r="N389" s="92" t="s">
        <v>1564</v>
      </c>
      <c r="O389" s="67" t="s">
        <v>1565</v>
      </c>
      <c r="P389" s="341"/>
      <c r="Q389" s="107"/>
      <c r="R389" s="107"/>
      <c r="S389" s="108"/>
      <c r="T389" s="108"/>
      <c r="U389" s="108"/>
      <c r="V389" s="108"/>
      <c r="W389" s="108"/>
      <c r="X389" s="108"/>
      <c r="Y389" s="108"/>
      <c r="Z389" s="108"/>
    </row>
    <row r="390" spans="1:26" ht="30" customHeight="1">
      <c r="A390" s="104"/>
      <c r="B390" s="105"/>
      <c r="C390" s="65"/>
      <c r="D390" s="65"/>
      <c r="E390" s="65"/>
      <c r="F390" s="65"/>
      <c r="G390" s="65"/>
      <c r="H390" s="65"/>
      <c r="I390" s="53"/>
      <c r="J390" s="67"/>
      <c r="K390" s="67"/>
      <c r="L390" s="67"/>
      <c r="M390" s="69"/>
      <c r="N390" s="69"/>
      <c r="O390" s="67"/>
      <c r="P390" s="349"/>
      <c r="Q390" s="107"/>
      <c r="R390" s="107"/>
      <c r="S390" s="108"/>
      <c r="T390" s="108"/>
      <c r="U390" s="108"/>
      <c r="V390" s="108"/>
      <c r="W390" s="108"/>
      <c r="X390" s="108"/>
      <c r="Y390" s="108"/>
      <c r="Z390" s="108"/>
    </row>
    <row r="391" spans="1:26" ht="121.5" customHeight="1">
      <c r="A391" s="104" t="s">
        <v>736</v>
      </c>
      <c r="B391" s="105" t="s">
        <v>367</v>
      </c>
      <c r="C391" s="902">
        <v>1</v>
      </c>
      <c r="D391" s="902">
        <v>1</v>
      </c>
      <c r="E391" s="902">
        <v>1</v>
      </c>
      <c r="F391" s="902">
        <v>1</v>
      </c>
      <c r="G391" s="902">
        <v>1</v>
      </c>
      <c r="H391" s="902">
        <v>0</v>
      </c>
      <c r="I391" s="53" t="s">
        <v>38</v>
      </c>
      <c r="J391" s="67" t="s">
        <v>1566</v>
      </c>
      <c r="K391" s="67" t="s">
        <v>811</v>
      </c>
      <c r="L391" s="147" t="s">
        <v>811</v>
      </c>
      <c r="M391" s="122" t="s">
        <v>1567</v>
      </c>
      <c r="N391" s="92" t="s">
        <v>1568</v>
      </c>
      <c r="O391" s="67" t="s">
        <v>748</v>
      </c>
      <c r="P391" s="341"/>
      <c r="Q391" s="107"/>
      <c r="R391" s="107"/>
      <c r="S391" s="108"/>
      <c r="T391" s="108"/>
      <c r="U391" s="108"/>
      <c r="V391" s="108"/>
      <c r="W391" s="108"/>
      <c r="X391" s="108"/>
      <c r="Y391" s="108"/>
      <c r="Z391" s="108"/>
    </row>
    <row r="392" spans="1:26" ht="13.5" customHeight="1">
      <c r="A392" s="1"/>
      <c r="B392" s="918"/>
      <c r="C392" s="145"/>
      <c r="D392" s="145"/>
      <c r="E392" s="145"/>
      <c r="F392" s="145"/>
      <c r="G392" s="145"/>
      <c r="H392" s="145"/>
      <c r="I392" s="17"/>
      <c r="J392" s="67"/>
      <c r="K392" s="106"/>
      <c r="L392" s="106"/>
      <c r="M392" s="69"/>
      <c r="N392" s="109"/>
      <c r="O392" s="106"/>
      <c r="P392" s="19"/>
      <c r="Q392" s="12"/>
      <c r="R392" s="12"/>
      <c r="S392" s="12"/>
      <c r="T392" s="12"/>
      <c r="U392" s="12"/>
      <c r="V392" s="12"/>
      <c r="W392" s="12"/>
      <c r="X392" s="12"/>
      <c r="Y392" s="12"/>
      <c r="Z392" s="12"/>
    </row>
    <row r="393" spans="1:26" ht="153.75" customHeight="1">
      <c r="A393" s="104" t="s">
        <v>736</v>
      </c>
      <c r="B393" s="105" t="s">
        <v>368</v>
      </c>
      <c r="C393" s="250">
        <v>1</v>
      </c>
      <c r="D393" s="250">
        <v>1</v>
      </c>
      <c r="E393" s="905">
        <v>1</v>
      </c>
      <c r="F393" s="905">
        <v>1</v>
      </c>
      <c r="G393" s="905">
        <v>0.75</v>
      </c>
      <c r="H393" s="902">
        <v>0</v>
      </c>
      <c r="I393" s="53" t="s">
        <v>38</v>
      </c>
      <c r="J393" s="67" t="s">
        <v>1569</v>
      </c>
      <c r="K393" s="67" t="s">
        <v>811</v>
      </c>
      <c r="L393" s="147" t="s">
        <v>811</v>
      </c>
      <c r="M393" s="69" t="s">
        <v>1570</v>
      </c>
      <c r="N393" s="92" t="s">
        <v>1571</v>
      </c>
      <c r="O393" s="67" t="s">
        <v>748</v>
      </c>
      <c r="P393" s="341"/>
      <c r="Q393" s="107"/>
      <c r="R393" s="107"/>
      <c r="S393" s="108"/>
      <c r="T393" s="108"/>
      <c r="U393" s="108"/>
      <c r="V393" s="108"/>
      <c r="W393" s="108"/>
      <c r="X393" s="108"/>
      <c r="Y393" s="108"/>
      <c r="Z393" s="108"/>
    </row>
    <row r="394" spans="1:26" ht="21" customHeight="1">
      <c r="A394" s="104"/>
      <c r="B394" s="105"/>
      <c r="C394" s="65"/>
      <c r="D394" s="65"/>
      <c r="E394" s="65"/>
      <c r="F394" s="65"/>
      <c r="G394" s="65"/>
      <c r="H394" s="65"/>
      <c r="I394" s="53"/>
      <c r="J394" s="67"/>
      <c r="K394" s="67"/>
      <c r="L394" s="67"/>
      <c r="M394" s="67"/>
      <c r="N394" s="67"/>
      <c r="O394" s="67"/>
      <c r="P394" s="341"/>
      <c r="Q394" s="107"/>
      <c r="R394" s="107"/>
      <c r="S394" s="108"/>
      <c r="T394" s="108"/>
      <c r="U394" s="108"/>
      <c r="V394" s="108"/>
      <c r="W394" s="108"/>
      <c r="X394" s="108"/>
      <c r="Y394" s="108"/>
      <c r="Z394" s="108"/>
    </row>
    <row r="395" spans="1:26" ht="13.5" customHeight="1">
      <c r="A395" s="355" t="s">
        <v>1572</v>
      </c>
      <c r="B395" s="96" t="s">
        <v>84</v>
      </c>
      <c r="C395" s="131">
        <f t="shared" ref="C395:H395" si="54">AVERAGE(C396,C460,C471)</f>
        <v>0.75296463077984821</v>
      </c>
      <c r="D395" s="131">
        <f t="shared" si="54"/>
        <v>0.81464631083679484</v>
      </c>
      <c r="E395" s="131">
        <f t="shared" si="54"/>
        <v>0.29709109730848859</v>
      </c>
      <c r="F395" s="131">
        <f t="shared" si="54"/>
        <v>0.6735443778185779</v>
      </c>
      <c r="G395" s="131">
        <f t="shared" si="54"/>
        <v>0.63927336527902567</v>
      </c>
      <c r="H395" s="131">
        <f t="shared" si="54"/>
        <v>0.37109126984126983</v>
      </c>
      <c r="I395" s="260"/>
      <c r="J395" s="47"/>
      <c r="K395" s="44"/>
      <c r="L395" s="136"/>
      <c r="M395" s="44"/>
      <c r="N395" s="44"/>
      <c r="O395" s="44"/>
      <c r="P395" s="98"/>
      <c r="Q395" s="98"/>
      <c r="R395" s="98"/>
      <c r="S395" s="99"/>
      <c r="T395" s="99"/>
      <c r="U395" s="99"/>
      <c r="V395" s="99"/>
      <c r="W395" s="99"/>
      <c r="X395" s="99"/>
      <c r="Y395" s="99"/>
      <c r="Z395" s="99"/>
    </row>
    <row r="396" spans="1:26" ht="13.5" customHeight="1">
      <c r="A396" s="301" t="s">
        <v>1573</v>
      </c>
      <c r="B396" s="121" t="s">
        <v>86</v>
      </c>
      <c r="C396" s="51">
        <f t="shared" ref="C396:H396" si="55">AVERAGE(C397,C412,C429,C440,C447)</f>
        <v>0.66304761904761911</v>
      </c>
      <c r="D396" s="51">
        <f t="shared" si="55"/>
        <v>0.81378882899071581</v>
      </c>
      <c r="E396" s="51">
        <f t="shared" si="55"/>
        <v>0.25214285714285711</v>
      </c>
      <c r="F396" s="51">
        <f t="shared" si="55"/>
        <v>0.62592557651991609</v>
      </c>
      <c r="G396" s="51">
        <f t="shared" si="55"/>
        <v>0.69103438155136265</v>
      </c>
      <c r="H396" s="51">
        <f t="shared" si="55"/>
        <v>0.37785714285714284</v>
      </c>
      <c r="I396" s="53"/>
      <c r="J396" s="56"/>
      <c r="K396" s="139"/>
      <c r="L396" s="139"/>
      <c r="M396" s="139"/>
      <c r="N396" s="139"/>
      <c r="O396" s="139"/>
      <c r="P396" s="98"/>
      <c r="Q396" s="141"/>
      <c r="R396" s="141"/>
      <c r="S396" s="142"/>
      <c r="T396" s="142"/>
      <c r="U396" s="142"/>
      <c r="V396" s="142"/>
      <c r="W396" s="142"/>
      <c r="X396" s="142"/>
      <c r="Y396" s="142"/>
      <c r="Z396" s="142"/>
    </row>
    <row r="397" spans="1:26" ht="13.5" customHeight="1">
      <c r="A397" s="301" t="s">
        <v>1574</v>
      </c>
      <c r="B397" s="121" t="s">
        <v>88</v>
      </c>
      <c r="C397" s="51">
        <f>AVERAGE(C398,C400,C402,C404,C406,C408,C410)</f>
        <v>0.6428571428571429</v>
      </c>
      <c r="D397" s="51">
        <f>AVERAGE(D398,D400,G402,D404,D406,D408,D410)</f>
        <v>0.7142857142857143</v>
      </c>
      <c r="E397" s="51">
        <f>AVERAGE(E398,E400,E402,E404,E406,E408,E410)</f>
        <v>0.21428571428571427</v>
      </c>
      <c r="F397" s="51">
        <f>AVERAGE(F398,F400,F404,F406,F408,F410)</f>
        <v>0.66666666666666663</v>
      </c>
      <c r="G397" s="51">
        <f>AVERAGE(G398,G400,G404,G406,G408,G410)</f>
        <v>0.5</v>
      </c>
      <c r="H397" s="51">
        <f>AVERAGE(H398,H400,H402,H404,H406,H408,H410)</f>
        <v>0.14285714285714285</v>
      </c>
      <c r="I397" s="53"/>
      <c r="J397" s="56"/>
      <c r="K397" s="139"/>
      <c r="L397" s="139"/>
      <c r="M397" s="139"/>
      <c r="N397" s="139"/>
      <c r="O397" s="139"/>
      <c r="P397" s="98"/>
      <c r="Q397" s="141"/>
      <c r="R397" s="141"/>
      <c r="S397" s="142"/>
      <c r="T397" s="142"/>
      <c r="U397" s="142"/>
      <c r="V397" s="142"/>
      <c r="W397" s="142"/>
      <c r="X397" s="142"/>
      <c r="Y397" s="142"/>
      <c r="Z397" s="142"/>
    </row>
    <row r="398" spans="1:26" ht="201.75" customHeight="1">
      <c r="A398" s="104" t="s">
        <v>736</v>
      </c>
      <c r="B398" s="105" t="s">
        <v>1575</v>
      </c>
      <c r="C398" s="65">
        <v>0</v>
      </c>
      <c r="D398" s="65">
        <v>1</v>
      </c>
      <c r="E398" s="896">
        <v>0.5</v>
      </c>
      <c r="F398" s="65">
        <v>0</v>
      </c>
      <c r="G398" s="65">
        <v>0</v>
      </c>
      <c r="H398" s="65">
        <v>0</v>
      </c>
      <c r="I398" s="53" t="s">
        <v>38</v>
      </c>
      <c r="J398" s="67" t="s">
        <v>1576</v>
      </c>
      <c r="K398" s="67" t="s">
        <v>1577</v>
      </c>
      <c r="L398" s="67" t="s">
        <v>1578</v>
      </c>
      <c r="M398" s="67" t="s">
        <v>1579</v>
      </c>
      <c r="N398" s="69" t="s">
        <v>1580</v>
      </c>
      <c r="O398" s="67" t="s">
        <v>1581</v>
      </c>
      <c r="P398" s="101"/>
      <c r="Q398" s="107"/>
      <c r="R398" s="107"/>
      <c r="S398" s="108"/>
      <c r="T398" s="108"/>
      <c r="U398" s="108"/>
      <c r="V398" s="108"/>
      <c r="W398" s="108"/>
      <c r="X398" s="108"/>
      <c r="Y398" s="108"/>
      <c r="Z398" s="108"/>
    </row>
    <row r="399" spans="1:26" ht="13.5" customHeight="1">
      <c r="A399" s="1"/>
      <c r="B399" s="918"/>
      <c r="C399" s="145"/>
      <c r="D399" s="145"/>
      <c r="E399" s="145"/>
      <c r="F399" s="145"/>
      <c r="G399" s="145"/>
      <c r="H399" s="145"/>
      <c r="I399" s="17"/>
      <c r="J399" s="67"/>
      <c r="K399" s="106"/>
      <c r="L399" s="106"/>
      <c r="M399" s="67"/>
      <c r="N399" s="109"/>
      <c r="O399" s="106"/>
      <c r="P399" s="19"/>
      <c r="Q399" s="12"/>
      <c r="R399" s="12"/>
      <c r="S399" s="12"/>
      <c r="T399" s="12"/>
      <c r="U399" s="12"/>
      <c r="V399" s="12"/>
      <c r="W399" s="12"/>
      <c r="X399" s="12"/>
      <c r="Y399" s="12"/>
      <c r="Z399" s="12"/>
    </row>
    <row r="400" spans="1:26" ht="147.75" customHeight="1">
      <c r="A400" s="104" t="s">
        <v>736</v>
      </c>
      <c r="B400" s="105" t="s">
        <v>89</v>
      </c>
      <c r="C400" s="65">
        <v>1</v>
      </c>
      <c r="D400" s="65">
        <v>1</v>
      </c>
      <c r="E400" s="65">
        <v>0</v>
      </c>
      <c r="F400" s="65">
        <v>1</v>
      </c>
      <c r="G400" s="65">
        <v>1</v>
      </c>
      <c r="H400" s="65">
        <v>0</v>
      </c>
      <c r="I400" s="53" t="s">
        <v>38</v>
      </c>
      <c r="J400" s="67" t="s">
        <v>1582</v>
      </c>
      <c r="K400" s="67" t="s">
        <v>1583</v>
      </c>
      <c r="L400" s="147" t="s">
        <v>748</v>
      </c>
      <c r="M400" s="67" t="s">
        <v>1584</v>
      </c>
      <c r="N400" s="69" t="s">
        <v>1585</v>
      </c>
      <c r="O400" s="67" t="s">
        <v>1586</v>
      </c>
      <c r="P400" s="101"/>
      <c r="Q400" s="107"/>
      <c r="R400" s="107"/>
      <c r="S400" s="108"/>
      <c r="T400" s="108"/>
      <c r="U400" s="108"/>
      <c r="V400" s="108"/>
      <c r="W400" s="108"/>
      <c r="X400" s="108"/>
      <c r="Y400" s="108"/>
      <c r="Z400" s="108"/>
    </row>
    <row r="401" spans="1:26" ht="22.5" customHeight="1">
      <c r="A401" s="104"/>
      <c r="B401" s="105"/>
      <c r="C401" s="65"/>
      <c r="D401" s="65"/>
      <c r="E401" s="65"/>
      <c r="F401" s="65"/>
      <c r="G401" s="65"/>
      <c r="H401" s="65"/>
      <c r="I401" s="53"/>
      <c r="J401" s="67"/>
      <c r="K401" s="67"/>
      <c r="L401" s="147"/>
      <c r="M401" s="67"/>
      <c r="N401" s="69"/>
      <c r="O401" s="67"/>
      <c r="P401" s="101"/>
      <c r="Q401" s="107"/>
      <c r="R401" s="107"/>
      <c r="S401" s="108"/>
      <c r="T401" s="108"/>
      <c r="U401" s="108"/>
      <c r="V401" s="108"/>
      <c r="W401" s="108"/>
      <c r="X401" s="108"/>
      <c r="Y401" s="108"/>
      <c r="Z401" s="108"/>
    </row>
    <row r="402" spans="1:26" ht="102" customHeight="1">
      <c r="A402" s="104" t="s">
        <v>736</v>
      </c>
      <c r="B402" s="105" t="s">
        <v>90</v>
      </c>
      <c r="C402" s="148">
        <v>0.5</v>
      </c>
      <c r="D402" s="65">
        <v>1</v>
      </c>
      <c r="E402" s="65">
        <v>0</v>
      </c>
      <c r="F402" s="108">
        <v>1</v>
      </c>
      <c r="G402" s="898">
        <v>0.5</v>
      </c>
      <c r="H402" s="65">
        <v>0</v>
      </c>
      <c r="I402" s="53" t="s">
        <v>91</v>
      </c>
      <c r="J402" s="67" t="s">
        <v>1587</v>
      </c>
      <c r="K402" s="67" t="s">
        <v>1588</v>
      </c>
      <c r="L402" s="147" t="s">
        <v>748</v>
      </c>
      <c r="M402" s="67" t="s">
        <v>1589</v>
      </c>
      <c r="N402" s="69" t="s">
        <v>1590</v>
      </c>
      <c r="O402" s="67" t="s">
        <v>1591</v>
      </c>
      <c r="P402" s="101"/>
      <c r="Q402" s="107"/>
      <c r="R402" s="107"/>
      <c r="S402" s="108"/>
      <c r="T402" s="108"/>
      <c r="U402" s="108"/>
      <c r="V402" s="108"/>
      <c r="W402" s="108"/>
      <c r="X402" s="108"/>
      <c r="Y402" s="108"/>
      <c r="Z402" s="108"/>
    </row>
    <row r="403" spans="1:26" ht="13.5" customHeight="1">
      <c r="A403" s="1"/>
      <c r="B403" s="918"/>
      <c r="C403" s="145"/>
      <c r="D403" s="145"/>
      <c r="E403" s="145"/>
      <c r="F403" s="145"/>
      <c r="G403" s="145"/>
      <c r="H403" s="145"/>
      <c r="I403" s="17"/>
      <c r="J403" s="67"/>
      <c r="K403" s="106"/>
      <c r="L403" s="106"/>
      <c r="M403" s="67"/>
      <c r="N403" s="109"/>
      <c r="O403" s="106"/>
      <c r="P403" s="19"/>
      <c r="Q403" s="12"/>
      <c r="R403" s="12"/>
      <c r="S403" s="12"/>
      <c r="T403" s="12"/>
      <c r="U403" s="12"/>
      <c r="V403" s="12"/>
      <c r="W403" s="12"/>
      <c r="X403" s="12"/>
      <c r="Y403" s="12"/>
      <c r="Z403" s="12"/>
    </row>
    <row r="404" spans="1:26" ht="199.5" customHeight="1">
      <c r="A404" s="104" t="s">
        <v>736</v>
      </c>
      <c r="B404" s="105" t="s">
        <v>92</v>
      </c>
      <c r="C404" s="145">
        <v>0</v>
      </c>
      <c r="D404" s="145">
        <v>1</v>
      </c>
      <c r="E404" s="145">
        <v>0</v>
      </c>
      <c r="F404" s="900">
        <v>1</v>
      </c>
      <c r="G404" s="900">
        <v>0.5</v>
      </c>
      <c r="H404" s="145">
        <v>0</v>
      </c>
      <c r="I404" s="150" t="s">
        <v>93</v>
      </c>
      <c r="J404" s="67" t="s">
        <v>1592</v>
      </c>
      <c r="K404" s="67" t="s">
        <v>1593</v>
      </c>
      <c r="L404" s="147" t="s">
        <v>748</v>
      </c>
      <c r="M404" s="67" t="s">
        <v>1594</v>
      </c>
      <c r="N404" s="69" t="s">
        <v>1595</v>
      </c>
      <c r="O404" s="67" t="s">
        <v>1596</v>
      </c>
      <c r="P404" s="101"/>
      <c r="Q404" s="107"/>
      <c r="R404" s="107"/>
      <c r="S404" s="108"/>
      <c r="T404" s="108"/>
      <c r="U404" s="108"/>
      <c r="V404" s="108"/>
      <c r="W404" s="108"/>
      <c r="X404" s="108"/>
      <c r="Y404" s="108"/>
      <c r="Z404" s="108"/>
    </row>
    <row r="405" spans="1:26" ht="13.5" customHeight="1">
      <c r="A405" s="1"/>
      <c r="B405" s="918"/>
      <c r="C405" s="145"/>
      <c r="D405" s="145"/>
      <c r="E405" s="145"/>
      <c r="F405" s="145"/>
      <c r="G405" s="145"/>
      <c r="H405" s="145"/>
      <c r="I405" s="17"/>
      <c r="J405" s="67"/>
      <c r="K405" s="106"/>
      <c r="L405" s="106"/>
      <c r="M405" s="67"/>
      <c r="N405" s="109"/>
      <c r="O405" s="106"/>
      <c r="P405" s="19"/>
      <c r="Q405" s="12"/>
      <c r="R405" s="12"/>
      <c r="S405" s="12"/>
      <c r="T405" s="12"/>
      <c r="U405" s="12"/>
      <c r="V405" s="12"/>
      <c r="W405" s="12"/>
      <c r="X405" s="12"/>
      <c r="Y405" s="12"/>
      <c r="Z405" s="12"/>
    </row>
    <row r="406" spans="1:26" ht="142.5" customHeight="1">
      <c r="A406" s="104" t="s">
        <v>736</v>
      </c>
      <c r="B406" s="152" t="s">
        <v>94</v>
      </c>
      <c r="C406" s="153">
        <v>1</v>
      </c>
      <c r="D406" s="897">
        <v>0.5</v>
      </c>
      <c r="E406" s="896">
        <v>0</v>
      </c>
      <c r="F406" s="153">
        <v>1</v>
      </c>
      <c r="G406" s="896">
        <v>0.5</v>
      </c>
      <c r="H406" s="896">
        <v>0</v>
      </c>
      <c r="I406" s="53" t="s">
        <v>95</v>
      </c>
      <c r="J406" s="67" t="s">
        <v>1597</v>
      </c>
      <c r="K406" s="67" t="s">
        <v>1598</v>
      </c>
      <c r="L406" s="69" t="s">
        <v>1599</v>
      </c>
      <c r="M406" s="67" t="s">
        <v>1600</v>
      </c>
      <c r="N406" s="69" t="s">
        <v>1601</v>
      </c>
      <c r="O406" s="69" t="s">
        <v>1602</v>
      </c>
      <c r="P406" s="101"/>
      <c r="Q406" s="107"/>
      <c r="R406" s="107"/>
      <c r="S406" s="108"/>
      <c r="T406" s="108"/>
      <c r="U406" s="108"/>
      <c r="V406" s="108"/>
      <c r="W406" s="108"/>
      <c r="X406" s="108"/>
      <c r="Y406" s="108"/>
      <c r="Z406" s="108"/>
    </row>
    <row r="407" spans="1:26" ht="13.5" customHeight="1">
      <c r="A407" s="1"/>
      <c r="B407" s="918"/>
      <c r="C407" s="145"/>
      <c r="D407" s="145"/>
      <c r="E407" s="145"/>
      <c r="F407" s="145"/>
      <c r="G407" s="145"/>
      <c r="H407" s="145"/>
      <c r="I407" s="17"/>
      <c r="J407" s="67"/>
      <c r="K407" s="106"/>
      <c r="L407" s="106"/>
      <c r="M407" s="67"/>
      <c r="N407" s="109"/>
      <c r="O407" s="106"/>
      <c r="P407" s="19"/>
      <c r="Q407" s="12"/>
      <c r="R407" s="12"/>
      <c r="S407" s="12"/>
      <c r="T407" s="12"/>
      <c r="U407" s="12"/>
      <c r="V407" s="12"/>
      <c r="W407" s="12"/>
      <c r="X407" s="12"/>
      <c r="Y407" s="12"/>
      <c r="Z407" s="12"/>
    </row>
    <row r="408" spans="1:26" ht="88.5" customHeight="1">
      <c r="A408" s="104" t="s">
        <v>736</v>
      </c>
      <c r="B408" s="105" t="s">
        <v>96</v>
      </c>
      <c r="C408" s="65">
        <v>1</v>
      </c>
      <c r="D408" s="65">
        <v>0</v>
      </c>
      <c r="E408" s="65">
        <v>0</v>
      </c>
      <c r="F408" s="899">
        <v>0</v>
      </c>
      <c r="G408" s="65">
        <v>0</v>
      </c>
      <c r="H408" s="65">
        <v>0</v>
      </c>
      <c r="I408" s="53" t="s">
        <v>38</v>
      </c>
      <c r="J408" s="67" t="s">
        <v>1603</v>
      </c>
      <c r="K408" s="67" t="s">
        <v>1604</v>
      </c>
      <c r="L408" s="67" t="s">
        <v>748</v>
      </c>
      <c r="M408" s="67" t="s">
        <v>1605</v>
      </c>
      <c r="N408" s="69" t="s">
        <v>1606</v>
      </c>
      <c r="O408" s="67" t="s">
        <v>1607</v>
      </c>
      <c r="P408" s="101"/>
      <c r="Q408" s="107"/>
      <c r="R408" s="107"/>
      <c r="S408" s="108"/>
      <c r="T408" s="108"/>
      <c r="U408" s="108"/>
      <c r="V408" s="108"/>
      <c r="W408" s="108"/>
      <c r="X408" s="108"/>
      <c r="Y408" s="108"/>
      <c r="Z408" s="108"/>
    </row>
    <row r="409" spans="1:26" ht="13.5" customHeight="1">
      <c r="A409" s="104"/>
      <c r="B409" s="105"/>
      <c r="C409" s="65"/>
      <c r="D409" s="65"/>
      <c r="E409" s="65"/>
      <c r="F409" s="155"/>
      <c r="G409" s="65"/>
      <c r="H409" s="65"/>
      <c r="I409" s="53"/>
      <c r="J409" s="67"/>
      <c r="K409" s="67"/>
      <c r="L409" s="67"/>
      <c r="M409" s="67"/>
      <c r="N409" s="157"/>
      <c r="O409" s="67"/>
      <c r="P409" s="101"/>
      <c r="Q409" s="107"/>
      <c r="R409" s="107"/>
      <c r="S409" s="108"/>
      <c r="T409" s="108"/>
      <c r="U409" s="108"/>
      <c r="V409" s="108"/>
      <c r="W409" s="108"/>
      <c r="X409" s="108"/>
      <c r="Y409" s="108"/>
      <c r="Z409" s="108"/>
    </row>
    <row r="410" spans="1:26" ht="129" customHeight="1">
      <c r="A410" s="104" t="s">
        <v>736</v>
      </c>
      <c r="B410" s="152" t="s">
        <v>97</v>
      </c>
      <c r="C410" s="65">
        <v>1</v>
      </c>
      <c r="D410" s="65">
        <v>1</v>
      </c>
      <c r="E410" s="898">
        <v>1</v>
      </c>
      <c r="F410" s="898">
        <v>1</v>
      </c>
      <c r="G410" s="898">
        <v>1</v>
      </c>
      <c r="H410" s="896">
        <v>1</v>
      </c>
      <c r="I410" s="53" t="s">
        <v>38</v>
      </c>
      <c r="J410" s="67" t="s">
        <v>1608</v>
      </c>
      <c r="K410" s="67" t="s">
        <v>1609</v>
      </c>
      <c r="L410" s="67" t="s">
        <v>1610</v>
      </c>
      <c r="M410" s="67" t="s">
        <v>1611</v>
      </c>
      <c r="N410" s="69" t="s">
        <v>1612</v>
      </c>
      <c r="O410" s="67" t="s">
        <v>1613</v>
      </c>
      <c r="P410" s="101"/>
      <c r="Q410" s="107"/>
      <c r="R410" s="107"/>
      <c r="S410" s="108"/>
      <c r="T410" s="108"/>
      <c r="U410" s="108"/>
      <c r="V410" s="108"/>
      <c r="W410" s="108"/>
      <c r="X410" s="108"/>
      <c r="Y410" s="108"/>
      <c r="Z410" s="108"/>
    </row>
    <row r="411" spans="1:26" ht="13.5" customHeight="1">
      <c r="A411" s="1"/>
      <c r="B411" s="918"/>
      <c r="C411" s="145"/>
      <c r="D411" s="145"/>
      <c r="E411" s="145"/>
      <c r="F411" s="145"/>
      <c r="G411" s="145"/>
      <c r="H411" s="145"/>
      <c r="I411" s="17"/>
      <c r="J411" s="67"/>
      <c r="K411" s="106"/>
      <c r="L411" s="159"/>
      <c r="M411" s="67"/>
      <c r="N411" s="106"/>
      <c r="O411" s="106"/>
      <c r="P411" s="19"/>
      <c r="Q411" s="12"/>
      <c r="R411" s="12"/>
      <c r="S411" s="12"/>
      <c r="T411" s="12"/>
      <c r="U411" s="12"/>
      <c r="V411" s="12"/>
      <c r="W411" s="12"/>
      <c r="X411" s="12"/>
      <c r="Y411" s="12"/>
      <c r="Z411" s="12"/>
    </row>
    <row r="412" spans="1:26" ht="13.5" customHeight="1">
      <c r="A412" s="363" t="s">
        <v>1614</v>
      </c>
      <c r="B412" s="121" t="s">
        <v>99</v>
      </c>
      <c r="C412" s="162">
        <f t="shared" ref="C412:H412" si="56">AVERAGE(C413,C415,C417,C419,C421,C423,C425,C427)</f>
        <v>0.6875</v>
      </c>
      <c r="D412" s="162">
        <f t="shared" si="56"/>
        <v>0.9375</v>
      </c>
      <c r="E412" s="162">
        <f t="shared" si="56"/>
        <v>0</v>
      </c>
      <c r="F412" s="162">
        <f t="shared" si="56"/>
        <v>0.9375</v>
      </c>
      <c r="G412" s="162">
        <f t="shared" si="56"/>
        <v>0.8125</v>
      </c>
      <c r="H412" s="162">
        <f t="shared" si="56"/>
        <v>0.375</v>
      </c>
      <c r="I412" s="53"/>
      <c r="J412" s="56"/>
      <c r="K412" s="139"/>
      <c r="L412" s="139"/>
      <c r="M412" s="139"/>
      <c r="N412" s="139"/>
      <c r="O412" s="139"/>
      <c r="P412" s="98"/>
      <c r="Q412" s="141"/>
      <c r="R412" s="141"/>
      <c r="S412" s="142"/>
      <c r="T412" s="142"/>
      <c r="U412" s="142"/>
      <c r="V412" s="142"/>
      <c r="W412" s="142"/>
      <c r="X412" s="142"/>
      <c r="Y412" s="142"/>
      <c r="Z412" s="142"/>
    </row>
    <row r="413" spans="1:26" ht="160.5" customHeight="1">
      <c r="A413" s="164" t="s">
        <v>736</v>
      </c>
      <c r="B413" s="152" t="s">
        <v>1615</v>
      </c>
      <c r="C413" s="153">
        <v>0.5</v>
      </c>
      <c r="D413" s="153">
        <v>0.5</v>
      </c>
      <c r="E413" s="153">
        <v>0</v>
      </c>
      <c r="F413" s="897">
        <v>0.5</v>
      </c>
      <c r="G413" s="153">
        <v>0.5</v>
      </c>
      <c r="H413" s="896">
        <v>1</v>
      </c>
      <c r="I413" s="53" t="s">
        <v>38</v>
      </c>
      <c r="J413" s="67" t="s">
        <v>1616</v>
      </c>
      <c r="K413" s="67" t="s">
        <v>1617</v>
      </c>
      <c r="L413" s="147" t="s">
        <v>1618</v>
      </c>
      <c r="M413" s="69" t="s">
        <v>1619</v>
      </c>
      <c r="N413" s="69" t="s">
        <v>1620</v>
      </c>
      <c r="O413" s="67" t="s">
        <v>1621</v>
      </c>
      <c r="P413" s="101"/>
      <c r="Q413" s="107"/>
      <c r="R413" s="107"/>
      <c r="S413" s="108"/>
      <c r="T413" s="108"/>
      <c r="U413" s="108"/>
      <c r="V413" s="108"/>
      <c r="W413" s="108"/>
      <c r="X413" s="108"/>
      <c r="Y413" s="108"/>
      <c r="Z413" s="108"/>
    </row>
    <row r="414" spans="1:26" ht="13.5" customHeight="1">
      <c r="A414" s="1"/>
      <c r="B414" s="920"/>
      <c r="C414" s="145"/>
      <c r="D414" s="145"/>
      <c r="E414" s="145"/>
      <c r="F414" s="145"/>
      <c r="G414" s="145"/>
      <c r="H414" s="145"/>
      <c r="I414" s="17"/>
      <c r="J414" s="67"/>
      <c r="K414" s="106"/>
      <c r="L414" s="106"/>
      <c r="M414" s="67"/>
      <c r="N414" s="109"/>
      <c r="O414" s="106"/>
      <c r="P414" s="19"/>
      <c r="Q414" s="12"/>
      <c r="R414" s="12"/>
      <c r="S414" s="12"/>
      <c r="T414" s="12"/>
      <c r="U414" s="12"/>
      <c r="V414" s="12"/>
      <c r="W414" s="12"/>
      <c r="X414" s="12"/>
      <c r="Y414" s="12"/>
      <c r="Z414" s="12"/>
    </row>
    <row r="415" spans="1:26" ht="162.75" customHeight="1">
      <c r="A415" s="164" t="s">
        <v>736</v>
      </c>
      <c r="B415" s="152" t="s">
        <v>1622</v>
      </c>
      <c r="C415" s="897">
        <v>1</v>
      </c>
      <c r="D415" s="897">
        <v>1</v>
      </c>
      <c r="E415" s="897">
        <v>0</v>
      </c>
      <c r="F415" s="897">
        <v>1</v>
      </c>
      <c r="G415" s="897">
        <v>1</v>
      </c>
      <c r="H415" s="897">
        <v>0</v>
      </c>
      <c r="I415" s="53" t="s">
        <v>38</v>
      </c>
      <c r="J415" s="67" t="s">
        <v>1623</v>
      </c>
      <c r="K415" s="67" t="s">
        <v>1624</v>
      </c>
      <c r="L415" s="67" t="s">
        <v>1625</v>
      </c>
      <c r="M415" s="67" t="s">
        <v>1626</v>
      </c>
      <c r="N415" s="92" t="s">
        <v>1627</v>
      </c>
      <c r="O415" s="67" t="s">
        <v>1628</v>
      </c>
      <c r="P415" s="101"/>
      <c r="Q415" s="107"/>
      <c r="R415" s="107"/>
      <c r="S415" s="108"/>
      <c r="T415" s="108"/>
      <c r="U415" s="108"/>
      <c r="V415" s="108"/>
      <c r="W415" s="108"/>
      <c r="X415" s="108"/>
      <c r="Y415" s="108"/>
      <c r="Z415" s="108"/>
    </row>
    <row r="416" spans="1:26" ht="13.5" customHeight="1">
      <c r="A416" s="1"/>
      <c r="B416" s="918"/>
      <c r="C416" s="145"/>
      <c r="D416" s="145"/>
      <c r="E416" s="145"/>
      <c r="F416" s="145"/>
      <c r="G416" s="145"/>
      <c r="H416" s="145"/>
      <c r="I416" s="17"/>
      <c r="J416" s="67"/>
      <c r="K416" s="106"/>
      <c r="L416" s="106"/>
      <c r="M416" s="67"/>
      <c r="N416" s="109"/>
      <c r="O416" s="106"/>
      <c r="P416" s="19"/>
      <c r="Q416" s="12"/>
      <c r="R416" s="12"/>
      <c r="S416" s="12"/>
      <c r="T416" s="12"/>
      <c r="U416" s="12"/>
      <c r="V416" s="12"/>
      <c r="W416" s="12"/>
      <c r="X416" s="12"/>
      <c r="Y416" s="12"/>
      <c r="Z416" s="12"/>
    </row>
    <row r="417" spans="1:26" ht="183.75" customHeight="1">
      <c r="A417" s="104" t="s">
        <v>736</v>
      </c>
      <c r="B417" s="105" t="s">
        <v>100</v>
      </c>
      <c r="C417" s="896">
        <v>0</v>
      </c>
      <c r="D417" s="896">
        <v>1</v>
      </c>
      <c r="E417" s="153">
        <v>0</v>
      </c>
      <c r="F417" s="153">
        <v>1</v>
      </c>
      <c r="G417" s="896">
        <v>1</v>
      </c>
      <c r="H417" s="896">
        <v>0</v>
      </c>
      <c r="I417" s="53" t="s">
        <v>101</v>
      </c>
      <c r="J417" s="67" t="s">
        <v>1629</v>
      </c>
      <c r="K417" s="67" t="s">
        <v>1630</v>
      </c>
      <c r="L417" s="67" t="s">
        <v>1631</v>
      </c>
      <c r="M417" s="69" t="s">
        <v>1632</v>
      </c>
      <c r="N417" s="69" t="s">
        <v>1633</v>
      </c>
      <c r="O417" s="67" t="s">
        <v>1634</v>
      </c>
      <c r="P417" s="101"/>
      <c r="Q417" s="107"/>
      <c r="R417" s="107"/>
      <c r="S417" s="108"/>
      <c r="T417" s="108"/>
      <c r="U417" s="108"/>
      <c r="V417" s="108"/>
      <c r="W417" s="108"/>
      <c r="X417" s="108"/>
      <c r="Y417" s="108"/>
      <c r="Z417" s="108"/>
    </row>
    <row r="418" spans="1:26" ht="13.5" customHeight="1">
      <c r="A418" s="1"/>
      <c r="B418" s="918"/>
      <c r="C418" s="145"/>
      <c r="D418" s="145"/>
      <c r="E418" s="145"/>
      <c r="F418" s="145"/>
      <c r="G418" s="145"/>
      <c r="H418" s="145"/>
      <c r="I418" s="17"/>
      <c r="J418" s="67"/>
      <c r="K418" s="106"/>
      <c r="L418" s="106"/>
      <c r="M418" s="67"/>
      <c r="N418" s="109"/>
      <c r="O418" s="106"/>
      <c r="P418" s="19"/>
      <c r="Q418" s="12"/>
      <c r="R418" s="12"/>
      <c r="S418" s="12"/>
      <c r="T418" s="12"/>
      <c r="U418" s="12"/>
      <c r="V418" s="12"/>
      <c r="W418" s="12"/>
      <c r="X418" s="12"/>
      <c r="Y418" s="12"/>
      <c r="Z418" s="12"/>
    </row>
    <row r="419" spans="1:26" ht="183.75" customHeight="1">
      <c r="A419" s="104" t="s">
        <v>736</v>
      </c>
      <c r="B419" s="921" t="s">
        <v>102</v>
      </c>
      <c r="C419" s="153">
        <v>1</v>
      </c>
      <c r="D419" s="153">
        <v>1</v>
      </c>
      <c r="E419" s="153">
        <v>0</v>
      </c>
      <c r="F419" s="897">
        <v>1</v>
      </c>
      <c r="G419" s="897">
        <v>0</v>
      </c>
      <c r="H419" s="897">
        <v>0</v>
      </c>
      <c r="I419" s="53" t="s">
        <v>103</v>
      </c>
      <c r="J419" s="67" t="s">
        <v>1635</v>
      </c>
      <c r="K419" s="67" t="s">
        <v>1636</v>
      </c>
      <c r="L419" s="67" t="s">
        <v>748</v>
      </c>
      <c r="M419" s="67" t="s">
        <v>1637</v>
      </c>
      <c r="N419" s="92" t="s">
        <v>1638</v>
      </c>
      <c r="O419" s="67" t="s">
        <v>1639</v>
      </c>
      <c r="P419" s="101"/>
      <c r="Q419" s="107"/>
      <c r="R419" s="107"/>
      <c r="S419" s="108"/>
      <c r="T419" s="108"/>
      <c r="U419" s="108"/>
      <c r="V419" s="108"/>
      <c r="W419" s="108"/>
      <c r="X419" s="108"/>
      <c r="Y419" s="108"/>
      <c r="Z419" s="108"/>
    </row>
    <row r="420" spans="1:26" ht="13.5" customHeight="1">
      <c r="A420" s="104"/>
      <c r="B420" s="921"/>
      <c r="C420" s="65"/>
      <c r="D420" s="65"/>
      <c r="E420" s="65"/>
      <c r="F420" s="65"/>
      <c r="G420" s="898"/>
      <c r="H420" s="65"/>
      <c r="I420" s="53"/>
      <c r="J420" s="67"/>
      <c r="K420" s="67"/>
      <c r="L420" s="67"/>
      <c r="M420" s="67"/>
      <c r="N420" s="92"/>
      <c r="O420" s="67"/>
      <c r="P420" s="101"/>
      <c r="Q420" s="107"/>
      <c r="R420" s="107"/>
      <c r="S420" s="108"/>
      <c r="T420" s="108"/>
      <c r="U420" s="108"/>
      <c r="V420" s="108"/>
      <c r="W420" s="108"/>
      <c r="X420" s="108"/>
      <c r="Y420" s="108"/>
      <c r="Z420" s="108"/>
    </row>
    <row r="421" spans="1:26" ht="116.25" customHeight="1">
      <c r="A421" s="104" t="s">
        <v>736</v>
      </c>
      <c r="B421" s="105" t="s">
        <v>104</v>
      </c>
      <c r="C421" s="65">
        <v>0</v>
      </c>
      <c r="D421" s="65">
        <v>1</v>
      </c>
      <c r="E421" s="65">
        <v>0</v>
      </c>
      <c r="F421" s="65">
        <v>1</v>
      </c>
      <c r="G421" s="91">
        <v>1</v>
      </c>
      <c r="H421" s="65">
        <v>0</v>
      </c>
      <c r="I421" s="53" t="s">
        <v>38</v>
      </c>
      <c r="J421" s="67" t="s">
        <v>1640</v>
      </c>
      <c r="K421" s="67" t="s">
        <v>1134</v>
      </c>
      <c r="L421" s="147" t="s">
        <v>748</v>
      </c>
      <c r="M421" s="67" t="s">
        <v>1641</v>
      </c>
      <c r="N421" s="67" t="s">
        <v>1642</v>
      </c>
      <c r="O421" s="67" t="s">
        <v>748</v>
      </c>
      <c r="P421" s="101"/>
      <c r="Q421" s="107"/>
      <c r="R421" s="107"/>
      <c r="S421" s="108"/>
      <c r="T421" s="108"/>
      <c r="U421" s="108"/>
      <c r="V421" s="108"/>
      <c r="W421" s="108"/>
      <c r="X421" s="108"/>
      <c r="Y421" s="108"/>
      <c r="Z421" s="108"/>
    </row>
    <row r="422" spans="1:26" ht="13.5" customHeight="1">
      <c r="A422" s="1"/>
      <c r="B422" s="918"/>
      <c r="C422" s="145"/>
      <c r="D422" s="145"/>
      <c r="E422" s="145"/>
      <c r="F422" s="145"/>
      <c r="G422" s="145"/>
      <c r="H422" s="145"/>
      <c r="I422" s="17"/>
      <c r="J422" s="67"/>
      <c r="K422" s="106"/>
      <c r="L422" s="106"/>
      <c r="M422" s="67"/>
      <c r="N422" s="106"/>
      <c r="O422" s="106"/>
      <c r="P422" s="19"/>
      <c r="Q422" s="12"/>
      <c r="R422" s="12"/>
      <c r="S422" s="12"/>
      <c r="T422" s="12"/>
      <c r="U422" s="12"/>
      <c r="V422" s="12"/>
      <c r="W422" s="12"/>
      <c r="X422" s="12"/>
      <c r="Y422" s="12"/>
      <c r="Z422" s="12"/>
    </row>
    <row r="423" spans="1:26" ht="101.25" customHeight="1">
      <c r="A423" s="104" t="s">
        <v>736</v>
      </c>
      <c r="B423" s="105" t="s">
        <v>105</v>
      </c>
      <c r="C423" s="65">
        <v>1</v>
      </c>
      <c r="D423" s="65">
        <v>1</v>
      </c>
      <c r="E423" s="65">
        <v>0</v>
      </c>
      <c r="F423" s="65">
        <v>1</v>
      </c>
      <c r="G423" s="898">
        <v>1</v>
      </c>
      <c r="H423" s="898">
        <v>1</v>
      </c>
      <c r="I423" s="53" t="s">
        <v>38</v>
      </c>
      <c r="J423" s="67" t="s">
        <v>1643</v>
      </c>
      <c r="K423" s="67" t="s">
        <v>1644</v>
      </c>
      <c r="L423" s="67" t="s">
        <v>1645</v>
      </c>
      <c r="M423" s="67" t="s">
        <v>1646</v>
      </c>
      <c r="N423" s="67" t="s">
        <v>1647</v>
      </c>
      <c r="O423" s="69" t="s">
        <v>811</v>
      </c>
      <c r="P423" s="101"/>
      <c r="Q423" s="107"/>
      <c r="R423" s="107"/>
      <c r="S423" s="108"/>
      <c r="T423" s="108"/>
      <c r="U423" s="108"/>
      <c r="V423" s="108"/>
      <c r="W423" s="108"/>
      <c r="X423" s="108"/>
      <c r="Y423" s="108"/>
      <c r="Z423" s="108"/>
    </row>
    <row r="424" spans="1:26" ht="13.5" customHeight="1">
      <c r="A424" s="104"/>
      <c r="B424" s="105"/>
      <c r="C424" s="65"/>
      <c r="D424" s="65"/>
      <c r="E424" s="65"/>
      <c r="F424" s="65"/>
      <c r="G424" s="898"/>
      <c r="H424" s="898"/>
      <c r="I424" s="53"/>
      <c r="J424" s="67"/>
      <c r="K424" s="67"/>
      <c r="L424" s="67"/>
      <c r="M424" s="67"/>
      <c r="N424" s="67"/>
      <c r="O424" s="67"/>
      <c r="P424" s="101"/>
      <c r="Q424" s="107"/>
      <c r="R424" s="107"/>
      <c r="S424" s="108"/>
      <c r="T424" s="108"/>
      <c r="U424" s="108"/>
      <c r="V424" s="108"/>
      <c r="W424" s="108"/>
      <c r="X424" s="108"/>
      <c r="Y424" s="108"/>
      <c r="Z424" s="108"/>
    </row>
    <row r="425" spans="1:26" ht="132.75" customHeight="1">
      <c r="A425" s="104" t="s">
        <v>736</v>
      </c>
      <c r="B425" s="105" t="s">
        <v>1648</v>
      </c>
      <c r="C425" s="899">
        <v>1</v>
      </c>
      <c r="D425" s="899">
        <v>1</v>
      </c>
      <c r="E425" s="899">
        <v>0</v>
      </c>
      <c r="F425" s="899">
        <v>1</v>
      </c>
      <c r="G425" s="169">
        <v>1</v>
      </c>
      <c r="H425" s="899">
        <v>0</v>
      </c>
      <c r="I425" s="53" t="s">
        <v>38</v>
      </c>
      <c r="J425" s="67" t="s">
        <v>1649</v>
      </c>
      <c r="K425" s="67" t="s">
        <v>1650</v>
      </c>
      <c r="L425" s="67" t="s">
        <v>1651</v>
      </c>
      <c r="M425" s="67" t="s">
        <v>1652</v>
      </c>
      <c r="N425" s="92" t="s">
        <v>1653</v>
      </c>
      <c r="O425" s="67" t="s">
        <v>1654</v>
      </c>
      <c r="P425" s="101"/>
      <c r="Q425" s="107"/>
      <c r="R425" s="107"/>
      <c r="S425" s="108"/>
      <c r="T425" s="108"/>
      <c r="U425" s="108"/>
      <c r="V425" s="108"/>
      <c r="W425" s="108"/>
      <c r="X425" s="108"/>
      <c r="Y425" s="108"/>
      <c r="Z425" s="108"/>
    </row>
    <row r="426" spans="1:26" ht="13.5" customHeight="1">
      <c r="A426" s="1"/>
      <c r="B426" s="918"/>
      <c r="C426" s="145"/>
      <c r="D426" s="145"/>
      <c r="E426" s="145"/>
      <c r="F426" s="145"/>
      <c r="G426" s="145"/>
      <c r="H426" s="145"/>
      <c r="I426" s="17"/>
      <c r="J426" s="67"/>
      <c r="K426" s="106"/>
      <c r="L426" s="106"/>
      <c r="M426" s="67"/>
      <c r="N426" s="109"/>
      <c r="O426" s="106"/>
      <c r="P426" s="19"/>
      <c r="Q426" s="12"/>
      <c r="R426" s="12"/>
      <c r="S426" s="12"/>
      <c r="T426" s="12"/>
      <c r="U426" s="12"/>
      <c r="V426" s="12"/>
      <c r="W426" s="12"/>
      <c r="X426" s="12"/>
      <c r="Y426" s="12"/>
      <c r="Z426" s="12"/>
    </row>
    <row r="427" spans="1:26" ht="120" customHeight="1">
      <c r="A427" s="104" t="s">
        <v>736</v>
      </c>
      <c r="B427" s="105" t="s">
        <v>106</v>
      </c>
      <c r="C427" s="145">
        <v>1</v>
      </c>
      <c r="D427" s="145">
        <v>1</v>
      </c>
      <c r="E427" s="145">
        <v>0</v>
      </c>
      <c r="F427" s="145">
        <v>1</v>
      </c>
      <c r="G427" s="145">
        <v>1</v>
      </c>
      <c r="H427" s="905">
        <v>1</v>
      </c>
      <c r="I427" s="53" t="s">
        <v>38</v>
      </c>
      <c r="J427" s="67" t="s">
        <v>1655</v>
      </c>
      <c r="K427" s="67" t="s">
        <v>1656</v>
      </c>
      <c r="L427" s="67" t="s">
        <v>1657</v>
      </c>
      <c r="M427" s="67" t="s">
        <v>1658</v>
      </c>
      <c r="N427" s="69" t="s">
        <v>1659</v>
      </c>
      <c r="O427" s="67" t="s">
        <v>1660</v>
      </c>
      <c r="P427" s="101"/>
      <c r="Q427" s="107"/>
      <c r="R427" s="107"/>
      <c r="S427" s="108"/>
      <c r="T427" s="108"/>
      <c r="U427" s="108"/>
      <c r="V427" s="108"/>
      <c r="W427" s="108"/>
      <c r="X427" s="108"/>
      <c r="Y427" s="108"/>
      <c r="Z427" s="108"/>
    </row>
    <row r="428" spans="1:26" ht="13.5" customHeight="1">
      <c r="A428" s="1"/>
      <c r="B428" s="918"/>
      <c r="C428" s="145"/>
      <c r="D428" s="145"/>
      <c r="E428" s="145"/>
      <c r="F428" s="145"/>
      <c r="G428" s="145"/>
      <c r="H428" s="145"/>
      <c r="I428" s="17"/>
      <c r="J428" s="67"/>
      <c r="K428" s="106"/>
      <c r="L428" s="159"/>
      <c r="M428" s="67"/>
      <c r="N428" s="106"/>
      <c r="O428" s="106"/>
      <c r="P428" s="19"/>
      <c r="Q428" s="12"/>
      <c r="R428" s="12"/>
      <c r="S428" s="12"/>
      <c r="T428" s="12"/>
      <c r="U428" s="12"/>
      <c r="V428" s="12"/>
      <c r="W428" s="12"/>
      <c r="X428" s="12"/>
      <c r="Y428" s="12"/>
      <c r="Z428" s="12"/>
    </row>
    <row r="429" spans="1:26" ht="13.5" customHeight="1">
      <c r="A429" s="301" t="s">
        <v>1661</v>
      </c>
      <c r="B429" s="121" t="s">
        <v>108</v>
      </c>
      <c r="C429" s="51">
        <f t="shared" ref="C429:H429" si="57">AVERAGE(C430,C432,C434,C436,C438)</f>
        <v>0.8</v>
      </c>
      <c r="D429" s="51">
        <f t="shared" si="57"/>
        <v>0.9</v>
      </c>
      <c r="E429" s="51">
        <f t="shared" si="57"/>
        <v>0.6</v>
      </c>
      <c r="F429" s="51">
        <f t="shared" si="57"/>
        <v>0.7</v>
      </c>
      <c r="G429" s="51">
        <f t="shared" si="57"/>
        <v>0.8</v>
      </c>
      <c r="H429" s="51">
        <f t="shared" si="57"/>
        <v>0.8</v>
      </c>
      <c r="I429" s="53"/>
      <c r="J429" s="56"/>
      <c r="K429" s="139"/>
      <c r="L429" s="139"/>
      <c r="M429" s="139"/>
      <c r="N429" s="139"/>
      <c r="O429" s="139"/>
      <c r="P429" s="98"/>
      <c r="Q429" s="171"/>
      <c r="R429" s="171"/>
      <c r="S429" s="172"/>
      <c r="T429" s="172"/>
      <c r="U429" s="172"/>
      <c r="V429" s="172"/>
      <c r="W429" s="172"/>
      <c r="X429" s="172"/>
      <c r="Y429" s="172"/>
      <c r="Z429" s="172"/>
    </row>
    <row r="430" spans="1:26" ht="137.25" customHeight="1">
      <c r="A430" s="104" t="s">
        <v>736</v>
      </c>
      <c r="B430" s="105" t="s">
        <v>109</v>
      </c>
      <c r="C430" s="65">
        <v>0</v>
      </c>
      <c r="D430" s="65">
        <v>0.5</v>
      </c>
      <c r="E430" s="65">
        <v>0</v>
      </c>
      <c r="F430" s="897">
        <v>0.5</v>
      </c>
      <c r="G430" s="65">
        <v>0</v>
      </c>
      <c r="H430" s="65">
        <v>0</v>
      </c>
      <c r="I430" s="53" t="s">
        <v>1662</v>
      </c>
      <c r="J430" s="67" t="s">
        <v>1663</v>
      </c>
      <c r="K430" s="147" t="s">
        <v>1664</v>
      </c>
      <c r="L430" s="67" t="s">
        <v>1665</v>
      </c>
      <c r="M430" s="67" t="s">
        <v>1666</v>
      </c>
      <c r="N430" s="92" t="s">
        <v>1667</v>
      </c>
      <c r="O430" s="67" t="s">
        <v>1668</v>
      </c>
      <c r="P430" s="101"/>
      <c r="Q430" s="107"/>
      <c r="R430" s="107"/>
      <c r="S430" s="108"/>
      <c r="T430" s="108"/>
      <c r="U430" s="108"/>
      <c r="V430" s="108"/>
      <c r="W430" s="108"/>
      <c r="X430" s="108"/>
      <c r="Y430" s="108"/>
      <c r="Z430" s="108"/>
    </row>
    <row r="431" spans="1:26" ht="13.5" customHeight="1">
      <c r="A431" s="1"/>
      <c r="B431" s="918"/>
      <c r="C431" s="145"/>
      <c r="D431" s="145"/>
      <c r="E431" s="145"/>
      <c r="F431" s="145"/>
      <c r="G431" s="145"/>
      <c r="H431" s="145"/>
      <c r="I431" s="17"/>
      <c r="J431" s="67"/>
      <c r="K431" s="106"/>
      <c r="L431" s="106"/>
      <c r="M431" s="67"/>
      <c r="N431" s="109"/>
      <c r="O431" s="106"/>
      <c r="P431" s="19"/>
      <c r="Q431" s="12"/>
      <c r="R431" s="12"/>
      <c r="S431" s="12"/>
      <c r="T431" s="12"/>
      <c r="U431" s="12"/>
      <c r="V431" s="12"/>
      <c r="W431" s="12"/>
      <c r="X431" s="12"/>
      <c r="Y431" s="12"/>
      <c r="Z431" s="12"/>
    </row>
    <row r="432" spans="1:26" ht="178.5" customHeight="1">
      <c r="A432" s="104" t="s">
        <v>736</v>
      </c>
      <c r="B432" s="105" t="s">
        <v>110</v>
      </c>
      <c r="C432" s="65">
        <v>1</v>
      </c>
      <c r="D432" s="65">
        <v>1</v>
      </c>
      <c r="E432" s="65">
        <v>1</v>
      </c>
      <c r="F432" s="153">
        <v>1</v>
      </c>
      <c r="G432" s="65">
        <v>1</v>
      </c>
      <c r="H432" s="65">
        <v>1</v>
      </c>
      <c r="I432" s="53" t="s">
        <v>38</v>
      </c>
      <c r="J432" s="67" t="s">
        <v>1669</v>
      </c>
      <c r="K432" s="67" t="s">
        <v>948</v>
      </c>
      <c r="L432" s="147" t="s">
        <v>811</v>
      </c>
      <c r="M432" s="67" t="s">
        <v>1670</v>
      </c>
      <c r="N432" s="92" t="s">
        <v>1671</v>
      </c>
      <c r="O432" s="67" t="s">
        <v>1672</v>
      </c>
      <c r="P432" s="101"/>
      <c r="Q432" s="107"/>
      <c r="R432" s="107"/>
      <c r="S432" s="108"/>
      <c r="T432" s="108"/>
      <c r="U432" s="108"/>
      <c r="V432" s="108"/>
      <c r="W432" s="108"/>
      <c r="X432" s="108"/>
      <c r="Y432" s="108"/>
      <c r="Z432" s="108"/>
    </row>
    <row r="433" spans="1:26" ht="13.5" customHeight="1">
      <c r="A433" s="1"/>
      <c r="B433" s="918"/>
      <c r="C433" s="145"/>
      <c r="D433" s="145"/>
      <c r="E433" s="145"/>
      <c r="F433" s="145"/>
      <c r="G433" s="145"/>
      <c r="H433" s="145"/>
      <c r="I433" s="17"/>
      <c r="J433" s="67"/>
      <c r="K433" s="106"/>
      <c r="L433" s="106"/>
      <c r="M433" s="67"/>
      <c r="N433" s="109"/>
      <c r="O433" s="106"/>
      <c r="P433" s="19"/>
      <c r="Q433" s="12"/>
      <c r="R433" s="12"/>
      <c r="S433" s="12"/>
      <c r="T433" s="12"/>
      <c r="U433" s="12"/>
      <c r="V433" s="12"/>
      <c r="W433" s="12"/>
      <c r="X433" s="12"/>
      <c r="Y433" s="12"/>
      <c r="Z433" s="12"/>
    </row>
    <row r="434" spans="1:26" ht="48" customHeight="1">
      <c r="A434" s="104" t="s">
        <v>736</v>
      </c>
      <c r="B434" s="105" t="s">
        <v>111</v>
      </c>
      <c r="C434" s="65">
        <v>1</v>
      </c>
      <c r="D434" s="65">
        <v>1</v>
      </c>
      <c r="E434" s="65">
        <v>1</v>
      </c>
      <c r="F434" s="65">
        <v>1</v>
      </c>
      <c r="G434" s="65">
        <v>1</v>
      </c>
      <c r="H434" s="65">
        <v>1</v>
      </c>
      <c r="I434" s="53" t="s">
        <v>38</v>
      </c>
      <c r="J434" s="67" t="s">
        <v>1673</v>
      </c>
      <c r="K434" s="67" t="s">
        <v>1674</v>
      </c>
      <c r="L434" s="67" t="s">
        <v>811</v>
      </c>
      <c r="M434" s="67" t="s">
        <v>1134</v>
      </c>
      <c r="N434" s="92" t="s">
        <v>1675</v>
      </c>
      <c r="O434" s="67" t="s">
        <v>1676</v>
      </c>
      <c r="P434" s="101"/>
      <c r="Q434" s="107"/>
      <c r="R434" s="107"/>
      <c r="S434" s="108"/>
      <c r="T434" s="108"/>
      <c r="U434" s="108"/>
      <c r="V434" s="108"/>
      <c r="W434" s="108"/>
      <c r="X434" s="108"/>
      <c r="Y434" s="108"/>
      <c r="Z434" s="108"/>
    </row>
    <row r="435" spans="1:26" ht="13.5" customHeight="1">
      <c r="A435" s="1"/>
      <c r="B435" s="918"/>
      <c r="C435" s="145"/>
      <c r="D435" s="145"/>
      <c r="E435" s="145"/>
      <c r="F435" s="145"/>
      <c r="G435" s="145"/>
      <c r="H435" s="145"/>
      <c r="I435" s="17"/>
      <c r="J435" s="67"/>
      <c r="K435" s="106"/>
      <c r="L435" s="106"/>
      <c r="M435" s="67"/>
      <c r="N435" s="109"/>
      <c r="O435" s="106"/>
      <c r="P435" s="19"/>
      <c r="Q435" s="12"/>
      <c r="R435" s="12"/>
      <c r="S435" s="12"/>
      <c r="T435" s="12"/>
      <c r="U435" s="12"/>
      <c r="V435" s="12"/>
      <c r="W435" s="12"/>
      <c r="X435" s="12"/>
      <c r="Y435" s="12"/>
      <c r="Z435" s="12"/>
    </row>
    <row r="436" spans="1:26" ht="108" customHeight="1">
      <c r="A436" s="104" t="s">
        <v>736</v>
      </c>
      <c r="B436" s="105" t="s">
        <v>112</v>
      </c>
      <c r="C436" s="65">
        <v>1</v>
      </c>
      <c r="D436" s="65">
        <v>1</v>
      </c>
      <c r="E436" s="897">
        <v>1</v>
      </c>
      <c r="F436" s="899">
        <v>0</v>
      </c>
      <c r="G436" s="65">
        <v>1</v>
      </c>
      <c r="H436" s="898">
        <v>1</v>
      </c>
      <c r="I436" s="53" t="s">
        <v>38</v>
      </c>
      <c r="J436" s="67" t="s">
        <v>1677</v>
      </c>
      <c r="K436" s="67" t="s">
        <v>1678</v>
      </c>
      <c r="L436" s="67" t="s">
        <v>1679</v>
      </c>
      <c r="M436" s="67" t="s">
        <v>1680</v>
      </c>
      <c r="N436" s="92" t="s">
        <v>1681</v>
      </c>
      <c r="O436" s="67" t="s">
        <v>1682</v>
      </c>
      <c r="P436" s="101"/>
      <c r="Q436" s="107"/>
      <c r="R436" s="107"/>
      <c r="S436" s="108"/>
      <c r="T436" s="108"/>
      <c r="U436" s="108"/>
      <c r="V436" s="108"/>
      <c r="W436" s="108"/>
      <c r="X436" s="108"/>
      <c r="Y436" s="108"/>
      <c r="Z436" s="108"/>
    </row>
    <row r="437" spans="1:26" ht="13.5" customHeight="1">
      <c r="A437" s="1"/>
      <c r="B437" s="918"/>
      <c r="C437" s="145"/>
      <c r="D437" s="145"/>
      <c r="E437" s="145"/>
      <c r="F437" s="145"/>
      <c r="G437" s="145"/>
      <c r="H437" s="145"/>
      <c r="I437" s="17"/>
      <c r="J437" s="67"/>
      <c r="K437" s="106"/>
      <c r="L437" s="106"/>
      <c r="M437" s="67"/>
      <c r="N437" s="109"/>
      <c r="O437" s="106"/>
      <c r="P437" s="19"/>
      <c r="Q437" s="12"/>
      <c r="R437" s="12"/>
      <c r="S437" s="12"/>
      <c r="T437" s="12"/>
      <c r="U437" s="12"/>
      <c r="V437" s="12"/>
      <c r="W437" s="12"/>
      <c r="X437" s="12"/>
      <c r="Y437" s="12"/>
      <c r="Z437" s="12"/>
    </row>
    <row r="438" spans="1:26" ht="105" customHeight="1">
      <c r="A438" s="104" t="s">
        <v>736</v>
      </c>
      <c r="B438" s="105" t="s">
        <v>113</v>
      </c>
      <c r="C438" s="65">
        <v>1</v>
      </c>
      <c r="D438" s="65">
        <v>1</v>
      </c>
      <c r="E438" s="65">
        <v>0</v>
      </c>
      <c r="F438" s="65">
        <v>1</v>
      </c>
      <c r="G438" s="65">
        <v>1</v>
      </c>
      <c r="H438" s="65">
        <v>1</v>
      </c>
      <c r="I438" s="53" t="s">
        <v>1683</v>
      </c>
      <c r="J438" s="67" t="s">
        <v>1684</v>
      </c>
      <c r="K438" s="67" t="s">
        <v>1685</v>
      </c>
      <c r="L438" s="147" t="s">
        <v>748</v>
      </c>
      <c r="M438" s="67" t="s">
        <v>1686</v>
      </c>
      <c r="N438" s="122" t="s">
        <v>1687</v>
      </c>
      <c r="O438" s="67" t="s">
        <v>1688</v>
      </c>
      <c r="P438" s="101"/>
      <c r="Q438" s="107"/>
      <c r="R438" s="107"/>
      <c r="S438" s="108"/>
      <c r="T438" s="108"/>
      <c r="U438" s="108"/>
      <c r="V438" s="108"/>
      <c r="W438" s="108"/>
      <c r="X438" s="108"/>
      <c r="Y438" s="108"/>
      <c r="Z438" s="108"/>
    </row>
    <row r="439" spans="1:26" ht="13.5" customHeight="1">
      <c r="A439" s="1"/>
      <c r="B439" s="918"/>
      <c r="C439" s="145"/>
      <c r="D439" s="145"/>
      <c r="E439" s="145"/>
      <c r="F439" s="145"/>
      <c r="G439" s="145"/>
      <c r="H439" s="145"/>
      <c r="I439" s="17"/>
      <c r="J439" s="67"/>
      <c r="K439" s="106"/>
      <c r="L439" s="159"/>
      <c r="M439" s="67"/>
      <c r="N439" s="109"/>
      <c r="O439" s="106"/>
      <c r="P439" s="19"/>
      <c r="Q439" s="12"/>
      <c r="R439" s="12"/>
      <c r="S439" s="12"/>
      <c r="T439" s="12"/>
      <c r="U439" s="12"/>
      <c r="V439" s="12"/>
      <c r="W439" s="12"/>
      <c r="X439" s="12"/>
      <c r="Y439" s="12"/>
      <c r="Z439" s="12"/>
    </row>
    <row r="440" spans="1:26" ht="13.5" customHeight="1">
      <c r="A440" s="301" t="s">
        <v>1689</v>
      </c>
      <c r="B440" s="121" t="s">
        <v>115</v>
      </c>
      <c r="C440" s="51">
        <f t="shared" ref="C440:H440" si="58">AVERAGE(C441,C443,C445)</f>
        <v>0.57738095238095233</v>
      </c>
      <c r="D440" s="51">
        <f t="shared" si="58"/>
        <v>0.66666666666666663</v>
      </c>
      <c r="E440" s="51">
        <f t="shared" si="58"/>
        <v>0.4464285714285714</v>
      </c>
      <c r="F440" s="51">
        <f t="shared" si="58"/>
        <v>0.20833333333333329</v>
      </c>
      <c r="G440" s="51">
        <f t="shared" si="58"/>
        <v>0.63690476190476186</v>
      </c>
      <c r="H440" s="51">
        <f t="shared" si="58"/>
        <v>0.57142857142857151</v>
      </c>
      <c r="I440" s="53"/>
      <c r="J440" s="56"/>
      <c r="K440" s="139"/>
      <c r="L440" s="139"/>
      <c r="M440" s="139"/>
      <c r="N440" s="139"/>
      <c r="O440" s="139"/>
      <c r="P440" s="98"/>
      <c r="Q440" s="171"/>
      <c r="R440" s="171"/>
      <c r="S440" s="172"/>
      <c r="T440" s="172"/>
      <c r="U440" s="172"/>
      <c r="V440" s="172"/>
      <c r="W440" s="172"/>
      <c r="X440" s="172"/>
      <c r="Y440" s="172"/>
      <c r="Z440" s="172"/>
    </row>
    <row r="441" spans="1:26" ht="96" customHeight="1">
      <c r="A441" s="104" t="s">
        <v>736</v>
      </c>
      <c r="B441" s="105" t="s">
        <v>116</v>
      </c>
      <c r="C441" s="65">
        <v>1</v>
      </c>
      <c r="D441" s="65">
        <v>0</v>
      </c>
      <c r="E441" s="65">
        <v>1</v>
      </c>
      <c r="F441" s="65">
        <v>0</v>
      </c>
      <c r="G441" s="65">
        <v>1</v>
      </c>
      <c r="H441" s="65">
        <v>1</v>
      </c>
      <c r="I441" s="53" t="s">
        <v>38</v>
      </c>
      <c r="J441" s="67" t="s">
        <v>1690</v>
      </c>
      <c r="K441" s="67" t="s">
        <v>748</v>
      </c>
      <c r="L441" s="147" t="s">
        <v>811</v>
      </c>
      <c r="M441" s="67" t="s">
        <v>1691</v>
      </c>
      <c r="N441" s="92" t="s">
        <v>1692</v>
      </c>
      <c r="O441" s="67" t="s">
        <v>811</v>
      </c>
      <c r="P441" s="101"/>
      <c r="Q441" s="107"/>
      <c r="R441" s="107"/>
      <c r="S441" s="108"/>
      <c r="T441" s="108"/>
      <c r="U441" s="108"/>
      <c r="V441" s="108"/>
      <c r="W441" s="108"/>
      <c r="X441" s="108"/>
      <c r="Y441" s="108"/>
      <c r="Z441" s="108"/>
    </row>
    <row r="442" spans="1:26" ht="13.5" customHeight="1">
      <c r="A442" s="1"/>
      <c r="B442" s="918"/>
      <c r="C442" s="145"/>
      <c r="D442" s="145"/>
      <c r="E442" s="145"/>
      <c r="F442" s="145"/>
      <c r="G442" s="145"/>
      <c r="H442" s="145"/>
      <c r="I442" s="17"/>
      <c r="J442" s="67"/>
      <c r="K442" s="106"/>
      <c r="L442" s="106"/>
      <c r="M442" s="67"/>
      <c r="N442" s="109"/>
      <c r="O442" s="106"/>
      <c r="P442" s="19"/>
      <c r="Q442" s="12"/>
      <c r="R442" s="12"/>
      <c r="S442" s="12"/>
      <c r="T442" s="12"/>
      <c r="U442" s="12"/>
      <c r="V442" s="12"/>
      <c r="W442" s="12"/>
      <c r="X442" s="12"/>
      <c r="Y442" s="12"/>
      <c r="Z442" s="12"/>
    </row>
    <row r="443" spans="1:26" ht="84" customHeight="1">
      <c r="A443" s="104" t="s">
        <v>736</v>
      </c>
      <c r="B443" s="105" t="s">
        <v>117</v>
      </c>
      <c r="C443" s="65">
        <v>0</v>
      </c>
      <c r="D443" s="65">
        <v>1</v>
      </c>
      <c r="E443" s="65">
        <v>0</v>
      </c>
      <c r="F443" s="65">
        <v>0</v>
      </c>
      <c r="G443" s="65">
        <v>0</v>
      </c>
      <c r="H443" s="65">
        <v>0</v>
      </c>
      <c r="I443" s="53" t="s">
        <v>38</v>
      </c>
      <c r="J443" s="67" t="s">
        <v>1693</v>
      </c>
      <c r="K443" s="67" t="s">
        <v>811</v>
      </c>
      <c r="L443" s="147" t="s">
        <v>1694</v>
      </c>
      <c r="M443" s="67" t="s">
        <v>1695</v>
      </c>
      <c r="N443" s="92" t="s">
        <v>1696</v>
      </c>
      <c r="O443" s="67" t="s">
        <v>748</v>
      </c>
      <c r="P443" s="101"/>
      <c r="Q443" s="107"/>
      <c r="R443" s="107"/>
      <c r="S443" s="108"/>
      <c r="T443" s="108"/>
      <c r="U443" s="108"/>
      <c r="V443" s="108"/>
      <c r="W443" s="108"/>
      <c r="X443" s="108"/>
      <c r="Y443" s="108"/>
      <c r="Z443" s="108"/>
    </row>
    <row r="444" spans="1:26" ht="13.5" customHeight="1">
      <c r="A444" s="104"/>
      <c r="B444" s="105"/>
      <c r="C444" s="65"/>
      <c r="D444" s="65"/>
      <c r="E444" s="174"/>
      <c r="F444" s="65"/>
      <c r="G444" s="65"/>
      <c r="H444" s="65"/>
      <c r="I444" s="53"/>
      <c r="J444" s="67"/>
      <c r="K444" s="67"/>
      <c r="L444" s="67"/>
      <c r="M444" s="67"/>
      <c r="N444" s="69"/>
      <c r="O444" s="67"/>
      <c r="P444" s="101"/>
      <c r="Q444" s="107"/>
      <c r="R444" s="107"/>
      <c r="S444" s="108"/>
      <c r="T444" s="108"/>
      <c r="U444" s="108"/>
      <c r="V444" s="108"/>
      <c r="W444" s="108"/>
      <c r="X444" s="108"/>
      <c r="Y444" s="108"/>
      <c r="Z444" s="108"/>
    </row>
    <row r="445" spans="1:26" ht="124.5" customHeight="1">
      <c r="A445" s="104" t="s">
        <v>736</v>
      </c>
      <c r="B445" s="105" t="s">
        <v>118</v>
      </c>
      <c r="C445" s="91">
        <f>(0.41-0)/(0.56-0)</f>
        <v>0.73214285714285698</v>
      </c>
      <c r="D445" s="91">
        <f>(0.56-0)/(0.56-0)</f>
        <v>1</v>
      </c>
      <c r="E445" s="91">
        <f>(0.19-0)/(0.56-0)</f>
        <v>0.33928571428571425</v>
      </c>
      <c r="F445" s="91">
        <f>(0.35-0)/(0.56-0)</f>
        <v>0.62499999999999989</v>
      </c>
      <c r="G445" s="91">
        <f>(0.51-0)/(0.56-0)</f>
        <v>0.9107142857142857</v>
      </c>
      <c r="H445" s="91">
        <f>(0.4-0)/(0.56-0)</f>
        <v>0.7142857142857143</v>
      </c>
      <c r="I445" s="53" t="s">
        <v>1697</v>
      </c>
      <c r="J445" s="176" t="s">
        <v>1698</v>
      </c>
      <c r="K445" s="67" t="s">
        <v>1699</v>
      </c>
      <c r="L445" s="67" t="s">
        <v>1700</v>
      </c>
      <c r="M445" s="67" t="s">
        <v>1701</v>
      </c>
      <c r="N445" s="177" t="s">
        <v>1702</v>
      </c>
      <c r="O445" s="67" t="s">
        <v>1703</v>
      </c>
      <c r="P445" s="101"/>
      <c r="Q445" s="107"/>
      <c r="R445" s="107"/>
      <c r="S445" s="108"/>
      <c r="T445" s="108"/>
      <c r="U445" s="108"/>
      <c r="V445" s="108"/>
      <c r="W445" s="108"/>
      <c r="X445" s="108"/>
      <c r="Y445" s="108"/>
      <c r="Z445" s="108"/>
    </row>
    <row r="446" spans="1:26" ht="13.5" customHeight="1">
      <c r="A446" s="104"/>
      <c r="B446" s="105"/>
      <c r="C446" s="65"/>
      <c r="D446" s="65"/>
      <c r="E446" s="65"/>
      <c r="F446" s="65"/>
      <c r="G446" s="65"/>
      <c r="H446" s="65"/>
      <c r="I446" s="53"/>
      <c r="J446" s="67"/>
      <c r="K446" s="67"/>
      <c r="L446" s="67"/>
      <c r="M446" s="67"/>
      <c r="N446" s="69"/>
      <c r="O446" s="67"/>
      <c r="P446" s="101"/>
      <c r="Q446" s="107"/>
      <c r="R446" s="107"/>
      <c r="S446" s="108"/>
      <c r="T446" s="108"/>
      <c r="U446" s="108"/>
      <c r="V446" s="108"/>
      <c r="W446" s="108"/>
      <c r="X446" s="108"/>
      <c r="Y446" s="108"/>
      <c r="Z446" s="108"/>
    </row>
    <row r="447" spans="1:26" ht="13.5" customHeight="1">
      <c r="A447" s="172" t="s">
        <v>1704</v>
      </c>
      <c r="B447" s="172" t="s">
        <v>120</v>
      </c>
      <c r="C447" s="51">
        <f t="shared" ref="C447:H447" si="59">AVERAGE(C448,C450,C452,C454,C456,C458)</f>
        <v>0.60750000000000004</v>
      </c>
      <c r="D447" s="51">
        <f t="shared" si="59"/>
        <v>0.85049176400119786</v>
      </c>
      <c r="E447" s="51">
        <f t="shared" si="59"/>
        <v>0</v>
      </c>
      <c r="F447" s="51">
        <f t="shared" si="59"/>
        <v>0.61712788259958073</v>
      </c>
      <c r="G447" s="51">
        <f t="shared" si="59"/>
        <v>0.70576714585205147</v>
      </c>
      <c r="H447" s="51">
        <f t="shared" si="59"/>
        <v>0</v>
      </c>
      <c r="I447" s="184"/>
      <c r="J447" s="186"/>
      <c r="K447" s="187"/>
      <c r="L447" s="187"/>
      <c r="M447" s="187"/>
      <c r="N447" s="187"/>
      <c r="O447" s="187"/>
      <c r="P447" s="98"/>
      <c r="Q447" s="171"/>
      <c r="R447" s="171"/>
      <c r="S447" s="172"/>
      <c r="T447" s="172"/>
      <c r="U447" s="172"/>
      <c r="V447" s="172"/>
      <c r="W447" s="172"/>
      <c r="X447" s="172"/>
      <c r="Y447" s="172"/>
      <c r="Z447" s="172"/>
    </row>
    <row r="448" spans="1:26" ht="121.5" customHeight="1">
      <c r="A448" s="104" t="s">
        <v>736</v>
      </c>
      <c r="B448" s="105" t="s">
        <v>121</v>
      </c>
      <c r="C448" s="898">
        <v>0.5</v>
      </c>
      <c r="D448" s="65">
        <v>1</v>
      </c>
      <c r="E448" s="65">
        <v>0</v>
      </c>
      <c r="F448" s="65">
        <v>0</v>
      </c>
      <c r="G448" s="65">
        <v>0</v>
      </c>
      <c r="H448" s="65">
        <v>0</v>
      </c>
      <c r="I448" s="53" t="s">
        <v>123</v>
      </c>
      <c r="J448" s="67" t="s">
        <v>1705</v>
      </c>
      <c r="K448" s="67" t="s">
        <v>1706</v>
      </c>
      <c r="L448" s="67" t="s">
        <v>748</v>
      </c>
      <c r="M448" s="67" t="s">
        <v>1707</v>
      </c>
      <c r="N448" s="92" t="s">
        <v>1708</v>
      </c>
      <c r="O448" s="67" t="s">
        <v>1709</v>
      </c>
      <c r="P448" s="101"/>
      <c r="Q448" s="107"/>
      <c r="R448" s="107"/>
      <c r="S448" s="108"/>
      <c r="T448" s="108"/>
      <c r="U448" s="108"/>
      <c r="V448" s="108"/>
      <c r="W448" s="108"/>
      <c r="X448" s="108"/>
      <c r="Y448" s="108"/>
      <c r="Z448" s="108"/>
    </row>
    <row r="449" spans="1:26" ht="13.5" customHeight="1">
      <c r="A449" s="1"/>
      <c r="B449" s="918"/>
      <c r="C449" s="145"/>
      <c r="D449" s="145"/>
      <c r="E449" s="145"/>
      <c r="F449" s="145"/>
      <c r="G449" s="145"/>
      <c r="H449" s="145"/>
      <c r="I449" s="17"/>
      <c r="J449" s="67"/>
      <c r="K449" s="106"/>
      <c r="L449" s="106"/>
      <c r="M449" s="67"/>
      <c r="N449" s="109"/>
      <c r="O449" s="106"/>
      <c r="P449" s="19"/>
      <c r="Q449" s="12"/>
      <c r="R449" s="12"/>
      <c r="S449" s="12"/>
      <c r="T449" s="12"/>
      <c r="U449" s="12"/>
      <c r="V449" s="12"/>
      <c r="W449" s="12"/>
      <c r="X449" s="12"/>
      <c r="Y449" s="12"/>
      <c r="Z449" s="12"/>
    </row>
    <row r="450" spans="1:26" ht="199.5" customHeight="1">
      <c r="A450" s="104" t="s">
        <v>736</v>
      </c>
      <c r="B450" s="105" t="s">
        <v>122</v>
      </c>
      <c r="C450" s="898">
        <v>0.5</v>
      </c>
      <c r="D450" s="898">
        <v>1</v>
      </c>
      <c r="E450" s="65">
        <v>0</v>
      </c>
      <c r="F450" s="65">
        <v>1</v>
      </c>
      <c r="G450" s="898">
        <v>1</v>
      </c>
      <c r="H450" s="65">
        <v>0</v>
      </c>
      <c r="I450" s="53" t="s">
        <v>123</v>
      </c>
      <c r="J450" s="67" t="s">
        <v>1710</v>
      </c>
      <c r="K450" s="67" t="s">
        <v>1711</v>
      </c>
      <c r="L450" s="147" t="s">
        <v>748</v>
      </c>
      <c r="M450" s="67" t="s">
        <v>1712</v>
      </c>
      <c r="N450" s="92" t="s">
        <v>1713</v>
      </c>
      <c r="O450" s="67" t="s">
        <v>748</v>
      </c>
      <c r="P450" s="101"/>
      <c r="Q450" s="107"/>
      <c r="R450" s="107"/>
      <c r="S450" s="108"/>
      <c r="T450" s="108"/>
      <c r="U450" s="108"/>
      <c r="V450" s="108"/>
      <c r="W450" s="108"/>
      <c r="X450" s="108"/>
      <c r="Y450" s="108"/>
      <c r="Z450" s="108"/>
    </row>
    <row r="451" spans="1:26" ht="13.5" customHeight="1">
      <c r="A451" s="1"/>
      <c r="B451" s="918"/>
      <c r="C451" s="145"/>
      <c r="D451" s="145"/>
      <c r="E451" s="145"/>
      <c r="F451" s="145"/>
      <c r="G451" s="145"/>
      <c r="H451" s="145"/>
      <c r="I451" s="17"/>
      <c r="J451" s="67"/>
      <c r="K451" s="106"/>
      <c r="L451" s="106"/>
      <c r="M451" s="67"/>
      <c r="N451" s="109"/>
      <c r="O451" s="106"/>
      <c r="P451" s="19"/>
      <c r="Q451" s="12"/>
      <c r="R451" s="12"/>
      <c r="S451" s="12"/>
      <c r="T451" s="12"/>
      <c r="U451" s="12"/>
      <c r="V451" s="12"/>
      <c r="W451" s="12"/>
      <c r="X451" s="12"/>
      <c r="Y451" s="12"/>
      <c r="Z451" s="12"/>
    </row>
    <row r="452" spans="1:26" ht="144" customHeight="1">
      <c r="A452" s="104" t="s">
        <v>736</v>
      </c>
      <c r="B452" s="105" t="s">
        <v>124</v>
      </c>
      <c r="C452" s="65">
        <v>1</v>
      </c>
      <c r="D452" s="65">
        <v>1</v>
      </c>
      <c r="E452" s="898">
        <v>0</v>
      </c>
      <c r="F452" s="65">
        <v>1</v>
      </c>
      <c r="G452" s="190">
        <v>1</v>
      </c>
      <c r="H452" s="65">
        <v>0</v>
      </c>
      <c r="I452" s="53" t="s">
        <v>125</v>
      </c>
      <c r="J452" s="67" t="s">
        <v>1714</v>
      </c>
      <c r="K452" s="67" t="s">
        <v>1715</v>
      </c>
      <c r="L452" s="67" t="s">
        <v>1716</v>
      </c>
      <c r="M452" s="67" t="s">
        <v>1717</v>
      </c>
      <c r="N452" s="69" t="s">
        <v>1718</v>
      </c>
      <c r="O452" s="67" t="s">
        <v>1719</v>
      </c>
      <c r="P452" s="101"/>
      <c r="Q452" s="107"/>
      <c r="R452" s="107"/>
      <c r="S452" s="108"/>
      <c r="T452" s="108"/>
      <c r="U452" s="108"/>
      <c r="V452" s="108"/>
      <c r="W452" s="108"/>
      <c r="X452" s="108"/>
      <c r="Y452" s="108"/>
      <c r="Z452" s="108"/>
    </row>
    <row r="453" spans="1:26" ht="13.5" customHeight="1">
      <c r="A453" s="1"/>
      <c r="B453" s="918"/>
      <c r="C453" s="145"/>
      <c r="D453" s="145"/>
      <c r="E453" s="145"/>
      <c r="F453" s="145"/>
      <c r="G453" s="145"/>
      <c r="H453" s="145"/>
      <c r="I453" s="17"/>
      <c r="J453" s="67"/>
      <c r="K453" s="106"/>
      <c r="L453" s="106"/>
      <c r="M453" s="67"/>
      <c r="N453" s="109"/>
      <c r="O453" s="106"/>
      <c r="P453" s="19"/>
      <c r="Q453" s="12"/>
      <c r="R453" s="12"/>
      <c r="S453" s="12"/>
      <c r="T453" s="12"/>
      <c r="U453" s="12"/>
      <c r="V453" s="12"/>
      <c r="W453" s="12"/>
      <c r="X453" s="12"/>
      <c r="Y453" s="12"/>
      <c r="Z453" s="12"/>
    </row>
    <row r="454" spans="1:26" ht="133.5" customHeight="1">
      <c r="A454" s="104" t="s">
        <v>736</v>
      </c>
      <c r="B454" s="105" t="s">
        <v>126</v>
      </c>
      <c r="C454" s="192">
        <f>(35.5-100)/(0-100)</f>
        <v>0.64500000000000002</v>
      </c>
      <c r="D454" s="192">
        <f>(18.7-100)/(0-100)</f>
        <v>0.81299999999999994</v>
      </c>
      <c r="E454" s="192">
        <f>(100-100)/(0-100)</f>
        <v>0</v>
      </c>
      <c r="F454" s="192">
        <f>(19-100)/(0-100)</f>
        <v>0.81</v>
      </c>
      <c r="G454" s="192">
        <f>(9.9-100)/(0-100)</f>
        <v>0.90099999999999991</v>
      </c>
      <c r="H454" s="192">
        <v>0</v>
      </c>
      <c r="I454" s="53" t="s">
        <v>64</v>
      </c>
      <c r="J454" s="67" t="s">
        <v>1720</v>
      </c>
      <c r="K454" s="67" t="s">
        <v>1721</v>
      </c>
      <c r="L454" s="67" t="s">
        <v>1722</v>
      </c>
      <c r="M454" s="67" t="s">
        <v>1723</v>
      </c>
      <c r="N454" s="92" t="s">
        <v>1724</v>
      </c>
      <c r="O454" s="67" t="s">
        <v>1725</v>
      </c>
      <c r="P454" s="101"/>
      <c r="Q454" s="107"/>
      <c r="R454" s="107"/>
      <c r="S454" s="108"/>
      <c r="T454" s="108"/>
      <c r="U454" s="108"/>
      <c r="V454" s="108"/>
      <c r="W454" s="108"/>
      <c r="X454" s="108"/>
      <c r="Y454" s="108"/>
      <c r="Z454" s="108"/>
    </row>
    <row r="455" spans="1:26" ht="15" customHeight="1">
      <c r="A455" s="104"/>
      <c r="B455" s="917"/>
      <c r="C455" s="65"/>
      <c r="D455" s="65"/>
      <c r="E455" s="65"/>
      <c r="F455" s="65"/>
      <c r="G455" s="65"/>
      <c r="H455" s="65"/>
      <c r="I455" s="53"/>
      <c r="J455" s="67"/>
      <c r="K455" s="67"/>
      <c r="L455" s="106"/>
      <c r="M455" s="67"/>
      <c r="N455" s="69"/>
      <c r="O455" s="67"/>
      <c r="P455" s="101"/>
      <c r="Q455" s="107"/>
      <c r="R455" s="107"/>
      <c r="S455" s="108"/>
      <c r="T455" s="108"/>
      <c r="U455" s="108"/>
      <c r="V455" s="108"/>
      <c r="W455" s="108"/>
      <c r="X455" s="108"/>
      <c r="Y455" s="108"/>
      <c r="Z455" s="108"/>
    </row>
    <row r="456" spans="1:26" ht="220.5" customHeight="1">
      <c r="A456" s="104" t="s">
        <v>736</v>
      </c>
      <c r="B456" s="105" t="s">
        <v>127</v>
      </c>
      <c r="C456" s="192">
        <f>(42-0)/(42-0)</f>
        <v>1</v>
      </c>
      <c r="D456" s="192">
        <f>(19.31-0)/(42-0)</f>
        <v>0.45976190476190471</v>
      </c>
      <c r="E456" s="192">
        <v>0</v>
      </c>
      <c r="F456" s="192">
        <f>(3.5-0)/(42-0)</f>
        <v>8.3333333333333329E-2</v>
      </c>
      <c r="G456" s="901">
        <f>(15.2-0)/(42-0)</f>
        <v>0.3619047619047619</v>
      </c>
      <c r="H456" s="383">
        <v>0</v>
      </c>
      <c r="I456" s="53" t="s">
        <v>1726</v>
      </c>
      <c r="J456" s="67" t="s">
        <v>1727</v>
      </c>
      <c r="K456" s="147" t="s">
        <v>1728</v>
      </c>
      <c r="L456" s="67" t="s">
        <v>1729</v>
      </c>
      <c r="M456" s="384" t="s">
        <v>1730</v>
      </c>
      <c r="N456" s="92" t="s">
        <v>1731</v>
      </c>
      <c r="O456" s="67" t="s">
        <v>1732</v>
      </c>
      <c r="P456" s="101"/>
      <c r="Q456" s="107"/>
      <c r="R456" s="107"/>
      <c r="S456" s="108"/>
      <c r="T456" s="108"/>
      <c r="U456" s="108"/>
      <c r="V456" s="108"/>
      <c r="W456" s="108"/>
      <c r="X456" s="108"/>
      <c r="Y456" s="108"/>
      <c r="Z456" s="108"/>
    </row>
    <row r="457" spans="1:26" ht="34.5" customHeight="1">
      <c r="A457" s="104"/>
      <c r="B457" s="105"/>
      <c r="C457" s="65"/>
      <c r="D457" s="65"/>
      <c r="E457" s="65"/>
      <c r="F457" s="65"/>
      <c r="G457" s="65"/>
      <c r="H457" s="65"/>
      <c r="I457" s="53"/>
      <c r="J457" s="67"/>
      <c r="K457" s="71"/>
      <c r="L457" s="67"/>
      <c r="M457" s="67"/>
      <c r="N457" s="69"/>
      <c r="O457" s="67"/>
      <c r="P457" s="101"/>
      <c r="Q457" s="107"/>
      <c r="R457" s="107"/>
      <c r="S457" s="108"/>
      <c r="T457" s="108"/>
      <c r="U457" s="108"/>
      <c r="V457" s="108"/>
      <c r="W457" s="108"/>
      <c r="X457" s="108"/>
      <c r="Y457" s="108"/>
      <c r="Z457" s="108"/>
    </row>
    <row r="458" spans="1:26" ht="143.25" customHeight="1">
      <c r="A458" s="104" t="s">
        <v>736</v>
      </c>
      <c r="B458" s="105" t="s">
        <v>128</v>
      </c>
      <c r="C458" s="899">
        <f>(0.53-0.53)/(0-0.53)</f>
        <v>0</v>
      </c>
      <c r="D458" s="899">
        <f>(0.09-0.53)/(0-0.53)</f>
        <v>0.83018867924528306</v>
      </c>
      <c r="E458" s="899" t="s">
        <v>1733</v>
      </c>
      <c r="F458" s="899">
        <f>(0.101-0.53)/(0-0.53)</f>
        <v>0.80943396226415099</v>
      </c>
      <c r="G458" s="899">
        <f>(0.015-0.53)/(0-0.53)</f>
        <v>0.97169811320754718</v>
      </c>
      <c r="H458" s="899" t="s">
        <v>1733</v>
      </c>
      <c r="I458" s="96" t="s">
        <v>1734</v>
      </c>
      <c r="J458" s="67" t="s">
        <v>1735</v>
      </c>
      <c r="K458" s="67" t="s">
        <v>1736</v>
      </c>
      <c r="L458" s="147" t="s">
        <v>1737</v>
      </c>
      <c r="M458" s="67" t="s">
        <v>1738</v>
      </c>
      <c r="N458" s="92" t="s">
        <v>1739</v>
      </c>
      <c r="O458" s="67" t="s">
        <v>1740</v>
      </c>
      <c r="P458" s="101"/>
      <c r="Q458" s="107"/>
      <c r="R458" s="107"/>
      <c r="S458" s="108"/>
      <c r="T458" s="108"/>
      <c r="U458" s="108"/>
      <c r="V458" s="108"/>
      <c r="W458" s="108"/>
      <c r="X458" s="108"/>
      <c r="Y458" s="108"/>
      <c r="Z458" s="108"/>
    </row>
    <row r="459" spans="1:26" ht="21" customHeight="1">
      <c r="A459" s="104"/>
      <c r="B459" s="105"/>
      <c r="C459" s="65"/>
      <c r="D459" s="65"/>
      <c r="E459" s="65"/>
      <c r="F459" s="65"/>
      <c r="G459" s="65"/>
      <c r="H459" s="65"/>
      <c r="I459" s="53"/>
      <c r="J459" s="67"/>
      <c r="K459" s="71"/>
      <c r="L459" s="106"/>
      <c r="M459" s="67"/>
      <c r="N459" s="67"/>
      <c r="O459" s="67"/>
      <c r="P459" s="101"/>
      <c r="Q459" s="107"/>
      <c r="R459" s="107"/>
      <c r="S459" s="108"/>
      <c r="T459" s="108"/>
      <c r="U459" s="108"/>
      <c r="V459" s="108"/>
      <c r="W459" s="108"/>
      <c r="X459" s="108"/>
      <c r="Y459" s="108"/>
      <c r="Z459" s="108"/>
    </row>
    <row r="460" spans="1:26" ht="13.5" customHeight="1">
      <c r="A460" s="301" t="s">
        <v>1741</v>
      </c>
      <c r="B460" s="204" t="s">
        <v>130</v>
      </c>
      <c r="C460" s="51">
        <f t="shared" ref="C460:H460" si="60">AVERAGE(C461,C463,C465)</f>
        <v>0.97173913043478266</v>
      </c>
      <c r="D460" s="51">
        <f t="shared" si="60"/>
        <v>0.85217391304347823</v>
      </c>
      <c r="E460" s="51">
        <f t="shared" si="60"/>
        <v>0.43913043478260866</v>
      </c>
      <c r="F460" s="51">
        <f t="shared" si="60"/>
        <v>0.80869565217391304</v>
      </c>
      <c r="G460" s="51">
        <f t="shared" si="60"/>
        <v>0.8</v>
      </c>
      <c r="H460" s="51">
        <f t="shared" si="60"/>
        <v>0.5</v>
      </c>
      <c r="I460" s="53"/>
      <c r="J460" s="56"/>
      <c r="K460" s="26"/>
      <c r="L460" s="26"/>
      <c r="M460" s="139"/>
      <c r="N460" s="26"/>
      <c r="O460" s="26"/>
      <c r="P460" s="98"/>
      <c r="Q460" s="171"/>
      <c r="R460" s="171"/>
      <c r="S460" s="172"/>
      <c r="T460" s="172"/>
      <c r="U460" s="172"/>
      <c r="V460" s="172"/>
      <c r="W460" s="172"/>
      <c r="X460" s="172"/>
      <c r="Y460" s="172"/>
      <c r="Z460" s="172"/>
    </row>
    <row r="461" spans="1:26" ht="177.75" customHeight="1">
      <c r="A461" s="104" t="s">
        <v>736</v>
      </c>
      <c r="B461" s="105" t="s">
        <v>1742</v>
      </c>
      <c r="C461" s="192">
        <f>(0.65-11.5)/(0-11.5)</f>
        <v>0.94347826086956521</v>
      </c>
      <c r="D461" s="192">
        <f>(3.4-11.5)/(0-11.5)</f>
        <v>0.70434782608695645</v>
      </c>
      <c r="E461" s="192">
        <f>(1.4-11.5)/(0-11.5)</f>
        <v>0.87826086956521732</v>
      </c>
      <c r="F461" s="192">
        <f>(4.4-11.5)/(0-11.5)</f>
        <v>0.61739130434782608</v>
      </c>
      <c r="G461" s="192">
        <f>(4.6-11.5)/(0-11.5)</f>
        <v>0.6</v>
      </c>
      <c r="H461" s="192">
        <f>(11.5-11.5)/(0-11.5)</f>
        <v>0</v>
      </c>
      <c r="I461" s="53" t="s">
        <v>1743</v>
      </c>
      <c r="J461" s="67" t="s">
        <v>1744</v>
      </c>
      <c r="K461" s="67" t="s">
        <v>1745</v>
      </c>
      <c r="L461" s="67" t="s">
        <v>1746</v>
      </c>
      <c r="M461" s="67" t="s">
        <v>1747</v>
      </c>
      <c r="N461" s="92" t="s">
        <v>1748</v>
      </c>
      <c r="O461" s="69" t="s">
        <v>1749</v>
      </c>
      <c r="P461" s="101"/>
      <c r="Q461" s="107"/>
      <c r="R461" s="107"/>
      <c r="S461" s="108"/>
      <c r="T461" s="108"/>
      <c r="U461" s="108"/>
      <c r="V461" s="108"/>
      <c r="W461" s="108"/>
      <c r="X461" s="108"/>
      <c r="Y461" s="108"/>
      <c r="Z461" s="108"/>
    </row>
    <row r="462" spans="1:26" ht="30.75" customHeight="1">
      <c r="A462" s="104"/>
      <c r="B462" s="105"/>
      <c r="C462" s="65"/>
      <c r="D462" s="65"/>
      <c r="E462" s="65"/>
      <c r="F462" s="65"/>
      <c r="G462" s="65"/>
      <c r="H462" s="65"/>
      <c r="I462" s="53"/>
      <c r="J462" s="67"/>
      <c r="K462" s="67"/>
      <c r="L462" s="67"/>
      <c r="M462" s="69"/>
      <c r="N462" s="92"/>
      <c r="O462" s="69"/>
      <c r="P462" s="101"/>
      <c r="Q462" s="107"/>
      <c r="R462" s="107"/>
      <c r="S462" s="108"/>
      <c r="T462" s="108"/>
      <c r="U462" s="108"/>
      <c r="V462" s="108"/>
      <c r="W462" s="108"/>
      <c r="X462" s="108"/>
      <c r="Y462" s="108"/>
      <c r="Z462" s="108"/>
    </row>
    <row r="463" spans="1:26" ht="110.25" customHeight="1">
      <c r="A463" s="104" t="s">
        <v>736</v>
      </c>
      <c r="B463" s="105" t="s">
        <v>131</v>
      </c>
      <c r="C463" s="145">
        <v>1</v>
      </c>
      <c r="D463" s="145">
        <v>1</v>
      </c>
      <c r="E463" s="145">
        <v>0</v>
      </c>
      <c r="F463" s="900">
        <v>1</v>
      </c>
      <c r="G463" s="145">
        <v>1</v>
      </c>
      <c r="H463" s="900">
        <v>1</v>
      </c>
      <c r="I463" s="53" t="s">
        <v>123</v>
      </c>
      <c r="J463" s="67" t="s">
        <v>1750</v>
      </c>
      <c r="K463" s="67" t="s">
        <v>1751</v>
      </c>
      <c r="L463" s="147" t="s">
        <v>1752</v>
      </c>
      <c r="M463" s="69" t="s">
        <v>1753</v>
      </c>
      <c r="N463" s="92" t="s">
        <v>1754</v>
      </c>
      <c r="O463" s="69" t="s">
        <v>1755</v>
      </c>
      <c r="P463" s="101"/>
      <c r="Q463" s="107"/>
      <c r="R463" s="107"/>
      <c r="S463" s="108"/>
      <c r="T463" s="108"/>
      <c r="U463" s="108"/>
      <c r="V463" s="108"/>
      <c r="W463" s="108"/>
      <c r="X463" s="108"/>
      <c r="Y463" s="108"/>
      <c r="Z463" s="108"/>
    </row>
    <row r="464" spans="1:26" ht="37.5" customHeight="1">
      <c r="A464" s="104"/>
      <c r="B464" s="105"/>
      <c r="C464" s="65"/>
      <c r="D464" s="65"/>
      <c r="E464" s="65"/>
      <c r="F464" s="65"/>
      <c r="G464" s="65"/>
      <c r="H464" s="65"/>
      <c r="I464" s="53"/>
      <c r="J464" s="67"/>
      <c r="K464" s="67"/>
      <c r="L464" s="67"/>
      <c r="M464" s="69"/>
      <c r="N464" s="69"/>
      <c r="O464" s="69"/>
      <c r="P464" s="101"/>
      <c r="Q464" s="107"/>
      <c r="R464" s="107"/>
      <c r="S464" s="108"/>
      <c r="T464" s="108"/>
      <c r="U464" s="108"/>
      <c r="V464" s="108"/>
      <c r="W464" s="108"/>
      <c r="X464" s="108"/>
      <c r="Y464" s="108"/>
      <c r="Z464" s="108"/>
    </row>
    <row r="465" spans="1:26" ht="55.5" customHeight="1">
      <c r="A465" s="104" t="s">
        <v>736</v>
      </c>
      <c r="B465" s="105" t="s">
        <v>132</v>
      </c>
      <c r="C465" s="65"/>
      <c r="D465" s="65"/>
      <c r="E465" s="65"/>
      <c r="F465" s="65"/>
      <c r="G465" s="65"/>
      <c r="H465" s="65"/>
      <c r="I465" s="53"/>
      <c r="J465" s="67"/>
      <c r="K465" s="67"/>
      <c r="L465" s="67"/>
      <c r="M465" s="69"/>
      <c r="N465" s="69"/>
      <c r="O465" s="69"/>
      <c r="P465" s="101"/>
      <c r="Q465" s="107"/>
      <c r="R465" s="107"/>
      <c r="S465" s="108"/>
      <c r="T465" s="108"/>
      <c r="U465" s="108"/>
      <c r="V465" s="108"/>
      <c r="W465" s="108"/>
      <c r="X465" s="108"/>
      <c r="Y465" s="108"/>
      <c r="Z465" s="108"/>
    </row>
    <row r="466" spans="1:26" ht="139.5" customHeight="1">
      <c r="A466" s="104"/>
      <c r="B466" s="891" t="s">
        <v>133</v>
      </c>
      <c r="C466" s="145">
        <v>1</v>
      </c>
      <c r="D466" s="145">
        <v>1</v>
      </c>
      <c r="E466" s="145">
        <v>1</v>
      </c>
      <c r="F466" s="145">
        <v>1</v>
      </c>
      <c r="G466" s="145">
        <v>1</v>
      </c>
      <c r="H466" s="145">
        <v>1</v>
      </c>
      <c r="I466" s="53" t="s">
        <v>123</v>
      </c>
      <c r="J466" s="67" t="s">
        <v>1756</v>
      </c>
      <c r="K466" s="67" t="s">
        <v>1757</v>
      </c>
      <c r="L466" s="147" t="s">
        <v>1758</v>
      </c>
      <c r="M466" s="69" t="s">
        <v>1759</v>
      </c>
      <c r="N466" s="69" t="s">
        <v>1760</v>
      </c>
      <c r="O466" s="69" t="s">
        <v>1761</v>
      </c>
      <c r="P466" s="101"/>
      <c r="Q466" s="107"/>
      <c r="R466" s="107"/>
      <c r="S466" s="108"/>
      <c r="T466" s="108"/>
      <c r="U466" s="108"/>
      <c r="V466" s="108"/>
      <c r="W466" s="108"/>
      <c r="X466" s="108"/>
      <c r="Y466" s="108"/>
      <c r="Z466" s="108"/>
    </row>
    <row r="467" spans="1:26" ht="79.5" customHeight="1">
      <c r="A467" s="104"/>
      <c r="B467" s="891" t="s">
        <v>134</v>
      </c>
      <c r="C467" s="145">
        <v>1</v>
      </c>
      <c r="D467" s="145">
        <v>1</v>
      </c>
      <c r="E467" s="145">
        <v>1</v>
      </c>
      <c r="F467" s="145">
        <v>1</v>
      </c>
      <c r="G467" s="145">
        <v>1</v>
      </c>
      <c r="H467" s="145">
        <v>1</v>
      </c>
      <c r="I467" s="53" t="s">
        <v>123</v>
      </c>
      <c r="J467" s="67" t="s">
        <v>1762</v>
      </c>
      <c r="K467" s="67" t="s">
        <v>811</v>
      </c>
      <c r="L467" s="147" t="s">
        <v>811</v>
      </c>
      <c r="M467" s="69" t="s">
        <v>1763</v>
      </c>
      <c r="N467" s="69" t="s">
        <v>1764</v>
      </c>
      <c r="O467" s="69" t="s">
        <v>948</v>
      </c>
      <c r="P467" s="101"/>
      <c r="Q467" s="107"/>
      <c r="R467" s="107"/>
      <c r="S467" s="108"/>
      <c r="T467" s="108"/>
      <c r="U467" s="108"/>
      <c r="V467" s="108"/>
      <c r="W467" s="108"/>
      <c r="X467" s="108"/>
      <c r="Y467" s="108"/>
      <c r="Z467" s="108"/>
    </row>
    <row r="468" spans="1:26" ht="72" customHeight="1">
      <c r="A468" s="104"/>
      <c r="B468" s="891" t="s">
        <v>135</v>
      </c>
      <c r="C468" s="145">
        <v>1</v>
      </c>
      <c r="D468" s="145">
        <v>1</v>
      </c>
      <c r="E468" s="145">
        <v>1</v>
      </c>
      <c r="F468" s="145">
        <v>1</v>
      </c>
      <c r="G468" s="145">
        <v>1</v>
      </c>
      <c r="H468" s="145">
        <v>1</v>
      </c>
      <c r="I468" s="53" t="s">
        <v>123</v>
      </c>
      <c r="J468" s="67" t="s">
        <v>1765</v>
      </c>
      <c r="K468" s="67" t="s">
        <v>811</v>
      </c>
      <c r="L468" s="147" t="s">
        <v>811</v>
      </c>
      <c r="M468" s="69" t="s">
        <v>1766</v>
      </c>
      <c r="N468" s="69" t="s">
        <v>811</v>
      </c>
      <c r="O468" s="69" t="s">
        <v>1765</v>
      </c>
      <c r="P468" s="101"/>
      <c r="Q468" s="107"/>
      <c r="R468" s="107"/>
      <c r="S468" s="108"/>
      <c r="T468" s="108"/>
      <c r="U468" s="108"/>
      <c r="V468" s="108"/>
      <c r="W468" s="108"/>
      <c r="X468" s="108"/>
      <c r="Y468" s="108"/>
      <c r="Z468" s="108"/>
    </row>
    <row r="469" spans="1:26" ht="113.25" customHeight="1">
      <c r="A469" s="104"/>
      <c r="B469" s="891" t="s">
        <v>136</v>
      </c>
      <c r="C469" s="145">
        <v>1</v>
      </c>
      <c r="D469" s="145">
        <v>1</v>
      </c>
      <c r="E469" s="145">
        <v>1</v>
      </c>
      <c r="F469" s="145">
        <v>1</v>
      </c>
      <c r="G469" s="145">
        <v>1</v>
      </c>
      <c r="H469" s="145">
        <v>1</v>
      </c>
      <c r="I469" s="53" t="s">
        <v>123</v>
      </c>
      <c r="J469" s="67" t="s">
        <v>1767</v>
      </c>
      <c r="K469" s="67" t="s">
        <v>811</v>
      </c>
      <c r="L469" s="147" t="s">
        <v>811</v>
      </c>
      <c r="M469" s="69" t="s">
        <v>811</v>
      </c>
      <c r="N469" s="69" t="s">
        <v>811</v>
      </c>
      <c r="O469" s="69" t="s">
        <v>811</v>
      </c>
      <c r="P469" s="101"/>
      <c r="Q469" s="107"/>
      <c r="R469" s="107"/>
      <c r="S469" s="108"/>
      <c r="T469" s="108"/>
      <c r="U469" s="108"/>
      <c r="V469" s="108"/>
      <c r="W469" s="108"/>
      <c r="X469" s="108"/>
      <c r="Y469" s="108"/>
      <c r="Z469" s="108"/>
    </row>
    <row r="470" spans="1:26" ht="13.5" customHeight="1">
      <c r="A470" s="1"/>
      <c r="B470" s="918"/>
      <c r="C470" s="145"/>
      <c r="D470" s="894"/>
      <c r="E470" s="145"/>
      <c r="F470" s="145"/>
      <c r="G470" s="145"/>
      <c r="H470" s="145"/>
      <c r="I470" s="17"/>
      <c r="J470" s="67"/>
      <c r="K470" s="106"/>
      <c r="L470" s="159"/>
      <c r="M470" s="67"/>
      <c r="N470" s="106"/>
      <c r="O470" s="106"/>
      <c r="P470" s="19"/>
      <c r="Q470" s="12"/>
      <c r="R470" s="12"/>
      <c r="S470" s="12"/>
      <c r="T470" s="12"/>
      <c r="U470" s="12"/>
      <c r="V470" s="12"/>
      <c r="W470" s="12"/>
      <c r="X470" s="12"/>
      <c r="Y470" s="12"/>
      <c r="Z470" s="12"/>
    </row>
    <row r="471" spans="1:26" ht="54" customHeight="1">
      <c r="A471" s="394" t="s">
        <v>1768</v>
      </c>
      <c r="B471" s="211" t="s">
        <v>138</v>
      </c>
      <c r="C471" s="131">
        <f t="shared" ref="C471:H471" si="61">AVERAGE(C472,C487,C508,C531)</f>
        <v>0.62410714285714286</v>
      </c>
      <c r="D471" s="131">
        <f t="shared" si="61"/>
        <v>0.77797619047619049</v>
      </c>
      <c r="E471" s="131">
        <f t="shared" si="61"/>
        <v>0.2</v>
      </c>
      <c r="F471" s="131">
        <f t="shared" si="61"/>
        <v>0.58601190476190479</v>
      </c>
      <c r="G471" s="131">
        <f t="shared" si="61"/>
        <v>0.42678571428571432</v>
      </c>
      <c r="H471" s="131">
        <f t="shared" si="61"/>
        <v>0.23541666666666664</v>
      </c>
      <c r="I471" s="213"/>
      <c r="J471" s="47"/>
      <c r="K471" s="38"/>
      <c r="L471" s="136"/>
      <c r="M471" s="214"/>
      <c r="N471" s="38"/>
      <c r="O471" s="38"/>
      <c r="P471" s="98"/>
      <c r="Q471" s="98"/>
      <c r="R471" s="98"/>
      <c r="S471" s="99"/>
      <c r="T471" s="99"/>
      <c r="U471" s="99"/>
      <c r="V471" s="99"/>
      <c r="W471" s="99"/>
      <c r="X471" s="99"/>
      <c r="Y471" s="99"/>
      <c r="Z471" s="99"/>
    </row>
    <row r="472" spans="1:26" ht="22.5" customHeight="1">
      <c r="A472" s="119" t="s">
        <v>1769</v>
      </c>
      <c r="B472" s="215" t="s">
        <v>140</v>
      </c>
      <c r="C472" s="51">
        <f t="shared" ref="C472:H472" si="62">AVERAGE(C473,C475,C477,C482)</f>
        <v>0.54166666666666663</v>
      </c>
      <c r="D472" s="51">
        <f t="shared" si="62"/>
        <v>0.83333333333333326</v>
      </c>
      <c r="E472" s="51">
        <f t="shared" si="62"/>
        <v>0.25</v>
      </c>
      <c r="F472" s="51">
        <f t="shared" si="62"/>
        <v>0.625</v>
      </c>
      <c r="G472" s="51">
        <f t="shared" si="62"/>
        <v>0.33333333333333331</v>
      </c>
      <c r="H472" s="51">
        <f t="shared" si="62"/>
        <v>0.29166666666666663</v>
      </c>
      <c r="I472" s="53"/>
      <c r="J472" s="56"/>
      <c r="K472" s="26"/>
      <c r="L472" s="26"/>
      <c r="M472" s="216"/>
      <c r="N472" s="139"/>
      <c r="O472" s="26"/>
      <c r="P472" s="98"/>
      <c r="Q472" s="171"/>
      <c r="R472" s="171"/>
      <c r="S472" s="172"/>
      <c r="T472" s="172"/>
      <c r="U472" s="172"/>
      <c r="V472" s="172"/>
      <c r="W472" s="172"/>
      <c r="X472" s="172"/>
      <c r="Y472" s="172"/>
      <c r="Z472" s="172"/>
    </row>
    <row r="473" spans="1:26" ht="264" customHeight="1">
      <c r="A473" s="218" t="s">
        <v>736</v>
      </c>
      <c r="B473" s="220" t="s">
        <v>141</v>
      </c>
      <c r="C473" s="192">
        <v>1</v>
      </c>
      <c r="D473" s="192">
        <v>1</v>
      </c>
      <c r="E473" s="192">
        <v>0</v>
      </c>
      <c r="F473" s="901">
        <v>1</v>
      </c>
      <c r="G473" s="192">
        <v>1</v>
      </c>
      <c r="H473" s="192">
        <v>0</v>
      </c>
      <c r="I473" s="919" t="s">
        <v>142</v>
      </c>
      <c r="J473" s="67" t="s">
        <v>1770</v>
      </c>
      <c r="K473" s="71" t="s">
        <v>1771</v>
      </c>
      <c r="L473" s="67" t="s">
        <v>1772</v>
      </c>
      <c r="M473" s="176" t="s">
        <v>1773</v>
      </c>
      <c r="N473" s="67" t="s">
        <v>1774</v>
      </c>
      <c r="O473" s="67" t="s">
        <v>1775</v>
      </c>
      <c r="P473" s="222"/>
      <c r="Q473" s="224"/>
      <c r="R473" s="224"/>
      <c r="S473" s="225"/>
      <c r="T473" s="225"/>
      <c r="U473" s="225"/>
      <c r="V473" s="225"/>
      <c r="W473" s="225"/>
      <c r="X473" s="225"/>
      <c r="Y473" s="225"/>
      <c r="Z473" s="225"/>
    </row>
    <row r="474" spans="1:26" ht="13.5" customHeight="1">
      <c r="A474" s="1"/>
      <c r="B474" s="918"/>
      <c r="C474" s="145"/>
      <c r="D474" s="145"/>
      <c r="E474" s="145"/>
      <c r="F474" s="145"/>
      <c r="G474" s="145"/>
      <c r="H474" s="145"/>
      <c r="I474" s="17"/>
      <c r="J474" s="67"/>
      <c r="K474" s="106"/>
      <c r="L474" s="106"/>
      <c r="M474" s="67"/>
      <c r="N474" s="106"/>
      <c r="O474" s="106"/>
      <c r="P474" s="19"/>
      <c r="Q474" s="12"/>
      <c r="R474" s="12"/>
      <c r="S474" s="12"/>
      <c r="T474" s="12"/>
      <c r="U474" s="12"/>
      <c r="V474" s="12"/>
      <c r="W474" s="12"/>
      <c r="X474" s="12"/>
      <c r="Y474" s="12"/>
      <c r="Z474" s="12"/>
    </row>
    <row r="475" spans="1:26" ht="186.75" customHeight="1">
      <c r="A475" s="164" t="s">
        <v>736</v>
      </c>
      <c r="B475" s="179" t="s">
        <v>143</v>
      </c>
      <c r="C475" s="145">
        <v>0</v>
      </c>
      <c r="D475" s="145">
        <v>1</v>
      </c>
      <c r="E475" s="145">
        <v>0</v>
      </c>
      <c r="F475" s="145">
        <v>0</v>
      </c>
      <c r="G475" s="900">
        <v>0</v>
      </c>
      <c r="H475" s="145">
        <v>0</v>
      </c>
      <c r="I475" s="227" t="s">
        <v>144</v>
      </c>
      <c r="J475" s="67" t="s">
        <v>1776</v>
      </c>
      <c r="K475" s="67" t="s">
        <v>748</v>
      </c>
      <c r="L475" s="67" t="s">
        <v>1777</v>
      </c>
      <c r="M475" s="67" t="s">
        <v>1778</v>
      </c>
      <c r="N475" s="67" t="s">
        <v>1779</v>
      </c>
      <c r="O475" s="67" t="s">
        <v>1780</v>
      </c>
      <c r="P475" s="47"/>
      <c r="Q475" s="107"/>
      <c r="R475" s="107"/>
      <c r="S475" s="108"/>
      <c r="T475" s="108"/>
      <c r="U475" s="108"/>
      <c r="V475" s="108"/>
      <c r="W475" s="108"/>
      <c r="X475" s="108"/>
      <c r="Y475" s="108"/>
      <c r="Z475" s="108"/>
    </row>
    <row r="476" spans="1:26" ht="13.5" customHeight="1">
      <c r="A476" s="1"/>
      <c r="B476" s="918"/>
      <c r="C476" s="145"/>
      <c r="D476" s="145"/>
      <c r="E476" s="145"/>
      <c r="F476" s="145"/>
      <c r="G476" s="145"/>
      <c r="H476" s="145"/>
      <c r="I476" s="17"/>
      <c r="J476" s="67"/>
      <c r="K476" s="106"/>
      <c r="L476" s="106"/>
      <c r="M476" s="67"/>
      <c r="N476" s="106"/>
      <c r="O476" s="106"/>
      <c r="P476" s="19"/>
      <c r="Q476" s="12"/>
      <c r="R476" s="12"/>
      <c r="S476" s="12"/>
      <c r="T476" s="12"/>
      <c r="U476" s="12"/>
      <c r="V476" s="12"/>
      <c r="W476" s="12"/>
      <c r="X476" s="12"/>
      <c r="Y476" s="12"/>
      <c r="Z476" s="12"/>
    </row>
    <row r="477" spans="1:26" ht="217.5" customHeight="1">
      <c r="A477" s="164" t="s">
        <v>736</v>
      </c>
      <c r="B477" s="173" t="s">
        <v>145</v>
      </c>
      <c r="C477" s="192">
        <f t="shared" ref="C477:H477" si="63">AVERAGE(C478:C480)</f>
        <v>0.66666666666666663</v>
      </c>
      <c r="D477" s="192">
        <f t="shared" si="63"/>
        <v>0.66666666666666663</v>
      </c>
      <c r="E477" s="192">
        <f t="shared" si="63"/>
        <v>0.5</v>
      </c>
      <c r="F477" s="192">
        <f t="shared" si="63"/>
        <v>0.5</v>
      </c>
      <c r="G477" s="192">
        <f t="shared" si="63"/>
        <v>0.33333333333333331</v>
      </c>
      <c r="H477" s="192">
        <f t="shared" si="63"/>
        <v>0.66666666666666663</v>
      </c>
      <c r="I477" s="53"/>
      <c r="J477" s="230"/>
      <c r="K477" s="231"/>
      <c r="L477" s="85" t="s">
        <v>811</v>
      </c>
      <c r="M477" s="232"/>
      <c r="N477" s="67" t="s">
        <v>1781</v>
      </c>
      <c r="O477" s="67" t="s">
        <v>1782</v>
      </c>
      <c r="P477" s="101"/>
      <c r="Q477" s="107"/>
      <c r="R477" s="107"/>
      <c r="S477" s="108"/>
      <c r="T477" s="108"/>
      <c r="U477" s="108"/>
      <c r="V477" s="108"/>
      <c r="W477" s="108"/>
      <c r="X477" s="108"/>
      <c r="Y477" s="108"/>
      <c r="Z477" s="108"/>
    </row>
    <row r="478" spans="1:26" ht="55.5" customHeight="1">
      <c r="A478" s="164"/>
      <c r="B478" s="193" t="s">
        <v>146</v>
      </c>
      <c r="C478" s="145">
        <v>0.5</v>
      </c>
      <c r="D478" s="145">
        <v>1</v>
      </c>
      <c r="E478" s="145">
        <v>0.5</v>
      </c>
      <c r="F478" s="145">
        <v>0.5</v>
      </c>
      <c r="G478" s="145">
        <v>0.5</v>
      </c>
      <c r="H478" s="145">
        <v>0.5</v>
      </c>
      <c r="I478" s="53" t="s">
        <v>147</v>
      </c>
      <c r="J478" s="67" t="s">
        <v>1783</v>
      </c>
      <c r="K478" s="85" t="s">
        <v>1784</v>
      </c>
      <c r="L478" s="234" t="s">
        <v>1785</v>
      </c>
      <c r="M478" s="232" t="s">
        <v>1786</v>
      </c>
      <c r="N478" s="67" t="s">
        <v>1787</v>
      </c>
      <c r="O478" s="67" t="s">
        <v>1788</v>
      </c>
      <c r="P478" s="101"/>
      <c r="Q478" s="107"/>
      <c r="R478" s="107"/>
      <c r="S478" s="108"/>
      <c r="T478" s="108"/>
      <c r="U478" s="108"/>
      <c r="V478" s="108"/>
      <c r="W478" s="108"/>
      <c r="X478" s="108"/>
      <c r="Y478" s="108"/>
      <c r="Z478" s="108"/>
    </row>
    <row r="479" spans="1:26" ht="72" customHeight="1">
      <c r="A479" s="164"/>
      <c r="B479" s="193" t="s">
        <v>148</v>
      </c>
      <c r="C479" s="900">
        <v>0.5</v>
      </c>
      <c r="D479" s="145">
        <v>1</v>
      </c>
      <c r="E479" s="900">
        <v>0.5</v>
      </c>
      <c r="F479" s="145">
        <v>1</v>
      </c>
      <c r="G479" s="145">
        <v>0.5</v>
      </c>
      <c r="H479" s="145">
        <v>0.5</v>
      </c>
      <c r="I479" s="53" t="s">
        <v>147</v>
      </c>
      <c r="J479" s="67" t="s">
        <v>1789</v>
      </c>
      <c r="K479" s="67" t="s">
        <v>1790</v>
      </c>
      <c r="L479" s="234" t="s">
        <v>1785</v>
      </c>
      <c r="M479" s="67" t="s">
        <v>1791</v>
      </c>
      <c r="N479" s="67" t="s">
        <v>1792</v>
      </c>
      <c r="O479" s="67" t="s">
        <v>1793</v>
      </c>
      <c r="P479" s="101"/>
      <c r="Q479" s="107"/>
      <c r="R479" s="107"/>
      <c r="S479" s="108"/>
      <c r="T479" s="108"/>
      <c r="U479" s="108"/>
      <c r="V479" s="108"/>
      <c r="W479" s="108"/>
      <c r="X479" s="108"/>
      <c r="Y479" s="108"/>
      <c r="Z479" s="108"/>
    </row>
    <row r="480" spans="1:26" ht="64.5" customHeight="1">
      <c r="A480" s="164"/>
      <c r="B480" s="193" t="s">
        <v>149</v>
      </c>
      <c r="C480" s="145">
        <v>1</v>
      </c>
      <c r="D480" s="900">
        <v>0</v>
      </c>
      <c r="E480" s="900">
        <v>0.5</v>
      </c>
      <c r="F480" s="900">
        <v>0</v>
      </c>
      <c r="G480" s="900">
        <v>0</v>
      </c>
      <c r="H480" s="145">
        <v>1</v>
      </c>
      <c r="I480" s="53" t="s">
        <v>38</v>
      </c>
      <c r="J480" s="67" t="s">
        <v>1794</v>
      </c>
      <c r="K480" s="147" t="s">
        <v>1795</v>
      </c>
      <c r="L480" s="234" t="s">
        <v>1785</v>
      </c>
      <c r="M480" s="232" t="s">
        <v>1796</v>
      </c>
      <c r="N480" s="67" t="s">
        <v>943</v>
      </c>
      <c r="O480" s="67" t="s">
        <v>1797</v>
      </c>
      <c r="P480" s="101"/>
      <c r="Q480" s="107"/>
      <c r="R480" s="107"/>
      <c r="S480" s="108"/>
      <c r="T480" s="108"/>
      <c r="U480" s="108"/>
      <c r="V480" s="108"/>
      <c r="W480" s="108"/>
      <c r="X480" s="108"/>
      <c r="Y480" s="108"/>
      <c r="Z480" s="108"/>
    </row>
    <row r="481" spans="1:26" ht="13.5" customHeight="1">
      <c r="A481" s="164"/>
      <c r="B481" s="235"/>
      <c r="C481" s="145"/>
      <c r="D481" s="145"/>
      <c r="E481" s="145"/>
      <c r="F481" s="145"/>
      <c r="G481" s="145"/>
      <c r="H481" s="145"/>
      <c r="I481" s="53"/>
      <c r="J481" s="67"/>
      <c r="K481" s="232"/>
      <c r="L481" s="232"/>
      <c r="M481" s="232"/>
      <c r="N481" s="237"/>
      <c r="O481" s="106"/>
      <c r="P481" s="101"/>
      <c r="Q481" s="107"/>
      <c r="R481" s="107"/>
      <c r="S481" s="108"/>
      <c r="T481" s="108"/>
      <c r="U481" s="108"/>
      <c r="V481" s="108"/>
      <c r="W481" s="108"/>
      <c r="X481" s="108"/>
      <c r="Y481" s="108"/>
      <c r="Z481" s="108"/>
    </row>
    <row r="482" spans="1:26" ht="244.5" customHeight="1">
      <c r="A482" s="164" t="s">
        <v>736</v>
      </c>
      <c r="B482" s="173" t="s">
        <v>150</v>
      </c>
      <c r="C482" s="192">
        <f t="shared" ref="C482:H482" si="64">AVERAGE(C483:C485)</f>
        <v>0.5</v>
      </c>
      <c r="D482" s="192">
        <f t="shared" si="64"/>
        <v>0.66666666666666663</v>
      </c>
      <c r="E482" s="192">
        <f t="shared" si="64"/>
        <v>0.5</v>
      </c>
      <c r="F482" s="192">
        <f t="shared" si="64"/>
        <v>1</v>
      </c>
      <c r="G482" s="192">
        <f t="shared" si="64"/>
        <v>0</v>
      </c>
      <c r="H482" s="192">
        <f t="shared" si="64"/>
        <v>0.5</v>
      </c>
      <c r="I482" s="53"/>
      <c r="J482" s="67"/>
      <c r="K482" s="232"/>
      <c r="L482" s="232" t="s">
        <v>1798</v>
      </c>
      <c r="M482" s="232" t="s">
        <v>1799</v>
      </c>
      <c r="N482" s="71"/>
      <c r="O482" s="67" t="s">
        <v>1800</v>
      </c>
      <c r="P482" s="101"/>
      <c r="Q482" s="107"/>
      <c r="R482" s="107"/>
      <c r="S482" s="108"/>
      <c r="T482" s="108"/>
      <c r="U482" s="108"/>
      <c r="V482" s="108"/>
      <c r="W482" s="108"/>
      <c r="X482" s="108"/>
      <c r="Y482" s="108"/>
      <c r="Z482" s="108"/>
    </row>
    <row r="483" spans="1:26" ht="113.25" customHeight="1">
      <c r="A483" s="164"/>
      <c r="B483" s="193" t="s">
        <v>146</v>
      </c>
      <c r="C483" s="900">
        <v>0.5</v>
      </c>
      <c r="D483" s="145">
        <v>1</v>
      </c>
      <c r="E483" s="902">
        <v>0.5</v>
      </c>
      <c r="F483" s="902">
        <v>1</v>
      </c>
      <c r="G483" s="902">
        <v>0</v>
      </c>
      <c r="H483" s="900">
        <v>0.5</v>
      </c>
      <c r="I483" s="53" t="s">
        <v>147</v>
      </c>
      <c r="J483" s="67" t="s">
        <v>1801</v>
      </c>
      <c r="K483" s="85" t="s">
        <v>811</v>
      </c>
      <c r="L483" s="85" t="s">
        <v>1798</v>
      </c>
      <c r="M483" s="85" t="s">
        <v>1802</v>
      </c>
      <c r="N483" s="67" t="s">
        <v>1803</v>
      </c>
      <c r="O483" s="67" t="s">
        <v>1804</v>
      </c>
      <c r="P483" s="101"/>
      <c r="Q483" s="107"/>
      <c r="R483" s="107"/>
      <c r="S483" s="108"/>
      <c r="T483" s="108"/>
      <c r="U483" s="108"/>
      <c r="V483" s="108"/>
      <c r="W483" s="108"/>
      <c r="X483" s="108"/>
      <c r="Y483" s="108"/>
      <c r="Z483" s="108"/>
    </row>
    <row r="484" spans="1:26" ht="103.5" customHeight="1">
      <c r="A484" s="164"/>
      <c r="B484" s="193" t="s">
        <v>148</v>
      </c>
      <c r="C484" s="900">
        <v>0.5</v>
      </c>
      <c r="D484" s="145">
        <v>1</v>
      </c>
      <c r="E484" s="902">
        <v>0.5</v>
      </c>
      <c r="F484" s="902">
        <v>1</v>
      </c>
      <c r="G484" s="900">
        <v>0</v>
      </c>
      <c r="H484" s="900">
        <v>0.5</v>
      </c>
      <c r="I484" s="53" t="s">
        <v>147</v>
      </c>
      <c r="J484" s="67" t="s">
        <v>1805</v>
      </c>
      <c r="K484" s="85" t="s">
        <v>811</v>
      </c>
      <c r="L484" s="85" t="s">
        <v>1798</v>
      </c>
      <c r="M484" s="85" t="s">
        <v>1806</v>
      </c>
      <c r="N484" s="67" t="s">
        <v>1807</v>
      </c>
      <c r="O484" s="67" t="s">
        <v>1808</v>
      </c>
      <c r="P484" s="101"/>
      <c r="Q484" s="107"/>
      <c r="R484" s="107"/>
      <c r="S484" s="108"/>
      <c r="T484" s="108"/>
      <c r="U484" s="108"/>
      <c r="V484" s="108"/>
      <c r="W484" s="108"/>
      <c r="X484" s="108"/>
      <c r="Y484" s="108"/>
      <c r="Z484" s="108"/>
    </row>
    <row r="485" spans="1:26" ht="78" customHeight="1">
      <c r="A485" s="164"/>
      <c r="B485" s="193" t="s">
        <v>149</v>
      </c>
      <c r="C485" s="900">
        <v>0.5</v>
      </c>
      <c r="D485" s="900">
        <v>0</v>
      </c>
      <c r="E485" s="902">
        <v>0.5</v>
      </c>
      <c r="F485" s="900">
        <v>1</v>
      </c>
      <c r="G485" s="900">
        <v>0</v>
      </c>
      <c r="H485" s="900">
        <v>0.5</v>
      </c>
      <c r="I485" s="53" t="s">
        <v>147</v>
      </c>
      <c r="J485" s="67" t="s">
        <v>1809</v>
      </c>
      <c r="K485" s="85" t="s">
        <v>1795</v>
      </c>
      <c r="L485" s="232" t="s">
        <v>1810</v>
      </c>
      <c r="M485" s="85" t="s">
        <v>1806</v>
      </c>
      <c r="N485" s="67" t="s">
        <v>748</v>
      </c>
      <c r="O485" s="67" t="s">
        <v>1811</v>
      </c>
      <c r="P485" s="101"/>
      <c r="Q485" s="107"/>
      <c r="R485" s="107"/>
      <c r="S485" s="108"/>
      <c r="T485" s="108"/>
      <c r="U485" s="108"/>
      <c r="V485" s="108"/>
      <c r="W485" s="108"/>
      <c r="X485" s="108"/>
      <c r="Y485" s="108"/>
      <c r="Z485" s="108"/>
    </row>
    <row r="486" spans="1:26" ht="13.5" customHeight="1">
      <c r="A486" s="164"/>
      <c r="B486" s="235"/>
      <c r="C486" s="145"/>
      <c r="D486" s="145"/>
      <c r="E486" s="145"/>
      <c r="F486" s="145"/>
      <c r="G486" s="145"/>
      <c r="H486" s="145"/>
      <c r="I486" s="53"/>
      <c r="J486" s="67"/>
      <c r="K486" s="232"/>
      <c r="L486" s="232"/>
      <c r="M486" s="232"/>
      <c r="N486" s="237"/>
      <c r="O486" s="106"/>
      <c r="P486" s="101"/>
      <c r="Q486" s="107"/>
      <c r="R486" s="107"/>
      <c r="S486" s="108"/>
      <c r="T486" s="108"/>
      <c r="U486" s="108"/>
      <c r="V486" s="108"/>
      <c r="W486" s="108"/>
      <c r="X486" s="108"/>
      <c r="Y486" s="108"/>
      <c r="Z486" s="108"/>
    </row>
    <row r="487" spans="1:26" ht="18" customHeight="1">
      <c r="A487" s="119" t="s">
        <v>1812</v>
      </c>
      <c r="B487" s="215" t="s">
        <v>152</v>
      </c>
      <c r="C487" s="240">
        <f t="shared" ref="C487:H487" si="65">AVERAGE(C488,C490,C492,C494,C496,C498,C500,C502,C504,C506)</f>
        <v>0.75</v>
      </c>
      <c r="D487" s="240">
        <f t="shared" si="65"/>
        <v>0.75</v>
      </c>
      <c r="E487" s="240">
        <f t="shared" si="65"/>
        <v>0.25</v>
      </c>
      <c r="F487" s="240">
        <f t="shared" si="65"/>
        <v>0.6</v>
      </c>
      <c r="G487" s="240">
        <f t="shared" si="65"/>
        <v>0.55000000000000004</v>
      </c>
      <c r="H487" s="240">
        <f t="shared" si="65"/>
        <v>0.25</v>
      </c>
      <c r="I487" s="53"/>
      <c r="J487" s="78"/>
      <c r="K487" s="78"/>
      <c r="L487" s="242"/>
      <c r="M487" s="78"/>
      <c r="N487" s="78"/>
      <c r="O487" s="26"/>
      <c r="P487" s="98"/>
      <c r="Q487" s="171"/>
      <c r="R487" s="171"/>
      <c r="S487" s="172"/>
      <c r="T487" s="172"/>
      <c r="U487" s="172"/>
      <c r="V487" s="172"/>
      <c r="W487" s="172"/>
      <c r="X487" s="172"/>
      <c r="Y487" s="172"/>
      <c r="Z487" s="172"/>
    </row>
    <row r="488" spans="1:26" ht="134.25" customHeight="1">
      <c r="A488" s="104" t="s">
        <v>736</v>
      </c>
      <c r="B488" s="173" t="s">
        <v>153</v>
      </c>
      <c r="C488" s="65">
        <v>0.5</v>
      </c>
      <c r="D488" s="65">
        <v>1</v>
      </c>
      <c r="E488" s="65">
        <v>0.5</v>
      </c>
      <c r="F488" s="65">
        <v>0.5</v>
      </c>
      <c r="G488" s="65">
        <v>0.5</v>
      </c>
      <c r="H488" s="65">
        <v>0.5</v>
      </c>
      <c r="I488" s="53" t="s">
        <v>154</v>
      </c>
      <c r="J488" s="67" t="s">
        <v>1813</v>
      </c>
      <c r="K488" s="67" t="s">
        <v>811</v>
      </c>
      <c r="L488" s="67" t="s">
        <v>1814</v>
      </c>
      <c r="M488" s="67" t="s">
        <v>1815</v>
      </c>
      <c r="N488" s="67" t="s">
        <v>1816</v>
      </c>
      <c r="O488" s="67" t="s">
        <v>1817</v>
      </c>
      <c r="P488" s="101"/>
      <c r="Q488" s="107"/>
      <c r="R488" s="107"/>
      <c r="S488" s="108"/>
      <c r="T488" s="108"/>
      <c r="U488" s="108"/>
      <c r="V488" s="108"/>
      <c r="W488" s="108"/>
      <c r="X488" s="108"/>
      <c r="Y488" s="108"/>
      <c r="Z488" s="108"/>
    </row>
    <row r="489" spans="1:26" ht="18.75" customHeight="1">
      <c r="A489" s="104"/>
      <c r="B489" s="173"/>
      <c r="C489" s="65"/>
      <c r="D489" s="65"/>
      <c r="E489" s="65"/>
      <c r="F489" s="65"/>
      <c r="G489" s="65"/>
      <c r="H489" s="65"/>
      <c r="I489" s="53"/>
      <c r="J489" s="67"/>
      <c r="K489" s="67"/>
      <c r="L489" s="67"/>
      <c r="M489" s="67"/>
      <c r="N489" s="67"/>
      <c r="O489" s="67"/>
      <c r="P489" s="101"/>
      <c r="Q489" s="107"/>
      <c r="R489" s="107"/>
      <c r="S489" s="108"/>
      <c r="T489" s="108"/>
      <c r="U489" s="108"/>
      <c r="V489" s="108"/>
      <c r="W489" s="108"/>
      <c r="X489" s="108"/>
      <c r="Y489" s="108"/>
      <c r="Z489" s="108"/>
    </row>
    <row r="490" spans="1:26" ht="145.5" customHeight="1">
      <c r="A490" s="104" t="s">
        <v>736</v>
      </c>
      <c r="B490" s="173" t="s">
        <v>155</v>
      </c>
      <c r="C490" s="145">
        <v>1</v>
      </c>
      <c r="D490" s="145">
        <v>1</v>
      </c>
      <c r="E490" s="145">
        <v>1</v>
      </c>
      <c r="F490" s="145">
        <v>0.5</v>
      </c>
      <c r="G490" s="145">
        <v>1</v>
      </c>
      <c r="H490" s="145">
        <v>1</v>
      </c>
      <c r="I490" s="53" t="s">
        <v>156</v>
      </c>
      <c r="J490" s="67" t="s">
        <v>1818</v>
      </c>
      <c r="K490" s="244" t="s">
        <v>1819</v>
      </c>
      <c r="L490" s="67" t="s">
        <v>1820</v>
      </c>
      <c r="M490" s="67" t="s">
        <v>1821</v>
      </c>
      <c r="N490" s="71" t="s">
        <v>1822</v>
      </c>
      <c r="O490" s="67" t="s">
        <v>1823</v>
      </c>
      <c r="P490" s="101"/>
      <c r="Q490" s="107"/>
      <c r="R490" s="107"/>
      <c r="S490" s="108"/>
      <c r="T490" s="108"/>
      <c r="U490" s="108"/>
      <c r="V490" s="108"/>
      <c r="W490" s="108"/>
      <c r="X490" s="108"/>
      <c r="Y490" s="108"/>
      <c r="Z490" s="108"/>
    </row>
    <row r="491" spans="1:26" ht="13.5" customHeight="1">
      <c r="A491" s="104"/>
      <c r="B491" s="173"/>
      <c r="C491" s="145"/>
      <c r="D491" s="145"/>
      <c r="E491" s="145"/>
      <c r="F491" s="145"/>
      <c r="G491" s="145"/>
      <c r="H491" s="145"/>
      <c r="I491" s="53"/>
      <c r="J491" s="67"/>
      <c r="K491" s="244"/>
      <c r="L491" s="67"/>
      <c r="M491" s="68"/>
      <c r="N491" s="71"/>
      <c r="O491" s="67"/>
      <c r="P491" s="101"/>
      <c r="Q491" s="107"/>
      <c r="R491" s="107"/>
      <c r="S491" s="108"/>
      <c r="T491" s="108"/>
      <c r="U491" s="108"/>
      <c r="V491" s="108"/>
      <c r="W491" s="108"/>
      <c r="X491" s="108"/>
      <c r="Y491" s="108"/>
      <c r="Z491" s="108"/>
    </row>
    <row r="492" spans="1:26" ht="146.25" customHeight="1">
      <c r="A492" s="104" t="s">
        <v>736</v>
      </c>
      <c r="B492" s="173" t="s">
        <v>157</v>
      </c>
      <c r="C492" s="145">
        <v>0</v>
      </c>
      <c r="D492" s="900">
        <v>0</v>
      </c>
      <c r="E492" s="145">
        <v>0</v>
      </c>
      <c r="F492" s="145">
        <v>0</v>
      </c>
      <c r="G492" s="145">
        <v>0</v>
      </c>
      <c r="H492" s="145">
        <v>0</v>
      </c>
      <c r="I492" s="53" t="s">
        <v>38</v>
      </c>
      <c r="J492" s="67" t="s">
        <v>1824</v>
      </c>
      <c r="K492" s="67" t="s">
        <v>1825</v>
      </c>
      <c r="L492" s="71" t="s">
        <v>1826</v>
      </c>
      <c r="M492" s="67" t="s">
        <v>1827</v>
      </c>
      <c r="N492" s="67" t="s">
        <v>1828</v>
      </c>
      <c r="O492" s="67" t="s">
        <v>1829</v>
      </c>
      <c r="P492" s="101"/>
      <c r="Q492" s="107"/>
      <c r="R492" s="107"/>
      <c r="S492" s="108"/>
      <c r="T492" s="108"/>
      <c r="U492" s="108"/>
      <c r="V492" s="108"/>
      <c r="W492" s="108"/>
      <c r="X492" s="108"/>
      <c r="Y492" s="108"/>
      <c r="Z492" s="108"/>
    </row>
    <row r="493" spans="1:26" ht="13.5" customHeight="1">
      <c r="A493" s="1"/>
      <c r="B493" s="918"/>
      <c r="C493" s="145"/>
      <c r="D493" s="145"/>
      <c r="E493" s="145"/>
      <c r="F493" s="145"/>
      <c r="G493" s="145"/>
      <c r="H493" s="145"/>
      <c r="I493" s="17"/>
      <c r="J493" s="67"/>
      <c r="K493" s="106"/>
      <c r="L493" s="106"/>
      <c r="M493" s="67"/>
      <c r="N493" s="106"/>
      <c r="O493" s="106"/>
      <c r="P493" s="19"/>
      <c r="Q493" s="12"/>
      <c r="R493" s="12"/>
      <c r="S493" s="12"/>
      <c r="T493" s="12"/>
      <c r="U493" s="12"/>
      <c r="V493" s="12"/>
      <c r="W493" s="12"/>
      <c r="X493" s="12"/>
      <c r="Y493" s="12"/>
      <c r="Z493" s="12"/>
    </row>
    <row r="494" spans="1:26" ht="115.5" customHeight="1">
      <c r="A494" s="104" t="s">
        <v>736</v>
      </c>
      <c r="B494" s="173" t="s">
        <v>158</v>
      </c>
      <c r="C494" s="900">
        <v>1</v>
      </c>
      <c r="D494" s="900">
        <v>1</v>
      </c>
      <c r="E494" s="900">
        <v>1</v>
      </c>
      <c r="F494" s="902">
        <v>1</v>
      </c>
      <c r="G494" s="900">
        <v>0.5</v>
      </c>
      <c r="H494" s="145">
        <v>0</v>
      </c>
      <c r="I494" s="53" t="s">
        <v>147</v>
      </c>
      <c r="J494" s="67" t="s">
        <v>1830</v>
      </c>
      <c r="K494" s="244" t="s">
        <v>1831</v>
      </c>
      <c r="L494" s="67" t="s">
        <v>1832</v>
      </c>
      <c r="M494" s="67" t="s">
        <v>1833</v>
      </c>
      <c r="N494" s="67" t="s">
        <v>1834</v>
      </c>
      <c r="O494" s="67" t="s">
        <v>943</v>
      </c>
      <c r="P494" s="101"/>
      <c r="Q494" s="107"/>
      <c r="R494" s="107"/>
      <c r="S494" s="108"/>
      <c r="T494" s="108"/>
      <c r="U494" s="108"/>
      <c r="V494" s="108"/>
      <c r="W494" s="108"/>
      <c r="X494" s="108"/>
      <c r="Y494" s="108"/>
      <c r="Z494" s="108"/>
    </row>
    <row r="495" spans="1:26" ht="13.5" customHeight="1">
      <c r="A495" s="1"/>
      <c r="B495" s="918"/>
      <c r="C495" s="145"/>
      <c r="D495" s="145"/>
      <c r="E495" s="145"/>
      <c r="F495" s="145"/>
      <c r="G495" s="145"/>
      <c r="H495" s="145"/>
      <c r="I495" s="17"/>
      <c r="J495" s="67"/>
      <c r="K495" s="106"/>
      <c r="L495" s="106"/>
      <c r="M495" s="67"/>
      <c r="N495" s="106"/>
      <c r="O495" s="106"/>
      <c r="P495" s="19"/>
      <c r="Q495" s="12"/>
      <c r="R495" s="12"/>
      <c r="S495" s="12"/>
      <c r="T495" s="12"/>
      <c r="U495" s="12"/>
      <c r="V495" s="12"/>
      <c r="W495" s="12"/>
      <c r="X495" s="12"/>
      <c r="Y495" s="12"/>
      <c r="Z495" s="12"/>
    </row>
    <row r="496" spans="1:26" ht="189.75" customHeight="1">
      <c r="A496" s="104" t="s">
        <v>736</v>
      </c>
      <c r="B496" s="173" t="s">
        <v>159</v>
      </c>
      <c r="C496" s="900">
        <v>0.5</v>
      </c>
      <c r="D496" s="145">
        <v>0.5</v>
      </c>
      <c r="E496" s="145">
        <v>0</v>
      </c>
      <c r="F496" s="145">
        <v>0.5</v>
      </c>
      <c r="G496" s="145">
        <v>0.5</v>
      </c>
      <c r="H496" s="145">
        <v>0</v>
      </c>
      <c r="I496" s="53" t="s">
        <v>147</v>
      </c>
      <c r="J496" s="67" t="s">
        <v>1835</v>
      </c>
      <c r="K496" s="67" t="s">
        <v>1836</v>
      </c>
      <c r="L496" s="67" t="s">
        <v>1837</v>
      </c>
      <c r="M496" s="67" t="s">
        <v>1838</v>
      </c>
      <c r="N496" s="67" t="s">
        <v>1839</v>
      </c>
      <c r="O496" s="67" t="s">
        <v>1840</v>
      </c>
      <c r="P496" s="101"/>
      <c r="Q496" s="107"/>
      <c r="R496" s="107"/>
      <c r="S496" s="108"/>
      <c r="T496" s="108"/>
      <c r="U496" s="108"/>
      <c r="V496" s="108"/>
      <c r="W496" s="108"/>
      <c r="X496" s="108"/>
      <c r="Y496" s="108"/>
      <c r="Z496" s="108"/>
    </row>
    <row r="497" spans="1:26" ht="13.5" customHeight="1">
      <c r="A497" s="1"/>
      <c r="B497" s="918"/>
      <c r="C497" s="145"/>
      <c r="D497" s="145"/>
      <c r="E497" s="145"/>
      <c r="F497" s="145"/>
      <c r="G497" s="145"/>
      <c r="H497" s="145"/>
      <c r="I497" s="17"/>
      <c r="J497" s="67"/>
      <c r="K497" s="106"/>
      <c r="L497" s="106"/>
      <c r="M497" s="67"/>
      <c r="N497" s="106"/>
      <c r="O497" s="106"/>
      <c r="P497" s="19"/>
      <c r="Q497" s="12"/>
      <c r="R497" s="12"/>
      <c r="S497" s="12"/>
      <c r="T497" s="12"/>
      <c r="U497" s="12"/>
      <c r="V497" s="12"/>
      <c r="W497" s="12"/>
      <c r="X497" s="12"/>
      <c r="Y497" s="12"/>
      <c r="Z497" s="12"/>
    </row>
    <row r="498" spans="1:26" ht="174.75" customHeight="1">
      <c r="A498" s="104" t="s">
        <v>736</v>
      </c>
      <c r="B498" s="173" t="s">
        <v>1841</v>
      </c>
      <c r="C498" s="145">
        <v>1</v>
      </c>
      <c r="D498" s="145">
        <v>1</v>
      </c>
      <c r="E498" s="145">
        <v>0</v>
      </c>
      <c r="F498" s="145">
        <v>1</v>
      </c>
      <c r="G498" s="145">
        <v>1</v>
      </c>
      <c r="H498" s="145">
        <v>0</v>
      </c>
      <c r="I498" s="53" t="s">
        <v>38</v>
      </c>
      <c r="J498" s="67" t="s">
        <v>1842</v>
      </c>
      <c r="K498" s="85" t="s">
        <v>1843</v>
      </c>
      <c r="L498" s="67" t="s">
        <v>1844</v>
      </c>
      <c r="M498" s="67" t="s">
        <v>1845</v>
      </c>
      <c r="N498" s="67" t="s">
        <v>1846</v>
      </c>
      <c r="O498" s="67" t="s">
        <v>1847</v>
      </c>
      <c r="P498" s="101"/>
      <c r="Q498" s="107"/>
      <c r="R498" s="107"/>
      <c r="S498" s="108"/>
      <c r="T498" s="108"/>
      <c r="U498" s="108"/>
      <c r="V498" s="108"/>
      <c r="W498" s="108"/>
      <c r="X498" s="108"/>
      <c r="Y498" s="108"/>
      <c r="Z498" s="108"/>
    </row>
    <row r="499" spans="1:26" ht="27" customHeight="1">
      <c r="A499" s="104"/>
      <c r="B499" s="179"/>
      <c r="C499" s="65"/>
      <c r="D499" s="65"/>
      <c r="E499" s="65"/>
      <c r="F499" s="65"/>
      <c r="G499" s="65"/>
      <c r="H499" s="65"/>
      <c r="I499" s="53"/>
      <c r="J499" s="67"/>
      <c r="K499" s="67"/>
      <c r="L499" s="67"/>
      <c r="M499" s="68"/>
      <c r="N499" s="67"/>
      <c r="O499" s="67"/>
      <c r="P499" s="101"/>
      <c r="Q499" s="107"/>
      <c r="R499" s="107"/>
      <c r="S499" s="108"/>
      <c r="T499" s="108"/>
      <c r="U499" s="108"/>
      <c r="V499" s="108"/>
      <c r="W499" s="108"/>
      <c r="X499" s="108"/>
      <c r="Y499" s="108"/>
      <c r="Z499" s="108"/>
    </row>
    <row r="500" spans="1:26" ht="145.5" customHeight="1">
      <c r="A500" s="104" t="s">
        <v>736</v>
      </c>
      <c r="B500" s="173" t="s">
        <v>1848</v>
      </c>
      <c r="C500" s="145">
        <v>1</v>
      </c>
      <c r="D500" s="145">
        <v>1</v>
      </c>
      <c r="E500" s="145">
        <v>0</v>
      </c>
      <c r="F500" s="145">
        <v>0</v>
      </c>
      <c r="G500" s="145">
        <v>0</v>
      </c>
      <c r="H500" s="145">
        <v>0</v>
      </c>
      <c r="I500" s="53" t="s">
        <v>147</v>
      </c>
      <c r="J500" s="67" t="s">
        <v>1849</v>
      </c>
      <c r="K500" s="67" t="s">
        <v>1850</v>
      </c>
      <c r="L500" s="67" t="s">
        <v>943</v>
      </c>
      <c r="M500" s="67" t="s">
        <v>1851</v>
      </c>
      <c r="N500" s="67" t="s">
        <v>1852</v>
      </c>
      <c r="O500" s="67" t="s">
        <v>1853</v>
      </c>
      <c r="P500" s="101"/>
      <c r="Q500" s="107"/>
      <c r="R500" s="107"/>
      <c r="S500" s="108"/>
      <c r="T500" s="108"/>
      <c r="U500" s="108"/>
      <c r="V500" s="108"/>
      <c r="W500" s="108"/>
      <c r="X500" s="108"/>
      <c r="Y500" s="108"/>
      <c r="Z500" s="108"/>
    </row>
    <row r="501" spans="1:26" ht="13.5" customHeight="1">
      <c r="A501" s="104"/>
      <c r="B501" s="173"/>
      <c r="C501" s="145"/>
      <c r="D501" s="145"/>
      <c r="E501" s="145"/>
      <c r="F501" s="145"/>
      <c r="G501" s="145"/>
      <c r="H501" s="145"/>
      <c r="I501" s="53"/>
      <c r="J501" s="67"/>
      <c r="K501" s="246"/>
      <c r="L501" s="246"/>
      <c r="M501" s="246"/>
      <c r="N501" s="237"/>
      <c r="O501" s="106"/>
      <c r="P501" s="101"/>
      <c r="Q501" s="107"/>
      <c r="R501" s="107"/>
      <c r="S501" s="108"/>
      <c r="T501" s="108"/>
      <c r="U501" s="108"/>
      <c r="V501" s="108"/>
      <c r="W501" s="108"/>
      <c r="X501" s="108"/>
      <c r="Y501" s="108"/>
      <c r="Z501" s="108"/>
    </row>
    <row r="502" spans="1:26" ht="147.75" customHeight="1">
      <c r="A502" s="104" t="s">
        <v>736</v>
      </c>
      <c r="B502" s="173" t="s">
        <v>161</v>
      </c>
      <c r="C502" s="145">
        <v>1</v>
      </c>
      <c r="D502" s="894">
        <v>0.5</v>
      </c>
      <c r="E502" s="145">
        <v>0</v>
      </c>
      <c r="F502" s="894">
        <v>1</v>
      </c>
      <c r="G502" s="145">
        <v>0.5</v>
      </c>
      <c r="H502" s="145">
        <v>0</v>
      </c>
      <c r="I502" s="53" t="s">
        <v>147</v>
      </c>
      <c r="J502" s="67" t="s">
        <v>1854</v>
      </c>
      <c r="K502" s="67" t="s">
        <v>1855</v>
      </c>
      <c r="L502" s="67" t="s">
        <v>1856</v>
      </c>
      <c r="M502" s="67" t="s">
        <v>1857</v>
      </c>
      <c r="N502" s="67" t="s">
        <v>1858</v>
      </c>
      <c r="O502" s="67" t="s">
        <v>1859</v>
      </c>
      <c r="P502" s="101"/>
      <c r="Q502" s="107"/>
      <c r="R502" s="107"/>
      <c r="S502" s="108"/>
      <c r="T502" s="108"/>
      <c r="U502" s="108"/>
      <c r="V502" s="108"/>
      <c r="W502" s="108"/>
      <c r="X502" s="108"/>
      <c r="Y502" s="108"/>
      <c r="Z502" s="108"/>
    </row>
    <row r="503" spans="1:26" ht="13.5" customHeight="1">
      <c r="A503" s="1"/>
      <c r="B503" s="918"/>
      <c r="C503" s="145"/>
      <c r="D503" s="145"/>
      <c r="E503" s="145"/>
      <c r="F503" s="145"/>
      <c r="G503" s="145"/>
      <c r="H503" s="145"/>
      <c r="I503" s="17"/>
      <c r="J503" s="67"/>
      <c r="K503" s="106"/>
      <c r="L503" s="106"/>
      <c r="M503" s="67"/>
      <c r="N503" s="106"/>
      <c r="O503" s="106"/>
      <c r="P503" s="19"/>
      <c r="Q503" s="12"/>
      <c r="R503" s="12"/>
      <c r="S503" s="12"/>
      <c r="T503" s="12"/>
      <c r="U503" s="12"/>
      <c r="V503" s="12"/>
      <c r="W503" s="12"/>
      <c r="X503" s="12"/>
      <c r="Y503" s="12"/>
      <c r="Z503" s="12"/>
    </row>
    <row r="504" spans="1:26" ht="150" customHeight="1">
      <c r="A504" s="104" t="s">
        <v>736</v>
      </c>
      <c r="B504" s="173" t="s">
        <v>162</v>
      </c>
      <c r="C504" s="145">
        <v>0.5</v>
      </c>
      <c r="D504" s="145">
        <v>0.5</v>
      </c>
      <c r="E504" s="145">
        <v>0</v>
      </c>
      <c r="F504" s="902">
        <v>0.5</v>
      </c>
      <c r="G504" s="900">
        <v>0.5</v>
      </c>
      <c r="H504" s="900">
        <v>0.5</v>
      </c>
      <c r="I504" s="53" t="s">
        <v>147</v>
      </c>
      <c r="J504" s="67" t="s">
        <v>1860</v>
      </c>
      <c r="K504" s="67" t="s">
        <v>1005</v>
      </c>
      <c r="L504" s="67" t="s">
        <v>1861</v>
      </c>
      <c r="M504" s="69" t="s">
        <v>1862</v>
      </c>
      <c r="N504" s="67" t="s">
        <v>1863</v>
      </c>
      <c r="O504" s="67" t="s">
        <v>1864</v>
      </c>
      <c r="P504" s="101"/>
      <c r="Q504" s="107"/>
      <c r="R504" s="107"/>
      <c r="S504" s="108"/>
      <c r="T504" s="108"/>
      <c r="U504" s="108"/>
      <c r="V504" s="108"/>
      <c r="W504" s="108"/>
      <c r="X504" s="108"/>
      <c r="Y504" s="108"/>
      <c r="Z504" s="108"/>
    </row>
    <row r="505" spans="1:26" ht="13.5" customHeight="1">
      <c r="A505" s="1"/>
      <c r="B505" s="918"/>
      <c r="C505" s="145"/>
      <c r="D505" s="145"/>
      <c r="E505" s="145"/>
      <c r="F505" s="145"/>
      <c r="G505" s="145"/>
      <c r="H505" s="145"/>
      <c r="I505" s="17"/>
      <c r="J505" s="67"/>
      <c r="K505" s="106"/>
      <c r="L505" s="106"/>
      <c r="M505" s="67"/>
      <c r="N505" s="106"/>
      <c r="O505" s="106"/>
      <c r="P505" s="19"/>
      <c r="Q505" s="12"/>
      <c r="R505" s="12"/>
      <c r="S505" s="12"/>
      <c r="T505" s="12"/>
      <c r="U505" s="12"/>
      <c r="V505" s="12"/>
      <c r="W505" s="12"/>
      <c r="X505" s="12"/>
      <c r="Y505" s="12"/>
      <c r="Z505" s="12"/>
    </row>
    <row r="506" spans="1:26" ht="78" customHeight="1">
      <c r="A506" s="104" t="s">
        <v>736</v>
      </c>
      <c r="B506" s="173" t="s">
        <v>163</v>
      </c>
      <c r="C506" s="145">
        <v>1</v>
      </c>
      <c r="D506" s="145">
        <v>1</v>
      </c>
      <c r="E506" s="145">
        <v>0</v>
      </c>
      <c r="F506" s="145">
        <v>1</v>
      </c>
      <c r="G506" s="145">
        <v>1</v>
      </c>
      <c r="H506" s="900">
        <v>0.5</v>
      </c>
      <c r="I506" s="53"/>
      <c r="J506" s="67" t="s">
        <v>1865</v>
      </c>
      <c r="K506" s="85" t="s">
        <v>811</v>
      </c>
      <c r="L506" s="67" t="s">
        <v>1861</v>
      </c>
      <c r="M506" s="67" t="s">
        <v>1866</v>
      </c>
      <c r="N506" s="71" t="s">
        <v>1867</v>
      </c>
      <c r="O506" s="67" t="s">
        <v>1868</v>
      </c>
      <c r="P506" s="101"/>
      <c r="Q506" s="107"/>
      <c r="R506" s="107"/>
      <c r="S506" s="108"/>
      <c r="T506" s="108"/>
      <c r="U506" s="108"/>
      <c r="V506" s="108"/>
      <c r="W506" s="108"/>
      <c r="X506" s="108"/>
      <c r="Y506" s="108"/>
      <c r="Z506" s="108"/>
    </row>
    <row r="507" spans="1:26" ht="24" customHeight="1">
      <c r="A507" s="104"/>
      <c r="B507" s="247"/>
      <c r="C507" s="145"/>
      <c r="D507" s="145"/>
      <c r="E507" s="145"/>
      <c r="F507" s="145"/>
      <c r="G507" s="145"/>
      <c r="H507" s="145"/>
      <c r="I507" s="17"/>
      <c r="J507" s="67"/>
      <c r="K507" s="106"/>
      <c r="L507" s="106"/>
      <c r="M507" s="67"/>
      <c r="N507" s="106"/>
      <c r="O507" s="106"/>
      <c r="P507" s="101"/>
      <c r="Q507" s="107"/>
      <c r="R507" s="107"/>
      <c r="S507" s="108"/>
      <c r="T507" s="108"/>
      <c r="U507" s="108"/>
      <c r="V507" s="108"/>
      <c r="W507" s="108"/>
      <c r="X507" s="108"/>
      <c r="Y507" s="108"/>
      <c r="Z507" s="108"/>
    </row>
    <row r="508" spans="1:26" ht="13.5" customHeight="1">
      <c r="A508" s="119" t="s">
        <v>1869</v>
      </c>
      <c r="B508" s="204" t="s">
        <v>165</v>
      </c>
      <c r="C508" s="240">
        <f t="shared" ref="C508:H508" si="66">AVERAGE(C509,C514,C519,C521,C526)</f>
        <v>0.46666666666666667</v>
      </c>
      <c r="D508" s="240">
        <f t="shared" si="66"/>
        <v>0.76666666666666672</v>
      </c>
      <c r="E508" s="240">
        <f t="shared" si="66"/>
        <v>0.3</v>
      </c>
      <c r="F508" s="240">
        <f t="shared" si="66"/>
        <v>0.66666666666666663</v>
      </c>
      <c r="G508" s="240">
        <f t="shared" si="66"/>
        <v>0.30000000000000004</v>
      </c>
      <c r="H508" s="240">
        <f t="shared" si="66"/>
        <v>0.23333333333333334</v>
      </c>
      <c r="I508" s="53"/>
      <c r="J508" s="56"/>
      <c r="K508" s="78"/>
      <c r="L508" s="242"/>
      <c r="M508" s="78"/>
      <c r="N508" s="78"/>
      <c r="O508" s="26"/>
      <c r="P508" s="98"/>
      <c r="Q508" s="171"/>
      <c r="R508" s="171"/>
      <c r="S508" s="172"/>
      <c r="T508" s="172"/>
      <c r="U508" s="172"/>
      <c r="V508" s="172"/>
      <c r="W508" s="172"/>
      <c r="X508" s="172"/>
      <c r="Y508" s="172"/>
      <c r="Z508" s="172"/>
    </row>
    <row r="509" spans="1:26" ht="85.5" customHeight="1">
      <c r="A509" s="104" t="s">
        <v>736</v>
      </c>
      <c r="B509" s="173" t="s">
        <v>166</v>
      </c>
      <c r="C509" s="145">
        <f t="shared" ref="C509:H509" si="67">AVERAGE(C510:C512)</f>
        <v>1</v>
      </c>
      <c r="D509" s="145">
        <f t="shared" si="67"/>
        <v>1</v>
      </c>
      <c r="E509" s="145">
        <f t="shared" si="67"/>
        <v>1</v>
      </c>
      <c r="F509" s="145">
        <f t="shared" si="67"/>
        <v>1</v>
      </c>
      <c r="G509" s="145">
        <f t="shared" si="67"/>
        <v>0.83333333333333337</v>
      </c>
      <c r="H509" s="145">
        <f t="shared" si="67"/>
        <v>1</v>
      </c>
      <c r="I509" s="53"/>
      <c r="J509" s="67"/>
      <c r="K509" s="246"/>
      <c r="L509" s="248"/>
      <c r="M509" s="232"/>
      <c r="N509" s="237"/>
      <c r="O509" s="106"/>
      <c r="P509" s="101"/>
      <c r="Q509" s="107"/>
      <c r="R509" s="107"/>
      <c r="S509" s="108"/>
      <c r="T509" s="108"/>
      <c r="U509" s="108"/>
      <c r="V509" s="108"/>
      <c r="W509" s="108"/>
      <c r="X509" s="108"/>
      <c r="Y509" s="108"/>
      <c r="Z509" s="108"/>
    </row>
    <row r="510" spans="1:26" ht="45.75" customHeight="1">
      <c r="A510" s="104"/>
      <c r="B510" s="201" t="s">
        <v>167</v>
      </c>
      <c r="C510" s="145">
        <v>1</v>
      </c>
      <c r="D510" s="145">
        <v>1</v>
      </c>
      <c r="E510" s="145">
        <v>1</v>
      </c>
      <c r="F510" s="145">
        <v>1</v>
      </c>
      <c r="G510" s="145">
        <v>1</v>
      </c>
      <c r="H510" s="145">
        <v>1</v>
      </c>
      <c r="I510" s="53" t="s">
        <v>147</v>
      </c>
      <c r="J510" s="67" t="s">
        <v>1870</v>
      </c>
      <c r="K510" s="67" t="s">
        <v>811</v>
      </c>
      <c r="L510" s="85" t="s">
        <v>960</v>
      </c>
      <c r="M510" s="232" t="s">
        <v>1871</v>
      </c>
      <c r="N510" s="67" t="s">
        <v>1872</v>
      </c>
      <c r="O510" s="67" t="s">
        <v>1873</v>
      </c>
      <c r="P510" s="101"/>
      <c r="Q510" s="107"/>
      <c r="R510" s="107"/>
      <c r="S510" s="108"/>
      <c r="T510" s="108"/>
      <c r="U510" s="108"/>
      <c r="V510" s="108"/>
      <c r="W510" s="108"/>
      <c r="X510" s="108"/>
      <c r="Y510" s="108"/>
      <c r="Z510" s="108"/>
    </row>
    <row r="511" spans="1:26" ht="57.75" customHeight="1">
      <c r="A511" s="104"/>
      <c r="B511" s="201" t="s">
        <v>168</v>
      </c>
      <c r="C511" s="145">
        <v>1</v>
      </c>
      <c r="D511" s="145">
        <v>1</v>
      </c>
      <c r="E511" s="145">
        <v>1</v>
      </c>
      <c r="F511" s="145">
        <v>1</v>
      </c>
      <c r="G511" s="145">
        <v>1</v>
      </c>
      <c r="H511" s="145">
        <v>1</v>
      </c>
      <c r="I511" s="53" t="s">
        <v>38</v>
      </c>
      <c r="J511" s="67" t="s">
        <v>1874</v>
      </c>
      <c r="K511" s="67" t="s">
        <v>811</v>
      </c>
      <c r="L511" s="85" t="s">
        <v>960</v>
      </c>
      <c r="M511" s="232" t="s">
        <v>1875</v>
      </c>
      <c r="N511" s="67" t="s">
        <v>1876</v>
      </c>
      <c r="O511" s="67" t="s">
        <v>1877</v>
      </c>
      <c r="P511" s="101"/>
      <c r="Q511" s="107"/>
      <c r="R511" s="107"/>
      <c r="S511" s="108"/>
      <c r="T511" s="108"/>
      <c r="U511" s="108"/>
      <c r="V511" s="108"/>
      <c r="W511" s="108"/>
      <c r="X511" s="108"/>
      <c r="Y511" s="108"/>
      <c r="Z511" s="108"/>
    </row>
    <row r="512" spans="1:26" ht="63.75" customHeight="1">
      <c r="A512" s="104"/>
      <c r="B512" s="201" t="s">
        <v>169</v>
      </c>
      <c r="C512" s="145">
        <v>1</v>
      </c>
      <c r="D512" s="145">
        <v>1</v>
      </c>
      <c r="E512" s="145">
        <v>1</v>
      </c>
      <c r="F512" s="250">
        <v>1</v>
      </c>
      <c r="G512" s="145">
        <v>0.5</v>
      </c>
      <c r="H512" s="145">
        <v>1</v>
      </c>
      <c r="I512" s="53" t="s">
        <v>38</v>
      </c>
      <c r="J512" s="67" t="s">
        <v>1878</v>
      </c>
      <c r="K512" s="67" t="s">
        <v>811</v>
      </c>
      <c r="L512" s="85" t="s">
        <v>960</v>
      </c>
      <c r="M512" s="176" t="s">
        <v>1879</v>
      </c>
      <c r="N512" s="106" t="s">
        <v>1880</v>
      </c>
      <c r="O512" s="67" t="s">
        <v>1881</v>
      </c>
      <c r="P512" s="101"/>
      <c r="Q512" s="107"/>
      <c r="R512" s="107"/>
      <c r="S512" s="108"/>
      <c r="T512" s="108"/>
      <c r="U512" s="108"/>
      <c r="V512" s="108"/>
      <c r="W512" s="108"/>
      <c r="X512" s="108"/>
      <c r="Y512" s="108"/>
      <c r="Z512" s="108"/>
    </row>
    <row r="513" spans="1:26" ht="13.5" customHeight="1">
      <c r="A513" s="104"/>
      <c r="B513" s="921"/>
      <c r="C513" s="145"/>
      <c r="D513" s="145"/>
      <c r="E513" s="145"/>
      <c r="F513" s="145"/>
      <c r="G513" s="145"/>
      <c r="H513" s="145"/>
      <c r="I513" s="53"/>
      <c r="J513" s="67"/>
      <c r="K513" s="246"/>
      <c r="L513" s="246"/>
      <c r="M513" s="232"/>
      <c r="N513" s="237"/>
      <c r="O513" s="106"/>
      <c r="P513" s="101"/>
      <c r="Q513" s="107"/>
      <c r="R513" s="107"/>
      <c r="S513" s="108"/>
      <c r="T513" s="108"/>
      <c r="U513" s="108"/>
      <c r="V513" s="108"/>
      <c r="W513" s="108"/>
      <c r="X513" s="108"/>
      <c r="Y513" s="108"/>
      <c r="Z513" s="108"/>
    </row>
    <row r="514" spans="1:26" ht="122.25" customHeight="1">
      <c r="A514" s="104" t="s">
        <v>736</v>
      </c>
      <c r="B514" s="173" t="s">
        <v>170</v>
      </c>
      <c r="C514" s="145">
        <f t="shared" ref="C514:H514" si="68">AVERAGE(C515:C517)</f>
        <v>0.5</v>
      </c>
      <c r="D514" s="145">
        <f t="shared" si="68"/>
        <v>0.83333333333333337</v>
      </c>
      <c r="E514" s="145">
        <f t="shared" si="68"/>
        <v>0.5</v>
      </c>
      <c r="F514" s="145">
        <f t="shared" si="68"/>
        <v>0.66666666666666663</v>
      </c>
      <c r="G514" s="145">
        <f t="shared" si="68"/>
        <v>0.5</v>
      </c>
      <c r="H514" s="145">
        <f t="shared" si="68"/>
        <v>0.16666666666666666</v>
      </c>
      <c r="I514" s="53"/>
      <c r="J514" s="67"/>
      <c r="K514" s="246"/>
      <c r="L514" s="246"/>
      <c r="M514" s="251"/>
      <c r="N514" s="67"/>
      <c r="O514" s="67" t="s">
        <v>748</v>
      </c>
      <c r="P514" s="101"/>
      <c r="Q514" s="107"/>
      <c r="R514" s="107"/>
      <c r="S514" s="108"/>
      <c r="T514" s="108"/>
      <c r="U514" s="108"/>
      <c r="V514" s="108"/>
      <c r="W514" s="108"/>
      <c r="X514" s="108"/>
      <c r="Y514" s="108"/>
      <c r="Z514" s="108"/>
    </row>
    <row r="515" spans="1:26" ht="97.5" customHeight="1">
      <c r="A515" s="104"/>
      <c r="B515" s="201" t="s">
        <v>167</v>
      </c>
      <c r="C515" s="145">
        <v>0.5</v>
      </c>
      <c r="D515" s="145">
        <v>1</v>
      </c>
      <c r="E515" s="145">
        <v>0.5</v>
      </c>
      <c r="F515" s="145">
        <v>1</v>
      </c>
      <c r="G515" s="145">
        <v>0.5</v>
      </c>
      <c r="H515" s="145">
        <v>0</v>
      </c>
      <c r="I515" s="53" t="s">
        <v>147</v>
      </c>
      <c r="J515" s="67" t="s">
        <v>1882</v>
      </c>
      <c r="K515" s="67" t="s">
        <v>811</v>
      </c>
      <c r="L515" s="67" t="s">
        <v>1883</v>
      </c>
      <c r="M515" s="85" t="s">
        <v>1884</v>
      </c>
      <c r="N515" s="67" t="s">
        <v>1885</v>
      </c>
      <c r="O515" s="67" t="s">
        <v>1886</v>
      </c>
      <c r="P515" s="101"/>
      <c r="Q515" s="107"/>
      <c r="R515" s="107"/>
      <c r="S515" s="108"/>
      <c r="T515" s="108"/>
      <c r="U515" s="108"/>
      <c r="V515" s="108"/>
      <c r="W515" s="108"/>
      <c r="X515" s="108"/>
      <c r="Y515" s="108"/>
      <c r="Z515" s="108"/>
    </row>
    <row r="516" spans="1:26" ht="54" customHeight="1">
      <c r="A516" s="104"/>
      <c r="B516" s="201" t="s">
        <v>168</v>
      </c>
      <c r="C516" s="145">
        <v>0.5</v>
      </c>
      <c r="D516" s="145">
        <v>1</v>
      </c>
      <c r="E516" s="145">
        <v>0.5</v>
      </c>
      <c r="F516" s="145">
        <v>1</v>
      </c>
      <c r="G516" s="145">
        <v>1</v>
      </c>
      <c r="H516" s="145">
        <v>0.5</v>
      </c>
      <c r="I516" s="53" t="s">
        <v>147</v>
      </c>
      <c r="J516" s="67" t="s">
        <v>1887</v>
      </c>
      <c r="K516" s="67" t="s">
        <v>811</v>
      </c>
      <c r="L516" s="67" t="s">
        <v>1883</v>
      </c>
      <c r="M516" s="232" t="s">
        <v>1888</v>
      </c>
      <c r="N516" s="67" t="s">
        <v>1889</v>
      </c>
      <c r="O516" s="67" t="s">
        <v>1890</v>
      </c>
      <c r="P516" s="101"/>
      <c r="Q516" s="107"/>
      <c r="R516" s="107"/>
      <c r="S516" s="108"/>
      <c r="T516" s="108"/>
      <c r="U516" s="108"/>
      <c r="V516" s="108"/>
      <c r="W516" s="108"/>
      <c r="X516" s="108"/>
      <c r="Y516" s="108"/>
      <c r="Z516" s="108"/>
    </row>
    <row r="517" spans="1:26" ht="96" customHeight="1">
      <c r="A517" s="104"/>
      <c r="B517" s="201" t="s">
        <v>169</v>
      </c>
      <c r="C517" s="902">
        <v>0.5</v>
      </c>
      <c r="D517" s="902">
        <v>0.5</v>
      </c>
      <c r="E517" s="250">
        <v>0.5</v>
      </c>
      <c r="F517" s="250">
        <v>0</v>
      </c>
      <c r="G517" s="250">
        <v>0</v>
      </c>
      <c r="H517" s="922">
        <v>0</v>
      </c>
      <c r="I517" s="53" t="s">
        <v>147</v>
      </c>
      <c r="J517" s="67" t="s">
        <v>1891</v>
      </c>
      <c r="K517" s="85" t="s">
        <v>1892</v>
      </c>
      <c r="L517" s="67" t="s">
        <v>1893</v>
      </c>
      <c r="M517" s="232" t="s">
        <v>1894</v>
      </c>
      <c r="N517" s="67" t="s">
        <v>1895</v>
      </c>
      <c r="O517" s="67" t="s">
        <v>1896</v>
      </c>
      <c r="P517" s="101"/>
      <c r="Q517" s="107"/>
      <c r="R517" s="107"/>
      <c r="S517" s="108"/>
      <c r="T517" s="108"/>
      <c r="U517" s="108"/>
      <c r="V517" s="108"/>
      <c r="W517" s="108"/>
      <c r="X517" s="108"/>
      <c r="Y517" s="108"/>
      <c r="Z517" s="108"/>
    </row>
    <row r="518" spans="1:26" ht="13.5" customHeight="1">
      <c r="A518" s="104"/>
      <c r="B518" s="921"/>
      <c r="C518" s="900"/>
      <c r="D518" s="900"/>
      <c r="E518" s="145"/>
      <c r="F518" s="145"/>
      <c r="G518" s="145"/>
      <c r="H518" s="145"/>
      <c r="I518" s="53"/>
      <c r="J518" s="67"/>
      <c r="K518" s="246"/>
      <c r="L518" s="246"/>
      <c r="M518" s="246"/>
      <c r="N518" s="237"/>
      <c r="O518" s="106"/>
      <c r="P518" s="101"/>
      <c r="Q518" s="107"/>
      <c r="R518" s="107"/>
      <c r="S518" s="108"/>
      <c r="T518" s="108"/>
      <c r="U518" s="108"/>
      <c r="V518" s="108"/>
      <c r="W518" s="108"/>
      <c r="X518" s="108"/>
      <c r="Y518" s="108"/>
      <c r="Z518" s="108"/>
    </row>
    <row r="519" spans="1:26" ht="108" customHeight="1">
      <c r="A519" s="104" t="s">
        <v>736</v>
      </c>
      <c r="B519" s="173" t="s">
        <v>171</v>
      </c>
      <c r="C519" s="902">
        <v>0</v>
      </c>
      <c r="D519" s="900">
        <v>1</v>
      </c>
      <c r="E519" s="145">
        <v>0</v>
      </c>
      <c r="F519" s="900">
        <v>1</v>
      </c>
      <c r="G519" s="900">
        <v>0</v>
      </c>
      <c r="H519" s="900">
        <v>0</v>
      </c>
      <c r="I519" s="53" t="s">
        <v>147</v>
      </c>
      <c r="J519" s="67" t="s">
        <v>1897</v>
      </c>
      <c r="K519" s="67" t="s">
        <v>1005</v>
      </c>
      <c r="L519" s="85" t="s">
        <v>1898</v>
      </c>
      <c r="M519" s="71" t="s">
        <v>1899</v>
      </c>
      <c r="N519" s="67" t="s">
        <v>1900</v>
      </c>
      <c r="O519" s="67" t="s">
        <v>1901</v>
      </c>
      <c r="P519" s="101"/>
      <c r="Q519" s="107"/>
      <c r="R519" s="107"/>
      <c r="S519" s="108"/>
      <c r="T519" s="108"/>
      <c r="U519" s="108"/>
      <c r="V519" s="108"/>
      <c r="W519" s="108"/>
      <c r="X519" s="108"/>
      <c r="Y519" s="108"/>
      <c r="Z519" s="108"/>
    </row>
    <row r="520" spans="1:26" ht="13.5" customHeight="1">
      <c r="A520" s="104"/>
      <c r="B520" s="173"/>
      <c r="C520" s="145"/>
      <c r="D520" s="145"/>
      <c r="E520" s="145"/>
      <c r="F520" s="145"/>
      <c r="G520" s="145"/>
      <c r="H520" s="145"/>
      <c r="I520" s="53"/>
      <c r="J520" s="67"/>
      <c r="K520" s="246"/>
      <c r="L520" s="246"/>
      <c r="M520" s="246"/>
      <c r="N520" s="237"/>
      <c r="O520" s="106"/>
      <c r="P520" s="101"/>
      <c r="Q520" s="107"/>
      <c r="R520" s="107"/>
      <c r="S520" s="108"/>
      <c r="T520" s="108"/>
      <c r="U520" s="108"/>
      <c r="V520" s="108"/>
      <c r="W520" s="108"/>
      <c r="X520" s="108"/>
      <c r="Y520" s="108"/>
      <c r="Z520" s="108"/>
    </row>
    <row r="521" spans="1:26" ht="121.5" customHeight="1">
      <c r="A521" s="104" t="s">
        <v>736</v>
      </c>
      <c r="B521" s="173" t="s">
        <v>172</v>
      </c>
      <c r="C521" s="145">
        <f t="shared" ref="C521:H521" si="69">AVERAGE(C522:C524)</f>
        <v>0.83333333333333337</v>
      </c>
      <c r="D521" s="145">
        <f t="shared" si="69"/>
        <v>0.66666666666666663</v>
      </c>
      <c r="E521" s="145">
        <f t="shared" si="69"/>
        <v>0</v>
      </c>
      <c r="F521" s="145">
        <f t="shared" si="69"/>
        <v>0.66666666666666663</v>
      </c>
      <c r="G521" s="145">
        <f t="shared" si="69"/>
        <v>0.16666666666666666</v>
      </c>
      <c r="H521" s="145">
        <f t="shared" si="69"/>
        <v>0</v>
      </c>
      <c r="I521" s="53"/>
      <c r="J521" s="67"/>
      <c r="K521" s="246"/>
      <c r="L521" s="246"/>
      <c r="M521" s="246"/>
      <c r="N521" s="67" t="s">
        <v>1902</v>
      </c>
      <c r="O521" s="67" t="s">
        <v>1903</v>
      </c>
      <c r="P521" s="101"/>
      <c r="Q521" s="107"/>
      <c r="R521" s="107"/>
      <c r="S521" s="108"/>
      <c r="T521" s="108"/>
      <c r="U521" s="108"/>
      <c r="V521" s="108"/>
      <c r="W521" s="108"/>
      <c r="X521" s="108"/>
      <c r="Y521" s="108"/>
      <c r="Z521" s="108"/>
    </row>
    <row r="522" spans="1:26" ht="88.5" customHeight="1">
      <c r="A522" s="104"/>
      <c r="B522" s="201" t="s">
        <v>167</v>
      </c>
      <c r="C522" s="145">
        <v>1</v>
      </c>
      <c r="D522" s="145">
        <v>1</v>
      </c>
      <c r="E522" s="145">
        <v>0</v>
      </c>
      <c r="F522" s="145">
        <v>1</v>
      </c>
      <c r="G522" s="145">
        <v>0</v>
      </c>
      <c r="H522" s="145">
        <v>0</v>
      </c>
      <c r="I522" s="53" t="s">
        <v>147</v>
      </c>
      <c r="J522" s="67" t="s">
        <v>1904</v>
      </c>
      <c r="K522" s="67" t="s">
        <v>811</v>
      </c>
      <c r="L522" s="67" t="s">
        <v>748</v>
      </c>
      <c r="M522" s="71" t="s">
        <v>1905</v>
      </c>
      <c r="N522" s="67" t="s">
        <v>1906</v>
      </c>
      <c r="O522" s="67" t="s">
        <v>1907</v>
      </c>
      <c r="P522" s="101"/>
      <c r="Q522" s="107"/>
      <c r="R522" s="107"/>
      <c r="S522" s="108"/>
      <c r="T522" s="108"/>
      <c r="U522" s="108"/>
      <c r="V522" s="108"/>
      <c r="W522" s="108"/>
      <c r="X522" s="108"/>
      <c r="Y522" s="108"/>
      <c r="Z522" s="108"/>
    </row>
    <row r="523" spans="1:26" ht="57.75" customHeight="1">
      <c r="A523" s="104"/>
      <c r="B523" s="201" t="s">
        <v>168</v>
      </c>
      <c r="C523" s="900">
        <v>1</v>
      </c>
      <c r="D523" s="145">
        <v>1</v>
      </c>
      <c r="E523" s="145">
        <v>0</v>
      </c>
      <c r="F523" s="145">
        <v>1</v>
      </c>
      <c r="G523" s="145">
        <v>0.5</v>
      </c>
      <c r="H523" s="145">
        <v>0</v>
      </c>
      <c r="I523" s="53" t="s">
        <v>147</v>
      </c>
      <c r="J523" s="67" t="s">
        <v>1904</v>
      </c>
      <c r="K523" s="67" t="s">
        <v>811</v>
      </c>
      <c r="L523" s="67" t="s">
        <v>748</v>
      </c>
      <c r="M523" s="232" t="s">
        <v>1908</v>
      </c>
      <c r="N523" s="67" t="s">
        <v>1909</v>
      </c>
      <c r="O523" s="67" t="s">
        <v>1910</v>
      </c>
      <c r="P523" s="101"/>
      <c r="Q523" s="107"/>
      <c r="R523" s="107"/>
      <c r="S523" s="108"/>
      <c r="T523" s="108"/>
      <c r="U523" s="108"/>
      <c r="V523" s="108"/>
      <c r="W523" s="108"/>
      <c r="X523" s="108"/>
      <c r="Y523" s="108"/>
      <c r="Z523" s="108"/>
    </row>
    <row r="524" spans="1:26" ht="48.75" customHeight="1">
      <c r="A524" s="104"/>
      <c r="B524" s="201" t="s">
        <v>169</v>
      </c>
      <c r="C524" s="145">
        <v>0.5</v>
      </c>
      <c r="D524" s="145">
        <v>0</v>
      </c>
      <c r="E524" s="145">
        <v>0</v>
      </c>
      <c r="F524" s="145">
        <v>0</v>
      </c>
      <c r="G524" s="145">
        <v>0</v>
      </c>
      <c r="H524" s="900">
        <v>0</v>
      </c>
      <c r="I524" s="53" t="s">
        <v>147</v>
      </c>
      <c r="J524" s="67" t="s">
        <v>1911</v>
      </c>
      <c r="K524" s="67" t="s">
        <v>748</v>
      </c>
      <c r="L524" s="67" t="s">
        <v>748</v>
      </c>
      <c r="M524" s="71" t="s">
        <v>748</v>
      </c>
      <c r="N524" s="67" t="s">
        <v>1912</v>
      </c>
      <c r="O524" s="67" t="s">
        <v>1913</v>
      </c>
      <c r="P524" s="101"/>
      <c r="Q524" s="107"/>
      <c r="R524" s="107"/>
      <c r="S524" s="108"/>
      <c r="T524" s="108"/>
      <c r="U524" s="108"/>
      <c r="V524" s="108"/>
      <c r="W524" s="108"/>
      <c r="X524" s="108"/>
      <c r="Y524" s="108"/>
      <c r="Z524" s="108"/>
    </row>
    <row r="525" spans="1:26" ht="13.5" customHeight="1">
      <c r="A525" s="104"/>
      <c r="B525" s="921"/>
      <c r="C525" s="145"/>
      <c r="D525" s="145"/>
      <c r="E525" s="145"/>
      <c r="F525" s="145"/>
      <c r="G525" s="145"/>
      <c r="H525" s="145"/>
      <c r="I525" s="53"/>
      <c r="J525" s="67"/>
      <c r="K525" s="246"/>
      <c r="L525" s="246"/>
      <c r="M525" s="246"/>
      <c r="N525" s="237"/>
      <c r="O525" s="106"/>
      <c r="P525" s="101"/>
      <c r="Q525" s="107"/>
      <c r="R525" s="107"/>
      <c r="S525" s="108"/>
      <c r="T525" s="108"/>
      <c r="U525" s="108"/>
      <c r="V525" s="108"/>
      <c r="W525" s="108"/>
      <c r="X525" s="108"/>
      <c r="Y525" s="108"/>
      <c r="Z525" s="108"/>
    </row>
    <row r="526" spans="1:26" ht="69.75" customHeight="1">
      <c r="A526" s="104" t="s">
        <v>736</v>
      </c>
      <c r="B526" s="173" t="s">
        <v>1914</v>
      </c>
      <c r="C526" s="145">
        <f t="shared" ref="C526:H526" si="70">AVERAGE(C527:C529)</f>
        <v>0</v>
      </c>
      <c r="D526" s="145">
        <f t="shared" si="70"/>
        <v>0.33333333333333331</v>
      </c>
      <c r="E526" s="145">
        <f t="shared" si="70"/>
        <v>0</v>
      </c>
      <c r="F526" s="145">
        <f t="shared" si="70"/>
        <v>0</v>
      </c>
      <c r="G526" s="145">
        <f t="shared" si="70"/>
        <v>0</v>
      </c>
      <c r="H526" s="145">
        <f t="shared" si="70"/>
        <v>0</v>
      </c>
      <c r="I526" s="53"/>
      <c r="J526" s="67"/>
      <c r="K526" s="246"/>
      <c r="L526" s="246"/>
      <c r="M526" s="246"/>
      <c r="N526" s="67"/>
      <c r="O526" s="67" t="s">
        <v>748</v>
      </c>
      <c r="P526" s="101"/>
      <c r="Q526" s="107"/>
      <c r="R526" s="107"/>
      <c r="S526" s="108"/>
      <c r="T526" s="108"/>
      <c r="U526" s="108"/>
      <c r="V526" s="108"/>
      <c r="W526" s="108"/>
      <c r="X526" s="108"/>
      <c r="Y526" s="108"/>
      <c r="Z526" s="108"/>
    </row>
    <row r="527" spans="1:26" ht="87" customHeight="1">
      <c r="A527" s="104"/>
      <c r="B527" s="201" t="s">
        <v>167</v>
      </c>
      <c r="C527" s="145">
        <v>0</v>
      </c>
      <c r="D527" s="145">
        <v>0</v>
      </c>
      <c r="E527" s="145">
        <v>0</v>
      </c>
      <c r="F527" s="145">
        <v>0</v>
      </c>
      <c r="G527" s="145">
        <v>0</v>
      </c>
      <c r="H527" s="145">
        <v>0</v>
      </c>
      <c r="I527" s="53" t="s">
        <v>38</v>
      </c>
      <c r="J527" s="67" t="s">
        <v>1915</v>
      </c>
      <c r="K527" s="67" t="s">
        <v>748</v>
      </c>
      <c r="L527" s="85" t="s">
        <v>748</v>
      </c>
      <c r="M527" s="85" t="s">
        <v>1916</v>
      </c>
      <c r="N527" s="67" t="s">
        <v>943</v>
      </c>
      <c r="O527" s="67" t="s">
        <v>1917</v>
      </c>
      <c r="P527" s="101"/>
      <c r="Q527" s="107"/>
      <c r="R527" s="107"/>
      <c r="S527" s="108"/>
      <c r="T527" s="108"/>
      <c r="U527" s="108"/>
      <c r="V527" s="108"/>
      <c r="W527" s="108"/>
      <c r="X527" s="108"/>
      <c r="Y527" s="108"/>
      <c r="Z527" s="108"/>
    </row>
    <row r="528" spans="1:26" ht="83.25" customHeight="1">
      <c r="A528" s="104"/>
      <c r="B528" s="201" t="s">
        <v>168</v>
      </c>
      <c r="C528" s="145">
        <v>0</v>
      </c>
      <c r="D528" s="145">
        <v>1</v>
      </c>
      <c r="E528" s="145">
        <v>0</v>
      </c>
      <c r="F528" s="900">
        <v>0</v>
      </c>
      <c r="G528" s="145">
        <v>0</v>
      </c>
      <c r="H528" s="145">
        <v>0</v>
      </c>
      <c r="I528" s="53" t="s">
        <v>147</v>
      </c>
      <c r="J528" s="67" t="s">
        <v>1915</v>
      </c>
      <c r="K528" s="67" t="s">
        <v>811</v>
      </c>
      <c r="L528" s="85" t="s">
        <v>748</v>
      </c>
      <c r="M528" s="85" t="s">
        <v>1916</v>
      </c>
      <c r="N528" s="85" t="s">
        <v>748</v>
      </c>
      <c r="O528" s="67" t="s">
        <v>1918</v>
      </c>
      <c r="P528" s="101"/>
      <c r="Q528" s="107"/>
      <c r="R528" s="107"/>
      <c r="S528" s="108"/>
      <c r="T528" s="108"/>
      <c r="U528" s="108"/>
      <c r="V528" s="108"/>
      <c r="W528" s="108"/>
      <c r="X528" s="108"/>
      <c r="Y528" s="108"/>
      <c r="Z528" s="108"/>
    </row>
    <row r="529" spans="1:26" ht="72" customHeight="1">
      <c r="A529" s="104"/>
      <c r="B529" s="201" t="s">
        <v>169</v>
      </c>
      <c r="C529" s="145">
        <v>0</v>
      </c>
      <c r="D529" s="145">
        <v>0</v>
      </c>
      <c r="E529" s="145">
        <v>0</v>
      </c>
      <c r="F529" s="145">
        <v>0</v>
      </c>
      <c r="G529" s="145">
        <v>0</v>
      </c>
      <c r="H529" s="145">
        <v>0</v>
      </c>
      <c r="I529" s="53" t="s">
        <v>38</v>
      </c>
      <c r="J529" s="67" t="s">
        <v>1915</v>
      </c>
      <c r="K529" s="67" t="s">
        <v>748</v>
      </c>
      <c r="L529" s="85" t="s">
        <v>748</v>
      </c>
      <c r="M529" s="85" t="s">
        <v>748</v>
      </c>
      <c r="N529" s="85" t="s">
        <v>748</v>
      </c>
      <c r="O529" s="67" t="s">
        <v>1919</v>
      </c>
      <c r="P529" s="101"/>
      <c r="Q529" s="107"/>
      <c r="R529" s="107"/>
      <c r="S529" s="108"/>
      <c r="T529" s="108"/>
      <c r="U529" s="108"/>
      <c r="V529" s="108"/>
      <c r="W529" s="108"/>
      <c r="X529" s="108"/>
      <c r="Y529" s="108"/>
      <c r="Z529" s="108"/>
    </row>
    <row r="530" spans="1:26" ht="13.5" customHeight="1">
      <c r="A530" s="104"/>
      <c r="B530" s="201"/>
      <c r="C530" s="65"/>
      <c r="D530" s="65"/>
      <c r="E530" s="65"/>
      <c r="F530" s="65"/>
      <c r="G530" s="65"/>
      <c r="H530" s="65"/>
      <c r="I530" s="53"/>
      <c r="J530" s="67"/>
      <c r="K530" s="67"/>
      <c r="L530" s="67"/>
      <c r="M530" s="67"/>
      <c r="N530" s="106"/>
      <c r="O530" s="67"/>
      <c r="P530" s="101"/>
      <c r="Q530" s="107"/>
      <c r="R530" s="107"/>
      <c r="S530" s="108"/>
      <c r="T530" s="108"/>
      <c r="U530" s="108"/>
      <c r="V530" s="108"/>
      <c r="W530" s="108"/>
      <c r="X530" s="108"/>
      <c r="Y530" s="108"/>
      <c r="Z530" s="108"/>
    </row>
    <row r="531" spans="1:26" ht="13.5" customHeight="1">
      <c r="A531" s="119" t="s">
        <v>1920</v>
      </c>
      <c r="B531" s="204" t="s">
        <v>175</v>
      </c>
      <c r="C531" s="51">
        <f t="shared" ref="C531:H531" si="71">AVERAGE(C532,C537,C539,C544,C546,C546,C548)</f>
        <v>0.73809523809523803</v>
      </c>
      <c r="D531" s="51">
        <f t="shared" si="71"/>
        <v>0.76190476190476197</v>
      </c>
      <c r="E531" s="51">
        <f t="shared" si="71"/>
        <v>0</v>
      </c>
      <c r="F531" s="51">
        <f t="shared" si="71"/>
        <v>0.45238095238095238</v>
      </c>
      <c r="G531" s="51">
        <f t="shared" si="71"/>
        <v>0.52380952380952384</v>
      </c>
      <c r="H531" s="51">
        <f t="shared" si="71"/>
        <v>0.16666666666666666</v>
      </c>
      <c r="I531" s="53"/>
      <c r="J531" s="56"/>
      <c r="K531" s="26"/>
      <c r="L531" s="26"/>
      <c r="M531" s="139"/>
      <c r="N531" s="139"/>
      <c r="O531" s="26"/>
      <c r="P531" s="98"/>
      <c r="Q531" s="171"/>
      <c r="R531" s="171"/>
      <c r="S531" s="172"/>
      <c r="T531" s="172"/>
      <c r="U531" s="172"/>
      <c r="V531" s="172"/>
      <c r="W531" s="172"/>
      <c r="X531" s="172"/>
      <c r="Y531" s="172"/>
      <c r="Z531" s="172"/>
    </row>
    <row r="532" spans="1:26" ht="84" customHeight="1">
      <c r="A532" s="164" t="s">
        <v>736</v>
      </c>
      <c r="B532" s="173" t="s">
        <v>1921</v>
      </c>
      <c r="C532" s="153">
        <f t="shared" ref="C532:H532" si="72">AVERAGE(C533:C535)</f>
        <v>0.5</v>
      </c>
      <c r="D532" s="153">
        <f t="shared" si="72"/>
        <v>0.83333333333333337</v>
      </c>
      <c r="E532" s="153">
        <f t="shared" si="72"/>
        <v>0</v>
      </c>
      <c r="F532" s="153">
        <f t="shared" si="72"/>
        <v>0.5</v>
      </c>
      <c r="G532" s="153">
        <f t="shared" si="72"/>
        <v>0.33333333333333331</v>
      </c>
      <c r="H532" s="153">
        <f t="shared" si="72"/>
        <v>0.16666666666666666</v>
      </c>
      <c r="I532" s="53"/>
      <c r="J532" s="67"/>
      <c r="K532" s="106"/>
      <c r="L532" s="106"/>
      <c r="M532" s="67"/>
      <c r="N532" s="67"/>
      <c r="O532" s="106" t="s">
        <v>748</v>
      </c>
      <c r="P532" s="101"/>
      <c r="Q532" s="107"/>
      <c r="R532" s="107"/>
      <c r="S532" s="108"/>
      <c r="T532" s="108"/>
      <c r="U532" s="108"/>
      <c r="V532" s="108"/>
      <c r="W532" s="108"/>
      <c r="X532" s="108"/>
      <c r="Y532" s="108"/>
      <c r="Z532" s="108"/>
    </row>
    <row r="533" spans="1:26" ht="126.75" customHeight="1">
      <c r="A533" s="164"/>
      <c r="B533" s="193" t="s">
        <v>167</v>
      </c>
      <c r="C533" s="153">
        <v>0.5</v>
      </c>
      <c r="D533" s="65">
        <v>1</v>
      </c>
      <c r="E533" s="65">
        <v>0</v>
      </c>
      <c r="F533" s="65">
        <v>1</v>
      </c>
      <c r="G533" s="65">
        <v>0.5</v>
      </c>
      <c r="H533" s="65">
        <v>0</v>
      </c>
      <c r="I533" s="53" t="s">
        <v>154</v>
      </c>
      <c r="J533" s="67" t="s">
        <v>1922</v>
      </c>
      <c r="K533" s="67" t="s">
        <v>811</v>
      </c>
      <c r="L533" s="67" t="s">
        <v>748</v>
      </c>
      <c r="M533" s="67" t="s">
        <v>1923</v>
      </c>
      <c r="N533" s="67" t="s">
        <v>1924</v>
      </c>
      <c r="O533" s="67" t="s">
        <v>1925</v>
      </c>
      <c r="P533" s="101"/>
      <c r="Q533" s="107"/>
      <c r="R533" s="107"/>
      <c r="S533" s="108"/>
      <c r="T533" s="108"/>
      <c r="U533" s="108"/>
      <c r="V533" s="108"/>
      <c r="W533" s="108"/>
      <c r="X533" s="108"/>
      <c r="Y533" s="108"/>
      <c r="Z533" s="108"/>
    </row>
    <row r="534" spans="1:26" ht="120" customHeight="1">
      <c r="A534" s="164"/>
      <c r="B534" s="193" t="s">
        <v>168</v>
      </c>
      <c r="C534" s="145">
        <v>0.5</v>
      </c>
      <c r="D534" s="145">
        <v>1</v>
      </c>
      <c r="E534" s="145">
        <v>0</v>
      </c>
      <c r="F534" s="145">
        <v>0.5</v>
      </c>
      <c r="G534" s="145">
        <v>0.5</v>
      </c>
      <c r="H534" s="145">
        <v>0.5</v>
      </c>
      <c r="I534" s="53" t="s">
        <v>154</v>
      </c>
      <c r="J534" s="67" t="s">
        <v>1926</v>
      </c>
      <c r="K534" s="67" t="s">
        <v>811</v>
      </c>
      <c r="L534" s="67" t="s">
        <v>748</v>
      </c>
      <c r="M534" s="176" t="s">
        <v>1927</v>
      </c>
      <c r="N534" s="67" t="s">
        <v>1928</v>
      </c>
      <c r="O534" s="67" t="s">
        <v>1929</v>
      </c>
      <c r="P534" s="101"/>
      <c r="Q534" s="107"/>
      <c r="R534" s="107"/>
      <c r="S534" s="108"/>
      <c r="T534" s="108"/>
      <c r="U534" s="108"/>
      <c r="V534" s="108"/>
      <c r="W534" s="108"/>
      <c r="X534" s="108"/>
      <c r="Y534" s="108"/>
      <c r="Z534" s="108"/>
    </row>
    <row r="535" spans="1:26" ht="97.5" customHeight="1">
      <c r="A535" s="164"/>
      <c r="B535" s="193" t="s">
        <v>169</v>
      </c>
      <c r="C535" s="145">
        <v>0.5</v>
      </c>
      <c r="D535" s="145">
        <v>0.5</v>
      </c>
      <c r="E535" s="145">
        <v>0</v>
      </c>
      <c r="F535" s="145">
        <v>0</v>
      </c>
      <c r="G535" s="900">
        <v>0</v>
      </c>
      <c r="H535" s="145">
        <v>0</v>
      </c>
      <c r="I535" s="53" t="s">
        <v>154</v>
      </c>
      <c r="J535" s="67" t="s">
        <v>1930</v>
      </c>
      <c r="K535" s="147" t="s">
        <v>1931</v>
      </c>
      <c r="L535" s="67" t="s">
        <v>748</v>
      </c>
      <c r="M535" s="71" t="s">
        <v>1932</v>
      </c>
      <c r="N535" s="67" t="s">
        <v>1933</v>
      </c>
      <c r="O535" s="67" t="s">
        <v>1934</v>
      </c>
      <c r="P535" s="101"/>
      <c r="Q535" s="107"/>
      <c r="R535" s="107"/>
      <c r="S535" s="108"/>
      <c r="T535" s="108"/>
      <c r="U535" s="108"/>
      <c r="V535" s="108"/>
      <c r="W535" s="108"/>
      <c r="X535" s="108"/>
      <c r="Y535" s="108"/>
      <c r="Z535" s="108"/>
    </row>
    <row r="536" spans="1:26" ht="13.5" customHeight="1">
      <c r="A536" s="164"/>
      <c r="B536" s="255"/>
      <c r="C536" s="145"/>
      <c r="D536" s="145"/>
      <c r="E536" s="145"/>
      <c r="F536" s="145"/>
      <c r="G536" s="145"/>
      <c r="H536" s="145"/>
      <c r="I536" s="53"/>
      <c r="J536" s="67"/>
      <c r="K536" s="246"/>
      <c r="L536" s="246"/>
      <c r="M536" s="246"/>
      <c r="N536" s="237"/>
      <c r="O536" s="106"/>
      <c r="P536" s="101"/>
      <c r="Q536" s="107"/>
      <c r="R536" s="107"/>
      <c r="S536" s="108"/>
      <c r="T536" s="108"/>
      <c r="U536" s="108"/>
      <c r="V536" s="108"/>
      <c r="W536" s="108"/>
      <c r="X536" s="108"/>
      <c r="Y536" s="108"/>
      <c r="Z536" s="108"/>
    </row>
    <row r="537" spans="1:26" ht="213" customHeight="1">
      <c r="A537" s="164" t="s">
        <v>736</v>
      </c>
      <c r="B537" s="173" t="s">
        <v>177</v>
      </c>
      <c r="C537" s="145">
        <v>0</v>
      </c>
      <c r="D537" s="145">
        <v>1</v>
      </c>
      <c r="E537" s="145">
        <v>0</v>
      </c>
      <c r="F537" s="145">
        <v>0</v>
      </c>
      <c r="G537" s="900">
        <v>0</v>
      </c>
      <c r="H537" s="145">
        <v>0</v>
      </c>
      <c r="I537" s="53" t="s">
        <v>178</v>
      </c>
      <c r="J537" s="67" t="s">
        <v>1935</v>
      </c>
      <c r="K537" s="67" t="s">
        <v>748</v>
      </c>
      <c r="L537" s="67" t="s">
        <v>1936</v>
      </c>
      <c r="M537" s="85" t="s">
        <v>1937</v>
      </c>
      <c r="N537" s="256" t="s">
        <v>948</v>
      </c>
      <c r="O537" s="67" t="s">
        <v>1938</v>
      </c>
      <c r="P537" s="101"/>
      <c r="Q537" s="107"/>
      <c r="R537" s="107"/>
      <c r="S537" s="108"/>
      <c r="T537" s="108"/>
      <c r="U537" s="108"/>
      <c r="V537" s="108"/>
      <c r="W537" s="108"/>
      <c r="X537" s="108"/>
      <c r="Y537" s="108"/>
      <c r="Z537" s="108"/>
    </row>
    <row r="538" spans="1:26" ht="13.5" customHeight="1">
      <c r="A538" s="1"/>
      <c r="B538" s="918"/>
      <c r="C538" s="145"/>
      <c r="D538" s="145"/>
      <c r="E538" s="145"/>
      <c r="F538" s="145"/>
      <c r="G538" s="145"/>
      <c r="H538" s="145"/>
      <c r="I538" s="17"/>
      <c r="J538" s="67"/>
      <c r="K538" s="106"/>
      <c r="L538" s="106"/>
      <c r="M538" s="67"/>
      <c r="N538" s="106"/>
      <c r="O538" s="106"/>
      <c r="P538" s="19"/>
      <c r="Q538" s="12"/>
      <c r="R538" s="12"/>
      <c r="S538" s="12"/>
      <c r="T538" s="12"/>
      <c r="U538" s="12"/>
      <c r="V538" s="12"/>
      <c r="W538" s="12"/>
      <c r="X538" s="12"/>
      <c r="Y538" s="12"/>
      <c r="Z538" s="12"/>
    </row>
    <row r="539" spans="1:26" ht="171" customHeight="1">
      <c r="A539" s="164" t="s">
        <v>736</v>
      </c>
      <c r="B539" s="173" t="s">
        <v>179</v>
      </c>
      <c r="C539" s="900">
        <f t="shared" ref="C539:H539" si="73">AVERAGE(C540:C542)</f>
        <v>0.66666666666666663</v>
      </c>
      <c r="D539" s="900">
        <f t="shared" si="73"/>
        <v>0.5</v>
      </c>
      <c r="E539" s="900">
        <f t="shared" si="73"/>
        <v>0</v>
      </c>
      <c r="F539" s="145">
        <f t="shared" si="73"/>
        <v>0.16666666666666666</v>
      </c>
      <c r="G539" s="145">
        <f t="shared" si="73"/>
        <v>0.33333333333333331</v>
      </c>
      <c r="H539" s="145">
        <f t="shared" si="73"/>
        <v>0</v>
      </c>
      <c r="I539" s="53"/>
      <c r="J539" s="67"/>
      <c r="K539" s="67"/>
      <c r="L539" s="232"/>
      <c r="M539" s="232"/>
      <c r="N539" s="237"/>
      <c r="O539" s="67" t="s">
        <v>748</v>
      </c>
      <c r="P539" s="257"/>
      <c r="Q539" s="68"/>
      <c r="R539" s="107"/>
      <c r="S539" s="108"/>
      <c r="T539" s="108"/>
      <c r="U539" s="108"/>
      <c r="V539" s="108"/>
      <c r="W539" s="108"/>
      <c r="X539" s="108"/>
      <c r="Y539" s="108"/>
      <c r="Z539" s="108"/>
    </row>
    <row r="540" spans="1:26" ht="52.5" customHeight="1">
      <c r="A540" s="164"/>
      <c r="B540" s="193" t="s">
        <v>167</v>
      </c>
      <c r="C540" s="67">
        <v>0.5</v>
      </c>
      <c r="D540" s="67">
        <v>0.5</v>
      </c>
      <c r="E540" s="237">
        <v>0</v>
      </c>
      <c r="F540" s="237">
        <v>0.5</v>
      </c>
      <c r="G540" s="258">
        <v>0.5</v>
      </c>
      <c r="H540" s="258">
        <v>0</v>
      </c>
      <c r="I540" s="53" t="s">
        <v>147</v>
      </c>
      <c r="J540" s="67" t="s">
        <v>1939</v>
      </c>
      <c r="K540" s="67" t="s">
        <v>1940</v>
      </c>
      <c r="L540" s="85" t="s">
        <v>748</v>
      </c>
      <c r="M540" s="176" t="s">
        <v>1941</v>
      </c>
      <c r="N540" s="67" t="s">
        <v>1942</v>
      </c>
      <c r="O540" s="67" t="s">
        <v>1943</v>
      </c>
      <c r="P540" s="257"/>
      <c r="Q540" s="68"/>
      <c r="R540" s="107"/>
      <c r="S540" s="108"/>
      <c r="T540" s="108"/>
      <c r="U540" s="108"/>
      <c r="V540" s="108"/>
      <c r="W540" s="108"/>
      <c r="X540" s="108"/>
      <c r="Y540" s="108"/>
      <c r="Z540" s="108"/>
    </row>
    <row r="541" spans="1:26" ht="211.5" customHeight="1">
      <c r="A541" s="164"/>
      <c r="B541" s="193" t="s">
        <v>168</v>
      </c>
      <c r="C541" s="145">
        <v>1</v>
      </c>
      <c r="D541" s="145">
        <v>1</v>
      </c>
      <c r="E541" s="900">
        <v>0</v>
      </c>
      <c r="F541" s="900">
        <v>0</v>
      </c>
      <c r="G541" s="145">
        <v>0.5</v>
      </c>
      <c r="H541" s="250">
        <v>0</v>
      </c>
      <c r="I541" s="53" t="s">
        <v>147</v>
      </c>
      <c r="J541" s="67" t="s">
        <v>1944</v>
      </c>
      <c r="K541" s="85" t="s">
        <v>1945</v>
      </c>
      <c r="L541" s="85" t="s">
        <v>1946</v>
      </c>
      <c r="M541" s="85" t="s">
        <v>1947</v>
      </c>
      <c r="N541" s="67" t="s">
        <v>1948</v>
      </c>
      <c r="O541" s="67" t="s">
        <v>1949</v>
      </c>
      <c r="P541" s="101"/>
      <c r="Q541" s="107"/>
      <c r="R541" s="107"/>
      <c r="S541" s="108"/>
      <c r="T541" s="108"/>
      <c r="U541" s="108"/>
      <c r="V541" s="108"/>
      <c r="W541" s="108"/>
      <c r="X541" s="108"/>
      <c r="Y541" s="108"/>
      <c r="Z541" s="108"/>
    </row>
    <row r="542" spans="1:26" ht="109.5" customHeight="1">
      <c r="A542" s="164"/>
      <c r="B542" s="193" t="s">
        <v>180</v>
      </c>
      <c r="C542" s="145">
        <v>0.5</v>
      </c>
      <c r="D542" s="145">
        <v>0</v>
      </c>
      <c r="E542" s="145">
        <v>0</v>
      </c>
      <c r="F542" s="900">
        <v>0</v>
      </c>
      <c r="G542" s="145">
        <v>0</v>
      </c>
      <c r="H542" s="145">
        <v>0</v>
      </c>
      <c r="I542" s="53" t="s">
        <v>38</v>
      </c>
      <c r="J542" s="67" t="s">
        <v>1950</v>
      </c>
      <c r="K542" s="259" t="s">
        <v>748</v>
      </c>
      <c r="L542" s="85" t="s">
        <v>748</v>
      </c>
      <c r="M542" s="85" t="s">
        <v>748</v>
      </c>
      <c r="N542" s="67" t="s">
        <v>748</v>
      </c>
      <c r="O542" s="67" t="s">
        <v>1951</v>
      </c>
      <c r="P542" s="101"/>
      <c r="Q542" s="107"/>
      <c r="R542" s="107"/>
      <c r="S542" s="108"/>
      <c r="T542" s="108"/>
      <c r="U542" s="108"/>
      <c r="V542" s="108"/>
      <c r="W542" s="108"/>
      <c r="X542" s="108"/>
      <c r="Y542" s="108"/>
      <c r="Z542" s="108"/>
    </row>
    <row r="543" spans="1:26" ht="13.5" customHeight="1">
      <c r="A543" s="164"/>
      <c r="B543" s="921"/>
      <c r="C543" s="145"/>
      <c r="D543" s="145"/>
      <c r="E543" s="145"/>
      <c r="F543" s="145"/>
      <c r="G543" s="145"/>
      <c r="H543" s="145"/>
      <c r="I543" s="53"/>
      <c r="J543" s="67"/>
      <c r="K543" s="246"/>
      <c r="L543" s="246"/>
      <c r="M543" s="246"/>
      <c r="N543" s="237"/>
      <c r="O543" s="106"/>
      <c r="P543" s="101"/>
      <c r="Q543" s="107"/>
      <c r="R543" s="107"/>
      <c r="S543" s="108"/>
      <c r="T543" s="108"/>
      <c r="U543" s="108"/>
      <c r="V543" s="108"/>
      <c r="W543" s="108"/>
      <c r="X543" s="108"/>
      <c r="Y543" s="108"/>
      <c r="Z543" s="108"/>
    </row>
    <row r="544" spans="1:26" ht="156.75" customHeight="1">
      <c r="A544" s="164" t="s">
        <v>736</v>
      </c>
      <c r="B544" s="173" t="s">
        <v>181</v>
      </c>
      <c r="C544" s="145">
        <v>1</v>
      </c>
      <c r="D544" s="145">
        <v>0</v>
      </c>
      <c r="E544" s="145">
        <v>0</v>
      </c>
      <c r="F544" s="145">
        <v>0.5</v>
      </c>
      <c r="G544" s="145">
        <v>0</v>
      </c>
      <c r="H544" s="145">
        <v>0</v>
      </c>
      <c r="I544" s="53" t="s">
        <v>147</v>
      </c>
      <c r="J544" s="67" t="s">
        <v>1952</v>
      </c>
      <c r="K544" s="85" t="s">
        <v>1953</v>
      </c>
      <c r="L544" s="67" t="s">
        <v>1954</v>
      </c>
      <c r="M544" s="176" t="s">
        <v>1955</v>
      </c>
      <c r="N544" s="71" t="s">
        <v>1956</v>
      </c>
      <c r="O544" s="106" t="s">
        <v>748</v>
      </c>
      <c r="P544" s="101"/>
      <c r="Q544" s="107"/>
      <c r="R544" s="107"/>
      <c r="S544" s="108"/>
      <c r="T544" s="108"/>
      <c r="U544" s="108"/>
      <c r="V544" s="108"/>
      <c r="W544" s="108"/>
      <c r="X544" s="108"/>
      <c r="Y544" s="108"/>
      <c r="Z544" s="108"/>
    </row>
    <row r="545" spans="1:26" ht="13.5" customHeight="1">
      <c r="A545" s="1"/>
      <c r="B545" s="918"/>
      <c r="C545" s="145"/>
      <c r="D545" s="145"/>
      <c r="E545" s="145"/>
      <c r="F545" s="145"/>
      <c r="G545" s="145"/>
      <c r="H545" s="145"/>
      <c r="I545" s="17"/>
      <c r="J545" s="67"/>
      <c r="K545" s="106"/>
      <c r="L545" s="106"/>
      <c r="M545" s="67"/>
      <c r="N545" s="106"/>
      <c r="O545" s="106"/>
      <c r="P545" s="19"/>
      <c r="Q545" s="12"/>
      <c r="R545" s="12"/>
      <c r="S545" s="12"/>
      <c r="T545" s="12"/>
      <c r="U545" s="12"/>
      <c r="V545" s="12"/>
      <c r="W545" s="12"/>
      <c r="X545" s="12"/>
      <c r="Y545" s="12"/>
      <c r="Z545" s="12"/>
    </row>
    <row r="546" spans="1:26" ht="180.75" customHeight="1">
      <c r="A546" s="164" t="s">
        <v>736</v>
      </c>
      <c r="B546" s="173" t="s">
        <v>182</v>
      </c>
      <c r="C546" s="900">
        <v>1</v>
      </c>
      <c r="D546" s="145">
        <v>1</v>
      </c>
      <c r="E546" s="145">
        <v>0</v>
      </c>
      <c r="F546" s="145">
        <v>0.5</v>
      </c>
      <c r="G546" s="145">
        <v>1</v>
      </c>
      <c r="H546" s="145">
        <v>0.5</v>
      </c>
      <c r="I546" s="53" t="s">
        <v>147</v>
      </c>
      <c r="J546" s="67" t="s">
        <v>1957</v>
      </c>
      <c r="K546" s="85" t="s">
        <v>811</v>
      </c>
      <c r="L546" s="67" t="s">
        <v>748</v>
      </c>
      <c r="M546" s="85" t="s">
        <v>1958</v>
      </c>
      <c r="N546" s="67" t="s">
        <v>1959</v>
      </c>
      <c r="O546" s="67" t="s">
        <v>1960</v>
      </c>
      <c r="P546" s="101"/>
      <c r="Q546" s="107"/>
      <c r="R546" s="107"/>
      <c r="S546" s="108"/>
      <c r="T546" s="108"/>
      <c r="U546" s="108"/>
      <c r="V546" s="108"/>
      <c r="W546" s="108"/>
      <c r="X546" s="108"/>
      <c r="Y546" s="108"/>
      <c r="Z546" s="108"/>
    </row>
    <row r="547" spans="1:26" ht="12.75" customHeight="1">
      <c r="A547" s="164"/>
      <c r="B547" s="173"/>
      <c r="C547" s="145"/>
      <c r="D547" s="145"/>
      <c r="E547" s="145"/>
      <c r="F547" s="145"/>
      <c r="G547" s="145"/>
      <c r="H547" s="145"/>
      <c r="I547" s="53"/>
      <c r="J547" s="67"/>
      <c r="K547" s="246"/>
      <c r="L547" s="246"/>
      <c r="M547" s="246"/>
      <c r="N547" s="237"/>
      <c r="O547" s="67"/>
      <c r="P547" s="101"/>
      <c r="Q547" s="107"/>
      <c r="R547" s="107"/>
      <c r="S547" s="108"/>
      <c r="T547" s="108"/>
      <c r="U547" s="108"/>
      <c r="V547" s="108"/>
      <c r="W547" s="108"/>
      <c r="X547" s="108"/>
      <c r="Y547" s="108"/>
      <c r="Z547" s="108"/>
    </row>
    <row r="548" spans="1:26" ht="156" customHeight="1">
      <c r="A548" s="164" t="s">
        <v>736</v>
      </c>
      <c r="B548" s="173" t="s">
        <v>183</v>
      </c>
      <c r="C548" s="900">
        <v>1</v>
      </c>
      <c r="D548" s="145">
        <v>1</v>
      </c>
      <c r="E548" s="145">
        <v>0</v>
      </c>
      <c r="F548" s="145">
        <v>1</v>
      </c>
      <c r="G548" s="145">
        <v>1</v>
      </c>
      <c r="H548" s="145">
        <v>0</v>
      </c>
      <c r="I548" s="53" t="s">
        <v>147</v>
      </c>
      <c r="J548" s="67" t="s">
        <v>1961</v>
      </c>
      <c r="K548" s="85" t="s">
        <v>948</v>
      </c>
      <c r="L548" s="67" t="s">
        <v>748</v>
      </c>
      <c r="M548" s="85" t="s">
        <v>1962</v>
      </c>
      <c r="N548" s="67" t="s">
        <v>1963</v>
      </c>
      <c r="O548" s="67" t="s">
        <v>1964</v>
      </c>
      <c r="P548" s="101"/>
      <c r="Q548" s="107"/>
      <c r="R548" s="107"/>
      <c r="S548" s="108"/>
      <c r="T548" s="108"/>
      <c r="U548" s="108"/>
      <c r="V548" s="108"/>
      <c r="W548" s="108"/>
      <c r="X548" s="108"/>
      <c r="Y548" s="108"/>
      <c r="Z548" s="108"/>
    </row>
    <row r="549" spans="1:26" ht="13.5" customHeight="1">
      <c r="A549" s="1"/>
      <c r="B549" s="918"/>
      <c r="C549" s="145"/>
      <c r="D549" s="145"/>
      <c r="E549" s="145"/>
      <c r="F549" s="145"/>
      <c r="G549" s="145"/>
      <c r="H549" s="420"/>
      <c r="I549" s="17"/>
      <c r="J549" s="67"/>
      <c r="K549" s="106"/>
      <c r="L549" s="106"/>
      <c r="M549" s="67"/>
      <c r="N549" s="106"/>
      <c r="O549" s="106"/>
      <c r="P549" s="19"/>
      <c r="Q549" s="12"/>
      <c r="R549" s="12"/>
      <c r="S549" s="12"/>
      <c r="T549" s="12"/>
      <c r="U549" s="12"/>
      <c r="V549" s="12"/>
      <c r="W549" s="12"/>
      <c r="X549" s="12"/>
      <c r="Y549" s="12"/>
      <c r="Z549" s="12"/>
    </row>
    <row r="550" spans="1:26" ht="18.75" customHeight="1">
      <c r="A550" s="422">
        <v>2</v>
      </c>
      <c r="B550" s="2605" t="s">
        <v>1965</v>
      </c>
      <c r="C550" s="2600"/>
      <c r="D550" s="2600"/>
      <c r="E550" s="2600"/>
      <c r="F550" s="2600"/>
      <c r="G550" s="2600"/>
      <c r="H550" s="2601"/>
      <c r="I550" s="260"/>
      <c r="J550" s="2604"/>
      <c r="K550" s="2600"/>
      <c r="L550" s="2600"/>
      <c r="M550" s="2600"/>
      <c r="N550" s="2600"/>
      <c r="O550" s="2601"/>
      <c r="P550" s="98"/>
      <c r="Q550" s="98"/>
      <c r="R550" s="98"/>
      <c r="S550" s="99"/>
      <c r="T550" s="99"/>
      <c r="U550" s="99"/>
      <c r="V550" s="99"/>
      <c r="W550" s="99"/>
      <c r="X550" s="99"/>
      <c r="Y550" s="99"/>
      <c r="Z550" s="99"/>
    </row>
    <row r="551" spans="1:26" ht="18" customHeight="1">
      <c r="A551" s="301"/>
      <c r="B551" s="357" t="s">
        <v>732</v>
      </c>
      <c r="C551" s="240">
        <f t="shared" ref="C551:H551" si="74">AVERAGE(C552,C598,C623)</f>
        <v>0.57482505561887598</v>
      </c>
      <c r="D551" s="240">
        <f t="shared" si="74"/>
        <v>0.61683895360565388</v>
      </c>
      <c r="E551" s="240">
        <f t="shared" si="74"/>
        <v>0.38854061121779021</v>
      </c>
      <c r="F551" s="240">
        <f t="shared" si="74"/>
        <v>0.67692573349397733</v>
      </c>
      <c r="G551" s="240">
        <f t="shared" si="74"/>
        <v>0.57886620387165755</v>
      </c>
      <c r="H551" s="240">
        <f t="shared" si="74"/>
        <v>0.42181743260932841</v>
      </c>
      <c r="I551" s="260"/>
      <c r="J551" s="26"/>
      <c r="K551" s="26"/>
      <c r="L551" s="26"/>
      <c r="M551" s="26"/>
      <c r="N551" s="26"/>
      <c r="O551" s="26"/>
      <c r="P551" s="98"/>
      <c r="Q551" s="171"/>
      <c r="R551" s="171"/>
      <c r="S551" s="172"/>
      <c r="T551" s="172"/>
      <c r="U551" s="172"/>
      <c r="V551" s="172"/>
      <c r="W551" s="172"/>
      <c r="X551" s="172"/>
      <c r="Y551" s="172"/>
      <c r="Z551" s="172"/>
    </row>
    <row r="552" spans="1:26" ht="20.25" customHeight="1">
      <c r="A552" s="424" t="s">
        <v>436</v>
      </c>
      <c r="B552" s="112" t="s">
        <v>529</v>
      </c>
      <c r="C552" s="131">
        <f t="shared" ref="C552:H552" si="75">AVERAGE(C553,C560,C566,C572,C578,C583,C592,C594,C596)</f>
        <v>0.47841098028647155</v>
      </c>
      <c r="D552" s="131">
        <f t="shared" si="75"/>
        <v>0.57567448588192727</v>
      </c>
      <c r="E552" s="131">
        <f t="shared" si="75"/>
        <v>0.51300461349450543</v>
      </c>
      <c r="F552" s="131">
        <f t="shared" si="75"/>
        <v>0.72250969491784922</v>
      </c>
      <c r="G552" s="131">
        <f t="shared" si="75"/>
        <v>0.56256887547929135</v>
      </c>
      <c r="H552" s="131">
        <f t="shared" si="75"/>
        <v>0.51295486210713781</v>
      </c>
      <c r="I552" s="260"/>
      <c r="J552" s="38"/>
      <c r="K552" s="38"/>
      <c r="L552" s="38"/>
      <c r="M552" s="38"/>
      <c r="N552" s="38"/>
      <c r="O552" s="38"/>
      <c r="P552" s="98"/>
      <c r="Q552" s="98"/>
      <c r="R552" s="98"/>
      <c r="S552" s="99"/>
      <c r="T552" s="99"/>
      <c r="U552" s="99"/>
      <c r="V552" s="99"/>
      <c r="W552" s="99"/>
      <c r="X552" s="99"/>
      <c r="Y552" s="99"/>
      <c r="Z552" s="99"/>
    </row>
    <row r="553" spans="1:26" ht="27.75" customHeight="1">
      <c r="A553" s="104" t="s">
        <v>736</v>
      </c>
      <c r="B553" s="60" t="s">
        <v>1966</v>
      </c>
      <c r="C553" s="358">
        <f t="shared" ref="C553:H553" si="76">AVERAGE(C554:C558)</f>
        <v>0.74357390873015872</v>
      </c>
      <c r="D553" s="358">
        <f t="shared" si="76"/>
        <v>0.71433177437641726</v>
      </c>
      <c r="E553" s="358">
        <f t="shared" si="76"/>
        <v>0.87636904761904755</v>
      </c>
      <c r="F553" s="358">
        <f t="shared" si="76"/>
        <v>0.97027529761904763</v>
      </c>
      <c r="G553" s="358">
        <f t="shared" si="76"/>
        <v>0.97997767857142859</v>
      </c>
      <c r="H553" s="358">
        <f t="shared" si="76"/>
        <v>0.93663194444444442</v>
      </c>
      <c r="I553" s="227"/>
      <c r="J553" s="228"/>
      <c r="K553" s="228"/>
      <c r="L553" s="228"/>
      <c r="M553" s="228"/>
      <c r="N553" s="228"/>
      <c r="O553" s="228"/>
      <c r="P553" s="359"/>
      <c r="Q553" s="107"/>
      <c r="R553" s="107"/>
      <c r="S553" s="108"/>
      <c r="T553" s="108"/>
      <c r="U553" s="108"/>
      <c r="V553" s="108"/>
      <c r="W553" s="108"/>
      <c r="X553" s="108"/>
      <c r="Y553" s="108"/>
      <c r="Z553" s="108"/>
    </row>
    <row r="554" spans="1:26" ht="27" customHeight="1">
      <c r="A554" s="104"/>
      <c r="B554" s="891" t="s">
        <v>530</v>
      </c>
      <c r="C554" s="65">
        <f t="shared" ref="C554:H554" si="77">(J554-174)/(6-174)</f>
        <v>0.75595238095238093</v>
      </c>
      <c r="D554" s="65">
        <f t="shared" si="77"/>
        <v>0.5535714285714286</v>
      </c>
      <c r="E554" s="65">
        <f t="shared" si="77"/>
        <v>0.9464285714285714</v>
      </c>
      <c r="F554" s="65">
        <f t="shared" si="77"/>
        <v>0.98809523809523814</v>
      </c>
      <c r="G554" s="65">
        <f t="shared" si="77"/>
        <v>1</v>
      </c>
      <c r="H554" s="65">
        <f t="shared" si="77"/>
        <v>0.97619047619047616</v>
      </c>
      <c r="I554" s="227" t="s">
        <v>1967</v>
      </c>
      <c r="J554" s="360">
        <v>47</v>
      </c>
      <c r="K554" s="360">
        <v>81</v>
      </c>
      <c r="L554" s="360">
        <v>15</v>
      </c>
      <c r="M554" s="360">
        <v>8</v>
      </c>
      <c r="N554" s="360">
        <v>6</v>
      </c>
      <c r="O554" s="360">
        <v>10</v>
      </c>
      <c r="P554" s="359"/>
      <c r="Q554" s="107"/>
      <c r="R554" s="107"/>
      <c r="S554" s="108"/>
      <c r="T554" s="12"/>
      <c r="U554" s="12"/>
      <c r="V554" s="12"/>
      <c r="W554" s="12"/>
      <c r="X554" s="12"/>
      <c r="Y554" s="12"/>
      <c r="Z554" s="12"/>
    </row>
    <row r="555" spans="1:26" ht="50.25" customHeight="1">
      <c r="A555" s="104"/>
      <c r="B555" s="891" t="s">
        <v>531</v>
      </c>
      <c r="C555" s="65">
        <f t="shared" ref="C555:H555" si="78">(J555-37)/(2-37)</f>
        <v>0.45714285714285713</v>
      </c>
      <c r="D555" s="65">
        <f t="shared" si="78"/>
        <v>0.8571428571428571</v>
      </c>
      <c r="E555" s="65">
        <f t="shared" si="78"/>
        <v>0.8</v>
      </c>
      <c r="F555" s="65">
        <f t="shared" si="78"/>
        <v>1</v>
      </c>
      <c r="G555" s="65">
        <f t="shared" si="78"/>
        <v>0.94285714285714284</v>
      </c>
      <c r="H555" s="65">
        <f t="shared" si="78"/>
        <v>0.8571428571428571</v>
      </c>
      <c r="I555" s="923" t="s">
        <v>1968</v>
      </c>
      <c r="J555" s="360">
        <v>21</v>
      </c>
      <c r="K555" s="360">
        <v>7</v>
      </c>
      <c r="L555" s="360">
        <v>9</v>
      </c>
      <c r="M555" s="360">
        <v>2</v>
      </c>
      <c r="N555" s="360">
        <v>4</v>
      </c>
      <c r="O555" s="360">
        <v>7</v>
      </c>
      <c r="P555" s="359"/>
      <c r="Q555" s="107"/>
      <c r="R555" s="107"/>
      <c r="S555" s="108"/>
      <c r="T555" s="108"/>
      <c r="U555" s="108"/>
      <c r="V555" s="108"/>
      <c r="W555" s="108"/>
      <c r="X555" s="108"/>
      <c r="Y555" s="108"/>
      <c r="Z555" s="108"/>
    </row>
    <row r="556" spans="1:26" ht="32.25" customHeight="1">
      <c r="A556" s="104"/>
      <c r="B556" s="891" t="s">
        <v>532</v>
      </c>
      <c r="C556" s="65">
        <f t="shared" ref="C556:H556" si="79">(J556-11)/(2-11)</f>
        <v>0.55555555555555558</v>
      </c>
      <c r="D556" s="65">
        <f t="shared" si="79"/>
        <v>0.55555555555555558</v>
      </c>
      <c r="E556" s="65">
        <f t="shared" si="79"/>
        <v>0.66666666666666663</v>
      </c>
      <c r="F556" s="65">
        <f t="shared" si="79"/>
        <v>1</v>
      </c>
      <c r="G556" s="65">
        <f t="shared" si="79"/>
        <v>1</v>
      </c>
      <c r="H556" s="65">
        <f t="shared" si="79"/>
        <v>0.88888888888888884</v>
      </c>
      <c r="I556" s="923" t="s">
        <v>1969</v>
      </c>
      <c r="J556" s="360">
        <v>6</v>
      </c>
      <c r="K556" s="360">
        <v>6</v>
      </c>
      <c r="L556" s="360">
        <v>5</v>
      </c>
      <c r="M556" s="360">
        <v>2</v>
      </c>
      <c r="N556" s="360">
        <v>2</v>
      </c>
      <c r="O556" s="360">
        <v>3</v>
      </c>
      <c r="P556" s="359"/>
      <c r="Q556" s="107"/>
      <c r="R556" s="107"/>
      <c r="S556" s="108"/>
      <c r="T556" s="12"/>
      <c r="U556" s="12"/>
      <c r="V556" s="12"/>
      <c r="W556" s="12"/>
      <c r="X556" s="12"/>
      <c r="Y556" s="12"/>
      <c r="Z556" s="12"/>
    </row>
    <row r="557" spans="1:26" ht="24" customHeight="1">
      <c r="A557" s="104"/>
      <c r="B557" s="891" t="s">
        <v>533</v>
      </c>
      <c r="C557" s="65">
        <f t="shared" ref="C557:H557" si="80">(J557-25.6)/(0-25.6)</f>
        <v>0.94921875</v>
      </c>
      <c r="D557" s="65">
        <f t="shared" si="80"/>
        <v>0.78906250000000011</v>
      </c>
      <c r="E557" s="65">
        <f t="shared" si="80"/>
        <v>0.96875</v>
      </c>
      <c r="F557" s="65">
        <f t="shared" si="80"/>
        <v>0.86328125</v>
      </c>
      <c r="G557" s="65">
        <f t="shared" si="80"/>
        <v>0.95703125</v>
      </c>
      <c r="H557" s="65">
        <f t="shared" si="80"/>
        <v>0.9609375</v>
      </c>
      <c r="I557" s="923" t="s">
        <v>1970</v>
      </c>
      <c r="J557" s="361">
        <v>1.3</v>
      </c>
      <c r="K557" s="361">
        <v>5.4</v>
      </c>
      <c r="L557" s="361">
        <v>0.8</v>
      </c>
      <c r="M557" s="361">
        <v>3.5</v>
      </c>
      <c r="N557" s="361">
        <v>1.1000000000000001</v>
      </c>
      <c r="O557" s="361">
        <v>1</v>
      </c>
      <c r="P557" s="359"/>
      <c r="Q557" s="107"/>
      <c r="R557" s="107"/>
      <c r="S557" s="108"/>
      <c r="T557" s="12"/>
      <c r="U557" s="12"/>
      <c r="V557" s="12"/>
      <c r="W557" s="12"/>
      <c r="X557" s="12"/>
      <c r="Y557" s="12"/>
      <c r="Z557" s="12"/>
    </row>
    <row r="558" spans="1:26" ht="36.75" customHeight="1">
      <c r="A558" s="104"/>
      <c r="B558" s="891" t="s">
        <v>534</v>
      </c>
      <c r="C558" s="65">
        <f t="shared" ref="C558:H558" si="81">(J558-44.1)/(0-44.1)</f>
        <v>1</v>
      </c>
      <c r="D558" s="65">
        <f t="shared" si="81"/>
        <v>0.81632653061224492</v>
      </c>
      <c r="E558" s="65">
        <f t="shared" si="81"/>
        <v>1</v>
      </c>
      <c r="F558" s="65">
        <f t="shared" si="81"/>
        <v>1</v>
      </c>
      <c r="G558" s="65">
        <f t="shared" si="81"/>
        <v>1</v>
      </c>
      <c r="H558" s="65">
        <f t="shared" si="81"/>
        <v>1</v>
      </c>
      <c r="I558" s="923" t="s">
        <v>1971</v>
      </c>
      <c r="J558" s="360">
        <v>0</v>
      </c>
      <c r="K558" s="361">
        <v>8.1</v>
      </c>
      <c r="L558" s="360">
        <v>0</v>
      </c>
      <c r="M558" s="360">
        <v>0</v>
      </c>
      <c r="N558" s="360">
        <v>0</v>
      </c>
      <c r="O558" s="360">
        <v>0</v>
      </c>
      <c r="P558" s="359"/>
      <c r="Q558" s="107"/>
      <c r="R558" s="107"/>
      <c r="S558" s="108"/>
      <c r="T558" s="12"/>
      <c r="U558" s="12"/>
      <c r="V558" s="12"/>
      <c r="W558" s="12"/>
      <c r="X558" s="12"/>
      <c r="Y558" s="12"/>
      <c r="Z558" s="12"/>
    </row>
    <row r="559" spans="1:26" ht="13.5" customHeight="1">
      <c r="A559" s="104"/>
      <c r="B559" s="105"/>
      <c r="C559" s="924"/>
      <c r="D559" s="924"/>
      <c r="E559" s="924"/>
      <c r="F559" s="924"/>
      <c r="G559" s="924"/>
      <c r="H559" s="924"/>
      <c r="I559" s="227"/>
      <c r="J559" s="228"/>
      <c r="K559" s="228"/>
      <c r="L559" s="228"/>
      <c r="M559" s="228"/>
      <c r="N559" s="228"/>
      <c r="O559" s="228"/>
      <c r="P559" s="359"/>
      <c r="Q559" s="107"/>
      <c r="R559" s="107"/>
      <c r="S559" s="108"/>
      <c r="T559" s="12"/>
      <c r="U559" s="12"/>
      <c r="V559" s="12"/>
      <c r="W559" s="12"/>
      <c r="X559" s="12"/>
      <c r="Y559" s="12"/>
      <c r="Z559" s="12"/>
    </row>
    <row r="560" spans="1:26" ht="48" customHeight="1">
      <c r="A560" s="104" t="s">
        <v>736</v>
      </c>
      <c r="B560" s="60" t="s">
        <v>1972</v>
      </c>
      <c r="C560" s="358">
        <f t="shared" ref="C560:H560" si="82">AVERAGE(C561:C564)</f>
        <v>0.11000000000000001</v>
      </c>
      <c r="D560" s="358">
        <f t="shared" si="82"/>
        <v>0.61107951208493327</v>
      </c>
      <c r="E560" s="358">
        <f t="shared" si="82"/>
        <v>0.56154890444996608</v>
      </c>
      <c r="F560" s="358">
        <f t="shared" si="82"/>
        <v>0.69479241021007465</v>
      </c>
      <c r="G560" s="358">
        <f t="shared" si="82"/>
        <v>0.73723492206912133</v>
      </c>
      <c r="H560" s="358">
        <f t="shared" si="82"/>
        <v>0.68409622769369782</v>
      </c>
      <c r="I560" s="227"/>
      <c r="J560" s="228"/>
      <c r="K560" s="228"/>
      <c r="L560" s="228"/>
      <c r="M560" s="228"/>
      <c r="N560" s="228"/>
      <c r="O560" s="228"/>
      <c r="P560" s="359"/>
      <c r="Q560" s="107"/>
      <c r="R560" s="107"/>
      <c r="S560" s="108"/>
      <c r="T560" s="108"/>
      <c r="U560" s="108"/>
      <c r="V560" s="108"/>
      <c r="W560" s="108"/>
      <c r="X560" s="108"/>
      <c r="Y560" s="108"/>
      <c r="Z560" s="108"/>
    </row>
    <row r="561" spans="1:26" ht="26.25" customHeight="1">
      <c r="A561" s="104"/>
      <c r="B561" s="891" t="s">
        <v>530</v>
      </c>
      <c r="C561" s="65">
        <f t="shared" ref="C561:H561" si="83">(J561-162)/(37-162)</f>
        <v>0</v>
      </c>
      <c r="D561" s="65">
        <f t="shared" si="83"/>
        <v>0.56799999999999995</v>
      </c>
      <c r="E561" s="65">
        <f t="shared" si="83"/>
        <v>0.70399999999999996</v>
      </c>
      <c r="F561" s="65">
        <f t="shared" si="83"/>
        <v>0.59199999999999997</v>
      </c>
      <c r="G561" s="65">
        <f t="shared" si="83"/>
        <v>0.68799999999999994</v>
      </c>
      <c r="H561" s="65">
        <f t="shared" si="83"/>
        <v>0.60799999999999998</v>
      </c>
      <c r="I561" s="227" t="s">
        <v>1973</v>
      </c>
      <c r="J561" s="360">
        <v>162</v>
      </c>
      <c r="K561" s="360">
        <v>91</v>
      </c>
      <c r="L561" s="360">
        <v>74</v>
      </c>
      <c r="M561" s="360">
        <v>88</v>
      </c>
      <c r="N561" s="360">
        <v>76</v>
      </c>
      <c r="O561" s="360">
        <v>86</v>
      </c>
      <c r="P561" s="359"/>
      <c r="Q561" s="107"/>
      <c r="R561" s="107"/>
      <c r="S561" s="108"/>
      <c r="T561" s="12"/>
      <c r="U561" s="12"/>
      <c r="V561" s="12"/>
      <c r="W561" s="12"/>
      <c r="X561" s="12"/>
      <c r="Y561" s="12"/>
      <c r="Z561" s="12"/>
    </row>
    <row r="562" spans="1:26" ht="78" customHeight="1">
      <c r="A562" s="104"/>
      <c r="B562" s="891" t="s">
        <v>536</v>
      </c>
      <c r="C562" s="65">
        <f t="shared" ref="C562:H562" si="84">(J562-8.2)/(54.8-8.2)</f>
        <v>0</v>
      </c>
      <c r="D562" s="65">
        <f t="shared" si="84"/>
        <v>0.52789699570815452</v>
      </c>
      <c r="E562" s="65">
        <f t="shared" si="84"/>
        <v>0.61587982832618027</v>
      </c>
      <c r="F562" s="65">
        <f t="shared" si="84"/>
        <v>0.54506437768240357</v>
      </c>
      <c r="G562" s="65">
        <f t="shared" si="84"/>
        <v>0.60515021459227469</v>
      </c>
      <c r="H562" s="65">
        <f t="shared" si="84"/>
        <v>0.55364806866952798</v>
      </c>
      <c r="I562" s="227" t="s">
        <v>1974</v>
      </c>
      <c r="J562" s="361">
        <v>8.1999999999999993</v>
      </c>
      <c r="K562" s="361">
        <v>32.799999999999997</v>
      </c>
      <c r="L562" s="361">
        <v>36.9</v>
      </c>
      <c r="M562" s="361">
        <v>33.6</v>
      </c>
      <c r="N562" s="361">
        <v>36.4</v>
      </c>
      <c r="O562" s="361">
        <v>34</v>
      </c>
      <c r="P562" s="359"/>
      <c r="Q562" s="107"/>
      <c r="R562" s="107"/>
      <c r="S562" s="108"/>
      <c r="T562" s="12"/>
      <c r="U562" s="12"/>
      <c r="V562" s="12"/>
      <c r="W562" s="12"/>
      <c r="X562" s="12"/>
      <c r="Y562" s="12"/>
      <c r="Z562" s="12"/>
    </row>
    <row r="563" spans="1:26" ht="52.5" customHeight="1">
      <c r="A563" s="925"/>
      <c r="B563" s="891" t="s">
        <v>537</v>
      </c>
      <c r="C563" s="65">
        <f t="shared" ref="C563:H563" si="85">(J563-4)/(1.5-4)</f>
        <v>0.44000000000000006</v>
      </c>
      <c r="D563" s="65">
        <f t="shared" si="85"/>
        <v>0.48000000000000009</v>
      </c>
      <c r="E563" s="65">
        <f t="shared" si="85"/>
        <v>0.4</v>
      </c>
      <c r="F563" s="65">
        <f t="shared" si="85"/>
        <v>0.8</v>
      </c>
      <c r="G563" s="65">
        <f t="shared" si="85"/>
        <v>0.84000000000000008</v>
      </c>
      <c r="H563" s="65">
        <f t="shared" si="85"/>
        <v>0.68</v>
      </c>
      <c r="I563" s="923" t="s">
        <v>1975</v>
      </c>
      <c r="J563" s="360">
        <v>2.9</v>
      </c>
      <c r="K563" s="360">
        <v>2.8</v>
      </c>
      <c r="L563" s="360">
        <v>3</v>
      </c>
      <c r="M563" s="360">
        <v>2</v>
      </c>
      <c r="N563" s="361">
        <v>1.9</v>
      </c>
      <c r="O563" s="361">
        <v>2.2999999999999998</v>
      </c>
      <c r="P563" s="364"/>
      <c r="Q563" s="159"/>
      <c r="R563" s="159"/>
      <c r="S563" s="917"/>
      <c r="T563" s="917"/>
      <c r="U563" s="917"/>
      <c r="V563" s="917"/>
      <c r="W563" s="917"/>
      <c r="X563" s="917"/>
      <c r="Y563" s="917"/>
      <c r="Z563" s="917"/>
    </row>
    <row r="564" spans="1:26" ht="39.75" customHeight="1">
      <c r="A564" s="104"/>
      <c r="B564" s="891" t="s">
        <v>538</v>
      </c>
      <c r="C564" s="65">
        <f t="shared" ref="C564:H564" si="86">(J564-42)/(4-42)</f>
        <v>0</v>
      </c>
      <c r="D564" s="65">
        <f t="shared" si="86"/>
        <v>0.86842105263157898</v>
      </c>
      <c r="E564" s="65">
        <f t="shared" si="86"/>
        <v>0.52631578947368418</v>
      </c>
      <c r="F564" s="65">
        <f t="shared" si="86"/>
        <v>0.84210526315789469</v>
      </c>
      <c r="G564" s="65">
        <f t="shared" si="86"/>
        <v>0.81578947368421051</v>
      </c>
      <c r="H564" s="65">
        <f t="shared" si="86"/>
        <v>0.89473684210526316</v>
      </c>
      <c r="I564" s="227" t="s">
        <v>1976</v>
      </c>
      <c r="J564" s="360">
        <v>42</v>
      </c>
      <c r="K564" s="360">
        <v>9</v>
      </c>
      <c r="L564" s="360">
        <v>22</v>
      </c>
      <c r="M564" s="360">
        <v>10</v>
      </c>
      <c r="N564" s="360">
        <v>11</v>
      </c>
      <c r="O564" s="360">
        <v>8</v>
      </c>
      <c r="P564" s="359"/>
      <c r="Q564" s="107"/>
      <c r="R564" s="107"/>
      <c r="S564" s="108"/>
      <c r="T564" s="12"/>
      <c r="U564" s="12"/>
      <c r="V564" s="12"/>
      <c r="W564" s="12"/>
      <c r="X564" s="12"/>
      <c r="Y564" s="12"/>
      <c r="Z564" s="12"/>
    </row>
    <row r="565" spans="1:26" ht="13.5" customHeight="1">
      <c r="A565" s="104"/>
      <c r="B565" s="105"/>
      <c r="C565" s="924"/>
      <c r="D565" s="924"/>
      <c r="E565" s="924"/>
      <c r="F565" s="924"/>
      <c r="G565" s="924"/>
      <c r="H565" s="924"/>
      <c r="I565" s="923"/>
      <c r="J565" s="228"/>
      <c r="K565" s="228"/>
      <c r="L565" s="228"/>
      <c r="M565" s="228"/>
      <c r="N565" s="228"/>
      <c r="O565" s="228"/>
      <c r="P565" s="359"/>
      <c r="Q565" s="107"/>
      <c r="R565" s="107"/>
      <c r="S565" s="108"/>
      <c r="T565" s="12"/>
      <c r="U565" s="12"/>
      <c r="V565" s="12"/>
      <c r="W565" s="12"/>
      <c r="X565" s="12"/>
      <c r="Y565" s="12"/>
      <c r="Z565" s="12"/>
    </row>
    <row r="566" spans="1:26" ht="27.75" customHeight="1">
      <c r="A566" s="104" t="s">
        <v>736</v>
      </c>
      <c r="B566" s="60" t="s">
        <v>1977</v>
      </c>
      <c r="C566" s="358">
        <f t="shared" ref="C566:H566" si="87">AVERAGE(C567:C570)</f>
        <v>0.3460805385130955</v>
      </c>
      <c r="D566" s="358">
        <f t="shared" si="87"/>
        <v>0.62208988230268392</v>
      </c>
      <c r="E566" s="358">
        <f t="shared" si="87"/>
        <v>0.51489019735291519</v>
      </c>
      <c r="F566" s="358">
        <f t="shared" si="87"/>
        <v>0.82635756083728606</v>
      </c>
      <c r="G566" s="358">
        <f t="shared" si="87"/>
        <v>0.56263872061249742</v>
      </c>
      <c r="H566" s="358">
        <f t="shared" si="87"/>
        <v>0.67997707093509707</v>
      </c>
      <c r="I566" s="227"/>
      <c r="J566" s="228"/>
      <c r="K566" s="228"/>
      <c r="L566" s="228"/>
      <c r="M566" s="228"/>
      <c r="N566" s="228"/>
      <c r="O566" s="228"/>
      <c r="P566" s="359"/>
      <c r="Q566" s="107"/>
      <c r="R566" s="107"/>
      <c r="S566" s="108"/>
      <c r="T566" s="108"/>
      <c r="U566" s="108"/>
      <c r="V566" s="108"/>
      <c r="W566" s="108"/>
      <c r="X566" s="108"/>
      <c r="Y566" s="108"/>
      <c r="Z566" s="108"/>
    </row>
    <row r="567" spans="1:26" ht="36" customHeight="1">
      <c r="A567" s="104"/>
      <c r="B567" s="891" t="s">
        <v>530</v>
      </c>
      <c r="C567" s="65">
        <f t="shared" ref="C567:H567" si="88">(J567-178)/(18-178)</f>
        <v>8.7499999999999994E-2</v>
      </c>
      <c r="D567" s="65">
        <f t="shared" si="88"/>
        <v>0.51875000000000004</v>
      </c>
      <c r="E567" s="65">
        <f t="shared" si="88"/>
        <v>0.28125</v>
      </c>
      <c r="F567" s="65">
        <f t="shared" si="88"/>
        <v>0.93125000000000002</v>
      </c>
      <c r="G567" s="65">
        <f t="shared" si="88"/>
        <v>0.46875</v>
      </c>
      <c r="H567" s="65">
        <f t="shared" si="88"/>
        <v>0.63124999999999998</v>
      </c>
      <c r="I567" s="227" t="s">
        <v>1978</v>
      </c>
      <c r="J567" s="360">
        <v>164</v>
      </c>
      <c r="K567" s="360">
        <v>95</v>
      </c>
      <c r="L567" s="360">
        <v>133</v>
      </c>
      <c r="M567" s="360">
        <v>29</v>
      </c>
      <c r="N567" s="360">
        <v>103</v>
      </c>
      <c r="O567" s="360">
        <v>77</v>
      </c>
      <c r="P567" s="359"/>
      <c r="Q567" s="107"/>
      <c r="R567" s="107"/>
      <c r="S567" s="108"/>
      <c r="T567" s="12"/>
      <c r="U567" s="12"/>
      <c r="V567" s="12"/>
      <c r="W567" s="12"/>
      <c r="X567" s="12"/>
      <c r="Y567" s="12"/>
      <c r="Z567" s="12"/>
    </row>
    <row r="568" spans="1:26" ht="50.25" customHeight="1">
      <c r="A568" s="104"/>
      <c r="B568" s="891" t="s">
        <v>540</v>
      </c>
      <c r="C568" s="65">
        <f t="shared" ref="C568:H568" si="89">(J568-454)/(81-454)</f>
        <v>0.17158176943699732</v>
      </c>
      <c r="D568" s="65">
        <f t="shared" si="89"/>
        <v>0.73190348525469173</v>
      </c>
      <c r="E568" s="65">
        <f t="shared" si="89"/>
        <v>0.36193029490616624</v>
      </c>
      <c r="F568" s="65">
        <f t="shared" si="89"/>
        <v>0.46648793565683644</v>
      </c>
      <c r="G568" s="65">
        <f t="shared" si="89"/>
        <v>0.19839142091152814</v>
      </c>
      <c r="H568" s="65">
        <f t="shared" si="89"/>
        <v>0.64343163538873993</v>
      </c>
      <c r="I568" s="227" t="s">
        <v>1979</v>
      </c>
      <c r="J568" s="360">
        <v>390</v>
      </c>
      <c r="K568" s="360">
        <v>181</v>
      </c>
      <c r="L568" s="360">
        <v>319</v>
      </c>
      <c r="M568" s="360">
        <v>280</v>
      </c>
      <c r="N568" s="360">
        <v>380</v>
      </c>
      <c r="O568" s="360">
        <v>214</v>
      </c>
      <c r="P568" s="359"/>
      <c r="Q568" s="107"/>
      <c r="R568" s="107"/>
      <c r="S568" s="108"/>
      <c r="T568" s="12"/>
      <c r="U568" s="12"/>
      <c r="V568" s="12"/>
      <c r="W568" s="12"/>
      <c r="X568" s="12"/>
      <c r="Y568" s="12"/>
      <c r="Z568" s="12"/>
    </row>
    <row r="569" spans="1:26" ht="33.75" customHeight="1">
      <c r="A569" s="925"/>
      <c r="B569" s="891" t="s">
        <v>541</v>
      </c>
      <c r="C569" s="65">
        <f t="shared" ref="C569:H569" si="90">(J569-69)/(5-69)</f>
        <v>0.640625</v>
      </c>
      <c r="D569" s="65">
        <f t="shared" si="90"/>
        <v>0.59375</v>
      </c>
      <c r="E569" s="65">
        <f t="shared" si="90"/>
        <v>0.921875</v>
      </c>
      <c r="F569" s="65">
        <f t="shared" si="90"/>
        <v>1</v>
      </c>
      <c r="G569" s="65">
        <f t="shared" si="90"/>
        <v>0.921875</v>
      </c>
      <c r="H569" s="65">
        <f t="shared" si="90"/>
        <v>0.796875</v>
      </c>
      <c r="I569" s="923" t="s">
        <v>1980</v>
      </c>
      <c r="J569" s="360">
        <v>28</v>
      </c>
      <c r="K569" s="360">
        <v>31</v>
      </c>
      <c r="L569" s="360">
        <v>10</v>
      </c>
      <c r="M569" s="360">
        <v>5</v>
      </c>
      <c r="N569" s="360">
        <v>10</v>
      </c>
      <c r="O569" s="360">
        <v>18</v>
      </c>
      <c r="P569" s="359"/>
      <c r="Q569" s="107"/>
      <c r="R569" s="107"/>
      <c r="S569" s="108"/>
      <c r="T569" s="108"/>
      <c r="U569" s="108"/>
      <c r="V569" s="108"/>
      <c r="W569" s="108"/>
      <c r="X569" s="108"/>
      <c r="Y569" s="108"/>
      <c r="Z569" s="108"/>
    </row>
    <row r="570" spans="1:26" ht="39.75" customHeight="1">
      <c r="A570" s="104"/>
      <c r="B570" s="891" t="s">
        <v>542</v>
      </c>
      <c r="C570" s="65">
        <f t="shared" ref="C570:H570" si="91">(J570-99)/(8-99)</f>
        <v>0.48461538461538461</v>
      </c>
      <c r="D570" s="65">
        <f t="shared" si="91"/>
        <v>0.643956043956044</v>
      </c>
      <c r="E570" s="65">
        <f t="shared" si="91"/>
        <v>0.49450549450549453</v>
      </c>
      <c r="F570" s="65">
        <f t="shared" si="91"/>
        <v>0.90769230769230758</v>
      </c>
      <c r="G570" s="65">
        <f t="shared" si="91"/>
        <v>0.66153846153846152</v>
      </c>
      <c r="H570" s="65">
        <f t="shared" si="91"/>
        <v>0.64835164835164838</v>
      </c>
      <c r="I570" s="227" t="s">
        <v>1981</v>
      </c>
      <c r="J570" s="361">
        <v>54.9</v>
      </c>
      <c r="K570" s="361">
        <v>40.4</v>
      </c>
      <c r="L570" s="361">
        <v>54</v>
      </c>
      <c r="M570" s="361">
        <v>16.399999999999999</v>
      </c>
      <c r="N570" s="361">
        <v>38.799999999999997</v>
      </c>
      <c r="O570" s="361">
        <v>40</v>
      </c>
      <c r="P570" s="359"/>
      <c r="Q570" s="107"/>
      <c r="R570" s="107"/>
      <c r="S570" s="108"/>
      <c r="T570" s="12"/>
      <c r="U570" s="12"/>
      <c r="V570" s="12"/>
      <c r="W570" s="12"/>
      <c r="X570" s="12"/>
      <c r="Y570" s="12"/>
      <c r="Z570" s="12"/>
    </row>
    <row r="571" spans="1:26" ht="13.5" customHeight="1">
      <c r="A571" s="104"/>
      <c r="B571" s="105"/>
      <c r="C571" s="896"/>
      <c r="D571" s="896"/>
      <c r="E571" s="896"/>
      <c r="F571" s="896"/>
      <c r="G571" s="896"/>
      <c r="H571" s="896"/>
      <c r="I571" s="227"/>
      <c r="J571" s="228"/>
      <c r="K571" s="228"/>
      <c r="L571" s="228"/>
      <c r="M571" s="228"/>
      <c r="N571" s="228"/>
      <c r="O571" s="228"/>
      <c r="P571" s="359"/>
      <c r="Q571" s="107"/>
      <c r="R571" s="107"/>
      <c r="S571" s="108"/>
      <c r="T571" s="12"/>
      <c r="U571" s="12"/>
      <c r="V571" s="12"/>
      <c r="W571" s="12"/>
      <c r="X571" s="12"/>
      <c r="Y571" s="12"/>
      <c r="Z571" s="12"/>
    </row>
    <row r="572" spans="1:26" ht="27.75" customHeight="1">
      <c r="A572" s="104" t="s">
        <v>736</v>
      </c>
      <c r="B572" s="60" t="s">
        <v>1982</v>
      </c>
      <c r="C572" s="358">
        <f t="shared" ref="C572:H572" si="92">AVERAGE(C573:C576)</f>
        <v>0.60887173824713847</v>
      </c>
      <c r="D572" s="358">
        <f t="shared" si="92"/>
        <v>0.77310909044257403</v>
      </c>
      <c r="E572" s="358">
        <f t="shared" si="92"/>
        <v>0.87228694040252575</v>
      </c>
      <c r="F572" s="358">
        <f t="shared" si="92"/>
        <v>0.7317229453867119</v>
      </c>
      <c r="G572" s="358">
        <f t="shared" si="92"/>
        <v>0.4104803930506794</v>
      </c>
      <c r="H572" s="358">
        <f t="shared" si="92"/>
        <v>0.76493695438727727</v>
      </c>
      <c r="I572" s="227"/>
      <c r="J572" s="228"/>
      <c r="K572" s="228"/>
      <c r="L572" s="228"/>
      <c r="M572" s="228"/>
      <c r="N572" s="228"/>
      <c r="O572" s="228"/>
      <c r="P572" s="359"/>
      <c r="Q572" s="107"/>
      <c r="R572" s="107"/>
      <c r="S572" s="108"/>
      <c r="T572" s="108"/>
      <c r="U572" s="108"/>
      <c r="V572" s="108"/>
      <c r="W572" s="108"/>
      <c r="X572" s="108"/>
      <c r="Y572" s="108"/>
      <c r="Z572" s="108"/>
    </row>
    <row r="573" spans="1:26" ht="52.5" customHeight="1">
      <c r="A573" s="104"/>
      <c r="B573" s="891" t="s">
        <v>530</v>
      </c>
      <c r="C573" s="65">
        <f t="shared" ref="C573:H573" si="93">(J573-136)/(13-136)</f>
        <v>0.73983739837398377</v>
      </c>
      <c r="D573" s="65">
        <f t="shared" si="93"/>
        <v>0.91869918699186992</v>
      </c>
      <c r="E573" s="65">
        <f t="shared" si="93"/>
        <v>1</v>
      </c>
      <c r="F573" s="65">
        <f t="shared" si="93"/>
        <v>0.83739837398373984</v>
      </c>
      <c r="G573" s="65">
        <f t="shared" si="93"/>
        <v>0.1951219512195122</v>
      </c>
      <c r="H573" s="65">
        <f t="shared" si="93"/>
        <v>0.87804878048780488</v>
      </c>
      <c r="I573" s="227" t="s">
        <v>1983</v>
      </c>
      <c r="J573" s="360">
        <v>45</v>
      </c>
      <c r="K573" s="360">
        <v>23</v>
      </c>
      <c r="L573" s="360">
        <v>13</v>
      </c>
      <c r="M573" s="360">
        <v>33</v>
      </c>
      <c r="N573" s="360">
        <v>112</v>
      </c>
      <c r="O573" s="361">
        <v>28</v>
      </c>
      <c r="P573" s="359"/>
      <c r="Q573" s="107"/>
      <c r="R573" s="107"/>
      <c r="S573" s="108"/>
      <c r="T573" s="12"/>
      <c r="U573" s="12"/>
      <c r="V573" s="12"/>
      <c r="W573" s="12"/>
      <c r="X573" s="12"/>
      <c r="Y573" s="12"/>
      <c r="Z573" s="12"/>
    </row>
    <row r="574" spans="1:26" ht="54" customHeight="1">
      <c r="A574" s="104"/>
      <c r="B574" s="891" t="s">
        <v>532</v>
      </c>
      <c r="C574" s="65">
        <f t="shared" ref="C574:H574" si="94">(J574-49)/(27-49)</f>
        <v>0.86363636363636365</v>
      </c>
      <c r="D574" s="65">
        <f t="shared" si="94"/>
        <v>0.81818181818181823</v>
      </c>
      <c r="E574" s="65">
        <f t="shared" si="94"/>
        <v>0.90909090909090906</v>
      </c>
      <c r="F574" s="65">
        <f t="shared" si="94"/>
        <v>0.72727272727272729</v>
      </c>
      <c r="G574" s="65">
        <f t="shared" si="94"/>
        <v>0</v>
      </c>
      <c r="H574" s="65">
        <f t="shared" si="94"/>
        <v>0.40909090909090912</v>
      </c>
      <c r="I574" s="227" t="s">
        <v>1984</v>
      </c>
      <c r="J574" s="360">
        <v>30</v>
      </c>
      <c r="K574" s="360">
        <v>31</v>
      </c>
      <c r="L574" s="360">
        <v>29</v>
      </c>
      <c r="M574" s="360">
        <v>33</v>
      </c>
      <c r="N574" s="360">
        <v>49</v>
      </c>
      <c r="O574" s="360">
        <v>40</v>
      </c>
      <c r="P574" s="359"/>
      <c r="Q574" s="107"/>
      <c r="R574" s="107"/>
      <c r="S574" s="108"/>
      <c r="T574" s="12"/>
      <c r="U574" s="12"/>
      <c r="V574" s="12"/>
      <c r="W574" s="12"/>
      <c r="X574" s="12"/>
      <c r="Y574" s="12"/>
      <c r="Z574" s="12"/>
    </row>
    <row r="575" spans="1:26" ht="30" customHeight="1">
      <c r="A575" s="104"/>
      <c r="B575" s="891" t="s">
        <v>531</v>
      </c>
      <c r="C575" s="65">
        <f t="shared" ref="C575:H575" si="95">(J575-1270)/(195-1270)</f>
        <v>0.82976744186046514</v>
      </c>
      <c r="D575" s="65">
        <f t="shared" si="95"/>
        <v>0.86790697674418604</v>
      </c>
      <c r="E575" s="65">
        <f t="shared" si="95"/>
        <v>0.92558139534883721</v>
      </c>
      <c r="F575" s="65">
        <f t="shared" si="95"/>
        <v>0.91627906976744189</v>
      </c>
      <c r="G575" s="65">
        <f t="shared" si="95"/>
        <v>0.65116279069767447</v>
      </c>
      <c r="H575" s="65">
        <f t="shared" si="95"/>
        <v>0.96093023255813959</v>
      </c>
      <c r="I575" s="227" t="s">
        <v>1985</v>
      </c>
      <c r="J575" s="360">
        <v>378</v>
      </c>
      <c r="K575" s="360">
        <v>337</v>
      </c>
      <c r="L575" s="360">
        <v>275</v>
      </c>
      <c r="M575" s="360">
        <v>285</v>
      </c>
      <c r="N575" s="360">
        <v>570</v>
      </c>
      <c r="O575" s="360">
        <v>237</v>
      </c>
      <c r="P575" s="359"/>
      <c r="Q575" s="107"/>
      <c r="R575" s="107"/>
      <c r="S575" s="108"/>
      <c r="T575" s="12"/>
      <c r="U575" s="12"/>
      <c r="V575" s="12"/>
      <c r="W575" s="12"/>
      <c r="X575" s="12"/>
      <c r="Y575" s="12"/>
      <c r="Z575" s="12"/>
    </row>
    <row r="576" spans="1:26" ht="39" customHeight="1">
      <c r="A576" s="104"/>
      <c r="B576" s="891" t="s">
        <v>544</v>
      </c>
      <c r="C576" s="65">
        <f>(J576-43.87)/(12.7-43.87)</f>
        <v>2.2457491177414273E-3</v>
      </c>
      <c r="D576" s="65">
        <f>(K576-43.8)/(12.7-43.87)</f>
        <v>0.4876483798524221</v>
      </c>
      <c r="E576" s="65">
        <f>(L576-43.8)/(12.7-43.87)</f>
        <v>0.65447545717035616</v>
      </c>
      <c r="F576" s="65">
        <f>(M576-43.8)/(12.7-43.87)</f>
        <v>0.44594161052293868</v>
      </c>
      <c r="G576" s="65">
        <f>(N576-43.8)/(12.7-43.87)</f>
        <v>0.79563683028553089</v>
      </c>
      <c r="H576" s="65">
        <f>(O576-43.8)/(12.7-43.87)</f>
        <v>0.81167789541225532</v>
      </c>
      <c r="I576" s="227" t="s">
        <v>1986</v>
      </c>
      <c r="J576" s="361">
        <v>43.8</v>
      </c>
      <c r="K576" s="361">
        <v>28.6</v>
      </c>
      <c r="L576" s="361">
        <v>23.4</v>
      </c>
      <c r="M576" s="361">
        <v>29.9</v>
      </c>
      <c r="N576" s="361">
        <v>19</v>
      </c>
      <c r="O576" s="361">
        <v>18.5</v>
      </c>
      <c r="P576" s="359"/>
      <c r="Q576" s="107"/>
      <c r="R576" s="107"/>
      <c r="S576" s="108"/>
      <c r="T576" s="12"/>
      <c r="U576" s="12"/>
      <c r="V576" s="12"/>
      <c r="W576" s="12"/>
      <c r="X576" s="12"/>
      <c r="Y576" s="12"/>
      <c r="Z576" s="12"/>
    </row>
    <row r="577" spans="1:26" ht="13.5" customHeight="1">
      <c r="A577" s="104"/>
      <c r="B577" s="891"/>
      <c r="C577" s="924"/>
      <c r="D577" s="924"/>
      <c r="E577" s="924"/>
      <c r="F577" s="924"/>
      <c r="G577" s="924"/>
      <c r="H577" s="924"/>
      <c r="I577" s="227"/>
      <c r="J577" s="367"/>
      <c r="K577" s="367"/>
      <c r="L577" s="367"/>
      <c r="M577" s="367"/>
      <c r="N577" s="367"/>
      <c r="O577" s="367"/>
      <c r="P577" s="359"/>
      <c r="Q577" s="107"/>
      <c r="R577" s="107"/>
      <c r="S577" s="108"/>
      <c r="T577" s="12"/>
      <c r="U577" s="12"/>
      <c r="V577" s="12"/>
      <c r="W577" s="12"/>
      <c r="X577" s="12"/>
      <c r="Y577" s="12"/>
      <c r="Z577" s="12"/>
    </row>
    <row r="578" spans="1:26" ht="27.75" customHeight="1">
      <c r="A578" s="368" t="s">
        <v>736</v>
      </c>
      <c r="B578" s="105" t="s">
        <v>1987</v>
      </c>
      <c r="C578" s="148">
        <f t="shared" ref="C578:H578" si="96">AVERAGE(C579:C581)</f>
        <v>0.61555555555555552</v>
      </c>
      <c r="D578" s="148">
        <f t="shared" si="96"/>
        <v>0.56055555555555558</v>
      </c>
      <c r="E578" s="148">
        <f t="shared" si="96"/>
        <v>7.944444444444447E-2</v>
      </c>
      <c r="F578" s="148">
        <f t="shared" si="96"/>
        <v>0.72666666666666668</v>
      </c>
      <c r="G578" s="148">
        <f t="shared" si="96"/>
        <v>0.69000000000000006</v>
      </c>
      <c r="H578" s="148">
        <f t="shared" si="96"/>
        <v>0.39444444444444443</v>
      </c>
      <c r="I578" s="227"/>
      <c r="J578" s="367"/>
      <c r="K578" s="369"/>
      <c r="L578" s="369"/>
      <c r="M578" s="369"/>
      <c r="N578" s="369"/>
      <c r="O578" s="369"/>
      <c r="P578" s="371"/>
      <c r="Q578" s="141"/>
      <c r="R578" s="141"/>
      <c r="S578" s="142"/>
      <c r="T578" s="142"/>
      <c r="U578" s="142"/>
      <c r="V578" s="142"/>
      <c r="W578" s="142"/>
      <c r="X578" s="142"/>
      <c r="Y578" s="142"/>
      <c r="Z578" s="142"/>
    </row>
    <row r="579" spans="1:26" ht="59.25" customHeight="1">
      <c r="A579" s="104"/>
      <c r="B579" s="926" t="s">
        <v>545</v>
      </c>
      <c r="C579" s="896">
        <f t="shared" ref="C579:H579" si="97">(J579-1)/(4-1)</f>
        <v>0.66666666666666663</v>
      </c>
      <c r="D579" s="896">
        <f t="shared" si="97"/>
        <v>0.66666666666666663</v>
      </c>
      <c r="E579" s="896">
        <f t="shared" si="97"/>
        <v>0.2233333333333333</v>
      </c>
      <c r="F579" s="896">
        <f t="shared" si="97"/>
        <v>1</v>
      </c>
      <c r="G579" s="896">
        <f t="shared" si="97"/>
        <v>0.89</v>
      </c>
      <c r="H579" s="896">
        <f t="shared" si="97"/>
        <v>0.33333333333333331</v>
      </c>
      <c r="I579" s="463" t="s">
        <v>546</v>
      </c>
      <c r="J579" s="361">
        <v>3</v>
      </c>
      <c r="K579" s="361">
        <v>3</v>
      </c>
      <c r="L579" s="361">
        <v>1.67</v>
      </c>
      <c r="M579" s="361">
        <v>4</v>
      </c>
      <c r="N579" s="361">
        <v>3.67</v>
      </c>
      <c r="O579" s="361">
        <v>2</v>
      </c>
      <c r="P579" s="359"/>
      <c r="Q579" s="107"/>
      <c r="R579" s="107"/>
      <c r="S579" s="108"/>
      <c r="T579" s="108"/>
      <c r="U579" s="108"/>
      <c r="V579" s="108"/>
      <c r="W579" s="108"/>
      <c r="X579" s="108"/>
      <c r="Y579" s="108"/>
      <c r="Z579" s="108"/>
    </row>
    <row r="580" spans="1:26" ht="57.75" customHeight="1">
      <c r="A580" s="104"/>
      <c r="B580" s="926" t="s">
        <v>547</v>
      </c>
      <c r="C580" s="896">
        <f t="shared" ref="C580:H580" si="98">(J580-2.3)/(4.3-2.3)</f>
        <v>0.85000000000000009</v>
      </c>
      <c r="D580" s="896">
        <f t="shared" si="98"/>
        <v>0.85000000000000009</v>
      </c>
      <c r="E580" s="896">
        <f t="shared" si="98"/>
        <v>1.5000000000000124E-2</v>
      </c>
      <c r="F580" s="896">
        <f t="shared" si="98"/>
        <v>0.85000000000000009</v>
      </c>
      <c r="G580" s="896">
        <f t="shared" si="98"/>
        <v>0.85000000000000009</v>
      </c>
      <c r="H580" s="896">
        <f t="shared" si="98"/>
        <v>0.68500000000000005</v>
      </c>
      <c r="I580" s="463" t="s">
        <v>548</v>
      </c>
      <c r="J580" s="361">
        <v>4</v>
      </c>
      <c r="K580" s="361">
        <v>4</v>
      </c>
      <c r="L580" s="361">
        <v>2.33</v>
      </c>
      <c r="M580" s="361">
        <v>4</v>
      </c>
      <c r="N580" s="361">
        <v>4</v>
      </c>
      <c r="O580" s="361">
        <v>3.67</v>
      </c>
      <c r="P580" s="359"/>
      <c r="Q580" s="107"/>
      <c r="R580" s="107"/>
      <c r="S580" s="108"/>
      <c r="T580" s="108"/>
      <c r="U580" s="108"/>
      <c r="V580" s="108"/>
      <c r="W580" s="108"/>
      <c r="X580" s="108"/>
      <c r="Y580" s="108"/>
      <c r="Z580" s="108"/>
    </row>
    <row r="581" spans="1:26" ht="53.25" customHeight="1">
      <c r="A581" s="104"/>
      <c r="B581" s="926" t="s">
        <v>549</v>
      </c>
      <c r="C581" s="896">
        <f t="shared" ref="C581:H581" si="99">(J581-1.67)/(3.67-1.67)</f>
        <v>0.33000000000000007</v>
      </c>
      <c r="D581" s="896">
        <f t="shared" si="99"/>
        <v>0.16500000000000004</v>
      </c>
      <c r="E581" s="896">
        <f t="shared" si="99"/>
        <v>0</v>
      </c>
      <c r="F581" s="896">
        <f t="shared" si="99"/>
        <v>0.33000000000000007</v>
      </c>
      <c r="G581" s="896">
        <f t="shared" si="99"/>
        <v>0.33000000000000007</v>
      </c>
      <c r="H581" s="896">
        <f t="shared" si="99"/>
        <v>0.16500000000000004</v>
      </c>
      <c r="I581" s="463" t="s">
        <v>550</v>
      </c>
      <c r="J581" s="361">
        <v>2.33</v>
      </c>
      <c r="K581" s="361">
        <v>2</v>
      </c>
      <c r="L581" s="361">
        <v>1.67</v>
      </c>
      <c r="M581" s="361">
        <v>2.33</v>
      </c>
      <c r="N581" s="361">
        <v>2.33</v>
      </c>
      <c r="O581" s="361">
        <v>2</v>
      </c>
      <c r="P581" s="359"/>
      <c r="Q581" s="107"/>
      <c r="R581" s="107"/>
      <c r="S581" s="108"/>
      <c r="T581" s="108"/>
      <c r="U581" s="108"/>
      <c r="V581" s="108"/>
      <c r="W581" s="108"/>
      <c r="X581" s="108"/>
      <c r="Y581" s="108"/>
      <c r="Z581" s="108"/>
    </row>
    <row r="582" spans="1:26" ht="13.5" customHeight="1">
      <c r="A582" s="104"/>
      <c r="B582" s="926"/>
      <c r="C582" s="924"/>
      <c r="D582" s="924"/>
      <c r="E582" s="924"/>
      <c r="F582" s="924"/>
      <c r="G582" s="924"/>
      <c r="H582" s="924"/>
      <c r="I582" s="227"/>
      <c r="J582" s="374"/>
      <c r="K582" s="374"/>
      <c r="L582" s="374"/>
      <c r="M582" s="374"/>
      <c r="N582" s="374"/>
      <c r="O582" s="374"/>
      <c r="P582" s="359"/>
      <c r="Q582" s="107"/>
      <c r="R582" s="107"/>
      <c r="S582" s="108"/>
      <c r="T582" s="108"/>
      <c r="U582" s="108"/>
      <c r="V582" s="108"/>
      <c r="W582" s="108"/>
      <c r="X582" s="108"/>
      <c r="Y582" s="108"/>
      <c r="Z582" s="108"/>
    </row>
    <row r="583" spans="1:26" ht="27.75" customHeight="1">
      <c r="A583" s="368" t="s">
        <v>736</v>
      </c>
      <c r="B583" s="105" t="s">
        <v>1988</v>
      </c>
      <c r="C583" s="148">
        <f t="shared" ref="C583:H583" si="100">AVERAGE(C584:C585)</f>
        <v>0.83857233445058421</v>
      </c>
      <c r="D583" s="148">
        <f t="shared" si="100"/>
        <v>0.9006024096385542</v>
      </c>
      <c r="E583" s="148">
        <f t="shared" si="100"/>
        <v>0.22345774073738567</v>
      </c>
      <c r="F583" s="148">
        <f t="shared" si="100"/>
        <v>1</v>
      </c>
      <c r="G583" s="148">
        <f t="shared" si="100"/>
        <v>0.9006024096385542</v>
      </c>
      <c r="H583" s="148">
        <f t="shared" si="100"/>
        <v>0.83857233445058421</v>
      </c>
      <c r="I583" s="227"/>
      <c r="J583" s="375"/>
      <c r="K583" s="376"/>
      <c r="L583" s="376"/>
      <c r="M583" s="376"/>
      <c r="N583" s="376"/>
      <c r="O583" s="376"/>
      <c r="P583" s="371"/>
      <c r="Q583" s="141"/>
      <c r="R583" s="141"/>
      <c r="S583" s="142"/>
      <c r="T583" s="142"/>
      <c r="U583" s="142"/>
      <c r="V583" s="142"/>
      <c r="W583" s="142"/>
      <c r="X583" s="142"/>
      <c r="Y583" s="142"/>
      <c r="Z583" s="142"/>
    </row>
    <row r="584" spans="1:26" ht="45.75" customHeight="1">
      <c r="A584" s="104"/>
      <c r="B584" s="926" t="s">
        <v>551</v>
      </c>
      <c r="C584" s="896">
        <f t="shared" ref="C584:H584" si="101">(J584-2.67)/(4.33-2.67)</f>
        <v>0.8012048192771084</v>
      </c>
      <c r="D584" s="896">
        <f t="shared" si="101"/>
        <v>0.8012048192771084</v>
      </c>
      <c r="E584" s="896">
        <f t="shared" si="101"/>
        <v>0.1987951807228916</v>
      </c>
      <c r="F584" s="896">
        <f t="shared" si="101"/>
        <v>1</v>
      </c>
      <c r="G584" s="896">
        <f t="shared" si="101"/>
        <v>0.8012048192771084</v>
      </c>
      <c r="H584" s="896">
        <f t="shared" si="101"/>
        <v>0.8012048192771084</v>
      </c>
      <c r="I584" s="463" t="s">
        <v>1989</v>
      </c>
      <c r="J584" s="361">
        <v>4</v>
      </c>
      <c r="K584" s="361">
        <v>4</v>
      </c>
      <c r="L584" s="361">
        <v>3</v>
      </c>
      <c r="M584" s="361">
        <v>4.33</v>
      </c>
      <c r="N584" s="361">
        <v>4</v>
      </c>
      <c r="O584" s="361">
        <v>4</v>
      </c>
      <c r="P584" s="359"/>
      <c r="Q584" s="107"/>
      <c r="R584" s="107"/>
      <c r="S584" s="108"/>
      <c r="T584" s="108"/>
      <c r="U584" s="108"/>
      <c r="V584" s="108"/>
      <c r="W584" s="108"/>
      <c r="X584" s="108"/>
      <c r="Y584" s="108"/>
      <c r="Z584" s="108"/>
    </row>
    <row r="585" spans="1:26" ht="57" customHeight="1">
      <c r="A585" s="104"/>
      <c r="B585" s="926" t="s">
        <v>552</v>
      </c>
      <c r="C585" s="896">
        <f t="shared" ref="C585:H585" si="102">(J585-1.67)/(4.33-1.67)</f>
        <v>0.87593984962406013</v>
      </c>
      <c r="D585" s="896">
        <f t="shared" si="102"/>
        <v>1</v>
      </c>
      <c r="E585" s="896">
        <f t="shared" si="102"/>
        <v>0.24812030075187974</v>
      </c>
      <c r="F585" s="896">
        <f t="shared" si="102"/>
        <v>1</v>
      </c>
      <c r="G585" s="896">
        <f t="shared" si="102"/>
        <v>1</v>
      </c>
      <c r="H585" s="896">
        <f t="shared" si="102"/>
        <v>0.87593984962406013</v>
      </c>
      <c r="I585" s="463" t="s">
        <v>1990</v>
      </c>
      <c r="J585" s="361">
        <v>4</v>
      </c>
      <c r="K585" s="361">
        <v>4.33</v>
      </c>
      <c r="L585" s="361">
        <v>2.33</v>
      </c>
      <c r="M585" s="361">
        <v>4.33</v>
      </c>
      <c r="N585" s="361">
        <v>4.33</v>
      </c>
      <c r="O585" s="361">
        <v>4</v>
      </c>
      <c r="P585" s="359"/>
      <c r="Q585" s="107"/>
      <c r="R585" s="107"/>
      <c r="S585" s="108"/>
      <c r="T585" s="108"/>
      <c r="U585" s="108"/>
      <c r="V585" s="108"/>
      <c r="W585" s="108"/>
      <c r="X585" s="108"/>
      <c r="Y585" s="108"/>
      <c r="Z585" s="108"/>
    </row>
    <row r="586" spans="1:26" ht="41.25" customHeight="1">
      <c r="A586" s="104"/>
      <c r="B586" s="926" t="s">
        <v>553</v>
      </c>
      <c r="C586" s="896">
        <f t="shared" ref="C586:H586" si="103">(J586-1.67)/(3.67-1.67)</f>
        <v>0.33000000000000007</v>
      </c>
      <c r="D586" s="896">
        <f t="shared" si="103"/>
        <v>0.33000000000000007</v>
      </c>
      <c r="E586" s="896">
        <f t="shared" si="103"/>
        <v>0.16500000000000004</v>
      </c>
      <c r="F586" s="896">
        <f t="shared" si="103"/>
        <v>0.16500000000000004</v>
      </c>
      <c r="G586" s="896">
        <f t="shared" si="103"/>
        <v>0.33000000000000007</v>
      </c>
      <c r="H586" s="896">
        <f t="shared" si="103"/>
        <v>0</v>
      </c>
      <c r="I586" s="227" t="s">
        <v>1991</v>
      </c>
      <c r="J586" s="361">
        <v>2.33</v>
      </c>
      <c r="K586" s="361">
        <v>2.33</v>
      </c>
      <c r="L586" s="361">
        <v>2</v>
      </c>
      <c r="M586" s="361">
        <v>2</v>
      </c>
      <c r="N586" s="361">
        <v>2.33</v>
      </c>
      <c r="O586" s="361">
        <v>1.67</v>
      </c>
      <c r="P586" s="359"/>
      <c r="Q586" s="107"/>
      <c r="R586" s="107"/>
      <c r="S586" s="108"/>
      <c r="T586" s="108"/>
      <c r="U586" s="108"/>
      <c r="V586" s="108"/>
      <c r="W586" s="108"/>
      <c r="X586" s="108"/>
      <c r="Y586" s="108"/>
      <c r="Z586" s="108"/>
    </row>
    <row r="587" spans="1:26" ht="12" customHeight="1">
      <c r="A587" s="104"/>
      <c r="B587" s="926"/>
      <c r="C587" s="924"/>
      <c r="D587" s="924"/>
      <c r="E587" s="924"/>
      <c r="F587" s="924"/>
      <c r="G587" s="924"/>
      <c r="H587" s="924"/>
      <c r="I587" s="227"/>
      <c r="J587" s="377"/>
      <c r="K587" s="377"/>
      <c r="L587" s="377"/>
      <c r="M587" s="377"/>
      <c r="N587" s="377"/>
      <c r="O587" s="377"/>
      <c r="P587" s="359"/>
      <c r="Q587" s="107"/>
      <c r="R587" s="107"/>
      <c r="S587" s="108"/>
      <c r="T587" s="108"/>
      <c r="U587" s="108"/>
      <c r="V587" s="108"/>
      <c r="W587" s="108"/>
      <c r="X587" s="108"/>
      <c r="Y587" s="108"/>
      <c r="Z587" s="108"/>
    </row>
    <row r="591" spans="1:26" ht="13.5" customHeight="1">
      <c r="A591" s="104"/>
      <c r="B591" s="926"/>
      <c r="C591" s="896"/>
      <c r="D591" s="896"/>
      <c r="E591" s="896"/>
      <c r="F591" s="896"/>
      <c r="G591" s="896"/>
      <c r="H591" s="896"/>
      <c r="I591" s="227"/>
      <c r="J591" s="377"/>
      <c r="K591" s="377"/>
      <c r="L591" s="377"/>
      <c r="M591" s="377"/>
      <c r="N591" s="377"/>
      <c r="O591" s="377"/>
      <c r="P591" s="359"/>
      <c r="Q591" s="107"/>
      <c r="R591" s="107"/>
      <c r="S591" s="108"/>
      <c r="T591" s="108"/>
      <c r="U591" s="108"/>
      <c r="V591" s="108"/>
      <c r="W591" s="108"/>
      <c r="X591" s="108"/>
      <c r="Y591" s="108"/>
      <c r="Z591" s="108"/>
    </row>
    <row r="592" spans="1:26" ht="66" customHeight="1">
      <c r="A592" s="368" t="s">
        <v>736</v>
      </c>
      <c r="B592" s="105" t="s">
        <v>1992</v>
      </c>
      <c r="C592" s="896">
        <f>(J592-3)/(4.6-3)</f>
        <v>6.2500000000000069E-2</v>
      </c>
      <c r="D592" s="896">
        <f>(K592-3)/(4.6-3)</f>
        <v>0.12500000000000014</v>
      </c>
      <c r="E592" s="924" t="s">
        <v>1073</v>
      </c>
      <c r="F592" s="896">
        <f>(M592-3)/(4.6-3)</f>
        <v>6.2500000000000069E-2</v>
      </c>
      <c r="G592" s="896">
        <f>(N592-3)/(4.6-3)</f>
        <v>0.5</v>
      </c>
      <c r="H592" s="896">
        <f>(O592-3)/(4.6-3)</f>
        <v>0.18749999999999994</v>
      </c>
      <c r="I592" s="227" t="s">
        <v>1993</v>
      </c>
      <c r="J592" s="361">
        <v>3.1</v>
      </c>
      <c r="K592" s="361">
        <v>3.2</v>
      </c>
      <c r="L592" s="361" t="s">
        <v>1073</v>
      </c>
      <c r="M592" s="361">
        <v>3.1</v>
      </c>
      <c r="N592" s="361">
        <v>3.8</v>
      </c>
      <c r="O592" s="361">
        <v>3.3</v>
      </c>
      <c r="P592" s="359"/>
      <c r="Q592" s="107"/>
      <c r="R592" s="107"/>
      <c r="S592" s="108"/>
      <c r="T592" s="108"/>
      <c r="U592" s="108"/>
      <c r="V592" s="108"/>
      <c r="W592" s="108"/>
      <c r="X592" s="108"/>
      <c r="Y592" s="108"/>
      <c r="Z592" s="108"/>
    </row>
    <row r="593" spans="1:26" ht="13.5" customHeight="1">
      <c r="A593" s="104"/>
      <c r="B593" s="926"/>
      <c r="C593" s="896"/>
      <c r="D593" s="896"/>
      <c r="E593" s="924"/>
      <c r="F593" s="896"/>
      <c r="G593" s="896"/>
      <c r="H593" s="896"/>
      <c r="I593" s="227"/>
      <c r="J593" s="361"/>
      <c r="K593" s="361"/>
      <c r="L593" s="361"/>
      <c r="M593" s="361"/>
      <c r="N593" s="361"/>
      <c r="O593" s="361"/>
      <c r="P593" s="359"/>
      <c r="Q593" s="107"/>
      <c r="R593" s="107"/>
      <c r="S593" s="108"/>
      <c r="T593" s="108"/>
      <c r="U593" s="108"/>
      <c r="V593" s="108"/>
      <c r="W593" s="108"/>
      <c r="X593" s="108"/>
      <c r="Y593" s="108"/>
      <c r="Z593" s="108"/>
    </row>
    <row r="594" spans="1:26" ht="68.25" customHeight="1">
      <c r="A594" s="368" t="s">
        <v>736</v>
      </c>
      <c r="B594" s="105" t="s">
        <v>1994</v>
      </c>
      <c r="C594" s="896">
        <f>(J594-3)/(5.3-3)</f>
        <v>0</v>
      </c>
      <c r="D594" s="896">
        <f>(K594-3)/(5.3-3)</f>
        <v>0.17391304347826084</v>
      </c>
      <c r="E594" s="924" t="s">
        <v>1073</v>
      </c>
      <c r="F594" s="896">
        <f>(M594-3)/(5.3-3)</f>
        <v>1</v>
      </c>
      <c r="G594" s="896">
        <f>(N594-3)/(5.3-3)</f>
        <v>0.13043478260869559</v>
      </c>
      <c r="H594" s="896">
        <f>(O594-3)/(5.3-3)</f>
        <v>0.13043478260869559</v>
      </c>
      <c r="I594" s="227" t="s">
        <v>1995</v>
      </c>
      <c r="J594" s="361">
        <v>3</v>
      </c>
      <c r="K594" s="361">
        <v>3.4</v>
      </c>
      <c r="L594" s="361" t="s">
        <v>1073</v>
      </c>
      <c r="M594" s="361">
        <v>5.3</v>
      </c>
      <c r="N594" s="361">
        <v>3.3</v>
      </c>
      <c r="O594" s="361">
        <v>3.3</v>
      </c>
      <c r="P594" s="359"/>
      <c r="Q594" s="107"/>
      <c r="R594" s="107"/>
      <c r="S594" s="108"/>
      <c r="T594" s="108"/>
      <c r="U594" s="108"/>
      <c r="V594" s="108"/>
      <c r="W594" s="108"/>
      <c r="X594" s="108"/>
      <c r="Y594" s="108"/>
      <c r="Z594" s="108"/>
    </row>
    <row r="595" spans="1:26" ht="13.5" customHeight="1">
      <c r="A595" s="104"/>
      <c r="B595" s="926"/>
      <c r="C595" s="378"/>
      <c r="D595" s="378"/>
      <c r="E595" s="378"/>
      <c r="F595" s="378"/>
      <c r="G595" s="378"/>
      <c r="H595" s="378"/>
      <c r="I595" s="227"/>
      <c r="J595" s="374"/>
      <c r="K595" s="374"/>
      <c r="L595" s="374"/>
      <c r="M595" s="374"/>
      <c r="N595" s="374"/>
      <c r="O595" s="374"/>
      <c r="P595" s="359"/>
      <c r="Q595" s="107"/>
      <c r="R595" s="107"/>
      <c r="S595" s="108"/>
      <c r="T595" s="108"/>
      <c r="U595" s="108"/>
      <c r="V595" s="108"/>
      <c r="W595" s="108"/>
      <c r="X595" s="108"/>
      <c r="Y595" s="108"/>
      <c r="Z595" s="108"/>
    </row>
    <row r="596" spans="1:26" ht="93" customHeight="1">
      <c r="A596" s="368" t="s">
        <v>736</v>
      </c>
      <c r="B596" s="105" t="s">
        <v>1996</v>
      </c>
      <c r="C596" s="896">
        <f t="shared" ref="C596:H596" si="104">(J596-12.8)/(38.5-12.8)</f>
        <v>0.98054474708171202</v>
      </c>
      <c r="D596" s="896">
        <f t="shared" si="104"/>
        <v>0.70038910505836582</v>
      </c>
      <c r="E596" s="896">
        <f t="shared" si="104"/>
        <v>0.46303501945525288</v>
      </c>
      <c r="F596" s="896">
        <f t="shared" si="104"/>
        <v>0.49027237354085595</v>
      </c>
      <c r="G596" s="896">
        <f t="shared" si="104"/>
        <v>0.15175097276264587</v>
      </c>
      <c r="H596" s="896">
        <f t="shared" si="104"/>
        <v>0</v>
      </c>
      <c r="I596" s="227" t="s">
        <v>1997</v>
      </c>
      <c r="J596" s="361">
        <v>38</v>
      </c>
      <c r="K596" s="361">
        <v>30.8</v>
      </c>
      <c r="L596" s="361">
        <v>24.7</v>
      </c>
      <c r="M596" s="361">
        <v>25.4</v>
      </c>
      <c r="N596" s="361">
        <v>16.7</v>
      </c>
      <c r="O596" s="361">
        <v>12.8</v>
      </c>
      <c r="P596" s="359"/>
      <c r="Q596" s="107"/>
      <c r="R596" s="107"/>
      <c r="S596" s="108"/>
      <c r="T596" s="108"/>
      <c r="U596" s="108"/>
      <c r="V596" s="108"/>
      <c r="W596" s="108"/>
      <c r="X596" s="108"/>
      <c r="Y596" s="108"/>
      <c r="Z596" s="108"/>
    </row>
    <row r="597" spans="1:26" ht="13.5" customHeight="1">
      <c r="A597" s="104"/>
      <c r="B597" s="891"/>
      <c r="C597" s="896"/>
      <c r="D597" s="896"/>
      <c r="E597" s="896"/>
      <c r="F597" s="896"/>
      <c r="G597" s="896"/>
      <c r="H597" s="896"/>
      <c r="I597" s="227"/>
      <c r="J597" s="67"/>
      <c r="K597" s="67"/>
      <c r="L597" s="67"/>
      <c r="M597" s="67"/>
      <c r="N597" s="67"/>
      <c r="O597" s="67"/>
      <c r="P597" s="101"/>
      <c r="Q597" s="107"/>
      <c r="R597" s="107"/>
      <c r="S597" s="108"/>
      <c r="T597" s="108"/>
      <c r="U597" s="108"/>
      <c r="V597" s="108"/>
      <c r="W597" s="108"/>
      <c r="X597" s="108"/>
      <c r="Y597" s="108"/>
      <c r="Z597" s="108"/>
    </row>
    <row r="598" spans="1:26" ht="13.5" customHeight="1">
      <c r="A598" s="424" t="s">
        <v>1998</v>
      </c>
      <c r="B598" s="96" t="s">
        <v>555</v>
      </c>
      <c r="C598" s="379">
        <f t="shared" ref="C598:H598" si="105">AVERAGE(C599,C605,C610,C616)</f>
        <v>0.50230363194003669</v>
      </c>
      <c r="D598" s="379">
        <f t="shared" si="105"/>
        <v>0.48868406642042539</v>
      </c>
      <c r="E598" s="379">
        <f t="shared" si="105"/>
        <v>0.23162062975595549</v>
      </c>
      <c r="F598" s="379">
        <f t="shared" si="105"/>
        <v>0.4892046240012014</v>
      </c>
      <c r="G598" s="379">
        <f t="shared" si="105"/>
        <v>0.51389231393350243</v>
      </c>
      <c r="H598" s="379">
        <f t="shared" si="105"/>
        <v>0.3438932148561254</v>
      </c>
      <c r="I598" s="380"/>
      <c r="J598" s="44"/>
      <c r="K598" s="44"/>
      <c r="L598" s="44"/>
      <c r="M598" s="44"/>
      <c r="N598" s="44"/>
      <c r="O598" s="44"/>
      <c r="P598" s="98"/>
      <c r="Q598" s="98"/>
      <c r="R598" s="98"/>
      <c r="S598" s="99"/>
      <c r="T598" s="99"/>
      <c r="U598" s="99"/>
      <c r="V598" s="99"/>
      <c r="W598" s="99"/>
      <c r="X598" s="99"/>
      <c r="Y598" s="99"/>
      <c r="Z598" s="99"/>
    </row>
    <row r="599" spans="1:26" ht="27.75" customHeight="1">
      <c r="A599" s="104" t="s">
        <v>736</v>
      </c>
      <c r="B599" s="105" t="s">
        <v>1999</v>
      </c>
      <c r="C599" s="148">
        <f t="shared" ref="C599:H599" si="106">AVERAGE(C600:C603)</f>
        <v>0.47168802923094771</v>
      </c>
      <c r="D599" s="148">
        <f t="shared" si="106"/>
        <v>0.43202067947776102</v>
      </c>
      <c r="E599" s="148">
        <f t="shared" si="106"/>
        <v>0.2963912088053719</v>
      </c>
      <c r="F599" s="148">
        <f t="shared" si="106"/>
        <v>0.49721355475647316</v>
      </c>
      <c r="G599" s="148">
        <f t="shared" si="106"/>
        <v>0.55739605485313648</v>
      </c>
      <c r="H599" s="148">
        <f t="shared" si="106"/>
        <v>0.26098348348348349</v>
      </c>
      <c r="I599" s="227"/>
      <c r="J599" s="67"/>
      <c r="K599" s="67"/>
      <c r="L599" s="67"/>
      <c r="M599" s="67"/>
      <c r="N599" s="67"/>
      <c r="O599" s="67"/>
      <c r="P599" s="101"/>
      <c r="Q599" s="107"/>
      <c r="R599" s="107"/>
      <c r="S599" s="108"/>
      <c r="T599" s="108"/>
      <c r="U599" s="108"/>
      <c r="V599" s="108"/>
      <c r="W599" s="108"/>
      <c r="X599" s="108"/>
      <c r="Y599" s="108"/>
      <c r="Z599" s="108"/>
    </row>
    <row r="600" spans="1:26" ht="64.5" customHeight="1">
      <c r="A600" s="104"/>
      <c r="B600" s="926" t="s">
        <v>557</v>
      </c>
      <c r="C600" s="896">
        <f t="shared" ref="C600:H600" si="107">(J600-1)/(4-1)</f>
        <v>0.55666666666666664</v>
      </c>
      <c r="D600" s="896">
        <f t="shared" si="107"/>
        <v>0.55666666666666664</v>
      </c>
      <c r="E600" s="896">
        <f t="shared" si="107"/>
        <v>0.44333333333333336</v>
      </c>
      <c r="F600" s="896">
        <f t="shared" si="107"/>
        <v>0.55666666666666664</v>
      </c>
      <c r="G600" s="896">
        <f t="shared" si="107"/>
        <v>0.55666666666666664</v>
      </c>
      <c r="H600" s="896">
        <f t="shared" si="107"/>
        <v>0.44333333333333336</v>
      </c>
      <c r="I600" s="227" t="s">
        <v>546</v>
      </c>
      <c r="J600" s="176">
        <v>2.67</v>
      </c>
      <c r="K600" s="176">
        <v>2.67</v>
      </c>
      <c r="L600" s="176">
        <v>2.33</v>
      </c>
      <c r="M600" s="176">
        <v>2.67</v>
      </c>
      <c r="N600" s="176">
        <v>2.67</v>
      </c>
      <c r="O600" s="176">
        <v>2.33</v>
      </c>
      <c r="P600" s="101"/>
      <c r="Q600" s="107"/>
      <c r="R600" s="107"/>
      <c r="S600" s="108"/>
      <c r="T600" s="108"/>
      <c r="U600" s="108"/>
      <c r="V600" s="108"/>
      <c r="W600" s="108"/>
      <c r="X600" s="108"/>
      <c r="Y600" s="108"/>
      <c r="Z600" s="108"/>
    </row>
    <row r="601" spans="1:26" ht="40.5" customHeight="1">
      <c r="A601" s="104"/>
      <c r="B601" s="926" t="s">
        <v>558</v>
      </c>
      <c r="C601" s="896">
        <f t="shared" ref="C601:H601" si="108">(J601-1)/(4.33-1)</f>
        <v>0.39939939939939939</v>
      </c>
      <c r="D601" s="896">
        <f t="shared" si="108"/>
        <v>0.20120120120120116</v>
      </c>
      <c r="E601" s="896">
        <f t="shared" si="108"/>
        <v>0.3003003003003003</v>
      </c>
      <c r="F601" s="896">
        <f t="shared" si="108"/>
        <v>0.50150150150150152</v>
      </c>
      <c r="G601" s="896">
        <f t="shared" si="108"/>
        <v>0.60060060060060061</v>
      </c>
      <c r="H601" s="896">
        <f t="shared" si="108"/>
        <v>0.3003003003003003</v>
      </c>
      <c r="I601" s="227" t="s">
        <v>2000</v>
      </c>
      <c r="J601" s="176">
        <v>2.33</v>
      </c>
      <c r="K601" s="176">
        <v>1.67</v>
      </c>
      <c r="L601" s="176">
        <v>2</v>
      </c>
      <c r="M601" s="176">
        <v>2.67</v>
      </c>
      <c r="N601" s="176">
        <v>3</v>
      </c>
      <c r="O601" s="176">
        <v>2</v>
      </c>
      <c r="P601" s="101"/>
      <c r="Q601" s="107"/>
      <c r="R601" s="107"/>
      <c r="S601" s="108"/>
      <c r="T601" s="108"/>
      <c r="U601" s="108"/>
      <c r="V601" s="108"/>
      <c r="W601" s="108"/>
      <c r="X601" s="108"/>
      <c r="Y601" s="108"/>
      <c r="Z601" s="108"/>
    </row>
    <row r="602" spans="1:26" ht="70.5" customHeight="1">
      <c r="A602" s="104"/>
      <c r="B602" s="926" t="s">
        <v>559</v>
      </c>
      <c r="C602" s="896">
        <f t="shared" ref="C602:H602" si="109">(J602-1)/(4.33-1)</f>
        <v>0.50150150150150152</v>
      </c>
      <c r="D602" s="896">
        <f t="shared" si="109"/>
        <v>0.39939939939939939</v>
      </c>
      <c r="E602" s="896">
        <f t="shared" si="109"/>
        <v>0.3003003003003003</v>
      </c>
      <c r="F602" s="896">
        <f t="shared" si="109"/>
        <v>0.50150150150150152</v>
      </c>
      <c r="G602" s="896">
        <f t="shared" si="109"/>
        <v>0.50150150150150152</v>
      </c>
      <c r="H602" s="896">
        <f t="shared" si="109"/>
        <v>0.3003003003003003</v>
      </c>
      <c r="I602" s="227" t="s">
        <v>2000</v>
      </c>
      <c r="J602" s="176">
        <v>2.67</v>
      </c>
      <c r="K602" s="176">
        <v>2.33</v>
      </c>
      <c r="L602" s="176">
        <v>2</v>
      </c>
      <c r="M602" s="176">
        <v>2.67</v>
      </c>
      <c r="N602" s="176">
        <v>2.67</v>
      </c>
      <c r="O602" s="176">
        <v>2</v>
      </c>
      <c r="P602" s="101"/>
      <c r="Q602" s="107"/>
      <c r="R602" s="107"/>
      <c r="S602" s="108"/>
      <c r="T602" s="108"/>
      <c r="U602" s="108"/>
      <c r="V602" s="108"/>
      <c r="W602" s="108"/>
      <c r="X602" s="108"/>
      <c r="Y602" s="108"/>
      <c r="Z602" s="108"/>
    </row>
    <row r="603" spans="1:26" ht="46.5" customHeight="1">
      <c r="A603" s="104"/>
      <c r="B603" s="926" t="s">
        <v>560</v>
      </c>
      <c r="C603" s="896">
        <f t="shared" ref="C603:H603" si="110">(J603-1.67)/(4-1.67)</f>
        <v>0.42918454935622319</v>
      </c>
      <c r="D603" s="896">
        <f t="shared" si="110"/>
        <v>0.57081545064377681</v>
      </c>
      <c r="E603" s="896">
        <f t="shared" si="110"/>
        <v>0.14163090128755368</v>
      </c>
      <c r="F603" s="896">
        <f t="shared" si="110"/>
        <v>0.42918454935622319</v>
      </c>
      <c r="G603" s="896">
        <f t="shared" si="110"/>
        <v>0.57081545064377681</v>
      </c>
      <c r="H603" s="896">
        <f t="shared" si="110"/>
        <v>0</v>
      </c>
      <c r="I603" s="227" t="s">
        <v>561</v>
      </c>
      <c r="J603" s="176">
        <v>2.67</v>
      </c>
      <c r="K603" s="176">
        <v>3</v>
      </c>
      <c r="L603" s="176">
        <v>2</v>
      </c>
      <c r="M603" s="176">
        <v>2.67</v>
      </c>
      <c r="N603" s="176">
        <v>3</v>
      </c>
      <c r="O603" s="176">
        <v>1.67</v>
      </c>
      <c r="P603" s="101"/>
      <c r="Q603" s="107"/>
      <c r="R603" s="107"/>
      <c r="S603" s="108"/>
      <c r="T603" s="108"/>
      <c r="U603" s="108"/>
      <c r="V603" s="108"/>
      <c r="W603" s="108"/>
      <c r="X603" s="108"/>
      <c r="Y603" s="108"/>
      <c r="Z603" s="108"/>
    </row>
    <row r="604" spans="1:26" ht="13.5" customHeight="1">
      <c r="A604" s="104"/>
      <c r="B604" s="926"/>
      <c r="C604" s="896"/>
      <c r="D604" s="896"/>
      <c r="E604" s="896"/>
      <c r="F604" s="896"/>
      <c r="G604" s="896"/>
      <c r="H604" s="896"/>
      <c r="I604" s="227"/>
      <c r="J604" s="381"/>
      <c r="K604" s="381"/>
      <c r="L604" s="106"/>
      <c r="M604" s="67"/>
      <c r="N604" s="106"/>
      <c r="O604" s="106"/>
      <c r="P604" s="101"/>
      <c r="Q604" s="107"/>
      <c r="R604" s="107"/>
      <c r="S604" s="108"/>
      <c r="T604" s="108"/>
      <c r="U604" s="108"/>
      <c r="V604" s="108"/>
      <c r="W604" s="108"/>
      <c r="X604" s="108"/>
      <c r="Y604" s="108"/>
      <c r="Z604" s="108"/>
    </row>
    <row r="605" spans="1:26" ht="27.75" customHeight="1">
      <c r="A605" s="104" t="s">
        <v>736</v>
      </c>
      <c r="B605" s="105" t="s">
        <v>2001</v>
      </c>
      <c r="C605" s="148">
        <f t="shared" ref="C605:H605" si="111">AVERAGE(C606:C608)</f>
        <v>0.48693848354792557</v>
      </c>
      <c r="D605" s="148">
        <f t="shared" si="111"/>
        <v>0.63471626132570336</v>
      </c>
      <c r="E605" s="148">
        <f t="shared" si="111"/>
        <v>0.14306151645207441</v>
      </c>
      <c r="F605" s="148">
        <f t="shared" si="111"/>
        <v>0.60891273247496425</v>
      </c>
      <c r="G605" s="148">
        <f t="shared" si="111"/>
        <v>0.64557939914163098</v>
      </c>
      <c r="H605" s="148">
        <f t="shared" si="111"/>
        <v>0.48582737243681451</v>
      </c>
      <c r="I605" s="227"/>
      <c r="J605" s="67"/>
      <c r="K605" s="106"/>
      <c r="L605" s="106"/>
      <c r="M605" s="67"/>
      <c r="N605" s="106"/>
      <c r="O605" s="106"/>
      <c r="P605" s="101"/>
      <c r="Q605" s="107"/>
      <c r="R605" s="107"/>
      <c r="S605" s="108"/>
      <c r="T605" s="108"/>
      <c r="U605" s="108"/>
      <c r="V605" s="108"/>
      <c r="W605" s="108"/>
      <c r="X605" s="108"/>
      <c r="Y605" s="108"/>
      <c r="Z605" s="108"/>
    </row>
    <row r="606" spans="1:26" ht="53.25" customHeight="1">
      <c r="A606" s="104"/>
      <c r="B606" s="926" t="s">
        <v>563</v>
      </c>
      <c r="C606" s="896">
        <f t="shared" ref="C606:H606" si="112">(J606-1)/(4-1)</f>
        <v>0.2233333333333333</v>
      </c>
      <c r="D606" s="896">
        <f t="shared" si="112"/>
        <v>0.66666666666666663</v>
      </c>
      <c r="E606" s="896">
        <f t="shared" si="112"/>
        <v>0</v>
      </c>
      <c r="F606" s="896">
        <f t="shared" si="112"/>
        <v>0.33333333333333331</v>
      </c>
      <c r="G606" s="896">
        <f t="shared" si="112"/>
        <v>0.44333333333333336</v>
      </c>
      <c r="H606" s="896">
        <f t="shared" si="112"/>
        <v>0.44333333333333336</v>
      </c>
      <c r="I606" s="227" t="s">
        <v>546</v>
      </c>
      <c r="J606" s="176">
        <v>1.67</v>
      </c>
      <c r="K606" s="176">
        <v>3</v>
      </c>
      <c r="L606" s="176">
        <v>1</v>
      </c>
      <c r="M606" s="176">
        <v>2</v>
      </c>
      <c r="N606" s="382">
        <v>2.33</v>
      </c>
      <c r="O606" s="176">
        <v>2.33</v>
      </c>
      <c r="P606" s="101"/>
      <c r="Q606" s="107"/>
      <c r="R606" s="107"/>
      <c r="S606" s="108"/>
      <c r="T606" s="108"/>
      <c r="U606" s="108"/>
      <c r="V606" s="108"/>
      <c r="W606" s="108"/>
      <c r="X606" s="108"/>
      <c r="Y606" s="108"/>
      <c r="Z606" s="108"/>
    </row>
    <row r="607" spans="1:26" ht="63" customHeight="1">
      <c r="A607" s="104"/>
      <c r="B607" s="926" t="s">
        <v>564</v>
      </c>
      <c r="C607" s="896">
        <f t="shared" ref="C607:H607" si="113">(J607-1)/(3.33-1)</f>
        <v>0.57081545064377681</v>
      </c>
      <c r="D607" s="896">
        <f t="shared" si="113"/>
        <v>0.57081545064377681</v>
      </c>
      <c r="E607" s="896">
        <f t="shared" si="113"/>
        <v>0.42918454935622319</v>
      </c>
      <c r="F607" s="896">
        <f t="shared" si="113"/>
        <v>0.71673819742489264</v>
      </c>
      <c r="G607" s="896">
        <f t="shared" si="113"/>
        <v>0.71673819742489264</v>
      </c>
      <c r="H607" s="896">
        <f t="shared" si="113"/>
        <v>0.57081545064377681</v>
      </c>
      <c r="I607" s="227" t="s">
        <v>2002</v>
      </c>
      <c r="J607" s="176">
        <v>2.33</v>
      </c>
      <c r="K607" s="176">
        <v>2.33</v>
      </c>
      <c r="L607" s="176">
        <v>2</v>
      </c>
      <c r="M607" s="176">
        <v>2.67</v>
      </c>
      <c r="N607" s="176">
        <v>2.67</v>
      </c>
      <c r="O607" s="176">
        <v>2.33</v>
      </c>
      <c r="P607" s="101"/>
      <c r="Q607" s="107"/>
      <c r="R607" s="107"/>
      <c r="S607" s="108"/>
      <c r="T607" s="108"/>
      <c r="U607" s="108"/>
      <c r="V607" s="108"/>
      <c r="W607" s="108"/>
      <c r="X607" s="108"/>
      <c r="Y607" s="108"/>
      <c r="Z607" s="108"/>
    </row>
    <row r="608" spans="1:26" ht="57" customHeight="1">
      <c r="A608" s="104"/>
      <c r="B608" s="926" t="s">
        <v>565</v>
      </c>
      <c r="C608" s="896">
        <f t="shared" ref="C608:H608" si="114">(J608-1)/(4-1)</f>
        <v>0.66666666666666663</v>
      </c>
      <c r="D608" s="896">
        <f t="shared" si="114"/>
        <v>0.66666666666666663</v>
      </c>
      <c r="E608" s="896">
        <f t="shared" si="114"/>
        <v>0</v>
      </c>
      <c r="F608" s="896">
        <f t="shared" si="114"/>
        <v>0.77666666666666673</v>
      </c>
      <c r="G608" s="896">
        <f t="shared" si="114"/>
        <v>0.77666666666666673</v>
      </c>
      <c r="H608" s="896">
        <f t="shared" si="114"/>
        <v>0.44333333333333336</v>
      </c>
      <c r="I608" s="227" t="s">
        <v>546</v>
      </c>
      <c r="J608" s="176">
        <v>3</v>
      </c>
      <c r="K608" s="176">
        <v>3</v>
      </c>
      <c r="L608" s="176">
        <v>1</v>
      </c>
      <c r="M608" s="176">
        <v>3.33</v>
      </c>
      <c r="N608" s="176">
        <v>3.33</v>
      </c>
      <c r="O608" s="176">
        <v>2.33</v>
      </c>
      <c r="P608" s="101"/>
      <c r="Q608" s="107"/>
      <c r="R608" s="107"/>
      <c r="S608" s="108"/>
      <c r="T608" s="108"/>
      <c r="U608" s="108"/>
      <c r="V608" s="108"/>
      <c r="W608" s="108"/>
      <c r="X608" s="108"/>
      <c r="Y608" s="108"/>
      <c r="Z608" s="108"/>
    </row>
    <row r="609" spans="1:26" ht="13.5" customHeight="1">
      <c r="A609" s="104"/>
      <c r="B609" s="926"/>
      <c r="C609" s="896"/>
      <c r="D609" s="896"/>
      <c r="E609" s="896"/>
      <c r="F609" s="896"/>
      <c r="G609" s="896"/>
      <c r="H609" s="896"/>
      <c r="I609" s="227"/>
      <c r="J609" s="67"/>
      <c r="K609" s="106"/>
      <c r="L609" s="106"/>
      <c r="M609" s="67"/>
      <c r="N609" s="106"/>
      <c r="O609" s="106"/>
      <c r="P609" s="101"/>
      <c r="Q609" s="107"/>
      <c r="R609" s="107"/>
      <c r="S609" s="108"/>
      <c r="T609" s="108"/>
      <c r="U609" s="108"/>
      <c r="V609" s="108"/>
      <c r="W609" s="108"/>
      <c r="X609" s="108"/>
      <c r="Y609" s="108"/>
      <c r="Z609" s="108"/>
    </row>
    <row r="610" spans="1:26" ht="27.75" customHeight="1">
      <c r="A610" s="104" t="s">
        <v>736</v>
      </c>
      <c r="B610" s="105" t="s">
        <v>2003</v>
      </c>
      <c r="C610" s="148">
        <f t="shared" ref="C610:H610" si="115">AVERAGE(C611:C614)</f>
        <v>0.53440074906367041</v>
      </c>
      <c r="D610" s="148">
        <f t="shared" si="115"/>
        <v>0.47940074906367036</v>
      </c>
      <c r="E610" s="148">
        <f t="shared" si="115"/>
        <v>0.24309925093632959</v>
      </c>
      <c r="F610" s="148">
        <f t="shared" si="115"/>
        <v>0.49906367041198507</v>
      </c>
      <c r="G610" s="148">
        <f t="shared" si="115"/>
        <v>0.5308988764044944</v>
      </c>
      <c r="H610" s="148">
        <f t="shared" si="115"/>
        <v>0.3848314606741573</v>
      </c>
      <c r="I610" s="227"/>
      <c r="J610" s="67"/>
      <c r="K610" s="106"/>
      <c r="L610" s="106"/>
      <c r="M610" s="67"/>
      <c r="N610" s="106"/>
      <c r="O610" s="106"/>
      <c r="P610" s="101"/>
      <c r="Q610" s="107"/>
      <c r="R610" s="107"/>
      <c r="S610" s="108"/>
      <c r="T610" s="108"/>
      <c r="U610" s="108"/>
      <c r="V610" s="108"/>
      <c r="W610" s="108"/>
      <c r="X610" s="108"/>
      <c r="Y610" s="108"/>
      <c r="Z610" s="108"/>
    </row>
    <row r="611" spans="1:26" ht="68.25" customHeight="1">
      <c r="A611" s="104"/>
      <c r="B611" s="926" t="s">
        <v>567</v>
      </c>
      <c r="C611" s="896">
        <f t="shared" ref="C611:H611" si="116">(J611-1)/(4-1)</f>
        <v>0.44333333333333336</v>
      </c>
      <c r="D611" s="896">
        <f t="shared" si="116"/>
        <v>0.33333333333333331</v>
      </c>
      <c r="E611" s="896">
        <f t="shared" si="116"/>
        <v>0.2233333333333333</v>
      </c>
      <c r="F611" s="896">
        <f t="shared" si="116"/>
        <v>0.33333333333333331</v>
      </c>
      <c r="G611" s="896">
        <f t="shared" si="116"/>
        <v>0.55666666666666664</v>
      </c>
      <c r="H611" s="896">
        <f t="shared" si="116"/>
        <v>0.2233333333333333</v>
      </c>
      <c r="I611" s="227" t="s">
        <v>546</v>
      </c>
      <c r="J611" s="176">
        <v>2.33</v>
      </c>
      <c r="K611" s="176">
        <v>2</v>
      </c>
      <c r="L611" s="176">
        <v>1.67</v>
      </c>
      <c r="M611" s="176">
        <v>2</v>
      </c>
      <c r="N611" s="176">
        <v>2.67</v>
      </c>
      <c r="O611" s="176">
        <v>1.67</v>
      </c>
      <c r="P611" s="101"/>
      <c r="Q611" s="107"/>
      <c r="R611" s="107"/>
      <c r="S611" s="108"/>
      <c r="T611" s="108"/>
      <c r="U611" s="108"/>
      <c r="V611" s="108"/>
      <c r="W611" s="108"/>
      <c r="X611" s="108"/>
      <c r="Y611" s="108"/>
      <c r="Z611" s="108"/>
    </row>
    <row r="612" spans="1:26" ht="39.75" customHeight="1">
      <c r="A612" s="104"/>
      <c r="B612" s="926" t="s">
        <v>568</v>
      </c>
      <c r="C612" s="896">
        <f t="shared" ref="C612:H612" si="117">(J612-1)/(3.67-1)</f>
        <v>0.62546816479400746</v>
      </c>
      <c r="D612" s="896">
        <f t="shared" si="117"/>
        <v>0.62546816479400746</v>
      </c>
      <c r="E612" s="896">
        <f t="shared" si="117"/>
        <v>0.37453183520599254</v>
      </c>
      <c r="F612" s="896">
        <f t="shared" si="117"/>
        <v>0.49812734082397009</v>
      </c>
      <c r="G612" s="896">
        <f t="shared" si="117"/>
        <v>0.49812734082397009</v>
      </c>
      <c r="H612" s="896">
        <f t="shared" si="117"/>
        <v>0.37453183520599254</v>
      </c>
      <c r="I612" s="227" t="s">
        <v>2004</v>
      </c>
      <c r="J612" s="176">
        <v>2.67</v>
      </c>
      <c r="K612" s="176">
        <v>2.67</v>
      </c>
      <c r="L612" s="176">
        <v>2</v>
      </c>
      <c r="M612" s="176">
        <v>2.33</v>
      </c>
      <c r="N612" s="176">
        <v>2.33</v>
      </c>
      <c r="O612" s="176">
        <v>2</v>
      </c>
      <c r="P612" s="101"/>
      <c r="Q612" s="107"/>
      <c r="R612" s="107"/>
      <c r="S612" s="108"/>
      <c r="T612" s="108"/>
      <c r="U612" s="108"/>
      <c r="V612" s="108"/>
      <c r="W612" s="108"/>
      <c r="X612" s="108"/>
      <c r="Y612" s="108"/>
      <c r="Z612" s="108"/>
    </row>
    <row r="613" spans="1:26" ht="30.75" customHeight="1">
      <c r="A613" s="104"/>
      <c r="B613" s="926" t="s">
        <v>569</v>
      </c>
      <c r="C613" s="896">
        <f t="shared" ref="C613:H613" si="118">(J613-1)/(3.67-1)</f>
        <v>0.62546816479400746</v>
      </c>
      <c r="D613" s="896">
        <f t="shared" si="118"/>
        <v>0.62546816479400746</v>
      </c>
      <c r="E613" s="896">
        <f t="shared" si="118"/>
        <v>0.37453183520599254</v>
      </c>
      <c r="F613" s="896">
        <f t="shared" si="118"/>
        <v>0.49812734082397009</v>
      </c>
      <c r="G613" s="896">
        <f t="shared" si="118"/>
        <v>0.62546816479400746</v>
      </c>
      <c r="H613" s="896">
        <f t="shared" si="118"/>
        <v>0.49812734082397009</v>
      </c>
      <c r="I613" s="227" t="s">
        <v>2004</v>
      </c>
      <c r="J613" s="176">
        <v>2.67</v>
      </c>
      <c r="K613" s="176">
        <v>2.67</v>
      </c>
      <c r="L613" s="176">
        <v>2</v>
      </c>
      <c r="M613" s="176">
        <v>2.33</v>
      </c>
      <c r="N613" s="176">
        <v>2.67</v>
      </c>
      <c r="O613" s="176">
        <v>2.33</v>
      </c>
      <c r="P613" s="101"/>
      <c r="Q613" s="107"/>
      <c r="R613" s="107"/>
      <c r="S613" s="108"/>
      <c r="T613" s="108"/>
      <c r="U613" s="108"/>
      <c r="V613" s="108"/>
      <c r="W613" s="108"/>
      <c r="X613" s="108"/>
      <c r="Y613" s="108"/>
      <c r="Z613" s="108"/>
    </row>
    <row r="614" spans="1:26" ht="42" customHeight="1">
      <c r="A614" s="104"/>
      <c r="B614" s="926" t="s">
        <v>570</v>
      </c>
      <c r="C614" s="896">
        <f t="shared" ref="C614:H614" si="119">(J614-1)/(4-1)</f>
        <v>0.44333333333333336</v>
      </c>
      <c r="D614" s="896">
        <f t="shared" si="119"/>
        <v>0.33333333333333331</v>
      </c>
      <c r="E614" s="896">
        <f t="shared" si="119"/>
        <v>0</v>
      </c>
      <c r="F614" s="896">
        <f t="shared" si="119"/>
        <v>0.66666666666666663</v>
      </c>
      <c r="G614" s="896">
        <f t="shared" si="119"/>
        <v>0.44333333333333336</v>
      </c>
      <c r="H614" s="896">
        <f t="shared" si="119"/>
        <v>0.44333333333333336</v>
      </c>
      <c r="I614" s="227" t="s">
        <v>546</v>
      </c>
      <c r="J614" s="176">
        <v>2.33</v>
      </c>
      <c r="K614" s="176">
        <v>2</v>
      </c>
      <c r="L614" s="176">
        <v>1</v>
      </c>
      <c r="M614" s="176">
        <v>3</v>
      </c>
      <c r="N614" s="176">
        <v>2.33</v>
      </c>
      <c r="O614" s="176">
        <v>2.33</v>
      </c>
      <c r="P614" s="101"/>
      <c r="Q614" s="107"/>
      <c r="R614" s="107"/>
      <c r="S614" s="108"/>
      <c r="T614" s="108"/>
      <c r="U614" s="108"/>
      <c r="V614" s="108"/>
      <c r="W614" s="108"/>
      <c r="X614" s="108"/>
      <c r="Y614" s="108"/>
      <c r="Z614" s="108"/>
    </row>
    <row r="615" spans="1:26" ht="13.5" customHeight="1">
      <c r="A615" s="104"/>
      <c r="B615" s="927"/>
      <c r="C615" s="896"/>
      <c r="D615" s="896"/>
      <c r="E615" s="896"/>
      <c r="F615" s="896"/>
      <c r="G615" s="896"/>
      <c r="H615" s="896"/>
      <c r="I615" s="227"/>
      <c r="J615" s="67"/>
      <c r="K615" s="106"/>
      <c r="L615" s="106"/>
      <c r="M615" s="67"/>
      <c r="N615" s="106"/>
      <c r="O615" s="106"/>
      <c r="P615" s="101"/>
      <c r="Q615" s="107"/>
      <c r="R615" s="107"/>
      <c r="S615" s="108"/>
      <c r="T615" s="108"/>
      <c r="U615" s="108"/>
      <c r="V615" s="108"/>
      <c r="W615" s="108"/>
      <c r="X615" s="108"/>
      <c r="Y615" s="108"/>
      <c r="Z615" s="108"/>
    </row>
    <row r="616" spans="1:26" ht="27.75" customHeight="1">
      <c r="A616" s="104" t="s">
        <v>736</v>
      </c>
      <c r="B616" s="105" t="s">
        <v>2005</v>
      </c>
      <c r="C616" s="148">
        <f t="shared" ref="C616:H616" si="120">AVERAGE(C617:C621)</f>
        <v>0.516187265917603</v>
      </c>
      <c r="D616" s="148">
        <f t="shared" si="120"/>
        <v>0.4085985758145666</v>
      </c>
      <c r="E616" s="148">
        <f t="shared" si="120"/>
        <v>0.24393054283004614</v>
      </c>
      <c r="F616" s="148">
        <f t="shared" si="120"/>
        <v>0.35162853836138303</v>
      </c>
      <c r="G616" s="148">
        <f t="shared" si="120"/>
        <v>0.32169492533474792</v>
      </c>
      <c r="H616" s="148">
        <f t="shared" si="120"/>
        <v>0.24393054283004614</v>
      </c>
      <c r="I616" s="227"/>
      <c r="J616" s="67"/>
      <c r="K616" s="106"/>
      <c r="L616" s="106"/>
      <c r="M616" s="67"/>
      <c r="N616" s="106"/>
      <c r="O616" s="106"/>
      <c r="P616" s="101"/>
      <c r="Q616" s="107"/>
      <c r="R616" s="107"/>
      <c r="S616" s="108"/>
      <c r="T616" s="108"/>
      <c r="U616" s="108"/>
      <c r="V616" s="108"/>
      <c r="W616" s="108"/>
      <c r="X616" s="108"/>
      <c r="Y616" s="108"/>
      <c r="Z616" s="108"/>
    </row>
    <row r="617" spans="1:26" ht="62.25" customHeight="1">
      <c r="A617" s="104"/>
      <c r="B617" s="926" t="s">
        <v>572</v>
      </c>
      <c r="C617" s="896">
        <f t="shared" ref="C617:H617" si="121">(J617-1)/(3.67-1)</f>
        <v>0.62546816479400746</v>
      </c>
      <c r="D617" s="896">
        <f t="shared" si="121"/>
        <v>0.49812734082397009</v>
      </c>
      <c r="E617" s="896">
        <f t="shared" si="121"/>
        <v>0.37453183520599254</v>
      </c>
      <c r="F617" s="896">
        <f t="shared" si="121"/>
        <v>0.62546816479400746</v>
      </c>
      <c r="G617" s="896">
        <f t="shared" si="121"/>
        <v>0.49812734082397009</v>
      </c>
      <c r="H617" s="896">
        <f t="shared" si="121"/>
        <v>0.37453183520599254</v>
      </c>
      <c r="I617" s="227" t="s">
        <v>2004</v>
      </c>
      <c r="J617" s="176">
        <v>2.67</v>
      </c>
      <c r="K617" s="176">
        <v>2.33</v>
      </c>
      <c r="L617" s="176">
        <v>2</v>
      </c>
      <c r="M617" s="176">
        <v>2.67</v>
      </c>
      <c r="N617" s="176">
        <v>2.33</v>
      </c>
      <c r="O617" s="176">
        <v>2</v>
      </c>
      <c r="P617" s="101"/>
      <c r="Q617" s="107"/>
      <c r="R617" s="107"/>
      <c r="S617" s="108"/>
      <c r="T617" s="108"/>
      <c r="U617" s="108"/>
      <c r="V617" s="108"/>
      <c r="W617" s="108"/>
      <c r="X617" s="108"/>
      <c r="Y617" s="108"/>
      <c r="Z617" s="108"/>
    </row>
    <row r="618" spans="1:26" ht="57" customHeight="1">
      <c r="A618" s="104"/>
      <c r="B618" s="926" t="s">
        <v>573</v>
      </c>
      <c r="C618" s="896">
        <f t="shared" ref="C618:H618" si="122">(J618-1.67)/(3.67-1.67)</f>
        <v>0.33000000000000007</v>
      </c>
      <c r="D618" s="896">
        <f t="shared" si="122"/>
        <v>0.33000000000000007</v>
      </c>
      <c r="E618" s="896">
        <f t="shared" si="122"/>
        <v>0.16500000000000004</v>
      </c>
      <c r="F618" s="896">
        <f t="shared" si="122"/>
        <v>0.16500000000000004</v>
      </c>
      <c r="G618" s="896">
        <f t="shared" si="122"/>
        <v>0.16500000000000004</v>
      </c>
      <c r="H618" s="896">
        <f t="shared" si="122"/>
        <v>0.16500000000000004</v>
      </c>
      <c r="I618" s="227" t="s">
        <v>1991</v>
      </c>
      <c r="J618" s="176">
        <v>2.33</v>
      </c>
      <c r="K618" s="176">
        <v>2.33</v>
      </c>
      <c r="L618" s="176">
        <v>2</v>
      </c>
      <c r="M618" s="176">
        <v>2</v>
      </c>
      <c r="N618" s="176">
        <v>2</v>
      </c>
      <c r="O618" s="176">
        <v>2</v>
      </c>
      <c r="P618" s="101"/>
      <c r="Q618" s="107"/>
      <c r="R618" s="107"/>
      <c r="S618" s="108"/>
      <c r="T618" s="108"/>
      <c r="U618" s="108"/>
      <c r="V618" s="108"/>
      <c r="W618" s="108"/>
      <c r="X618" s="108"/>
      <c r="Y618" s="108"/>
      <c r="Z618" s="108"/>
    </row>
    <row r="619" spans="1:26" ht="58.5" customHeight="1">
      <c r="A619" s="104"/>
      <c r="B619" s="926" t="s">
        <v>574</v>
      </c>
      <c r="C619" s="896">
        <f t="shared" ref="C619:H619" si="123">(J619-1)/(3.33-1)</f>
        <v>0.57081545064377681</v>
      </c>
      <c r="D619" s="896">
        <f t="shared" si="123"/>
        <v>0.42918454935622319</v>
      </c>
      <c r="E619" s="896">
        <f t="shared" si="123"/>
        <v>0.42918454935622319</v>
      </c>
      <c r="F619" s="896">
        <f t="shared" si="123"/>
        <v>0.71673819742489264</v>
      </c>
      <c r="G619" s="896">
        <f t="shared" si="123"/>
        <v>0.57081545064377681</v>
      </c>
      <c r="H619" s="896">
        <f t="shared" si="123"/>
        <v>0.42918454935622319</v>
      </c>
      <c r="I619" s="227" t="s">
        <v>2002</v>
      </c>
      <c r="J619" s="382">
        <v>2.33</v>
      </c>
      <c r="K619" s="176">
        <v>2</v>
      </c>
      <c r="L619" s="176">
        <v>2</v>
      </c>
      <c r="M619" s="176">
        <v>2.67</v>
      </c>
      <c r="N619" s="176">
        <v>2.33</v>
      </c>
      <c r="O619" s="176">
        <v>2</v>
      </c>
      <c r="P619" s="101"/>
      <c r="Q619" s="107"/>
      <c r="R619" s="107"/>
      <c r="S619" s="108"/>
      <c r="T619" s="108"/>
      <c r="U619" s="108"/>
      <c r="V619" s="108"/>
      <c r="W619" s="108"/>
      <c r="X619" s="108"/>
      <c r="Y619" s="108"/>
      <c r="Z619" s="108"/>
    </row>
    <row r="620" spans="1:26" ht="44.25" customHeight="1">
      <c r="A620" s="104"/>
      <c r="B620" s="926" t="s">
        <v>575</v>
      </c>
      <c r="C620" s="896">
        <f t="shared" ref="C620:H620" si="124">(J620-1)/(3.33-1)</f>
        <v>0.42918454935622319</v>
      </c>
      <c r="D620" s="896">
        <f t="shared" si="124"/>
        <v>0.28755364806866951</v>
      </c>
      <c r="E620" s="896">
        <f t="shared" si="124"/>
        <v>0</v>
      </c>
      <c r="F620" s="896">
        <f t="shared" si="124"/>
        <v>0</v>
      </c>
      <c r="G620" s="896">
        <f t="shared" si="124"/>
        <v>0</v>
      </c>
      <c r="H620" s="896">
        <f t="shared" si="124"/>
        <v>0</v>
      </c>
      <c r="I620" s="227" t="s">
        <v>2002</v>
      </c>
      <c r="J620" s="176">
        <v>2</v>
      </c>
      <c r="K620" s="176">
        <v>1.67</v>
      </c>
      <c r="L620" s="176">
        <v>1</v>
      </c>
      <c r="M620" s="176">
        <v>1</v>
      </c>
      <c r="N620" s="176">
        <v>1</v>
      </c>
      <c r="O620" s="176">
        <v>1</v>
      </c>
      <c r="P620" s="101"/>
      <c r="Q620" s="107"/>
      <c r="R620" s="107"/>
      <c r="S620" s="108"/>
      <c r="T620" s="108"/>
      <c r="U620" s="108"/>
      <c r="V620" s="108"/>
      <c r="W620" s="108"/>
      <c r="X620" s="108"/>
      <c r="Y620" s="108"/>
      <c r="Z620" s="108"/>
    </row>
    <row r="621" spans="1:26" ht="52.5" customHeight="1">
      <c r="A621" s="104"/>
      <c r="B621" s="926" t="s">
        <v>576</v>
      </c>
      <c r="C621" s="896">
        <f t="shared" ref="C621:H621" si="125">(J621-1)/(3.67-1)</f>
        <v>0.62546816479400746</v>
      </c>
      <c r="D621" s="896">
        <f t="shared" si="125"/>
        <v>0.49812734082397009</v>
      </c>
      <c r="E621" s="896">
        <f t="shared" si="125"/>
        <v>0.25093632958801498</v>
      </c>
      <c r="F621" s="896">
        <f t="shared" si="125"/>
        <v>0.25093632958801498</v>
      </c>
      <c r="G621" s="896">
        <f t="shared" si="125"/>
        <v>0.37453183520599254</v>
      </c>
      <c r="H621" s="896">
        <f t="shared" si="125"/>
        <v>0.25093632958801498</v>
      </c>
      <c r="I621" s="227" t="s">
        <v>2004</v>
      </c>
      <c r="J621" s="176">
        <v>2.67</v>
      </c>
      <c r="K621" s="176">
        <v>2.33</v>
      </c>
      <c r="L621" s="176">
        <v>1.67</v>
      </c>
      <c r="M621" s="176">
        <v>1.67</v>
      </c>
      <c r="N621" s="176">
        <v>2</v>
      </c>
      <c r="O621" s="176">
        <v>1.67</v>
      </c>
      <c r="P621" s="101"/>
      <c r="Q621" s="107"/>
      <c r="R621" s="107"/>
      <c r="S621" s="108"/>
      <c r="T621" s="108"/>
      <c r="U621" s="108"/>
      <c r="V621" s="108"/>
      <c r="W621" s="108"/>
      <c r="X621" s="108"/>
      <c r="Y621" s="108"/>
      <c r="Z621" s="108"/>
    </row>
    <row r="622" spans="1:26" ht="18" customHeight="1">
      <c r="A622" s="368"/>
      <c r="B622" s="387"/>
      <c r="C622" s="358"/>
      <c r="D622" s="358"/>
      <c r="E622" s="358"/>
      <c r="F622" s="358"/>
      <c r="G622" s="358"/>
      <c r="H622" s="358"/>
      <c r="I622" s="260"/>
      <c r="J622" s="388"/>
      <c r="K622" s="388"/>
      <c r="L622" s="388"/>
      <c r="M622" s="388"/>
      <c r="N622" s="388"/>
      <c r="O622" s="388"/>
      <c r="P622" s="98"/>
      <c r="Q622" s="141"/>
      <c r="R622" s="141"/>
      <c r="S622" s="142"/>
      <c r="T622" s="142"/>
      <c r="U622" s="142"/>
      <c r="V622" s="142"/>
      <c r="W622" s="142"/>
      <c r="X622" s="142"/>
      <c r="Y622" s="142"/>
      <c r="Z622" s="142"/>
    </row>
    <row r="623" spans="1:26" ht="13.5" customHeight="1">
      <c r="A623" s="491" t="s">
        <v>2006</v>
      </c>
      <c r="B623" s="389" t="s">
        <v>577</v>
      </c>
      <c r="C623" s="390">
        <f t="shared" ref="C623:H623" si="126">AVERAGE(C624,C643,C658,C677,C698,C707,C714,C723)</f>
        <v>0.74376055463011992</v>
      </c>
      <c r="D623" s="390">
        <f t="shared" si="126"/>
        <v>0.78615830851460911</v>
      </c>
      <c r="E623" s="390">
        <f t="shared" si="126"/>
        <v>0.42099659040290949</v>
      </c>
      <c r="F623" s="390">
        <f t="shared" si="126"/>
        <v>0.81906288156288154</v>
      </c>
      <c r="G623" s="390">
        <f t="shared" si="126"/>
        <v>0.66013742220217908</v>
      </c>
      <c r="H623" s="390">
        <f t="shared" si="126"/>
        <v>0.40860422086472192</v>
      </c>
      <c r="I623" s="96"/>
      <c r="J623" s="44"/>
      <c r="K623" s="38"/>
      <c r="L623" s="38"/>
      <c r="M623" s="44"/>
      <c r="N623" s="38"/>
      <c r="O623" s="38"/>
      <c r="P623" s="391"/>
      <c r="Q623" s="391"/>
      <c r="R623" s="391"/>
      <c r="S623" s="392"/>
      <c r="T623" s="392"/>
      <c r="U623" s="392"/>
      <c r="V623" s="392"/>
      <c r="W623" s="392"/>
      <c r="X623" s="392"/>
      <c r="Y623" s="392"/>
      <c r="Z623" s="392"/>
    </row>
    <row r="624" spans="1:26" ht="27.75" customHeight="1">
      <c r="A624" s="494" t="s">
        <v>438</v>
      </c>
      <c r="B624" s="393" t="s">
        <v>578</v>
      </c>
      <c r="C624" s="51">
        <f t="shared" ref="C624:H624" si="127">AVERAGE(C625,C627,C629,C631,C633,C635,C637,C639,C641)</f>
        <v>0.79914529914529919</v>
      </c>
      <c r="D624" s="51">
        <f t="shared" si="127"/>
        <v>0.74786324786324787</v>
      </c>
      <c r="E624" s="51">
        <f t="shared" si="127"/>
        <v>0.3888888888888889</v>
      </c>
      <c r="F624" s="51">
        <f t="shared" si="127"/>
        <v>0.45726495726495719</v>
      </c>
      <c r="G624" s="51">
        <f t="shared" si="127"/>
        <v>0.55555555555555558</v>
      </c>
      <c r="H624" s="51">
        <f t="shared" si="127"/>
        <v>0.27777777777777779</v>
      </c>
      <c r="I624" s="53"/>
      <c r="J624" s="56"/>
      <c r="K624" s="100"/>
      <c r="L624" s="100"/>
      <c r="M624" s="56"/>
      <c r="N624" s="100"/>
      <c r="O624" s="100"/>
      <c r="P624" s="101"/>
      <c r="Q624" s="102"/>
      <c r="R624" s="102"/>
      <c r="S624" s="103"/>
      <c r="T624" s="103"/>
      <c r="U624" s="103"/>
      <c r="V624" s="103"/>
      <c r="W624" s="103"/>
      <c r="X624" s="103"/>
      <c r="Y624" s="103"/>
      <c r="Z624" s="103"/>
    </row>
    <row r="625" spans="1:26" ht="42" customHeight="1">
      <c r="A625" s="104" t="s">
        <v>736</v>
      </c>
      <c r="B625" s="173" t="s">
        <v>580</v>
      </c>
      <c r="C625" s="897">
        <v>1</v>
      </c>
      <c r="D625" s="897">
        <v>1</v>
      </c>
      <c r="E625" s="897">
        <v>1</v>
      </c>
      <c r="F625" s="897">
        <v>0</v>
      </c>
      <c r="G625" s="897">
        <v>1</v>
      </c>
      <c r="H625" s="897">
        <v>0</v>
      </c>
      <c r="I625" s="53" t="s">
        <v>38</v>
      </c>
      <c r="J625" s="69" t="s">
        <v>811</v>
      </c>
      <c r="K625" s="69" t="s">
        <v>2007</v>
      </c>
      <c r="L625" s="69" t="s">
        <v>2008</v>
      </c>
      <c r="M625" s="69" t="s">
        <v>748</v>
      </c>
      <c r="N625" s="69" t="s">
        <v>811</v>
      </c>
      <c r="O625" s="69" t="s">
        <v>2009</v>
      </c>
      <c r="P625" s="101"/>
      <c r="Q625" s="107"/>
      <c r="R625" s="107"/>
      <c r="S625" s="108"/>
      <c r="T625" s="108"/>
      <c r="U625" s="108"/>
      <c r="V625" s="108"/>
      <c r="W625" s="108"/>
      <c r="X625" s="108"/>
      <c r="Y625" s="108"/>
      <c r="Z625" s="108"/>
    </row>
    <row r="626" spans="1:26" ht="13.5" customHeight="1">
      <c r="A626" s="104"/>
      <c r="B626" s="173"/>
      <c r="C626" s="897"/>
      <c r="D626" s="897"/>
      <c r="E626" s="897"/>
      <c r="F626" s="897"/>
      <c r="G626" s="897"/>
      <c r="H626" s="897"/>
      <c r="I626" s="53"/>
      <c r="J626" s="115"/>
      <c r="K626" s="69"/>
      <c r="L626" s="69"/>
      <c r="M626" s="69"/>
      <c r="N626" s="69"/>
      <c r="O626" s="115"/>
      <c r="P626" s="101"/>
      <c r="Q626" s="107"/>
      <c r="R626" s="107"/>
      <c r="S626" s="108"/>
      <c r="T626" s="108"/>
      <c r="U626" s="108"/>
      <c r="V626" s="108"/>
      <c r="W626" s="108"/>
      <c r="X626" s="108"/>
      <c r="Y626" s="108"/>
      <c r="Z626" s="108"/>
    </row>
    <row r="627" spans="1:26" ht="48" customHeight="1">
      <c r="A627" s="104" t="s">
        <v>736</v>
      </c>
      <c r="B627" s="173" t="s">
        <v>581</v>
      </c>
      <c r="C627" s="897">
        <v>1</v>
      </c>
      <c r="D627" s="897">
        <v>0</v>
      </c>
      <c r="E627" s="897">
        <v>1</v>
      </c>
      <c r="F627" s="897">
        <v>0</v>
      </c>
      <c r="G627" s="897">
        <v>1</v>
      </c>
      <c r="H627" s="897">
        <v>0</v>
      </c>
      <c r="I627" s="53" t="s">
        <v>38</v>
      </c>
      <c r="J627" s="69" t="s">
        <v>2010</v>
      </c>
      <c r="K627" s="69" t="s">
        <v>2011</v>
      </c>
      <c r="L627" s="69" t="s">
        <v>811</v>
      </c>
      <c r="M627" s="69" t="s">
        <v>748</v>
      </c>
      <c r="N627" s="69" t="s">
        <v>811</v>
      </c>
      <c r="O627" s="69" t="s">
        <v>748</v>
      </c>
      <c r="P627" s="101"/>
      <c r="Q627" s="107"/>
      <c r="R627" s="107"/>
      <c r="S627" s="108"/>
      <c r="T627" s="108"/>
      <c r="U627" s="108"/>
      <c r="V627" s="108"/>
      <c r="W627" s="108"/>
      <c r="X627" s="108"/>
      <c r="Y627" s="108"/>
      <c r="Z627" s="108"/>
    </row>
    <row r="628" spans="1:26" ht="13.5" customHeight="1">
      <c r="A628" s="104"/>
      <c r="B628" s="173"/>
      <c r="C628" s="897"/>
      <c r="D628" s="897"/>
      <c r="E628" s="897"/>
      <c r="F628" s="897"/>
      <c r="G628" s="897"/>
      <c r="H628" s="897"/>
      <c r="I628" s="53"/>
      <c r="J628" s="115"/>
      <c r="K628" s="69"/>
      <c r="L628" s="69"/>
      <c r="M628" s="69"/>
      <c r="N628" s="69"/>
      <c r="O628" s="115"/>
      <c r="P628" s="101"/>
      <c r="Q628" s="107"/>
      <c r="R628" s="107"/>
      <c r="S628" s="108"/>
      <c r="T628" s="108"/>
      <c r="U628" s="108"/>
      <c r="V628" s="108"/>
      <c r="W628" s="108"/>
      <c r="X628" s="108"/>
      <c r="Y628" s="108"/>
      <c r="Z628" s="108"/>
    </row>
    <row r="629" spans="1:26" ht="54" customHeight="1">
      <c r="A629" s="104" t="s">
        <v>736</v>
      </c>
      <c r="B629" s="173" t="s">
        <v>2012</v>
      </c>
      <c r="C629" s="897">
        <v>1</v>
      </c>
      <c r="D629" s="897">
        <v>1</v>
      </c>
      <c r="E629" s="897">
        <v>0.5</v>
      </c>
      <c r="F629" s="897">
        <v>1</v>
      </c>
      <c r="G629" s="897">
        <v>1</v>
      </c>
      <c r="H629" s="897">
        <v>1</v>
      </c>
      <c r="I629" s="53" t="s">
        <v>583</v>
      </c>
      <c r="J629" s="69" t="s">
        <v>2013</v>
      </c>
      <c r="K629" s="69" t="s">
        <v>2013</v>
      </c>
      <c r="L629" s="69" t="s">
        <v>2014</v>
      </c>
      <c r="M629" s="69" t="s">
        <v>2013</v>
      </c>
      <c r="N629" s="69" t="s">
        <v>2013</v>
      </c>
      <c r="O629" s="69" t="s">
        <v>2013</v>
      </c>
      <c r="P629" s="101"/>
      <c r="Q629" s="107"/>
      <c r="R629" s="107"/>
      <c r="S629" s="108"/>
      <c r="T629" s="108"/>
      <c r="U629" s="108"/>
      <c r="V629" s="108"/>
      <c r="W629" s="108"/>
      <c r="X629" s="108"/>
      <c r="Y629" s="108"/>
      <c r="Z629" s="108"/>
    </row>
    <row r="630" spans="1:26" ht="13.5" customHeight="1">
      <c r="A630" s="104"/>
      <c r="B630" s="173"/>
      <c r="C630" s="897"/>
      <c r="D630" s="897"/>
      <c r="E630" s="897"/>
      <c r="F630" s="897"/>
      <c r="G630" s="897"/>
      <c r="H630" s="897"/>
      <c r="I630" s="53"/>
      <c r="J630" s="69"/>
      <c r="K630" s="69"/>
      <c r="L630" s="69"/>
      <c r="M630" s="69"/>
      <c r="N630" s="69"/>
      <c r="O630" s="69"/>
      <c r="P630" s="101"/>
      <c r="Q630" s="107"/>
      <c r="R630" s="107"/>
      <c r="S630" s="108"/>
      <c r="T630" s="108"/>
      <c r="U630" s="108"/>
      <c r="V630" s="108"/>
      <c r="W630" s="108"/>
      <c r="X630" s="108"/>
      <c r="Y630" s="108"/>
      <c r="Z630" s="108"/>
    </row>
    <row r="631" spans="1:26" ht="27.75" customHeight="1">
      <c r="A631" s="104" t="s">
        <v>736</v>
      </c>
      <c r="B631" s="173" t="s">
        <v>2015</v>
      </c>
      <c r="C631" s="897">
        <v>1</v>
      </c>
      <c r="D631" s="897">
        <v>1</v>
      </c>
      <c r="E631" s="897">
        <v>0</v>
      </c>
      <c r="F631" s="897">
        <v>1</v>
      </c>
      <c r="G631" s="897">
        <v>0</v>
      </c>
      <c r="H631" s="897">
        <v>0</v>
      </c>
      <c r="I631" s="53" t="s">
        <v>38</v>
      </c>
      <c r="J631" s="69" t="s">
        <v>2016</v>
      </c>
      <c r="K631" s="397" t="s">
        <v>2017</v>
      </c>
      <c r="L631" s="69" t="s">
        <v>748</v>
      </c>
      <c r="M631" s="69" t="s">
        <v>2016</v>
      </c>
      <c r="N631" s="69" t="s">
        <v>748</v>
      </c>
      <c r="O631" s="69" t="s">
        <v>748</v>
      </c>
      <c r="P631" s="101"/>
      <c r="Q631" s="107"/>
      <c r="R631" s="107"/>
      <c r="S631" s="108"/>
      <c r="T631" s="108"/>
      <c r="U631" s="108"/>
      <c r="V631" s="108"/>
      <c r="W631" s="108"/>
      <c r="X631" s="108"/>
      <c r="Y631" s="108"/>
      <c r="Z631" s="108"/>
    </row>
    <row r="632" spans="1:26" ht="35.25" customHeight="1">
      <c r="A632" s="104"/>
      <c r="B632" s="173"/>
      <c r="C632" s="897"/>
      <c r="D632" s="897"/>
      <c r="E632" s="897"/>
      <c r="F632" s="897"/>
      <c r="G632" s="897"/>
      <c r="H632" s="897"/>
      <c r="I632" s="53"/>
      <c r="J632" s="69"/>
      <c r="K632" s="69"/>
      <c r="L632" s="69"/>
      <c r="M632" s="69"/>
      <c r="N632" s="69"/>
      <c r="O632" s="69"/>
      <c r="P632" s="101"/>
      <c r="Q632" s="107"/>
      <c r="R632" s="107"/>
      <c r="S632" s="108"/>
      <c r="T632" s="108"/>
      <c r="U632" s="108"/>
      <c r="V632" s="108"/>
      <c r="W632" s="108"/>
      <c r="X632" s="108"/>
      <c r="Y632" s="108"/>
      <c r="Z632" s="108"/>
    </row>
    <row r="633" spans="1:26" ht="279.75" customHeight="1">
      <c r="A633" s="104" t="s">
        <v>736</v>
      </c>
      <c r="B633" s="173" t="s">
        <v>2018</v>
      </c>
      <c r="C633" s="897">
        <v>0.5</v>
      </c>
      <c r="D633" s="897">
        <v>0.5</v>
      </c>
      <c r="E633" s="897">
        <v>0</v>
      </c>
      <c r="F633" s="897">
        <v>0</v>
      </c>
      <c r="G633" s="897">
        <v>0</v>
      </c>
      <c r="H633" s="897">
        <v>0</v>
      </c>
      <c r="I633" s="53" t="s">
        <v>154</v>
      </c>
      <c r="J633" s="69" t="s">
        <v>2019</v>
      </c>
      <c r="K633" s="69" t="s">
        <v>2020</v>
      </c>
      <c r="L633" s="69" t="s">
        <v>748</v>
      </c>
      <c r="M633" s="69" t="s">
        <v>748</v>
      </c>
      <c r="N633" s="69" t="s">
        <v>748</v>
      </c>
      <c r="O633" s="69" t="s">
        <v>2021</v>
      </c>
      <c r="P633" s="101"/>
      <c r="Q633" s="107"/>
      <c r="R633" s="107"/>
      <c r="S633" s="108"/>
      <c r="T633" s="108"/>
      <c r="U633" s="108"/>
      <c r="V633" s="108"/>
      <c r="W633" s="108"/>
      <c r="X633" s="108"/>
      <c r="Y633" s="108"/>
      <c r="Z633" s="108"/>
    </row>
    <row r="634" spans="1:26" ht="13.5" customHeight="1">
      <c r="A634" s="104"/>
      <c r="B634" s="892"/>
      <c r="C634" s="897"/>
      <c r="D634" s="897"/>
      <c r="E634" s="897"/>
      <c r="F634" s="897"/>
      <c r="G634" s="897"/>
      <c r="H634" s="897"/>
      <c r="I634" s="53"/>
      <c r="J634" s="69"/>
      <c r="K634" s="69"/>
      <c r="L634" s="69"/>
      <c r="M634" s="69"/>
      <c r="N634" s="69"/>
      <c r="O634" s="69"/>
      <c r="P634" s="101"/>
      <c r="Q634" s="107"/>
      <c r="R634" s="107"/>
      <c r="S634" s="108"/>
      <c r="T634" s="108"/>
      <c r="U634" s="108"/>
      <c r="V634" s="108"/>
      <c r="W634" s="108"/>
      <c r="X634" s="108"/>
      <c r="Y634" s="108"/>
      <c r="Z634" s="108"/>
    </row>
    <row r="635" spans="1:26" ht="108" customHeight="1">
      <c r="A635" s="104" t="s">
        <v>736</v>
      </c>
      <c r="B635" s="173" t="s">
        <v>2022</v>
      </c>
      <c r="C635" s="897">
        <v>0.5</v>
      </c>
      <c r="D635" s="897">
        <v>0.5</v>
      </c>
      <c r="E635" s="897">
        <v>0</v>
      </c>
      <c r="F635" s="897">
        <v>0</v>
      </c>
      <c r="G635" s="897">
        <v>0</v>
      </c>
      <c r="H635" s="897">
        <v>0</v>
      </c>
      <c r="I635" s="53" t="s">
        <v>154</v>
      </c>
      <c r="J635" s="69" t="s">
        <v>2023</v>
      </c>
      <c r="K635" s="69" t="s">
        <v>2024</v>
      </c>
      <c r="L635" s="69" t="s">
        <v>748</v>
      </c>
      <c r="M635" s="69" t="s">
        <v>748</v>
      </c>
      <c r="N635" s="69">
        <v>0</v>
      </c>
      <c r="O635" s="69" t="s">
        <v>2025</v>
      </c>
      <c r="P635" s="101"/>
      <c r="Q635" s="107"/>
      <c r="R635" s="107"/>
      <c r="S635" s="108"/>
      <c r="T635" s="108"/>
      <c r="U635" s="108"/>
      <c r="V635" s="108"/>
      <c r="W635" s="108"/>
      <c r="X635" s="108"/>
      <c r="Y635" s="108"/>
      <c r="Z635" s="108"/>
    </row>
    <row r="636" spans="1:26" ht="32.25" customHeight="1">
      <c r="A636" s="104"/>
      <c r="B636" s="173"/>
      <c r="C636" s="897"/>
      <c r="D636" s="897"/>
      <c r="E636" s="897"/>
      <c r="F636" s="897"/>
      <c r="G636" s="897"/>
      <c r="H636" s="897"/>
      <c r="I636" s="53"/>
      <c r="J636" s="69"/>
      <c r="K636" s="69"/>
      <c r="L636" s="69"/>
      <c r="M636" s="69"/>
      <c r="N636" s="69"/>
      <c r="O636" s="115"/>
      <c r="P636" s="101"/>
      <c r="Q636" s="107"/>
      <c r="R636" s="107"/>
      <c r="S636" s="108"/>
      <c r="T636" s="108"/>
      <c r="U636" s="108"/>
      <c r="V636" s="108"/>
      <c r="W636" s="108"/>
      <c r="X636" s="108"/>
      <c r="Y636" s="108"/>
      <c r="Z636" s="108"/>
    </row>
    <row r="637" spans="1:26" ht="168" customHeight="1">
      <c r="A637" s="104" t="s">
        <v>736</v>
      </c>
      <c r="B637" s="173" t="s">
        <v>2026</v>
      </c>
      <c r="C637" s="897">
        <f>(5-0)/(26-0)</f>
        <v>0.19230769230769232</v>
      </c>
      <c r="D637" s="897">
        <f>(19-0)/(26-0)</f>
        <v>0.73076923076923073</v>
      </c>
      <c r="E637" s="897">
        <f>(0-0)/(26-0)</f>
        <v>0</v>
      </c>
      <c r="F637" s="897">
        <f>(3-0)/(26-0)</f>
        <v>0.11538461538461539</v>
      </c>
      <c r="G637" s="897">
        <f>(0-0)/(26-0)</f>
        <v>0</v>
      </c>
      <c r="H637" s="897">
        <f>(0-0)/(26-0)</f>
        <v>0</v>
      </c>
      <c r="I637" s="923" t="s">
        <v>2027</v>
      </c>
      <c r="J637" s="69">
        <v>5</v>
      </c>
      <c r="K637" s="502">
        <v>19</v>
      </c>
      <c r="L637" s="69" t="s">
        <v>2028</v>
      </c>
      <c r="M637" s="69">
        <v>3</v>
      </c>
      <c r="N637" s="69">
        <v>0</v>
      </c>
      <c r="O637" s="69" t="s">
        <v>2029</v>
      </c>
      <c r="P637" s="101"/>
      <c r="Q637" s="107"/>
      <c r="R637" s="107"/>
      <c r="S637" s="108"/>
      <c r="T637" s="108"/>
      <c r="U637" s="108"/>
      <c r="V637" s="108"/>
      <c r="W637" s="108"/>
      <c r="X637" s="108"/>
      <c r="Y637" s="108"/>
      <c r="Z637" s="108"/>
    </row>
    <row r="638" spans="1:26" ht="13.5" customHeight="1">
      <c r="A638" s="104"/>
      <c r="B638" s="173"/>
      <c r="C638" s="897"/>
      <c r="D638" s="897"/>
      <c r="E638" s="897"/>
      <c r="F638" s="897"/>
      <c r="G638" s="897"/>
      <c r="H638" s="897"/>
      <c r="I638" s="53"/>
      <c r="J638" s="115"/>
      <c r="K638" s="69"/>
      <c r="L638" s="69"/>
      <c r="M638" s="69"/>
      <c r="N638" s="69"/>
      <c r="O638" s="115"/>
      <c r="P638" s="101"/>
      <c r="Q638" s="107"/>
      <c r="R638" s="107"/>
      <c r="S638" s="108"/>
      <c r="T638" s="108"/>
      <c r="U638" s="108"/>
      <c r="V638" s="108"/>
      <c r="W638" s="108"/>
      <c r="X638" s="108"/>
      <c r="Y638" s="108"/>
      <c r="Z638" s="108"/>
    </row>
    <row r="639" spans="1:26" ht="108" customHeight="1">
      <c r="A639" s="104" t="s">
        <v>736</v>
      </c>
      <c r="B639" s="173" t="s">
        <v>585</v>
      </c>
      <c r="C639" s="897">
        <v>1</v>
      </c>
      <c r="D639" s="897">
        <v>1</v>
      </c>
      <c r="E639" s="897">
        <v>0</v>
      </c>
      <c r="F639" s="897">
        <v>1</v>
      </c>
      <c r="G639" s="897">
        <v>1</v>
      </c>
      <c r="H639" s="897">
        <v>0.5</v>
      </c>
      <c r="I639" s="53" t="s">
        <v>154</v>
      </c>
      <c r="J639" s="69" t="s">
        <v>2030</v>
      </c>
      <c r="K639" s="69" t="s">
        <v>2031</v>
      </c>
      <c r="L639" s="69" t="s">
        <v>748</v>
      </c>
      <c r="M639" s="69" t="s">
        <v>811</v>
      </c>
      <c r="N639" s="69" t="s">
        <v>811</v>
      </c>
      <c r="O639" s="69" t="s">
        <v>2032</v>
      </c>
      <c r="P639" s="101"/>
      <c r="Q639" s="107"/>
      <c r="R639" s="107"/>
      <c r="S639" s="108"/>
      <c r="T639" s="108"/>
      <c r="U639" s="108"/>
      <c r="V639" s="108"/>
      <c r="W639" s="108"/>
      <c r="X639" s="108"/>
      <c r="Y639" s="108"/>
      <c r="Z639" s="108"/>
    </row>
    <row r="640" spans="1:26" ht="13.5" customHeight="1">
      <c r="A640" s="104"/>
      <c r="B640" s="255"/>
      <c r="C640" s="897"/>
      <c r="D640" s="897"/>
      <c r="E640" s="897"/>
      <c r="F640" s="897"/>
      <c r="G640" s="897"/>
      <c r="H640" s="897"/>
      <c r="I640" s="53"/>
      <c r="J640" s="69"/>
      <c r="K640" s="69"/>
      <c r="L640" s="69"/>
      <c r="M640" s="69"/>
      <c r="N640" s="69"/>
      <c r="O640" s="69"/>
      <c r="P640" s="101"/>
      <c r="Q640" s="107"/>
      <c r="R640" s="107"/>
      <c r="S640" s="108"/>
      <c r="T640" s="108"/>
      <c r="U640" s="108"/>
      <c r="V640" s="108"/>
      <c r="W640" s="108"/>
      <c r="X640" s="108"/>
      <c r="Y640" s="108"/>
      <c r="Z640" s="108"/>
    </row>
    <row r="641" spans="1:26" ht="94.5" customHeight="1">
      <c r="A641" s="104" t="s">
        <v>736</v>
      </c>
      <c r="B641" s="173" t="s">
        <v>2033</v>
      </c>
      <c r="C641" s="897">
        <v>1</v>
      </c>
      <c r="D641" s="897">
        <v>1</v>
      </c>
      <c r="E641" s="897">
        <v>1</v>
      </c>
      <c r="F641" s="897">
        <v>1</v>
      </c>
      <c r="G641" s="897">
        <v>1</v>
      </c>
      <c r="H641" s="897">
        <v>1</v>
      </c>
      <c r="I641" s="53" t="s">
        <v>154</v>
      </c>
      <c r="J641" s="69" t="s">
        <v>811</v>
      </c>
      <c r="K641" s="69" t="s">
        <v>811</v>
      </c>
      <c r="L641" s="69" t="s">
        <v>811</v>
      </c>
      <c r="M641" s="69" t="s">
        <v>811</v>
      </c>
      <c r="N641" s="69" t="s">
        <v>811</v>
      </c>
      <c r="O641" s="69" t="s">
        <v>811</v>
      </c>
      <c r="P641" s="101"/>
      <c r="Q641" s="107"/>
      <c r="R641" s="107"/>
      <c r="S641" s="108"/>
      <c r="T641" s="108"/>
      <c r="U641" s="108"/>
      <c r="V641" s="108"/>
      <c r="W641" s="108"/>
      <c r="X641" s="108"/>
      <c r="Y641" s="108"/>
      <c r="Z641" s="108"/>
    </row>
    <row r="642" spans="1:26" ht="32.25" customHeight="1">
      <c r="A642" s="104"/>
      <c r="B642" s="917"/>
      <c r="C642" s="897"/>
      <c r="D642" s="897"/>
      <c r="E642" s="897"/>
      <c r="F642" s="897"/>
      <c r="G642" s="897"/>
      <c r="H642" s="897"/>
      <c r="I642" s="53"/>
      <c r="J642" s="69"/>
      <c r="K642" s="69"/>
      <c r="L642" s="69"/>
      <c r="M642" s="69"/>
      <c r="N642" s="69"/>
      <c r="O642" s="115"/>
      <c r="P642" s="101"/>
      <c r="Q642" s="107"/>
      <c r="R642" s="107"/>
      <c r="S642" s="108"/>
      <c r="T642" s="108"/>
      <c r="U642" s="108"/>
      <c r="V642" s="108"/>
      <c r="W642" s="108"/>
      <c r="X642" s="108"/>
      <c r="Y642" s="108"/>
      <c r="Z642" s="108"/>
    </row>
    <row r="643" spans="1:26" ht="13.5" customHeight="1">
      <c r="A643" s="301" t="s">
        <v>439</v>
      </c>
      <c r="B643" s="121" t="s">
        <v>592</v>
      </c>
      <c r="C643" s="395">
        <f t="shared" ref="C643:H643" si="128">AVERAGE(C644,C646,C648,C650,C652,C654,C656)</f>
        <v>0.6428571428571429</v>
      </c>
      <c r="D643" s="395">
        <f t="shared" si="128"/>
        <v>0.30669895076674741</v>
      </c>
      <c r="E643" s="395">
        <f t="shared" si="128"/>
        <v>0.13034705407586764</v>
      </c>
      <c r="F643" s="395">
        <f t="shared" si="128"/>
        <v>0.42857142857142855</v>
      </c>
      <c r="G643" s="395">
        <f t="shared" si="128"/>
        <v>0.36117836965294592</v>
      </c>
      <c r="H643" s="395">
        <f t="shared" si="128"/>
        <v>7.4656981436642456E-2</v>
      </c>
      <c r="I643" s="53"/>
      <c r="J643" s="185"/>
      <c r="K643" s="396"/>
      <c r="L643" s="185"/>
      <c r="M643" s="185"/>
      <c r="N643" s="185"/>
      <c r="O643" s="185"/>
      <c r="P643" s="98"/>
      <c r="Q643" s="171"/>
      <c r="R643" s="171"/>
      <c r="S643" s="172"/>
      <c r="T643" s="172"/>
      <c r="U643" s="172"/>
      <c r="V643" s="172"/>
      <c r="W643" s="172"/>
      <c r="X643" s="172"/>
      <c r="Y643" s="172"/>
      <c r="Z643" s="172"/>
    </row>
    <row r="644" spans="1:26" ht="63.75" customHeight="1">
      <c r="A644" s="104" t="s">
        <v>736</v>
      </c>
      <c r="B644" s="173" t="s">
        <v>593</v>
      </c>
      <c r="C644" s="292">
        <v>1</v>
      </c>
      <c r="D644" s="292">
        <v>1</v>
      </c>
      <c r="E644" s="292">
        <v>0.5</v>
      </c>
      <c r="F644" s="292">
        <v>1</v>
      </c>
      <c r="G644" s="292">
        <v>1</v>
      </c>
      <c r="H644" s="292">
        <v>0.5</v>
      </c>
      <c r="I644" s="53" t="s">
        <v>583</v>
      </c>
      <c r="J644" s="109" t="s">
        <v>2013</v>
      </c>
      <c r="K644" s="109" t="s">
        <v>811</v>
      </c>
      <c r="L644" s="109" t="s">
        <v>2014</v>
      </c>
      <c r="M644" s="69" t="s">
        <v>2013</v>
      </c>
      <c r="N644" s="109">
        <v>1</v>
      </c>
      <c r="O644" s="69" t="s">
        <v>2034</v>
      </c>
      <c r="P644" s="101"/>
      <c r="Q644" s="107"/>
      <c r="R644" s="107"/>
      <c r="S644" s="108"/>
      <c r="T644" s="108"/>
      <c r="U644" s="108"/>
      <c r="V644" s="108"/>
      <c r="W644" s="108"/>
      <c r="X644" s="108"/>
      <c r="Y644" s="108"/>
      <c r="Z644" s="108"/>
    </row>
    <row r="645" spans="1:26" ht="13.5" customHeight="1">
      <c r="A645" s="104"/>
      <c r="B645" s="173"/>
      <c r="C645" s="292"/>
      <c r="D645" s="292"/>
      <c r="E645" s="292"/>
      <c r="F645" s="292"/>
      <c r="G645" s="292"/>
      <c r="H645" s="292"/>
      <c r="I645" s="53"/>
      <c r="J645" s="115"/>
      <c r="K645" s="115"/>
      <c r="L645" s="115"/>
      <c r="M645" s="69"/>
      <c r="N645" s="115"/>
      <c r="O645" s="115"/>
      <c r="P645" s="101"/>
      <c r="Q645" s="107"/>
      <c r="R645" s="107"/>
      <c r="S645" s="108"/>
      <c r="T645" s="108"/>
      <c r="U645" s="108"/>
      <c r="V645" s="108"/>
      <c r="W645" s="108"/>
      <c r="X645" s="108"/>
      <c r="Y645" s="108"/>
      <c r="Z645" s="108"/>
    </row>
    <row r="646" spans="1:26" ht="87" customHeight="1">
      <c r="A646" s="104" t="s">
        <v>736</v>
      </c>
      <c r="B646" s="173" t="s">
        <v>2035</v>
      </c>
      <c r="C646" s="292">
        <v>1</v>
      </c>
      <c r="D646" s="292">
        <v>0</v>
      </c>
      <c r="E646" s="292">
        <v>0</v>
      </c>
      <c r="F646" s="292">
        <v>0</v>
      </c>
      <c r="G646" s="292">
        <v>0</v>
      </c>
      <c r="H646" s="292">
        <v>0</v>
      </c>
      <c r="I646" s="53" t="s">
        <v>38</v>
      </c>
      <c r="J646" s="69" t="s">
        <v>2036</v>
      </c>
      <c r="K646" s="69" t="s">
        <v>748</v>
      </c>
      <c r="L646" s="69" t="s">
        <v>748</v>
      </c>
      <c r="M646" s="69" t="s">
        <v>748</v>
      </c>
      <c r="N646" s="69" t="s">
        <v>748</v>
      </c>
      <c r="O646" s="69" t="s">
        <v>748</v>
      </c>
      <c r="P646" s="101"/>
      <c r="Q646" s="107"/>
      <c r="R646" s="107"/>
      <c r="S646" s="108"/>
      <c r="T646" s="108"/>
      <c r="U646" s="108"/>
      <c r="V646" s="108"/>
      <c r="W646" s="108"/>
      <c r="X646" s="108"/>
      <c r="Y646" s="108"/>
      <c r="Z646" s="108"/>
    </row>
    <row r="647" spans="1:26" ht="13.5" customHeight="1">
      <c r="A647" s="104"/>
      <c r="B647" s="173"/>
      <c r="C647" s="292"/>
      <c r="D647" s="292"/>
      <c r="E647" s="292"/>
      <c r="F647" s="292"/>
      <c r="G647" s="292"/>
      <c r="H647" s="292"/>
      <c r="I647" s="53"/>
      <c r="J647" s="69"/>
      <c r="K647" s="69"/>
      <c r="L647" s="228"/>
      <c r="M647" s="69"/>
      <c r="N647" s="134"/>
      <c r="O647" s="115"/>
      <c r="P647" s="101"/>
      <c r="Q647" s="107"/>
      <c r="R647" s="107"/>
      <c r="S647" s="108"/>
      <c r="T647" s="108"/>
      <c r="U647" s="108"/>
      <c r="V647" s="108"/>
      <c r="W647" s="108"/>
      <c r="X647" s="108"/>
      <c r="Y647" s="108"/>
      <c r="Z647" s="108"/>
    </row>
    <row r="648" spans="1:26" ht="126" customHeight="1">
      <c r="A648" s="104" t="s">
        <v>736</v>
      </c>
      <c r="B648" s="60" t="s">
        <v>2037</v>
      </c>
      <c r="C648" s="91">
        <f>(177-0)/(177-0)</f>
        <v>1</v>
      </c>
      <c r="D648" s="91">
        <f>(26-0)/(177-0)</f>
        <v>0.14689265536723164</v>
      </c>
      <c r="E648" s="899">
        <f>(73-0)/(177-0)</f>
        <v>0.41242937853107342</v>
      </c>
      <c r="F648" s="91">
        <f>(0-0)/(177-0)</f>
        <v>0</v>
      </c>
      <c r="G648" s="91">
        <f>(5-0)/(177-0)</f>
        <v>2.8248587570621469E-2</v>
      </c>
      <c r="H648" s="91">
        <f>(4-0)/(177-0)</f>
        <v>2.2598870056497175E-2</v>
      </c>
      <c r="I648" s="53" t="s">
        <v>2038</v>
      </c>
      <c r="J648" s="69" t="s">
        <v>2039</v>
      </c>
      <c r="K648" s="69" t="s">
        <v>2040</v>
      </c>
      <c r="L648" s="69">
        <v>73</v>
      </c>
      <c r="M648" s="69">
        <v>0</v>
      </c>
      <c r="N648" s="109">
        <v>5</v>
      </c>
      <c r="O648" s="109">
        <v>4</v>
      </c>
      <c r="P648" s="101"/>
      <c r="Q648" s="107"/>
      <c r="R648" s="107"/>
      <c r="S648" s="108"/>
      <c r="T648" s="108"/>
      <c r="U648" s="108"/>
      <c r="V648" s="108"/>
      <c r="W648" s="108"/>
      <c r="X648" s="108"/>
      <c r="Y648" s="108"/>
      <c r="Z648" s="108"/>
    </row>
    <row r="649" spans="1:26" ht="13.5" customHeight="1">
      <c r="A649" s="104"/>
      <c r="B649" s="173"/>
      <c r="C649" s="292"/>
      <c r="D649" s="292"/>
      <c r="E649" s="292"/>
      <c r="F649" s="292"/>
      <c r="G649" s="292"/>
      <c r="H649" s="292"/>
      <c r="I649" s="53"/>
      <c r="J649" s="109"/>
      <c r="K649" s="109"/>
      <c r="L649" s="228"/>
      <c r="M649" s="69"/>
      <c r="N649" s="134"/>
      <c r="O649" s="115"/>
      <c r="P649" s="101"/>
      <c r="Q649" s="107"/>
      <c r="R649" s="107"/>
      <c r="S649" s="108"/>
      <c r="T649" s="108"/>
      <c r="U649" s="108"/>
      <c r="V649" s="108"/>
      <c r="W649" s="108"/>
      <c r="X649" s="108"/>
      <c r="Y649" s="108"/>
      <c r="Z649" s="108"/>
    </row>
    <row r="650" spans="1:26" ht="126" customHeight="1">
      <c r="A650" s="104" t="s">
        <v>736</v>
      </c>
      <c r="B650" s="173" t="s">
        <v>2041</v>
      </c>
      <c r="C650" s="292">
        <v>0</v>
      </c>
      <c r="D650" s="292">
        <v>0</v>
      </c>
      <c r="E650" s="292">
        <v>0</v>
      </c>
      <c r="F650" s="292">
        <v>0</v>
      </c>
      <c r="G650" s="292">
        <v>0</v>
      </c>
      <c r="H650" s="292">
        <v>0</v>
      </c>
      <c r="I650" s="53" t="s">
        <v>38</v>
      </c>
      <c r="J650" s="109" t="s">
        <v>748</v>
      </c>
      <c r="K650" s="69" t="s">
        <v>748</v>
      </c>
      <c r="L650" s="109" t="s">
        <v>748</v>
      </c>
      <c r="M650" s="69" t="s">
        <v>748</v>
      </c>
      <c r="N650" s="109" t="s">
        <v>748</v>
      </c>
      <c r="O650" s="109" t="s">
        <v>748</v>
      </c>
      <c r="P650" s="101"/>
      <c r="Q650" s="107"/>
      <c r="R650" s="107"/>
      <c r="S650" s="108"/>
      <c r="T650" s="108"/>
      <c r="U650" s="108"/>
      <c r="V650" s="108"/>
      <c r="W650" s="108"/>
      <c r="X650" s="108"/>
      <c r="Y650" s="108"/>
      <c r="Z650" s="108"/>
    </row>
    <row r="651" spans="1:26" ht="13.5" customHeight="1">
      <c r="A651" s="104"/>
      <c r="B651" s="173"/>
      <c r="C651" s="292"/>
      <c r="D651" s="292"/>
      <c r="E651" s="292"/>
      <c r="F651" s="292"/>
      <c r="G651" s="292"/>
      <c r="H651" s="292"/>
      <c r="I651" s="53"/>
      <c r="J651" s="69"/>
      <c r="K651" s="69"/>
      <c r="L651" s="69"/>
      <c r="M651" s="109"/>
      <c r="N651" s="69"/>
      <c r="O651" s="69"/>
      <c r="P651" s="101"/>
      <c r="Q651" s="107"/>
      <c r="R651" s="107"/>
      <c r="S651" s="108"/>
      <c r="T651" s="108"/>
      <c r="U651" s="108"/>
      <c r="V651" s="108"/>
      <c r="W651" s="108"/>
      <c r="X651" s="108"/>
      <c r="Y651" s="108"/>
      <c r="Z651" s="108"/>
    </row>
    <row r="652" spans="1:26" ht="153.75" customHeight="1">
      <c r="A652" s="104" t="s">
        <v>736</v>
      </c>
      <c r="B652" s="173" t="s">
        <v>2042</v>
      </c>
      <c r="C652" s="292">
        <v>0</v>
      </c>
      <c r="D652" s="292">
        <v>0</v>
      </c>
      <c r="E652" s="292">
        <v>0</v>
      </c>
      <c r="F652" s="292">
        <v>0</v>
      </c>
      <c r="G652" s="292">
        <v>0</v>
      </c>
      <c r="H652" s="292">
        <v>0</v>
      </c>
      <c r="I652" s="53" t="s">
        <v>38</v>
      </c>
      <c r="J652" s="109" t="s">
        <v>748</v>
      </c>
      <c r="K652" s="109" t="s">
        <v>748</v>
      </c>
      <c r="L652" s="109" t="s">
        <v>748</v>
      </c>
      <c r="M652" s="69" t="s">
        <v>748</v>
      </c>
      <c r="N652" s="109" t="s">
        <v>748</v>
      </c>
      <c r="O652" s="109" t="s">
        <v>748</v>
      </c>
      <c r="P652" s="101"/>
      <c r="Q652" s="107"/>
      <c r="R652" s="107"/>
      <c r="S652" s="108"/>
      <c r="T652" s="108"/>
      <c r="U652" s="108"/>
      <c r="V652" s="108"/>
      <c r="W652" s="108"/>
      <c r="X652" s="108"/>
      <c r="Y652" s="108"/>
      <c r="Z652" s="108"/>
    </row>
    <row r="653" spans="1:26" ht="13.5" customHeight="1">
      <c r="A653" s="104"/>
      <c r="B653" s="173"/>
      <c r="C653" s="292"/>
      <c r="D653" s="292"/>
      <c r="E653" s="292"/>
      <c r="F653" s="292"/>
      <c r="G653" s="292"/>
      <c r="H653" s="292"/>
      <c r="I653" s="53"/>
      <c r="J653" s="69"/>
      <c r="K653" s="109"/>
      <c r="L653" s="69"/>
      <c r="M653" s="69"/>
      <c r="N653" s="69"/>
      <c r="O653" s="69"/>
      <c r="P653" s="101"/>
      <c r="Q653" s="107"/>
      <c r="R653" s="107"/>
      <c r="S653" s="108"/>
      <c r="T653" s="108"/>
      <c r="U653" s="108"/>
      <c r="V653" s="108"/>
      <c r="W653" s="108"/>
      <c r="X653" s="108"/>
      <c r="Y653" s="108"/>
      <c r="Z653" s="108"/>
    </row>
    <row r="654" spans="1:26" ht="93.75" customHeight="1">
      <c r="A654" s="104" t="s">
        <v>736</v>
      </c>
      <c r="B654" s="60" t="s">
        <v>594</v>
      </c>
      <c r="C654" s="292">
        <v>0.5</v>
      </c>
      <c r="D654" s="292">
        <v>0</v>
      </c>
      <c r="E654" s="292">
        <v>0</v>
      </c>
      <c r="F654" s="897">
        <v>1</v>
      </c>
      <c r="G654" s="292">
        <v>0.5</v>
      </c>
      <c r="H654" s="292">
        <v>0</v>
      </c>
      <c r="I654" s="53" t="s">
        <v>154</v>
      </c>
      <c r="J654" s="69" t="s">
        <v>2043</v>
      </c>
      <c r="K654" s="69" t="s">
        <v>748</v>
      </c>
      <c r="L654" s="228" t="s">
        <v>2044</v>
      </c>
      <c r="M654" s="69" t="s">
        <v>2045</v>
      </c>
      <c r="N654" s="69" t="s">
        <v>2046</v>
      </c>
      <c r="O654" s="109" t="s">
        <v>748</v>
      </c>
      <c r="P654" s="101"/>
      <c r="Q654" s="107"/>
      <c r="R654" s="107"/>
      <c r="S654" s="108"/>
      <c r="T654" s="108"/>
      <c r="U654" s="108"/>
      <c r="V654" s="108"/>
      <c r="W654" s="108"/>
      <c r="X654" s="108"/>
      <c r="Y654" s="108"/>
      <c r="Z654" s="108"/>
    </row>
    <row r="655" spans="1:26" ht="13.5" customHeight="1">
      <c r="A655" s="104"/>
      <c r="B655" s="173"/>
      <c r="C655" s="292"/>
      <c r="D655" s="292"/>
      <c r="E655" s="292"/>
      <c r="F655" s="292"/>
      <c r="G655" s="292"/>
      <c r="H655" s="292"/>
      <c r="I655" s="53"/>
      <c r="J655" s="69"/>
      <c r="K655" s="69"/>
      <c r="L655" s="228"/>
      <c r="M655" s="397"/>
      <c r="N655" s="134"/>
      <c r="O655" s="115"/>
      <c r="P655" s="101"/>
      <c r="Q655" s="107"/>
      <c r="R655" s="107"/>
      <c r="S655" s="108"/>
      <c r="T655" s="108"/>
      <c r="U655" s="108"/>
      <c r="V655" s="108"/>
      <c r="W655" s="108"/>
      <c r="X655" s="108"/>
      <c r="Y655" s="108"/>
      <c r="Z655" s="108"/>
    </row>
    <row r="656" spans="1:26" ht="111.75" customHeight="1">
      <c r="A656" s="104" t="s">
        <v>736</v>
      </c>
      <c r="B656" s="173" t="s">
        <v>595</v>
      </c>
      <c r="C656" s="292">
        <v>1</v>
      </c>
      <c r="D656" s="292">
        <v>1</v>
      </c>
      <c r="E656" s="292">
        <v>0</v>
      </c>
      <c r="F656" s="292">
        <v>1</v>
      </c>
      <c r="G656" s="292">
        <v>1</v>
      </c>
      <c r="H656" s="292">
        <v>0</v>
      </c>
      <c r="I656" s="53" t="s">
        <v>38</v>
      </c>
      <c r="J656" s="69" t="s">
        <v>2047</v>
      </c>
      <c r="K656" s="69" t="s">
        <v>811</v>
      </c>
      <c r="L656" s="228" t="s">
        <v>748</v>
      </c>
      <c r="M656" s="69" t="s">
        <v>811</v>
      </c>
      <c r="N656" s="69" t="s">
        <v>811</v>
      </c>
      <c r="O656" s="69" t="s">
        <v>748</v>
      </c>
      <c r="P656" s="101"/>
      <c r="Q656" s="107"/>
      <c r="R656" s="107"/>
      <c r="S656" s="108"/>
      <c r="T656" s="108"/>
      <c r="U656" s="108"/>
      <c r="V656" s="108"/>
      <c r="W656" s="108"/>
      <c r="X656" s="108"/>
      <c r="Y656" s="108"/>
      <c r="Z656" s="108"/>
    </row>
    <row r="657" spans="1:26" ht="13.5" customHeight="1">
      <c r="A657" s="104"/>
      <c r="B657" s="917"/>
      <c r="C657" s="91"/>
      <c r="D657" s="69"/>
      <c r="E657" s="398"/>
      <c r="F657" s="91"/>
      <c r="G657" s="192"/>
      <c r="H657" s="91"/>
      <c r="I657" s="53"/>
      <c r="J657" s="109"/>
      <c r="K657" s="109"/>
      <c r="L657" s="69"/>
      <c r="M657" s="69"/>
      <c r="N657" s="69"/>
      <c r="O657" s="69"/>
      <c r="P657" s="101"/>
      <c r="Q657" s="107"/>
      <c r="R657" s="107"/>
      <c r="S657" s="108"/>
      <c r="T657" s="108"/>
      <c r="U657" s="108"/>
      <c r="V657" s="108"/>
      <c r="W657" s="108"/>
      <c r="X657" s="108"/>
      <c r="Y657" s="108"/>
      <c r="Z657" s="108"/>
    </row>
    <row r="658" spans="1:26" ht="13.5" customHeight="1">
      <c r="A658" s="301" t="s">
        <v>2048</v>
      </c>
      <c r="B658" s="204" t="s">
        <v>602</v>
      </c>
      <c r="C658" s="111">
        <f t="shared" ref="C658:H658" si="129">AVERAGE(C659,C661,C663,C665,C667,C669,C671,C673,C675)</f>
        <v>0.88888888888888884</v>
      </c>
      <c r="D658" s="111">
        <f t="shared" si="129"/>
        <v>0.88888888888888884</v>
      </c>
      <c r="E658" s="111">
        <f t="shared" si="129"/>
        <v>0.77777777777777779</v>
      </c>
      <c r="F658" s="111">
        <f t="shared" si="129"/>
        <v>0.88888888888888884</v>
      </c>
      <c r="G658" s="111">
        <f t="shared" si="129"/>
        <v>0.77777777777777779</v>
      </c>
      <c r="H658" s="111">
        <f t="shared" si="129"/>
        <v>0.66666666666666663</v>
      </c>
      <c r="I658" s="53"/>
      <c r="J658" s="396"/>
      <c r="K658" s="396"/>
      <c r="L658" s="185"/>
      <c r="M658" s="185"/>
      <c r="N658" s="185"/>
      <c r="O658" s="185"/>
      <c r="P658" s="98"/>
      <c r="Q658" s="171"/>
      <c r="R658" s="171"/>
      <c r="S658" s="172"/>
      <c r="T658" s="172"/>
      <c r="U658" s="172"/>
      <c r="V658" s="172"/>
      <c r="W658" s="172"/>
      <c r="X658" s="172"/>
      <c r="Y658" s="172"/>
      <c r="Z658" s="172"/>
    </row>
    <row r="659" spans="1:26" ht="27.75" customHeight="1">
      <c r="A659" s="104" t="s">
        <v>736</v>
      </c>
      <c r="B659" s="173" t="s">
        <v>2049</v>
      </c>
      <c r="C659" s="292">
        <v>1</v>
      </c>
      <c r="D659" s="292">
        <v>1</v>
      </c>
      <c r="E659" s="292">
        <v>1</v>
      </c>
      <c r="F659" s="292">
        <v>1</v>
      </c>
      <c r="G659" s="292">
        <v>1</v>
      </c>
      <c r="H659" s="292">
        <v>1</v>
      </c>
      <c r="I659" s="53" t="s">
        <v>38</v>
      </c>
      <c r="J659" s="69" t="s">
        <v>811</v>
      </c>
      <c r="K659" s="69" t="s">
        <v>811</v>
      </c>
      <c r="L659" s="69" t="s">
        <v>811</v>
      </c>
      <c r="M659" s="69" t="s">
        <v>811</v>
      </c>
      <c r="N659" s="69" t="s">
        <v>811</v>
      </c>
      <c r="O659" s="69" t="s">
        <v>811</v>
      </c>
      <c r="P659" s="101"/>
      <c r="Q659" s="107"/>
      <c r="R659" s="107"/>
      <c r="S659" s="108"/>
      <c r="T659" s="108"/>
      <c r="U659" s="108"/>
      <c r="V659" s="108"/>
      <c r="W659" s="108"/>
      <c r="X659" s="108"/>
      <c r="Y659" s="108"/>
      <c r="Z659" s="108"/>
    </row>
    <row r="660" spans="1:26" ht="13.5" customHeight="1">
      <c r="A660" s="164"/>
      <c r="B660" s="173"/>
      <c r="C660" s="292"/>
      <c r="D660" s="292"/>
      <c r="E660" s="292"/>
      <c r="F660" s="292"/>
      <c r="G660" s="292"/>
      <c r="H660" s="292"/>
      <c r="I660" s="53"/>
      <c r="J660" s="116"/>
      <c r="K660" s="115"/>
      <c r="L660" s="115"/>
      <c r="M660" s="69"/>
      <c r="N660" s="115"/>
      <c r="O660" s="109"/>
      <c r="P660" s="101"/>
      <c r="Q660" s="107"/>
      <c r="R660" s="107"/>
      <c r="S660" s="108"/>
      <c r="T660" s="108"/>
      <c r="U660" s="108"/>
      <c r="V660" s="108"/>
      <c r="W660" s="108"/>
      <c r="X660" s="108"/>
      <c r="Y660" s="108"/>
      <c r="Z660" s="108"/>
    </row>
    <row r="661" spans="1:26" ht="42" customHeight="1">
      <c r="A661" s="104" t="s">
        <v>736</v>
      </c>
      <c r="B661" s="173" t="s">
        <v>2050</v>
      </c>
      <c r="C661" s="292">
        <v>1</v>
      </c>
      <c r="D661" s="292">
        <v>1</v>
      </c>
      <c r="E661" s="292">
        <v>1</v>
      </c>
      <c r="F661" s="292">
        <v>1</v>
      </c>
      <c r="G661" s="292">
        <v>1</v>
      </c>
      <c r="H661" s="292">
        <v>1</v>
      </c>
      <c r="I661" s="53" t="s">
        <v>38</v>
      </c>
      <c r="J661" s="69" t="s">
        <v>811</v>
      </c>
      <c r="K661" s="69" t="s">
        <v>811</v>
      </c>
      <c r="L661" s="69" t="s">
        <v>811</v>
      </c>
      <c r="M661" s="69" t="s">
        <v>811</v>
      </c>
      <c r="N661" s="69" t="s">
        <v>811</v>
      </c>
      <c r="O661" s="69" t="s">
        <v>811</v>
      </c>
      <c r="P661" s="101"/>
      <c r="Q661" s="107"/>
      <c r="R661" s="107"/>
      <c r="S661" s="108"/>
      <c r="T661" s="108"/>
      <c r="U661" s="108"/>
      <c r="V661" s="108"/>
      <c r="W661" s="108"/>
      <c r="X661" s="108"/>
      <c r="Y661" s="108"/>
      <c r="Z661" s="108"/>
    </row>
    <row r="662" spans="1:26" ht="13.5" customHeight="1">
      <c r="A662" s="104"/>
      <c r="B662" s="173"/>
      <c r="C662" s="292"/>
      <c r="D662" s="292"/>
      <c r="E662" s="292"/>
      <c r="F662" s="292"/>
      <c r="G662" s="292"/>
      <c r="H662" s="292"/>
      <c r="I662" s="53"/>
      <c r="J662" s="116"/>
      <c r="K662" s="115"/>
      <c r="L662" s="115"/>
      <c r="M662" s="69"/>
      <c r="N662" s="115"/>
      <c r="O662" s="109"/>
      <c r="P662" s="101"/>
      <c r="Q662" s="107"/>
      <c r="R662" s="107"/>
      <c r="S662" s="108"/>
      <c r="T662" s="108"/>
      <c r="U662" s="108"/>
      <c r="V662" s="108"/>
      <c r="W662" s="108"/>
      <c r="X662" s="108"/>
      <c r="Y662" s="108"/>
      <c r="Z662" s="108"/>
    </row>
    <row r="663" spans="1:26" ht="42" customHeight="1">
      <c r="A663" s="104" t="s">
        <v>736</v>
      </c>
      <c r="B663" s="173" t="s">
        <v>2051</v>
      </c>
      <c r="C663" s="292">
        <v>1</v>
      </c>
      <c r="D663" s="292">
        <v>1</v>
      </c>
      <c r="E663" s="292">
        <v>1</v>
      </c>
      <c r="F663" s="292">
        <v>1</v>
      </c>
      <c r="G663" s="292">
        <v>0</v>
      </c>
      <c r="H663" s="292">
        <v>0</v>
      </c>
      <c r="I663" s="53" t="s">
        <v>38</v>
      </c>
      <c r="J663" s="69" t="s">
        <v>811</v>
      </c>
      <c r="K663" s="69" t="s">
        <v>811</v>
      </c>
      <c r="L663" s="69" t="s">
        <v>811</v>
      </c>
      <c r="M663" s="69" t="s">
        <v>811</v>
      </c>
      <c r="N663" s="228" t="s">
        <v>748</v>
      </c>
      <c r="O663" s="228" t="s">
        <v>748</v>
      </c>
      <c r="P663" s="101"/>
      <c r="Q663" s="107"/>
      <c r="R663" s="107"/>
      <c r="S663" s="108"/>
      <c r="T663" s="108"/>
      <c r="U663" s="108"/>
      <c r="V663" s="108"/>
      <c r="W663" s="108"/>
      <c r="X663" s="108"/>
      <c r="Y663" s="108"/>
      <c r="Z663" s="108"/>
    </row>
    <row r="664" spans="1:26" ht="13.5" customHeight="1">
      <c r="A664" s="104"/>
      <c r="B664" s="173"/>
      <c r="C664" s="292"/>
      <c r="D664" s="292"/>
      <c r="E664" s="292"/>
      <c r="F664" s="292"/>
      <c r="G664" s="292"/>
      <c r="H664" s="292"/>
      <c r="I664" s="53"/>
      <c r="J664" s="116"/>
      <c r="K664" s="116"/>
      <c r="L664" s="115"/>
      <c r="M664" s="69"/>
      <c r="N664" s="115"/>
      <c r="O664" s="109"/>
      <c r="P664" s="101"/>
      <c r="Q664" s="107"/>
      <c r="R664" s="107"/>
      <c r="S664" s="108"/>
      <c r="T664" s="108"/>
      <c r="U664" s="108"/>
      <c r="V664" s="108"/>
      <c r="W664" s="108"/>
      <c r="X664" s="108"/>
      <c r="Y664" s="108"/>
      <c r="Z664" s="108"/>
    </row>
    <row r="665" spans="1:26" ht="55.5" customHeight="1">
      <c r="A665" s="104" t="s">
        <v>736</v>
      </c>
      <c r="B665" s="173" t="s">
        <v>2052</v>
      </c>
      <c r="C665" s="292">
        <v>1</v>
      </c>
      <c r="D665" s="292">
        <v>1</v>
      </c>
      <c r="E665" s="292">
        <v>1</v>
      </c>
      <c r="F665" s="292">
        <v>1</v>
      </c>
      <c r="G665" s="292">
        <v>1</v>
      </c>
      <c r="H665" s="292">
        <v>1</v>
      </c>
      <c r="I665" s="53" t="s">
        <v>38</v>
      </c>
      <c r="J665" s="69" t="s">
        <v>811</v>
      </c>
      <c r="K665" s="69" t="s">
        <v>811</v>
      </c>
      <c r="L665" s="69" t="s">
        <v>811</v>
      </c>
      <c r="M665" s="69" t="s">
        <v>811</v>
      </c>
      <c r="N665" s="69" t="s">
        <v>811</v>
      </c>
      <c r="O665" s="69" t="s">
        <v>811</v>
      </c>
      <c r="P665" s="101"/>
      <c r="Q665" s="107"/>
      <c r="R665" s="107"/>
      <c r="S665" s="108"/>
      <c r="T665" s="108"/>
      <c r="U665" s="108"/>
      <c r="V665" s="108"/>
      <c r="W665" s="108"/>
      <c r="X665" s="108"/>
      <c r="Y665" s="108"/>
      <c r="Z665" s="108"/>
    </row>
    <row r="666" spans="1:26" ht="13.5" customHeight="1">
      <c r="A666" s="104"/>
      <c r="B666" s="173"/>
      <c r="C666" s="292"/>
      <c r="D666" s="292"/>
      <c r="E666" s="292"/>
      <c r="F666" s="292"/>
      <c r="G666" s="292"/>
      <c r="H666" s="292"/>
      <c r="I666" s="53"/>
      <c r="J666" s="116"/>
      <c r="K666" s="116"/>
      <c r="L666" s="115"/>
      <c r="M666" s="69"/>
      <c r="N666" s="115"/>
      <c r="O666" s="109"/>
      <c r="P666" s="101"/>
      <c r="Q666" s="107"/>
      <c r="R666" s="107"/>
      <c r="S666" s="108"/>
      <c r="T666" s="108"/>
      <c r="U666" s="108"/>
      <c r="V666" s="108"/>
      <c r="W666" s="108"/>
      <c r="X666" s="108"/>
      <c r="Y666" s="108"/>
      <c r="Z666" s="108"/>
    </row>
    <row r="667" spans="1:26" ht="43.5" customHeight="1">
      <c r="A667" s="104" t="s">
        <v>736</v>
      </c>
      <c r="B667" s="173" t="s">
        <v>2053</v>
      </c>
      <c r="C667" s="292">
        <v>1</v>
      </c>
      <c r="D667" s="292">
        <v>1</v>
      </c>
      <c r="E667" s="292">
        <v>1</v>
      </c>
      <c r="F667" s="292">
        <v>1</v>
      </c>
      <c r="G667" s="292">
        <v>1</v>
      </c>
      <c r="H667" s="292">
        <v>1</v>
      </c>
      <c r="I667" s="53" t="s">
        <v>38</v>
      </c>
      <c r="J667" s="69" t="s">
        <v>811</v>
      </c>
      <c r="K667" s="69" t="s">
        <v>811</v>
      </c>
      <c r="L667" s="69" t="s">
        <v>811</v>
      </c>
      <c r="M667" s="69" t="s">
        <v>811</v>
      </c>
      <c r="N667" s="69" t="s">
        <v>811</v>
      </c>
      <c r="O667" s="69" t="s">
        <v>811</v>
      </c>
      <c r="P667" s="101"/>
      <c r="Q667" s="107"/>
      <c r="R667" s="107"/>
      <c r="S667" s="108"/>
      <c r="T667" s="108"/>
      <c r="U667" s="108"/>
      <c r="V667" s="108"/>
      <c r="W667" s="108"/>
      <c r="X667" s="108"/>
      <c r="Y667" s="108"/>
      <c r="Z667" s="108"/>
    </row>
    <row r="668" spans="1:26" ht="13.5" customHeight="1">
      <c r="A668" s="104"/>
      <c r="B668" s="173"/>
      <c r="C668" s="292"/>
      <c r="D668" s="292"/>
      <c r="E668" s="292"/>
      <c r="F668" s="292"/>
      <c r="G668" s="292"/>
      <c r="H668" s="292"/>
      <c r="I668" s="53"/>
      <c r="J668" s="116"/>
      <c r="K668" s="116"/>
      <c r="L668" s="115"/>
      <c r="M668" s="69"/>
      <c r="N668" s="115"/>
      <c r="O668" s="109"/>
      <c r="P668" s="101"/>
      <c r="Q668" s="107"/>
      <c r="R668" s="107"/>
      <c r="S668" s="108"/>
      <c r="T668" s="108"/>
      <c r="U668" s="108"/>
      <c r="V668" s="108"/>
      <c r="W668" s="108"/>
      <c r="X668" s="108"/>
      <c r="Y668" s="108"/>
      <c r="Z668" s="108"/>
    </row>
    <row r="669" spans="1:26" ht="55.5" customHeight="1">
      <c r="A669" s="104" t="s">
        <v>736</v>
      </c>
      <c r="B669" s="173" t="s">
        <v>2054</v>
      </c>
      <c r="C669" s="292">
        <v>1</v>
      </c>
      <c r="D669" s="292">
        <v>1</v>
      </c>
      <c r="E669" s="292">
        <v>1</v>
      </c>
      <c r="F669" s="292">
        <v>1</v>
      </c>
      <c r="G669" s="292">
        <v>1</v>
      </c>
      <c r="H669" s="292">
        <v>1</v>
      </c>
      <c r="I669" s="53" t="s">
        <v>38</v>
      </c>
      <c r="J669" s="69" t="s">
        <v>811</v>
      </c>
      <c r="K669" s="69" t="s">
        <v>811</v>
      </c>
      <c r="L669" s="69" t="s">
        <v>811</v>
      </c>
      <c r="M669" s="69" t="s">
        <v>811</v>
      </c>
      <c r="N669" s="69" t="s">
        <v>811</v>
      </c>
      <c r="O669" s="69" t="s">
        <v>811</v>
      </c>
      <c r="P669" s="101"/>
      <c r="Q669" s="107"/>
      <c r="R669" s="107"/>
      <c r="S669" s="108"/>
      <c r="T669" s="108"/>
      <c r="U669" s="108"/>
      <c r="V669" s="108"/>
      <c r="W669" s="108"/>
      <c r="X669" s="108"/>
      <c r="Y669" s="108"/>
      <c r="Z669" s="108"/>
    </row>
    <row r="670" spans="1:26" ht="13.5" customHeight="1">
      <c r="A670" s="104"/>
      <c r="B670" s="173"/>
      <c r="C670" s="292"/>
      <c r="D670" s="292"/>
      <c r="E670" s="292"/>
      <c r="F670" s="292"/>
      <c r="G670" s="292"/>
      <c r="H670" s="292"/>
      <c r="I670" s="53"/>
      <c r="J670" s="116"/>
      <c r="K670" s="116"/>
      <c r="L670" s="115"/>
      <c r="M670" s="69"/>
      <c r="N670" s="115"/>
      <c r="O670" s="109"/>
      <c r="P670" s="101"/>
      <c r="Q670" s="107"/>
      <c r="R670" s="107"/>
      <c r="S670" s="108"/>
      <c r="T670" s="108"/>
      <c r="U670" s="108"/>
      <c r="V670" s="108"/>
      <c r="W670" s="108"/>
      <c r="X670" s="108"/>
      <c r="Y670" s="108"/>
      <c r="Z670" s="108"/>
    </row>
    <row r="671" spans="1:26" ht="55.5" customHeight="1">
      <c r="A671" s="104" t="s">
        <v>736</v>
      </c>
      <c r="B671" s="173" t="s">
        <v>603</v>
      </c>
      <c r="C671" s="292">
        <v>1</v>
      </c>
      <c r="D671" s="292">
        <v>0</v>
      </c>
      <c r="E671" s="292">
        <v>1</v>
      </c>
      <c r="F671" s="292">
        <v>0</v>
      </c>
      <c r="G671" s="897">
        <v>1</v>
      </c>
      <c r="H671" s="897">
        <v>1</v>
      </c>
      <c r="I671" s="919" t="s">
        <v>38</v>
      </c>
      <c r="J671" s="69" t="s">
        <v>811</v>
      </c>
      <c r="K671" s="109" t="s">
        <v>748</v>
      </c>
      <c r="L671" s="69" t="s">
        <v>811</v>
      </c>
      <c r="M671" s="69" t="s">
        <v>748</v>
      </c>
      <c r="N671" s="69" t="s">
        <v>2055</v>
      </c>
      <c r="O671" s="69" t="s">
        <v>811</v>
      </c>
      <c r="P671" s="101"/>
      <c r="Q671" s="107"/>
      <c r="R671" s="107"/>
      <c r="S671" s="108"/>
      <c r="T671" s="108"/>
      <c r="U671" s="108"/>
      <c r="V671" s="108"/>
      <c r="W671" s="108"/>
      <c r="X671" s="108"/>
      <c r="Y671" s="108"/>
      <c r="Z671" s="108"/>
    </row>
    <row r="672" spans="1:26" ht="34.5" customHeight="1">
      <c r="A672" s="104"/>
      <c r="B672" s="173"/>
      <c r="C672" s="292"/>
      <c r="D672" s="292"/>
      <c r="E672" s="292"/>
      <c r="F672" s="292"/>
      <c r="G672" s="292"/>
      <c r="H672" s="292"/>
      <c r="I672" s="53"/>
      <c r="J672" s="116"/>
      <c r="K672" s="69"/>
      <c r="L672" s="228"/>
      <c r="M672" s="69"/>
      <c r="N672" s="69"/>
      <c r="O672" s="69"/>
      <c r="P672" s="101"/>
      <c r="Q672" s="107"/>
      <c r="R672" s="107"/>
      <c r="S672" s="108"/>
      <c r="T672" s="108"/>
      <c r="U672" s="108"/>
      <c r="V672" s="108"/>
      <c r="W672" s="108"/>
      <c r="X672" s="108"/>
      <c r="Y672" s="108"/>
      <c r="Z672" s="108"/>
    </row>
    <row r="673" spans="1:26" ht="83.25" customHeight="1">
      <c r="A673" s="104" t="s">
        <v>736</v>
      </c>
      <c r="B673" s="173" t="s">
        <v>2056</v>
      </c>
      <c r="C673" s="292">
        <v>1</v>
      </c>
      <c r="D673" s="292">
        <v>1</v>
      </c>
      <c r="E673" s="292">
        <v>0</v>
      </c>
      <c r="F673" s="292">
        <v>1</v>
      </c>
      <c r="G673" s="292">
        <v>0</v>
      </c>
      <c r="H673" s="292">
        <v>0</v>
      </c>
      <c r="I673" s="53" t="s">
        <v>38</v>
      </c>
      <c r="J673" s="69" t="s">
        <v>2057</v>
      </c>
      <c r="K673" s="69" t="s">
        <v>2057</v>
      </c>
      <c r="L673" s="228" t="s">
        <v>748</v>
      </c>
      <c r="M673" s="69" t="s">
        <v>811</v>
      </c>
      <c r="N673" s="228" t="s">
        <v>748</v>
      </c>
      <c r="O673" s="228" t="s">
        <v>748</v>
      </c>
      <c r="P673" s="101"/>
      <c r="Q673" s="107"/>
      <c r="R673" s="107"/>
      <c r="S673" s="108"/>
      <c r="T673" s="108"/>
      <c r="U673" s="108"/>
      <c r="V673" s="108"/>
      <c r="W673" s="108"/>
      <c r="X673" s="108"/>
      <c r="Y673" s="108"/>
      <c r="Z673" s="108"/>
    </row>
    <row r="674" spans="1:26" ht="13.5" customHeight="1">
      <c r="A674" s="104"/>
      <c r="B674" s="173"/>
      <c r="C674" s="292"/>
      <c r="D674" s="292"/>
      <c r="E674" s="292"/>
      <c r="F674" s="292"/>
      <c r="G674" s="292"/>
      <c r="H674" s="292"/>
      <c r="I674" s="53"/>
      <c r="J674" s="69"/>
      <c r="K674" s="69"/>
      <c r="L674" s="228"/>
      <c r="M674" s="69"/>
      <c r="N674" s="134"/>
      <c r="O674" s="69"/>
      <c r="P674" s="101"/>
      <c r="Q674" s="107"/>
      <c r="R674" s="107"/>
      <c r="S674" s="108"/>
      <c r="T674" s="108"/>
      <c r="U674" s="108"/>
      <c r="V674" s="108"/>
      <c r="W674" s="108"/>
      <c r="X674" s="108"/>
      <c r="Y674" s="108"/>
      <c r="Z674" s="108"/>
    </row>
    <row r="675" spans="1:26" ht="55.5" customHeight="1">
      <c r="A675" s="104" t="s">
        <v>736</v>
      </c>
      <c r="B675" s="173" t="s">
        <v>2058</v>
      </c>
      <c r="C675" s="292">
        <v>0</v>
      </c>
      <c r="D675" s="897">
        <v>1</v>
      </c>
      <c r="E675" s="292">
        <v>0</v>
      </c>
      <c r="F675" s="292">
        <v>1</v>
      </c>
      <c r="G675" s="292">
        <v>1</v>
      </c>
      <c r="H675" s="292">
        <v>0</v>
      </c>
      <c r="I675" s="53" t="s">
        <v>38</v>
      </c>
      <c r="J675" s="69" t="s">
        <v>943</v>
      </c>
      <c r="K675" s="69" t="s">
        <v>2059</v>
      </c>
      <c r="L675" s="228" t="s">
        <v>748</v>
      </c>
      <c r="M675" s="69" t="s">
        <v>811</v>
      </c>
      <c r="N675" s="69" t="s">
        <v>811</v>
      </c>
      <c r="O675" s="228" t="s">
        <v>748</v>
      </c>
      <c r="P675" s="101"/>
      <c r="Q675" s="107"/>
      <c r="R675" s="107"/>
      <c r="S675" s="108"/>
      <c r="T675" s="108"/>
      <c r="U675" s="108"/>
      <c r="V675" s="108"/>
      <c r="W675" s="108"/>
      <c r="X675" s="108"/>
      <c r="Y675" s="108"/>
      <c r="Z675" s="108"/>
    </row>
    <row r="676" spans="1:26" ht="13.5" customHeight="1">
      <c r="A676" s="104"/>
      <c r="B676" s="405"/>
      <c r="C676" s="292"/>
      <c r="D676" s="69"/>
      <c r="E676" s="398"/>
      <c r="F676" s="91"/>
      <c r="G676" s="192"/>
      <c r="H676" s="91"/>
      <c r="I676" s="53"/>
      <c r="J676" s="109"/>
      <c r="K676" s="109"/>
      <c r="L676" s="69"/>
      <c r="M676" s="69"/>
      <c r="N676" s="69"/>
      <c r="O676" s="69"/>
      <c r="P676" s="101"/>
      <c r="Q676" s="107"/>
      <c r="R676" s="107"/>
      <c r="S676" s="108"/>
      <c r="T676" s="108"/>
      <c r="U676" s="108"/>
      <c r="V676" s="108"/>
      <c r="W676" s="108"/>
      <c r="X676" s="108"/>
      <c r="Y676" s="108"/>
      <c r="Z676" s="108"/>
    </row>
    <row r="677" spans="1:26" ht="30" customHeight="1">
      <c r="A677" s="363" t="s">
        <v>440</v>
      </c>
      <c r="B677" s="121" t="s">
        <v>609</v>
      </c>
      <c r="C677" s="395">
        <f t="shared" ref="C677:H677" si="130">AVERAGE(C678,C680,C682,C684,C686,C688,C692,C694,C696)</f>
        <v>0.81739130434782614</v>
      </c>
      <c r="D677" s="395">
        <f t="shared" si="130"/>
        <v>0.93140096618357482</v>
      </c>
      <c r="E677" s="395">
        <f t="shared" si="130"/>
        <v>0.48019323671497577</v>
      </c>
      <c r="F677" s="395">
        <f t="shared" si="130"/>
        <v>0.77777777777777779</v>
      </c>
      <c r="G677" s="395">
        <f t="shared" si="130"/>
        <v>0.87149758454106285</v>
      </c>
      <c r="H677" s="395">
        <f t="shared" si="130"/>
        <v>0.72270531400966176</v>
      </c>
      <c r="I677" s="53"/>
      <c r="J677" s="396"/>
      <c r="K677" s="396"/>
      <c r="L677" s="185"/>
      <c r="M677" s="185"/>
      <c r="N677" s="185"/>
      <c r="O677" s="185"/>
      <c r="P677" s="98"/>
      <c r="Q677" s="171"/>
      <c r="R677" s="171"/>
      <c r="S677" s="172"/>
      <c r="T677" s="172"/>
      <c r="U677" s="172"/>
      <c r="V677" s="172"/>
      <c r="W677" s="172"/>
      <c r="X677" s="172"/>
      <c r="Y677" s="172"/>
      <c r="Z677" s="172"/>
    </row>
    <row r="678" spans="1:26" ht="52.5" customHeight="1">
      <c r="A678" s="104" t="s">
        <v>736</v>
      </c>
      <c r="B678" s="173" t="s">
        <v>2060</v>
      </c>
      <c r="C678" s="292">
        <f>(41-0)/(115-0)</f>
        <v>0.35652173913043478</v>
      </c>
      <c r="D678" s="292">
        <f>(K678-0)/(115-0)</f>
        <v>0.38260869565217392</v>
      </c>
      <c r="E678" s="292">
        <f>(L678-0)/(115-0)</f>
        <v>0.32173913043478258</v>
      </c>
      <c r="F678" s="292">
        <f>(M678-0)/(115-0)</f>
        <v>1</v>
      </c>
      <c r="G678" s="292">
        <f>(N678-0)/(115-0)</f>
        <v>0.84347826086956523</v>
      </c>
      <c r="H678" s="292">
        <f>(O678-0)/(115-0)</f>
        <v>0.5043478260869565</v>
      </c>
      <c r="I678" s="919" t="s">
        <v>611</v>
      </c>
      <c r="J678" s="69" t="s">
        <v>2061</v>
      </c>
      <c r="K678" s="69">
        <v>44</v>
      </c>
      <c r="L678" s="109">
        <v>37</v>
      </c>
      <c r="M678" s="69">
        <v>115</v>
      </c>
      <c r="N678" s="69">
        <v>97</v>
      </c>
      <c r="O678" s="502">
        <v>58</v>
      </c>
      <c r="P678" s="101"/>
      <c r="Q678" s="107"/>
      <c r="R678" s="107"/>
      <c r="S678" s="108"/>
      <c r="T678" s="108"/>
      <c r="U678" s="108"/>
      <c r="V678" s="108"/>
      <c r="W678" s="108"/>
      <c r="X678" s="108"/>
      <c r="Y678" s="108"/>
      <c r="Z678" s="108"/>
    </row>
    <row r="679" spans="1:26" ht="13.5" customHeight="1">
      <c r="A679" s="104"/>
      <c r="B679" s="173"/>
      <c r="C679" s="292"/>
      <c r="D679" s="292"/>
      <c r="E679" s="292"/>
      <c r="F679" s="292"/>
      <c r="G679" s="292"/>
      <c r="H679" s="292"/>
      <c r="I679" s="53"/>
      <c r="J679" s="116"/>
      <c r="K679" s="69"/>
      <c r="L679" s="228"/>
      <c r="M679" s="69"/>
      <c r="N679" s="69"/>
      <c r="O679" s="69"/>
      <c r="P679" s="101"/>
      <c r="Q679" s="107"/>
      <c r="R679" s="107"/>
      <c r="S679" s="108"/>
      <c r="T679" s="108"/>
      <c r="U679" s="108"/>
      <c r="V679" s="108"/>
      <c r="W679" s="108"/>
      <c r="X679" s="108"/>
      <c r="Y679" s="108"/>
      <c r="Z679" s="108"/>
    </row>
    <row r="680" spans="1:26" ht="58.5" customHeight="1">
      <c r="A680" s="104" t="s">
        <v>736</v>
      </c>
      <c r="B680" s="173" t="s">
        <v>2062</v>
      </c>
      <c r="C680" s="292">
        <v>1</v>
      </c>
      <c r="D680" s="292">
        <v>1</v>
      </c>
      <c r="E680" s="292">
        <v>1</v>
      </c>
      <c r="F680" s="292">
        <v>1</v>
      </c>
      <c r="G680" s="292">
        <v>1</v>
      </c>
      <c r="H680" s="292">
        <v>1</v>
      </c>
      <c r="I680" s="919" t="s">
        <v>2063</v>
      </c>
      <c r="J680" s="69">
        <v>0</v>
      </c>
      <c r="K680" s="69">
        <v>0</v>
      </c>
      <c r="L680" s="109">
        <v>0</v>
      </c>
      <c r="M680" s="69">
        <v>0</v>
      </c>
      <c r="N680" s="69">
        <v>0</v>
      </c>
      <c r="O680" s="109">
        <v>0</v>
      </c>
      <c r="P680" s="101"/>
      <c r="Q680" s="107"/>
      <c r="R680" s="107"/>
      <c r="S680" s="108"/>
      <c r="T680" s="108"/>
      <c r="U680" s="108"/>
      <c r="V680" s="108"/>
      <c r="W680" s="108"/>
      <c r="X680" s="108"/>
      <c r="Y680" s="108"/>
      <c r="Z680" s="108"/>
    </row>
    <row r="681" spans="1:26" ht="13.5" customHeight="1">
      <c r="A681" s="104"/>
      <c r="B681" s="173"/>
      <c r="C681" s="292"/>
      <c r="D681" s="292"/>
      <c r="E681" s="292"/>
      <c r="F681" s="292"/>
      <c r="G681" s="292"/>
      <c r="H681" s="292"/>
      <c r="I681" s="53"/>
      <c r="J681" s="69"/>
      <c r="K681" s="69"/>
      <c r="L681" s="228"/>
      <c r="M681" s="69"/>
      <c r="N681" s="69"/>
      <c r="O681" s="115"/>
      <c r="P681" s="101"/>
      <c r="Q681" s="107"/>
      <c r="R681" s="107"/>
      <c r="S681" s="108"/>
      <c r="T681" s="108"/>
      <c r="U681" s="108"/>
      <c r="V681" s="108"/>
      <c r="W681" s="108"/>
      <c r="X681" s="108"/>
      <c r="Y681" s="108"/>
      <c r="Z681" s="108"/>
    </row>
    <row r="682" spans="1:26" ht="96" customHeight="1">
      <c r="A682" s="104" t="s">
        <v>736</v>
      </c>
      <c r="B682" s="173" t="s">
        <v>2064</v>
      </c>
      <c r="C682" s="292">
        <v>0</v>
      </c>
      <c r="D682" s="292">
        <v>1</v>
      </c>
      <c r="E682" s="292">
        <v>1</v>
      </c>
      <c r="F682" s="292">
        <v>1</v>
      </c>
      <c r="G682" s="292">
        <v>1</v>
      </c>
      <c r="H682" s="292">
        <v>1</v>
      </c>
      <c r="I682" s="53" t="s">
        <v>38</v>
      </c>
      <c r="J682" s="69" t="s">
        <v>748</v>
      </c>
      <c r="K682" s="69" t="s">
        <v>811</v>
      </c>
      <c r="L682" s="109" t="s">
        <v>811</v>
      </c>
      <c r="M682" s="69" t="s">
        <v>811</v>
      </c>
      <c r="N682" s="69" t="s">
        <v>811</v>
      </c>
      <c r="O682" s="69" t="s">
        <v>2065</v>
      </c>
      <c r="P682" s="101"/>
      <c r="Q682" s="107"/>
      <c r="R682" s="107"/>
      <c r="S682" s="108"/>
      <c r="T682" s="108"/>
      <c r="U682" s="108"/>
      <c r="V682" s="108"/>
      <c r="W682" s="108"/>
      <c r="X682" s="108"/>
      <c r="Y682" s="108"/>
      <c r="Z682" s="108"/>
    </row>
    <row r="683" spans="1:26" ht="13.5" customHeight="1">
      <c r="A683" s="104"/>
      <c r="B683" s="173"/>
      <c r="C683" s="292"/>
      <c r="D683" s="292"/>
      <c r="E683" s="292"/>
      <c r="F683" s="292"/>
      <c r="G683" s="292"/>
      <c r="H683" s="292"/>
      <c r="I683" s="53"/>
      <c r="J683" s="69"/>
      <c r="K683" s="109"/>
      <c r="L683" s="109"/>
      <c r="M683" s="69"/>
      <c r="N683" s="69"/>
      <c r="O683" s="69"/>
      <c r="P683" s="101"/>
      <c r="Q683" s="107"/>
      <c r="R683" s="107"/>
      <c r="S683" s="108"/>
      <c r="T683" s="108"/>
      <c r="U683" s="108"/>
      <c r="V683" s="108"/>
      <c r="W683" s="108"/>
      <c r="X683" s="108"/>
      <c r="Y683" s="108"/>
      <c r="Z683" s="108"/>
    </row>
    <row r="684" spans="1:26" ht="84" customHeight="1">
      <c r="A684" s="104" t="s">
        <v>736</v>
      </c>
      <c r="B684" s="173" t="s">
        <v>613</v>
      </c>
      <c r="C684" s="292">
        <v>1</v>
      </c>
      <c r="D684" s="292">
        <v>1</v>
      </c>
      <c r="E684" s="292">
        <v>0</v>
      </c>
      <c r="F684" s="292">
        <v>1</v>
      </c>
      <c r="G684" s="292">
        <v>0</v>
      </c>
      <c r="H684" s="292">
        <v>0</v>
      </c>
      <c r="I684" s="53" t="s">
        <v>38</v>
      </c>
      <c r="J684" s="69" t="s">
        <v>2066</v>
      </c>
      <c r="K684" s="69" t="s">
        <v>2067</v>
      </c>
      <c r="L684" s="109" t="s">
        <v>748</v>
      </c>
      <c r="M684" s="69" t="s">
        <v>811</v>
      </c>
      <c r="N684" s="109" t="s">
        <v>748</v>
      </c>
      <c r="O684" s="69" t="s">
        <v>2068</v>
      </c>
      <c r="P684" s="101"/>
      <c r="Q684" s="107"/>
      <c r="R684" s="107"/>
      <c r="S684" s="108"/>
      <c r="T684" s="108"/>
      <c r="U684" s="108"/>
      <c r="V684" s="108"/>
      <c r="W684" s="108"/>
      <c r="X684" s="108"/>
      <c r="Y684" s="108"/>
      <c r="Z684" s="108"/>
    </row>
    <row r="685" spans="1:26" ht="13.5" customHeight="1">
      <c r="A685" s="104"/>
      <c r="B685" s="173"/>
      <c r="C685" s="292"/>
      <c r="D685" s="292"/>
      <c r="E685" s="292"/>
      <c r="F685" s="292"/>
      <c r="G685" s="292"/>
      <c r="H685" s="292"/>
      <c r="I685" s="53"/>
      <c r="J685" s="116"/>
      <c r="K685" s="69"/>
      <c r="L685" s="228"/>
      <c r="M685" s="69"/>
      <c r="N685" s="69"/>
      <c r="O685" s="115"/>
      <c r="P685" s="101"/>
      <c r="Q685" s="107"/>
      <c r="R685" s="107"/>
      <c r="S685" s="108"/>
      <c r="T685" s="108"/>
      <c r="U685" s="108"/>
      <c r="V685" s="108"/>
      <c r="W685" s="108"/>
      <c r="X685" s="108"/>
      <c r="Y685" s="108"/>
      <c r="Z685" s="108"/>
    </row>
    <row r="686" spans="1:26" ht="104.25" customHeight="1">
      <c r="A686" s="104" t="s">
        <v>736</v>
      </c>
      <c r="B686" s="173" t="s">
        <v>2069</v>
      </c>
      <c r="C686" s="292">
        <v>1</v>
      </c>
      <c r="D686" s="292">
        <v>1</v>
      </c>
      <c r="E686" s="292">
        <v>1</v>
      </c>
      <c r="F686" s="292">
        <v>1</v>
      </c>
      <c r="G686" s="292">
        <v>1</v>
      </c>
      <c r="H686" s="292">
        <v>1</v>
      </c>
      <c r="I686" s="53" t="s">
        <v>38</v>
      </c>
      <c r="J686" s="69" t="s">
        <v>811</v>
      </c>
      <c r="K686" s="69" t="s">
        <v>811</v>
      </c>
      <c r="L686" s="69" t="s">
        <v>811</v>
      </c>
      <c r="M686" s="69" t="s">
        <v>811</v>
      </c>
      <c r="N686" s="69" t="s">
        <v>811</v>
      </c>
      <c r="O686" s="69" t="s">
        <v>2070</v>
      </c>
      <c r="P686" s="101"/>
      <c r="Q686" s="107"/>
      <c r="R686" s="107"/>
      <c r="S686" s="108"/>
      <c r="T686" s="108"/>
      <c r="U686" s="108"/>
      <c r="V686" s="108"/>
      <c r="W686" s="108"/>
      <c r="X686" s="108"/>
      <c r="Y686" s="108"/>
      <c r="Z686" s="108"/>
    </row>
    <row r="687" spans="1:26" ht="13.5" customHeight="1">
      <c r="A687" s="104"/>
      <c r="B687" s="173"/>
      <c r="C687" s="292"/>
      <c r="D687" s="292"/>
      <c r="E687" s="292"/>
      <c r="F687" s="292"/>
      <c r="G687" s="292"/>
      <c r="H687" s="292"/>
      <c r="I687" s="53"/>
      <c r="J687" s="69"/>
      <c r="K687" s="69"/>
      <c r="L687" s="69"/>
      <c r="M687" s="69"/>
      <c r="N687" s="69"/>
      <c r="O687" s="115"/>
      <c r="P687" s="101"/>
      <c r="Q687" s="107"/>
      <c r="R687" s="107"/>
      <c r="S687" s="108"/>
      <c r="T687" s="108"/>
      <c r="U687" s="108"/>
      <c r="V687" s="108"/>
      <c r="W687" s="108"/>
      <c r="X687" s="108"/>
      <c r="Y687" s="108"/>
      <c r="Z687" s="108"/>
    </row>
    <row r="688" spans="1:26" ht="111" customHeight="1">
      <c r="A688" s="104" t="s">
        <v>736</v>
      </c>
      <c r="B688" s="173" t="s">
        <v>617</v>
      </c>
      <c r="C688" s="292">
        <f t="shared" ref="C688:H688" si="131">AVERAGE(C689:C690)</f>
        <v>1</v>
      </c>
      <c r="D688" s="292">
        <f t="shared" si="131"/>
        <v>1</v>
      </c>
      <c r="E688" s="292">
        <f t="shared" si="131"/>
        <v>0</v>
      </c>
      <c r="F688" s="292">
        <f t="shared" si="131"/>
        <v>1</v>
      </c>
      <c r="G688" s="292">
        <f t="shared" si="131"/>
        <v>1</v>
      </c>
      <c r="H688" s="292">
        <f t="shared" si="131"/>
        <v>0</v>
      </c>
      <c r="I688" s="53"/>
      <c r="J688" s="69"/>
      <c r="K688" s="69"/>
      <c r="L688" s="69"/>
      <c r="M688" s="69"/>
      <c r="N688" s="69"/>
      <c r="O688" s="115"/>
      <c r="P688" s="101"/>
      <c r="Q688" s="107"/>
      <c r="R688" s="107"/>
      <c r="S688" s="108"/>
      <c r="T688" s="108"/>
      <c r="U688" s="108"/>
      <c r="V688" s="108"/>
      <c r="W688" s="108"/>
      <c r="X688" s="108"/>
      <c r="Y688" s="108"/>
      <c r="Z688" s="108"/>
    </row>
    <row r="689" spans="1:26" ht="13.5" customHeight="1">
      <c r="A689" s="164"/>
      <c r="B689" s="193" t="s">
        <v>2071</v>
      </c>
      <c r="C689" s="292">
        <v>1</v>
      </c>
      <c r="D689" s="292">
        <v>1</v>
      </c>
      <c r="E689" s="292">
        <v>0</v>
      </c>
      <c r="F689" s="292">
        <v>1</v>
      </c>
      <c r="G689" s="292">
        <v>1</v>
      </c>
      <c r="H689" s="897">
        <v>0</v>
      </c>
      <c r="I689" s="53" t="s">
        <v>38</v>
      </c>
      <c r="J689" s="69" t="s">
        <v>811</v>
      </c>
      <c r="K689" s="69" t="s">
        <v>2072</v>
      </c>
      <c r="L689" s="228" t="s">
        <v>748</v>
      </c>
      <c r="M689" s="69" t="s">
        <v>811</v>
      </c>
      <c r="N689" s="69" t="s">
        <v>811</v>
      </c>
      <c r="O689" s="109" t="s">
        <v>748</v>
      </c>
      <c r="P689" s="101"/>
      <c r="Q689" s="107"/>
      <c r="R689" s="107"/>
      <c r="S689" s="108"/>
      <c r="T689" s="108"/>
      <c r="U689" s="108"/>
      <c r="V689" s="108"/>
      <c r="W689" s="108"/>
      <c r="X689" s="108"/>
      <c r="Y689" s="108"/>
      <c r="Z689" s="108"/>
    </row>
    <row r="690" spans="1:26" ht="42" customHeight="1">
      <c r="A690" s="164"/>
      <c r="B690" s="193" t="s">
        <v>2073</v>
      </c>
      <c r="C690" s="292">
        <v>1</v>
      </c>
      <c r="D690" s="292">
        <v>1</v>
      </c>
      <c r="E690" s="292">
        <v>0</v>
      </c>
      <c r="F690" s="292">
        <v>1</v>
      </c>
      <c r="G690" s="292">
        <v>1</v>
      </c>
      <c r="H690" s="897">
        <v>0</v>
      </c>
      <c r="I690" s="53" t="s">
        <v>38</v>
      </c>
      <c r="J690" s="69" t="s">
        <v>811</v>
      </c>
      <c r="K690" s="69" t="s">
        <v>2074</v>
      </c>
      <c r="L690" s="228" t="s">
        <v>748</v>
      </c>
      <c r="M690" s="69" t="s">
        <v>811</v>
      </c>
      <c r="N690" s="69" t="s">
        <v>811</v>
      </c>
      <c r="O690" s="109" t="s">
        <v>748</v>
      </c>
      <c r="P690" s="101"/>
      <c r="Q690" s="107"/>
      <c r="R690" s="107"/>
      <c r="S690" s="108"/>
      <c r="T690" s="108"/>
      <c r="U690" s="108"/>
      <c r="V690" s="108"/>
      <c r="W690" s="108"/>
      <c r="X690" s="108"/>
      <c r="Y690" s="108"/>
      <c r="Z690" s="108"/>
    </row>
    <row r="691" spans="1:26" ht="13.5" customHeight="1">
      <c r="A691" s="164"/>
      <c r="B691" s="193"/>
      <c r="C691" s="292"/>
      <c r="D691" s="292"/>
      <c r="E691" s="292"/>
      <c r="F691" s="292"/>
      <c r="G691" s="292"/>
      <c r="H691" s="292"/>
      <c r="I691" s="53"/>
      <c r="J691" s="69"/>
      <c r="K691" s="109"/>
      <c r="L691" s="69"/>
      <c r="M691" s="69"/>
      <c r="N691" s="69"/>
      <c r="O691" s="69"/>
      <c r="P691" s="101"/>
      <c r="Q691" s="107"/>
      <c r="R691" s="107"/>
      <c r="S691" s="108"/>
      <c r="T691" s="108"/>
      <c r="U691" s="108"/>
      <c r="V691" s="108"/>
      <c r="W691" s="108"/>
      <c r="X691" s="108"/>
      <c r="Y691" s="108"/>
      <c r="Z691" s="108"/>
    </row>
    <row r="692" spans="1:26" ht="121.5" customHeight="1">
      <c r="A692" s="104" t="s">
        <v>736</v>
      </c>
      <c r="B692" s="60" t="s">
        <v>2075</v>
      </c>
      <c r="C692" s="292">
        <v>1</v>
      </c>
      <c r="D692" s="292">
        <v>1</v>
      </c>
      <c r="E692" s="292">
        <v>1</v>
      </c>
      <c r="F692" s="292">
        <v>1</v>
      </c>
      <c r="G692" s="292">
        <v>1</v>
      </c>
      <c r="H692" s="292">
        <v>1</v>
      </c>
      <c r="I692" s="53" t="s">
        <v>38</v>
      </c>
      <c r="J692" s="69" t="s">
        <v>811</v>
      </c>
      <c r="K692" s="69" t="s">
        <v>811</v>
      </c>
      <c r="L692" s="109" t="s">
        <v>811</v>
      </c>
      <c r="M692" s="69" t="s">
        <v>811</v>
      </c>
      <c r="N692" s="69" t="s">
        <v>811</v>
      </c>
      <c r="O692" s="69" t="s">
        <v>2076</v>
      </c>
      <c r="P692" s="101"/>
      <c r="Q692" s="107"/>
      <c r="R692" s="107"/>
      <c r="S692" s="108"/>
      <c r="T692" s="108"/>
      <c r="U692" s="108"/>
      <c r="V692" s="108"/>
      <c r="W692" s="108"/>
      <c r="X692" s="108"/>
      <c r="Y692" s="108"/>
      <c r="Z692" s="108"/>
    </row>
    <row r="693" spans="1:26" ht="13.5" customHeight="1">
      <c r="A693" s="104"/>
      <c r="B693" s="173"/>
      <c r="C693" s="292"/>
      <c r="D693" s="292"/>
      <c r="E693" s="292"/>
      <c r="F693" s="292"/>
      <c r="G693" s="292"/>
      <c r="H693" s="292"/>
      <c r="I693" s="53"/>
      <c r="J693" s="69"/>
      <c r="K693" s="69"/>
      <c r="L693" s="228"/>
      <c r="M693" s="69"/>
      <c r="N693" s="69"/>
      <c r="O693" s="115"/>
      <c r="P693" s="101"/>
      <c r="Q693" s="107"/>
      <c r="R693" s="107"/>
      <c r="S693" s="108"/>
      <c r="T693" s="108"/>
      <c r="U693" s="108"/>
      <c r="V693" s="108"/>
      <c r="W693" s="108"/>
      <c r="X693" s="108"/>
      <c r="Y693" s="108"/>
      <c r="Z693" s="108"/>
    </row>
    <row r="694" spans="1:26" ht="119.25" customHeight="1">
      <c r="A694" s="104" t="s">
        <v>736</v>
      </c>
      <c r="B694" s="60" t="s">
        <v>2077</v>
      </c>
      <c r="C694" s="292">
        <v>1</v>
      </c>
      <c r="D694" s="292">
        <v>1</v>
      </c>
      <c r="E694" s="292">
        <v>0</v>
      </c>
      <c r="F694" s="292">
        <v>0</v>
      </c>
      <c r="G694" s="292">
        <v>1</v>
      </c>
      <c r="H694" s="292">
        <v>1</v>
      </c>
      <c r="I694" s="53" t="s">
        <v>38</v>
      </c>
      <c r="J694" s="69" t="s">
        <v>811</v>
      </c>
      <c r="K694" s="69" t="s">
        <v>811</v>
      </c>
      <c r="L694" s="228" t="s">
        <v>748</v>
      </c>
      <c r="M694" s="228" t="s">
        <v>748</v>
      </c>
      <c r="N694" s="69" t="s">
        <v>811</v>
      </c>
      <c r="O694" s="69" t="s">
        <v>2076</v>
      </c>
      <c r="P694" s="101"/>
      <c r="Q694" s="107"/>
      <c r="R694" s="107"/>
      <c r="S694" s="108"/>
      <c r="T694" s="108"/>
      <c r="U694" s="108"/>
      <c r="V694" s="108"/>
      <c r="W694" s="108"/>
      <c r="X694" s="108"/>
      <c r="Y694" s="108"/>
      <c r="Z694" s="108"/>
    </row>
    <row r="695" spans="1:26" ht="13.5" customHeight="1">
      <c r="A695" s="104"/>
      <c r="B695" s="173"/>
      <c r="C695" s="292"/>
      <c r="D695" s="292"/>
      <c r="E695" s="292"/>
      <c r="F695" s="292"/>
      <c r="G695" s="292"/>
      <c r="H695" s="292"/>
      <c r="I695" s="53"/>
      <c r="J695" s="69"/>
      <c r="K695" s="69"/>
      <c r="L695" s="228"/>
      <c r="M695" s="69"/>
      <c r="N695" s="69"/>
      <c r="O695" s="115"/>
      <c r="P695" s="101"/>
      <c r="Q695" s="107"/>
      <c r="R695" s="107"/>
      <c r="S695" s="108"/>
      <c r="T695" s="108"/>
      <c r="U695" s="108"/>
      <c r="V695" s="108"/>
      <c r="W695" s="108"/>
      <c r="X695" s="108"/>
      <c r="Y695" s="108"/>
      <c r="Z695" s="108"/>
    </row>
    <row r="696" spans="1:26" ht="90.75" customHeight="1">
      <c r="A696" s="104" t="s">
        <v>736</v>
      </c>
      <c r="B696" s="60" t="s">
        <v>622</v>
      </c>
      <c r="C696" s="292">
        <v>1</v>
      </c>
      <c r="D696" s="292">
        <v>1</v>
      </c>
      <c r="E696" s="292">
        <v>0</v>
      </c>
      <c r="F696" s="292">
        <v>0</v>
      </c>
      <c r="G696" s="292">
        <v>1</v>
      </c>
      <c r="H696" s="292">
        <v>1</v>
      </c>
      <c r="I696" s="53" t="s">
        <v>38</v>
      </c>
      <c r="J696" s="69" t="s">
        <v>811</v>
      </c>
      <c r="K696" s="69" t="s">
        <v>811</v>
      </c>
      <c r="L696" s="109" t="s">
        <v>748</v>
      </c>
      <c r="M696" s="69" t="s">
        <v>748</v>
      </c>
      <c r="N696" s="69" t="s">
        <v>2078</v>
      </c>
      <c r="O696" s="69" t="s">
        <v>2079</v>
      </c>
      <c r="P696" s="101"/>
      <c r="Q696" s="107"/>
      <c r="R696" s="107"/>
      <c r="S696" s="108"/>
      <c r="T696" s="108"/>
      <c r="U696" s="108"/>
      <c r="V696" s="108"/>
      <c r="W696" s="108"/>
      <c r="X696" s="108"/>
      <c r="Y696" s="108"/>
      <c r="Z696" s="108"/>
    </row>
    <row r="697" spans="1:26" ht="28.5" customHeight="1">
      <c r="A697" s="164"/>
      <c r="B697" s="921"/>
      <c r="C697" s="292"/>
      <c r="D697" s="292"/>
      <c r="E697" s="292"/>
      <c r="F697" s="292"/>
      <c r="G697" s="292"/>
      <c r="H697" s="292"/>
      <c r="I697" s="53"/>
      <c r="J697" s="109"/>
      <c r="K697" s="69"/>
      <c r="L697" s="228"/>
      <c r="M697" s="109"/>
      <c r="N697" s="109"/>
      <c r="O697" s="69"/>
      <c r="P697" s="101"/>
      <c r="Q697" s="107"/>
      <c r="R697" s="107"/>
      <c r="S697" s="108"/>
      <c r="T697" s="108"/>
      <c r="U697" s="108"/>
      <c r="V697" s="108"/>
      <c r="W697" s="108"/>
      <c r="X697" s="108"/>
      <c r="Y697" s="108"/>
      <c r="Z697" s="108"/>
    </row>
    <row r="698" spans="1:26" ht="13.5" customHeight="1">
      <c r="A698" s="363" t="s">
        <v>2080</v>
      </c>
      <c r="B698" s="121" t="s">
        <v>623</v>
      </c>
      <c r="C698" s="395">
        <f t="shared" ref="C698:H698" si="132">AVERAGE(C699,C703,C705)</f>
        <v>0.5</v>
      </c>
      <c r="D698" s="395">
        <f t="shared" si="132"/>
        <v>0.83333333333333337</v>
      </c>
      <c r="E698" s="395">
        <f t="shared" si="132"/>
        <v>0.16666666666666666</v>
      </c>
      <c r="F698" s="395">
        <f t="shared" si="132"/>
        <v>1</v>
      </c>
      <c r="G698" s="395">
        <f t="shared" si="132"/>
        <v>0.83333333333333337</v>
      </c>
      <c r="H698" s="395">
        <f t="shared" si="132"/>
        <v>0</v>
      </c>
      <c r="I698" s="53"/>
      <c r="J698" s="396"/>
      <c r="K698" s="396"/>
      <c r="L698" s="185"/>
      <c r="M698" s="185"/>
      <c r="N698" s="185"/>
      <c r="O698" s="185"/>
      <c r="P698" s="98"/>
      <c r="Q698" s="171"/>
      <c r="R698" s="171"/>
      <c r="S698" s="172"/>
      <c r="T698" s="172"/>
      <c r="U698" s="172"/>
      <c r="V698" s="172"/>
      <c r="W698" s="172"/>
      <c r="X698" s="172"/>
      <c r="Y698" s="172"/>
      <c r="Z698" s="172"/>
    </row>
    <row r="699" spans="1:26" ht="42" customHeight="1">
      <c r="A699" s="104" t="s">
        <v>736</v>
      </c>
      <c r="B699" s="173" t="s">
        <v>624</v>
      </c>
      <c r="C699" s="292">
        <f t="shared" ref="C699:H699" si="133">AVERAGE(C700:C701)</f>
        <v>0.5</v>
      </c>
      <c r="D699" s="292">
        <f t="shared" si="133"/>
        <v>0.5</v>
      </c>
      <c r="E699" s="292">
        <f t="shared" si="133"/>
        <v>0.5</v>
      </c>
      <c r="F699" s="292">
        <f t="shared" si="133"/>
        <v>1</v>
      </c>
      <c r="G699" s="292">
        <f t="shared" si="133"/>
        <v>0.5</v>
      </c>
      <c r="H699" s="292">
        <f t="shared" si="133"/>
        <v>0</v>
      </c>
      <c r="I699" s="53" t="s">
        <v>625</v>
      </c>
      <c r="J699" s="109"/>
      <c r="K699" s="109"/>
      <c r="L699" s="109"/>
      <c r="M699" s="109"/>
      <c r="N699" s="109"/>
      <c r="O699" s="109"/>
      <c r="P699" s="101"/>
      <c r="Q699" s="107"/>
      <c r="R699" s="107"/>
      <c r="S699" s="108"/>
      <c r="T699" s="108"/>
      <c r="U699" s="108"/>
      <c r="V699" s="108"/>
      <c r="W699" s="108"/>
      <c r="X699" s="108"/>
      <c r="Y699" s="108"/>
      <c r="Z699" s="108"/>
    </row>
    <row r="700" spans="1:26" ht="57.75" customHeight="1">
      <c r="A700" s="104"/>
      <c r="B700" s="193" t="s">
        <v>626</v>
      </c>
      <c r="C700" s="292">
        <v>0</v>
      </c>
      <c r="D700" s="292">
        <v>0</v>
      </c>
      <c r="E700" s="292">
        <v>0</v>
      </c>
      <c r="F700" s="292">
        <v>1</v>
      </c>
      <c r="G700" s="292">
        <v>0</v>
      </c>
      <c r="H700" s="292">
        <v>0</v>
      </c>
      <c r="I700" s="53"/>
      <c r="J700" s="69" t="s">
        <v>2081</v>
      </c>
      <c r="K700" s="69" t="s">
        <v>2082</v>
      </c>
      <c r="L700" s="69" t="s">
        <v>2083</v>
      </c>
      <c r="M700" s="69" t="s">
        <v>2084</v>
      </c>
      <c r="N700" s="69" t="s">
        <v>811</v>
      </c>
      <c r="O700" s="69" t="s">
        <v>2085</v>
      </c>
      <c r="P700" s="101"/>
      <c r="Q700" s="107"/>
      <c r="R700" s="107"/>
      <c r="S700" s="108"/>
      <c r="T700" s="108"/>
      <c r="U700" s="108"/>
      <c r="V700" s="108"/>
      <c r="W700" s="108"/>
      <c r="X700" s="108"/>
      <c r="Y700" s="108"/>
      <c r="Z700" s="108"/>
    </row>
    <row r="701" spans="1:26" ht="36" customHeight="1">
      <c r="A701" s="104"/>
      <c r="B701" s="193" t="s">
        <v>627</v>
      </c>
      <c r="C701" s="292">
        <v>1</v>
      </c>
      <c r="D701" s="292">
        <v>1</v>
      </c>
      <c r="E701" s="292">
        <v>1</v>
      </c>
      <c r="F701" s="292">
        <v>1</v>
      </c>
      <c r="G701" s="292">
        <v>1</v>
      </c>
      <c r="H701" s="897">
        <v>0</v>
      </c>
      <c r="I701" s="53"/>
      <c r="J701" s="69" t="s">
        <v>2086</v>
      </c>
      <c r="K701" s="69" t="s">
        <v>748</v>
      </c>
      <c r="L701" s="69" t="s">
        <v>2087</v>
      </c>
      <c r="M701" s="69" t="s">
        <v>748</v>
      </c>
      <c r="N701" s="69" t="s">
        <v>748</v>
      </c>
      <c r="O701" s="69" t="s">
        <v>2085</v>
      </c>
      <c r="P701" s="101"/>
      <c r="Q701" s="107"/>
      <c r="R701" s="107"/>
      <c r="S701" s="108"/>
      <c r="T701" s="108"/>
      <c r="U701" s="108"/>
      <c r="V701" s="108"/>
      <c r="W701" s="108"/>
      <c r="X701" s="108"/>
      <c r="Y701" s="108"/>
      <c r="Z701" s="108"/>
    </row>
    <row r="702" spans="1:26" ht="13.5" customHeight="1">
      <c r="A702" s="104"/>
      <c r="B702" s="173"/>
      <c r="C702" s="292"/>
      <c r="D702" s="292"/>
      <c r="E702" s="292"/>
      <c r="F702" s="292"/>
      <c r="G702" s="292"/>
      <c r="H702" s="292"/>
      <c r="I702" s="53"/>
      <c r="J702" s="69"/>
      <c r="K702" s="69"/>
      <c r="L702" s="69"/>
      <c r="M702" s="69"/>
      <c r="N702" s="69"/>
      <c r="O702" s="109"/>
      <c r="P702" s="101"/>
      <c r="Q702" s="107"/>
      <c r="R702" s="107"/>
      <c r="S702" s="108"/>
      <c r="T702" s="108"/>
      <c r="U702" s="108"/>
      <c r="V702" s="108"/>
      <c r="W702" s="108"/>
      <c r="X702" s="108"/>
      <c r="Y702" s="108"/>
      <c r="Z702" s="108"/>
    </row>
    <row r="703" spans="1:26" ht="55.5" customHeight="1">
      <c r="A703" s="104" t="s">
        <v>736</v>
      </c>
      <c r="B703" s="173" t="s">
        <v>628</v>
      </c>
      <c r="C703" s="292">
        <v>0</v>
      </c>
      <c r="D703" s="292">
        <v>1</v>
      </c>
      <c r="E703" s="292">
        <v>0</v>
      </c>
      <c r="F703" s="292">
        <v>1</v>
      </c>
      <c r="G703" s="292">
        <v>1</v>
      </c>
      <c r="H703" s="292">
        <v>0</v>
      </c>
      <c r="I703" s="53" t="s">
        <v>38</v>
      </c>
      <c r="J703" s="69" t="s">
        <v>2088</v>
      </c>
      <c r="K703" s="69" t="s">
        <v>748</v>
      </c>
      <c r="L703" s="69" t="s">
        <v>811</v>
      </c>
      <c r="M703" s="69" t="s">
        <v>748</v>
      </c>
      <c r="N703" s="69" t="s">
        <v>748</v>
      </c>
      <c r="O703" s="69" t="s">
        <v>2089</v>
      </c>
      <c r="P703" s="101"/>
      <c r="Q703" s="107"/>
      <c r="R703" s="107"/>
      <c r="S703" s="108"/>
      <c r="T703" s="108"/>
      <c r="U703" s="108"/>
      <c r="V703" s="108"/>
      <c r="W703" s="108"/>
      <c r="X703" s="108"/>
      <c r="Y703" s="108"/>
      <c r="Z703" s="108"/>
    </row>
    <row r="704" spans="1:26" ht="13.5" customHeight="1">
      <c r="A704" s="104"/>
      <c r="B704" s="173"/>
      <c r="C704" s="292"/>
      <c r="D704" s="292"/>
      <c r="E704" s="292"/>
      <c r="F704" s="292"/>
      <c r="G704" s="292"/>
      <c r="H704" s="292"/>
      <c r="I704" s="53"/>
      <c r="J704" s="69"/>
      <c r="K704" s="69"/>
      <c r="L704" s="69"/>
      <c r="M704" s="69"/>
      <c r="N704" s="69"/>
      <c r="O704" s="69"/>
      <c r="P704" s="101"/>
      <c r="Q704" s="107"/>
      <c r="R704" s="107"/>
      <c r="S704" s="108"/>
      <c r="T704" s="108"/>
      <c r="U704" s="108"/>
      <c r="V704" s="108"/>
      <c r="W704" s="108"/>
      <c r="X704" s="108"/>
      <c r="Y704" s="108"/>
      <c r="Z704" s="108"/>
    </row>
    <row r="705" spans="1:26" ht="48" customHeight="1">
      <c r="A705" s="104" t="s">
        <v>736</v>
      </c>
      <c r="B705" s="173" t="s">
        <v>629</v>
      </c>
      <c r="C705" s="292">
        <v>1</v>
      </c>
      <c r="D705" s="292">
        <v>1</v>
      </c>
      <c r="E705" s="292">
        <v>0</v>
      </c>
      <c r="F705" s="292">
        <v>1</v>
      </c>
      <c r="G705" s="292">
        <v>1</v>
      </c>
      <c r="H705" s="292">
        <v>0</v>
      </c>
      <c r="I705" s="53" t="s">
        <v>38</v>
      </c>
      <c r="J705" s="69" t="s">
        <v>748</v>
      </c>
      <c r="K705" s="69" t="s">
        <v>748</v>
      </c>
      <c r="L705" s="69" t="s">
        <v>811</v>
      </c>
      <c r="M705" s="69" t="s">
        <v>748</v>
      </c>
      <c r="N705" s="69" t="s">
        <v>748</v>
      </c>
      <c r="O705" s="69" t="s">
        <v>2090</v>
      </c>
      <c r="P705" s="101"/>
      <c r="Q705" s="107"/>
      <c r="R705" s="107"/>
      <c r="S705" s="108"/>
      <c r="T705" s="108"/>
      <c r="U705" s="108"/>
      <c r="V705" s="108"/>
      <c r="W705" s="108"/>
      <c r="X705" s="108"/>
      <c r="Y705" s="108"/>
      <c r="Z705" s="108"/>
    </row>
    <row r="706" spans="1:26" ht="13.5" customHeight="1">
      <c r="A706" s="104"/>
      <c r="B706" s="405"/>
      <c r="C706" s="292"/>
      <c r="D706" s="69"/>
      <c r="E706" s="398"/>
      <c r="F706" s="91"/>
      <c r="G706" s="192"/>
      <c r="H706" s="91"/>
      <c r="I706" s="53"/>
      <c r="J706" s="109"/>
      <c r="K706" s="109"/>
      <c r="L706" s="69"/>
      <c r="M706" s="69"/>
      <c r="N706" s="69"/>
      <c r="O706" s="69"/>
      <c r="P706" s="101"/>
      <c r="Q706" s="107"/>
      <c r="R706" s="107"/>
      <c r="S706" s="108"/>
      <c r="T706" s="108"/>
      <c r="U706" s="108"/>
      <c r="V706" s="108"/>
      <c r="W706" s="108"/>
      <c r="X706" s="108"/>
      <c r="Y706" s="108"/>
      <c r="Z706" s="108"/>
    </row>
    <row r="707" spans="1:26" ht="13.5" customHeight="1">
      <c r="A707" s="363" t="s">
        <v>441</v>
      </c>
      <c r="B707" s="121" t="s">
        <v>630</v>
      </c>
      <c r="C707" s="395">
        <f t="shared" ref="C707:H707" si="134">AVERAGE(C708,C710,C712)</f>
        <v>0.66666666666666663</v>
      </c>
      <c r="D707" s="395">
        <f t="shared" si="134"/>
        <v>1</v>
      </c>
      <c r="E707" s="395">
        <f t="shared" si="134"/>
        <v>0.66666666666666663</v>
      </c>
      <c r="F707" s="395">
        <f t="shared" si="134"/>
        <v>1</v>
      </c>
      <c r="G707" s="395">
        <f t="shared" si="134"/>
        <v>1</v>
      </c>
      <c r="H707" s="395">
        <f t="shared" si="134"/>
        <v>1</v>
      </c>
      <c r="I707" s="53"/>
      <c r="J707" s="396"/>
      <c r="K707" s="396"/>
      <c r="L707" s="185"/>
      <c r="M707" s="185"/>
      <c r="N707" s="185"/>
      <c r="O707" s="185"/>
      <c r="P707" s="98"/>
      <c r="Q707" s="171"/>
      <c r="R707" s="171"/>
      <c r="S707" s="172"/>
      <c r="T707" s="172"/>
      <c r="U707" s="172"/>
      <c r="V707" s="172"/>
      <c r="W707" s="172"/>
      <c r="X707" s="172"/>
      <c r="Y707" s="172"/>
      <c r="Z707" s="172"/>
    </row>
    <row r="708" spans="1:26" ht="13.5" customHeight="1">
      <c r="A708" s="104" t="s">
        <v>736</v>
      </c>
      <c r="B708" s="173" t="s">
        <v>2091</v>
      </c>
      <c r="C708" s="292">
        <v>1</v>
      </c>
      <c r="D708" s="292">
        <v>1</v>
      </c>
      <c r="E708" s="292">
        <v>1</v>
      </c>
      <c r="F708" s="292">
        <v>1</v>
      </c>
      <c r="G708" s="292">
        <v>1</v>
      </c>
      <c r="H708" s="292">
        <v>1</v>
      </c>
      <c r="I708" s="53" t="s">
        <v>38</v>
      </c>
      <c r="J708" s="109" t="s">
        <v>811</v>
      </c>
      <c r="K708" s="69" t="s">
        <v>811</v>
      </c>
      <c r="L708" s="109" t="s">
        <v>811</v>
      </c>
      <c r="M708" s="109" t="s">
        <v>811</v>
      </c>
      <c r="N708" s="109" t="s">
        <v>811</v>
      </c>
      <c r="O708" s="109" t="s">
        <v>811</v>
      </c>
      <c r="P708" s="101"/>
      <c r="Q708" s="107"/>
      <c r="R708" s="107"/>
      <c r="S708" s="108"/>
      <c r="T708" s="108"/>
      <c r="U708" s="108"/>
      <c r="V708" s="108"/>
      <c r="W708" s="108"/>
      <c r="X708" s="108"/>
      <c r="Y708" s="108"/>
      <c r="Z708" s="108"/>
    </row>
    <row r="709" spans="1:26" ht="13.5" customHeight="1">
      <c r="A709" s="104"/>
      <c r="B709" s="173"/>
      <c r="C709" s="292"/>
      <c r="D709" s="292"/>
      <c r="E709" s="292"/>
      <c r="F709" s="292"/>
      <c r="G709" s="292"/>
      <c r="H709" s="292"/>
      <c r="I709" s="53"/>
      <c r="J709" s="109"/>
      <c r="K709" s="69"/>
      <c r="L709" s="109"/>
      <c r="M709" s="109"/>
      <c r="N709" s="109"/>
      <c r="O709" s="109"/>
      <c r="P709" s="101"/>
      <c r="Q709" s="107"/>
      <c r="R709" s="107"/>
      <c r="S709" s="108"/>
      <c r="T709" s="108"/>
      <c r="U709" s="108"/>
      <c r="V709" s="108"/>
      <c r="W709" s="108"/>
      <c r="X709" s="108"/>
      <c r="Y709" s="108"/>
      <c r="Z709" s="108"/>
    </row>
    <row r="710" spans="1:26" ht="27.75" customHeight="1">
      <c r="A710" s="104" t="s">
        <v>736</v>
      </c>
      <c r="B710" s="173" t="s">
        <v>2092</v>
      </c>
      <c r="C710" s="292">
        <v>1</v>
      </c>
      <c r="D710" s="292">
        <v>1</v>
      </c>
      <c r="E710" s="292">
        <v>1</v>
      </c>
      <c r="F710" s="292">
        <v>1</v>
      </c>
      <c r="G710" s="292">
        <v>1</v>
      </c>
      <c r="H710" s="292">
        <v>1</v>
      </c>
      <c r="I710" s="53" t="s">
        <v>38</v>
      </c>
      <c r="J710" s="109" t="s">
        <v>811</v>
      </c>
      <c r="K710" s="69" t="s">
        <v>811</v>
      </c>
      <c r="L710" s="109" t="s">
        <v>811</v>
      </c>
      <c r="M710" s="109" t="s">
        <v>811</v>
      </c>
      <c r="N710" s="109" t="s">
        <v>811</v>
      </c>
      <c r="O710" s="109" t="s">
        <v>811</v>
      </c>
      <c r="P710" s="101"/>
      <c r="Q710" s="107"/>
      <c r="R710" s="107"/>
      <c r="S710" s="108"/>
      <c r="T710" s="108"/>
      <c r="U710" s="108"/>
      <c r="V710" s="108"/>
      <c r="W710" s="108"/>
      <c r="X710" s="108"/>
      <c r="Y710" s="108"/>
      <c r="Z710" s="108"/>
    </row>
    <row r="711" spans="1:26" ht="13.5" customHeight="1">
      <c r="A711" s="104"/>
      <c r="B711" s="173"/>
      <c r="C711" s="292"/>
      <c r="D711" s="292"/>
      <c r="E711" s="292"/>
      <c r="F711" s="292"/>
      <c r="G711" s="292"/>
      <c r="H711" s="292"/>
      <c r="I711" s="53"/>
      <c r="J711" s="69"/>
      <c r="K711" s="109"/>
      <c r="L711" s="109"/>
      <c r="M711" s="109"/>
      <c r="N711" s="109"/>
      <c r="O711" s="109"/>
      <c r="P711" s="101"/>
      <c r="Q711" s="107"/>
      <c r="R711" s="107"/>
      <c r="S711" s="108"/>
      <c r="T711" s="108"/>
      <c r="U711" s="108"/>
      <c r="V711" s="108"/>
      <c r="W711" s="108"/>
      <c r="X711" s="108"/>
      <c r="Y711" s="108"/>
      <c r="Z711" s="108"/>
    </row>
    <row r="712" spans="1:26" ht="48.75" customHeight="1">
      <c r="A712" s="104" t="s">
        <v>736</v>
      </c>
      <c r="B712" s="173" t="s">
        <v>631</v>
      </c>
      <c r="C712" s="292">
        <v>0</v>
      </c>
      <c r="D712" s="292">
        <v>1</v>
      </c>
      <c r="E712" s="292">
        <v>0</v>
      </c>
      <c r="F712" s="292">
        <v>1</v>
      </c>
      <c r="G712" s="292">
        <v>1</v>
      </c>
      <c r="H712" s="292">
        <v>1</v>
      </c>
      <c r="I712" s="53" t="s">
        <v>632</v>
      </c>
      <c r="J712" s="406" t="s">
        <v>2093</v>
      </c>
      <c r="K712" s="109" t="s">
        <v>748</v>
      </c>
      <c r="L712" s="69" t="s">
        <v>2094</v>
      </c>
      <c r="M712" s="109" t="s">
        <v>748</v>
      </c>
      <c r="N712" s="109" t="s">
        <v>748</v>
      </c>
      <c r="O712" s="109" t="s">
        <v>748</v>
      </c>
      <c r="P712" s="101"/>
      <c r="Q712" s="107"/>
      <c r="R712" s="107"/>
      <c r="S712" s="108"/>
      <c r="T712" s="108"/>
      <c r="U712" s="108"/>
      <c r="V712" s="108"/>
      <c r="W712" s="108"/>
      <c r="X712" s="108"/>
      <c r="Y712" s="108"/>
      <c r="Z712" s="108"/>
    </row>
    <row r="713" spans="1:26" ht="13.5" customHeight="1">
      <c r="A713" s="104"/>
      <c r="B713" s="405"/>
      <c r="C713" s="292"/>
      <c r="D713" s="69"/>
      <c r="E713" s="398"/>
      <c r="F713" s="91"/>
      <c r="G713" s="192"/>
      <c r="H713" s="91"/>
      <c r="I713" s="53"/>
      <c r="J713" s="109"/>
      <c r="K713" s="109"/>
      <c r="L713" s="109"/>
      <c r="M713" s="69"/>
      <c r="N713" s="69"/>
      <c r="O713" s="69"/>
      <c r="P713" s="101"/>
      <c r="Q713" s="107"/>
      <c r="R713" s="107"/>
      <c r="S713" s="108"/>
      <c r="T713" s="108"/>
      <c r="U713" s="108"/>
      <c r="V713" s="108"/>
      <c r="W713" s="108"/>
      <c r="X713" s="108"/>
      <c r="Y713" s="108"/>
      <c r="Z713" s="108"/>
    </row>
    <row r="714" spans="1:26" ht="159" customHeight="1">
      <c r="A714" s="363" t="s">
        <v>2095</v>
      </c>
      <c r="B714" s="121" t="s">
        <v>2096</v>
      </c>
      <c r="C714" s="897">
        <f t="shared" ref="C714:H714" si="135">AVERAGE(C715,C717,C719,C721)</f>
        <v>0.63513513513513509</v>
      </c>
      <c r="D714" s="897">
        <f t="shared" si="135"/>
        <v>0.7810810810810811</v>
      </c>
      <c r="E714" s="897">
        <f t="shared" si="135"/>
        <v>0.65743243243243243</v>
      </c>
      <c r="F714" s="897">
        <f t="shared" si="135"/>
        <v>1</v>
      </c>
      <c r="G714" s="897">
        <f t="shared" si="135"/>
        <v>0.48175675675675678</v>
      </c>
      <c r="H714" s="395">
        <f t="shared" si="135"/>
        <v>0.52702702702702697</v>
      </c>
      <c r="I714" s="53"/>
      <c r="J714" s="320"/>
      <c r="K714" s="320"/>
      <c r="L714" s="69"/>
      <c r="M714" s="69"/>
      <c r="N714" s="69"/>
      <c r="O714" s="69"/>
      <c r="P714" s="101"/>
      <c r="Q714" s="102"/>
      <c r="R714" s="102"/>
      <c r="S714" s="103"/>
      <c r="T714" s="103"/>
      <c r="U714" s="103"/>
      <c r="V714" s="103"/>
      <c r="W714" s="103"/>
      <c r="X714" s="103"/>
      <c r="Y714" s="103"/>
      <c r="Z714" s="103"/>
    </row>
    <row r="715" spans="1:26" ht="57.75" customHeight="1">
      <c r="A715" s="104" t="s">
        <v>736</v>
      </c>
      <c r="B715" s="173" t="s">
        <v>2097</v>
      </c>
      <c r="C715" s="897">
        <v>1</v>
      </c>
      <c r="D715" s="897">
        <v>1</v>
      </c>
      <c r="E715" s="897">
        <v>1</v>
      </c>
      <c r="F715" s="897">
        <v>1</v>
      </c>
      <c r="G715" s="897">
        <v>1</v>
      </c>
      <c r="H715" s="292">
        <v>1</v>
      </c>
      <c r="I715" s="53" t="s">
        <v>38</v>
      </c>
      <c r="J715" s="69" t="s">
        <v>811</v>
      </c>
      <c r="K715" s="69" t="s">
        <v>811</v>
      </c>
      <c r="L715" s="69" t="s">
        <v>2098</v>
      </c>
      <c r="M715" s="109" t="s">
        <v>811</v>
      </c>
      <c r="N715" s="69" t="s">
        <v>811</v>
      </c>
      <c r="O715" s="69" t="s">
        <v>811</v>
      </c>
      <c r="P715" s="101"/>
      <c r="Q715" s="107"/>
      <c r="R715" s="107"/>
      <c r="S715" s="108"/>
      <c r="T715" s="108"/>
      <c r="U715" s="108"/>
      <c r="V715" s="108"/>
      <c r="W715" s="108"/>
      <c r="X715" s="108"/>
      <c r="Y715" s="108"/>
      <c r="Z715" s="108"/>
    </row>
    <row r="716" spans="1:26" ht="13.5" customHeight="1">
      <c r="A716" s="104"/>
      <c r="B716" s="173"/>
      <c r="C716" s="897"/>
      <c r="D716" s="897"/>
      <c r="E716" s="897"/>
      <c r="F716" s="897"/>
      <c r="G716" s="897"/>
      <c r="H716" s="292"/>
      <c r="I716" s="53"/>
      <c r="J716" s="116"/>
      <c r="K716" s="69"/>
      <c r="L716" s="228"/>
      <c r="M716" s="109"/>
      <c r="N716" s="69"/>
      <c r="O716" s="69"/>
      <c r="P716" s="101"/>
      <c r="Q716" s="107"/>
      <c r="R716" s="107"/>
      <c r="S716" s="108"/>
      <c r="T716" s="108"/>
      <c r="U716" s="108"/>
      <c r="V716" s="108"/>
      <c r="W716" s="108"/>
      <c r="X716" s="108"/>
      <c r="Y716" s="108"/>
      <c r="Z716" s="108"/>
    </row>
    <row r="717" spans="1:26" ht="55.5" customHeight="1">
      <c r="A717" s="104" t="s">
        <v>736</v>
      </c>
      <c r="B717" s="173" t="s">
        <v>2099</v>
      </c>
      <c r="C717" s="897">
        <f>(20-0)/(37-0)</f>
        <v>0.54054054054054057</v>
      </c>
      <c r="D717" s="897">
        <f>(12-0)/(37-0)</f>
        <v>0.32432432432432434</v>
      </c>
      <c r="E717" s="897">
        <f>(27-0)/(37-0)</f>
        <v>0.72972972972972971</v>
      </c>
      <c r="F717" s="897">
        <f>(37-0)/(37-0)</f>
        <v>1</v>
      </c>
      <c r="G717" s="897">
        <f>(1-0)/(37-0)</f>
        <v>2.7027027027027029E-2</v>
      </c>
      <c r="H717" s="292">
        <f>(4-0)/(37-0)</f>
        <v>0.10810810810810811</v>
      </c>
      <c r="I717" s="53" t="s">
        <v>2038</v>
      </c>
      <c r="J717" s="69" t="s">
        <v>2100</v>
      </c>
      <c r="K717" s="109">
        <v>12</v>
      </c>
      <c r="L717" s="69">
        <v>27</v>
      </c>
      <c r="M717" s="69" t="s">
        <v>2101</v>
      </c>
      <c r="N717" s="69" t="s">
        <v>2102</v>
      </c>
      <c r="O717" s="69">
        <v>4</v>
      </c>
      <c r="P717" s="101"/>
      <c r="Q717" s="107"/>
      <c r="R717" s="107"/>
      <c r="S717" s="108"/>
      <c r="T717" s="108"/>
      <c r="U717" s="108"/>
      <c r="V717" s="108"/>
      <c r="W717" s="108"/>
      <c r="X717" s="108"/>
      <c r="Y717" s="108"/>
      <c r="Z717" s="108"/>
    </row>
    <row r="718" spans="1:26" ht="13.5" customHeight="1">
      <c r="A718" s="104"/>
      <c r="B718" s="173"/>
      <c r="C718" s="292"/>
      <c r="D718" s="292"/>
      <c r="E718" s="292"/>
      <c r="F718" s="292"/>
      <c r="G718" s="292"/>
      <c r="H718" s="292"/>
      <c r="I718" s="53"/>
      <c r="J718" s="69"/>
      <c r="K718" s="69"/>
      <c r="L718" s="228"/>
      <c r="M718" s="69"/>
      <c r="N718" s="134"/>
      <c r="O718" s="69"/>
      <c r="P718" s="101"/>
      <c r="Q718" s="107"/>
      <c r="R718" s="107"/>
      <c r="S718" s="108"/>
      <c r="T718" s="108"/>
      <c r="U718" s="108"/>
      <c r="V718" s="108"/>
      <c r="W718" s="108"/>
      <c r="X718" s="108"/>
      <c r="Y718" s="108"/>
      <c r="Z718" s="108"/>
    </row>
    <row r="719" spans="1:26" ht="68.25" customHeight="1">
      <c r="A719" s="527" t="s">
        <v>736</v>
      </c>
      <c r="B719" s="529" t="s">
        <v>2103</v>
      </c>
      <c r="C719" s="292">
        <f>(10-10)/(0-10)</f>
        <v>0</v>
      </c>
      <c r="D719" s="292">
        <f>(2-10)/(0-10)</f>
        <v>0.8</v>
      </c>
      <c r="E719" s="292">
        <f>(1-10)/(0-10)</f>
        <v>0.9</v>
      </c>
      <c r="F719" s="292">
        <f>(0-10)/(0-10)</f>
        <v>1</v>
      </c>
      <c r="G719" s="292">
        <f>(1-10)/(0-10)</f>
        <v>0.9</v>
      </c>
      <c r="H719" s="292">
        <f>(0-10)/(0-10)</f>
        <v>1</v>
      </c>
      <c r="I719" s="919" t="s">
        <v>2104</v>
      </c>
      <c r="J719" s="69">
        <v>10</v>
      </c>
      <c r="K719" s="69">
        <v>2</v>
      </c>
      <c r="L719" s="69">
        <v>1</v>
      </c>
      <c r="M719" s="69">
        <v>0</v>
      </c>
      <c r="N719" s="69">
        <v>1</v>
      </c>
      <c r="O719" s="69">
        <v>0</v>
      </c>
      <c r="P719" s="320"/>
      <c r="Q719" s="320"/>
      <c r="R719" s="320"/>
      <c r="S719" s="286"/>
      <c r="T719" s="286"/>
      <c r="U719" s="286"/>
      <c r="V719" s="286"/>
      <c r="W719" s="286"/>
      <c r="X719" s="286"/>
      <c r="Y719" s="286"/>
      <c r="Z719" s="286"/>
    </row>
    <row r="720" spans="1:26" ht="13.5" customHeight="1">
      <c r="A720" s="104"/>
      <c r="B720" s="173"/>
      <c r="C720" s="292"/>
      <c r="D720" s="292"/>
      <c r="E720" s="292"/>
      <c r="F720" s="292"/>
      <c r="G720" s="292"/>
      <c r="H720" s="292"/>
      <c r="I720" s="53"/>
      <c r="J720" s="69"/>
      <c r="K720" s="109"/>
      <c r="L720" s="69"/>
      <c r="M720" s="69"/>
      <c r="N720" s="69"/>
      <c r="O720" s="69"/>
      <c r="P720" s="101"/>
      <c r="Q720" s="107"/>
      <c r="R720" s="107"/>
      <c r="S720" s="108"/>
      <c r="T720" s="108"/>
      <c r="U720" s="108"/>
      <c r="V720" s="108"/>
      <c r="W720" s="108"/>
      <c r="X720" s="108"/>
      <c r="Y720" s="108"/>
      <c r="Z720" s="108"/>
    </row>
    <row r="721" spans="1:26" ht="69.75" customHeight="1">
      <c r="A721" s="104" t="s">
        <v>736</v>
      </c>
      <c r="B721" s="173" t="s">
        <v>2105</v>
      </c>
      <c r="C721" s="292">
        <v>1</v>
      </c>
      <c r="D721" s="292">
        <v>1</v>
      </c>
      <c r="E721" s="292">
        <v>0</v>
      </c>
      <c r="F721" s="292">
        <v>1</v>
      </c>
      <c r="G721" s="292">
        <v>0</v>
      </c>
      <c r="H721" s="292">
        <v>0</v>
      </c>
      <c r="I721" s="53" t="s">
        <v>38</v>
      </c>
      <c r="J721" s="69" t="s">
        <v>2106</v>
      </c>
      <c r="K721" s="69" t="s">
        <v>2107</v>
      </c>
      <c r="L721" s="69" t="s">
        <v>748</v>
      </c>
      <c r="M721" s="69" t="s">
        <v>2108</v>
      </c>
      <c r="N721" s="228" t="s">
        <v>748</v>
      </c>
      <c r="O721" s="228" t="s">
        <v>748</v>
      </c>
      <c r="P721" s="101"/>
      <c r="Q721" s="107"/>
      <c r="R721" s="107"/>
      <c r="S721" s="108"/>
      <c r="T721" s="108"/>
      <c r="U721" s="108"/>
      <c r="V721" s="108"/>
      <c r="W721" s="108"/>
      <c r="X721" s="108"/>
      <c r="Y721" s="108"/>
      <c r="Z721" s="108"/>
    </row>
    <row r="722" spans="1:26" ht="13.5" customHeight="1">
      <c r="A722" s="164"/>
      <c r="B722" s="921"/>
      <c r="C722" s="292"/>
      <c r="D722" s="292"/>
      <c r="E722" s="292"/>
      <c r="F722" s="292"/>
      <c r="G722" s="292"/>
      <c r="H722" s="292"/>
      <c r="I722" s="53"/>
      <c r="J722" s="109"/>
      <c r="K722" s="109"/>
      <c r="L722" s="69"/>
      <c r="M722" s="69"/>
      <c r="N722" s="69"/>
      <c r="O722" s="69"/>
      <c r="P722" s="101"/>
      <c r="Q722" s="107"/>
      <c r="R722" s="107"/>
      <c r="S722" s="108"/>
      <c r="T722" s="108"/>
      <c r="U722" s="108"/>
      <c r="V722" s="108"/>
      <c r="W722" s="108"/>
      <c r="X722" s="108"/>
      <c r="Y722" s="108"/>
      <c r="Z722" s="108"/>
    </row>
    <row r="723" spans="1:26" ht="13.5" customHeight="1">
      <c r="A723" s="363" t="s">
        <v>2109</v>
      </c>
      <c r="B723" s="121" t="s">
        <v>639</v>
      </c>
      <c r="C723" s="395">
        <f t="shared" ref="C723:H723" si="136">AVERAGE(C724,C726,C728,C730,C732)</f>
        <v>1</v>
      </c>
      <c r="D723" s="395">
        <f t="shared" si="136"/>
        <v>0.8</v>
      </c>
      <c r="E723" s="395">
        <f t="shared" si="136"/>
        <v>0.1</v>
      </c>
      <c r="F723" s="395">
        <f t="shared" si="136"/>
        <v>1</v>
      </c>
      <c r="G723" s="395">
        <f t="shared" si="136"/>
        <v>0.4</v>
      </c>
      <c r="H723" s="395">
        <f t="shared" si="136"/>
        <v>0</v>
      </c>
      <c r="I723" s="53"/>
      <c r="J723" s="185"/>
      <c r="K723" s="396"/>
      <c r="L723" s="185"/>
      <c r="M723" s="185"/>
      <c r="N723" s="185"/>
      <c r="O723" s="185"/>
      <c r="P723" s="98"/>
      <c r="Q723" s="171"/>
      <c r="R723" s="171"/>
      <c r="S723" s="172"/>
      <c r="T723" s="172"/>
      <c r="U723" s="172"/>
      <c r="V723" s="172"/>
      <c r="W723" s="172"/>
      <c r="X723" s="172"/>
      <c r="Y723" s="172"/>
      <c r="Z723" s="172"/>
    </row>
    <row r="724" spans="1:26" ht="109.5" customHeight="1">
      <c r="A724" s="104" t="s">
        <v>736</v>
      </c>
      <c r="B724" s="173" t="s">
        <v>640</v>
      </c>
      <c r="C724" s="292">
        <v>1</v>
      </c>
      <c r="D724" s="292">
        <v>1</v>
      </c>
      <c r="E724" s="292">
        <v>0</v>
      </c>
      <c r="F724" s="292">
        <v>1</v>
      </c>
      <c r="G724" s="292">
        <v>1</v>
      </c>
      <c r="H724" s="292">
        <v>0</v>
      </c>
      <c r="I724" s="53" t="s">
        <v>38</v>
      </c>
      <c r="J724" s="69" t="s">
        <v>811</v>
      </c>
      <c r="K724" s="69" t="s">
        <v>2110</v>
      </c>
      <c r="L724" s="228" t="s">
        <v>748</v>
      </c>
      <c r="M724" s="69" t="s">
        <v>811</v>
      </c>
      <c r="N724" s="69" t="s">
        <v>2111</v>
      </c>
      <c r="O724" s="69" t="s">
        <v>2112</v>
      </c>
      <c r="P724" s="101"/>
      <c r="Q724" s="107"/>
      <c r="R724" s="107"/>
      <c r="S724" s="108"/>
      <c r="T724" s="108"/>
      <c r="U724" s="108"/>
      <c r="V724" s="108"/>
      <c r="W724" s="108"/>
      <c r="X724" s="108"/>
      <c r="Y724" s="108"/>
      <c r="Z724" s="108"/>
    </row>
    <row r="725" spans="1:26" ht="13.5" customHeight="1">
      <c r="A725" s="104"/>
      <c r="B725" s="173"/>
      <c r="C725" s="292"/>
      <c r="D725" s="292"/>
      <c r="E725" s="292"/>
      <c r="F725" s="292"/>
      <c r="G725" s="292"/>
      <c r="H725" s="292"/>
      <c r="I725" s="53"/>
      <c r="J725" s="69"/>
      <c r="K725" s="69"/>
      <c r="L725" s="228"/>
      <c r="M725" s="69"/>
      <c r="N725" s="134"/>
      <c r="O725" s="115"/>
      <c r="P725" s="101"/>
      <c r="Q725" s="107"/>
      <c r="R725" s="107"/>
      <c r="S725" s="108"/>
      <c r="T725" s="108"/>
      <c r="U725" s="108"/>
      <c r="V725" s="108"/>
      <c r="W725" s="108"/>
      <c r="X725" s="108"/>
      <c r="Y725" s="108"/>
      <c r="Z725" s="108"/>
    </row>
    <row r="726" spans="1:26" ht="69.75" customHeight="1">
      <c r="A726" s="104" t="s">
        <v>736</v>
      </c>
      <c r="B726" s="173" t="s">
        <v>641</v>
      </c>
      <c r="C726" s="292">
        <v>1</v>
      </c>
      <c r="D726" s="292">
        <v>1</v>
      </c>
      <c r="E726" s="292">
        <v>0</v>
      </c>
      <c r="F726" s="292">
        <v>1</v>
      </c>
      <c r="G726" s="292">
        <v>1</v>
      </c>
      <c r="H726" s="292">
        <v>0</v>
      </c>
      <c r="I726" s="53" t="s">
        <v>38</v>
      </c>
      <c r="J726" s="69" t="s">
        <v>2113</v>
      </c>
      <c r="K726" s="69" t="s">
        <v>811</v>
      </c>
      <c r="L726" s="228" t="s">
        <v>748</v>
      </c>
      <c r="M726" s="69" t="s">
        <v>811</v>
      </c>
      <c r="N726" s="69" t="s">
        <v>811</v>
      </c>
      <c r="O726" s="109" t="s">
        <v>748</v>
      </c>
      <c r="P726" s="101"/>
      <c r="Q726" s="107"/>
      <c r="R726" s="107"/>
      <c r="S726" s="108"/>
      <c r="T726" s="108"/>
      <c r="U726" s="108"/>
      <c r="V726" s="108"/>
      <c r="W726" s="108"/>
      <c r="X726" s="108"/>
      <c r="Y726" s="108"/>
      <c r="Z726" s="108"/>
    </row>
    <row r="727" spans="1:26" ht="13.5" customHeight="1">
      <c r="A727" s="104"/>
      <c r="B727" s="173"/>
      <c r="C727" s="292"/>
      <c r="D727" s="292"/>
      <c r="E727" s="292"/>
      <c r="F727" s="292"/>
      <c r="G727" s="292"/>
      <c r="H727" s="292"/>
      <c r="I727" s="53"/>
      <c r="J727" s="69"/>
      <c r="K727" s="69"/>
      <c r="L727" s="228"/>
      <c r="M727" s="69"/>
      <c r="N727" s="109"/>
      <c r="O727" s="115"/>
      <c r="P727" s="101"/>
      <c r="Q727" s="107"/>
      <c r="R727" s="107"/>
      <c r="S727" s="108"/>
      <c r="T727" s="108"/>
      <c r="U727" s="108"/>
      <c r="V727" s="108"/>
      <c r="W727" s="108"/>
      <c r="X727" s="108"/>
      <c r="Y727" s="108"/>
      <c r="Z727" s="108"/>
    </row>
    <row r="728" spans="1:26" ht="103.5" customHeight="1">
      <c r="A728" s="104" t="s">
        <v>736</v>
      </c>
      <c r="B728" s="173" t="s">
        <v>2114</v>
      </c>
      <c r="C728" s="292">
        <v>1</v>
      </c>
      <c r="D728" s="292">
        <v>1</v>
      </c>
      <c r="E728" s="292">
        <v>0.5</v>
      </c>
      <c r="F728" s="292">
        <v>1</v>
      </c>
      <c r="G728" s="292">
        <v>0</v>
      </c>
      <c r="H728" s="897">
        <v>0</v>
      </c>
      <c r="I728" s="53" t="s">
        <v>459</v>
      </c>
      <c r="J728" s="69" t="s">
        <v>811</v>
      </c>
      <c r="K728" s="69" t="s">
        <v>811</v>
      </c>
      <c r="L728" s="69" t="s">
        <v>2115</v>
      </c>
      <c r="M728" s="69" t="s">
        <v>811</v>
      </c>
      <c r="N728" s="109" t="s">
        <v>748</v>
      </c>
      <c r="O728" s="69" t="s">
        <v>2116</v>
      </c>
      <c r="P728" s="101"/>
      <c r="Q728" s="107"/>
      <c r="R728" s="107"/>
      <c r="S728" s="108"/>
      <c r="T728" s="108"/>
      <c r="U728" s="108"/>
      <c r="V728" s="108"/>
      <c r="W728" s="108"/>
      <c r="X728" s="108"/>
      <c r="Y728" s="108"/>
      <c r="Z728" s="108"/>
    </row>
    <row r="729" spans="1:26" ht="13.5" customHeight="1">
      <c r="A729" s="104"/>
      <c r="B729" s="173"/>
      <c r="C729" s="292"/>
      <c r="D729" s="292"/>
      <c r="E729" s="292"/>
      <c r="F729" s="292"/>
      <c r="G729" s="292"/>
      <c r="H729" s="292"/>
      <c r="I729" s="53"/>
      <c r="J729" s="69"/>
      <c r="K729" s="69"/>
      <c r="L729" s="228"/>
      <c r="M729" s="69"/>
      <c r="N729" s="134"/>
      <c r="O729" s="115"/>
      <c r="P729" s="101"/>
      <c r="Q729" s="107"/>
      <c r="R729" s="107"/>
      <c r="S729" s="108"/>
      <c r="T729" s="108"/>
      <c r="U729" s="108"/>
      <c r="V729" s="108"/>
      <c r="W729" s="108"/>
      <c r="X729" s="108"/>
      <c r="Y729" s="108"/>
      <c r="Z729" s="108"/>
    </row>
    <row r="730" spans="1:26" ht="55.5" customHeight="1">
      <c r="A730" s="104" t="s">
        <v>736</v>
      </c>
      <c r="B730" s="173" t="s">
        <v>2117</v>
      </c>
      <c r="C730" s="292">
        <v>1</v>
      </c>
      <c r="D730" s="292">
        <v>1</v>
      </c>
      <c r="E730" s="292">
        <v>0</v>
      </c>
      <c r="F730" s="292">
        <v>1</v>
      </c>
      <c r="G730" s="292">
        <v>0</v>
      </c>
      <c r="H730" s="292">
        <v>0</v>
      </c>
      <c r="I730" s="53" t="s">
        <v>38</v>
      </c>
      <c r="J730" s="69" t="s">
        <v>2118</v>
      </c>
      <c r="K730" s="69" t="s">
        <v>811</v>
      </c>
      <c r="L730" s="69" t="s">
        <v>748</v>
      </c>
      <c r="M730" s="69" t="s">
        <v>811</v>
      </c>
      <c r="N730" s="109" t="s">
        <v>748</v>
      </c>
      <c r="O730" s="109" t="s">
        <v>748</v>
      </c>
      <c r="P730" s="101"/>
      <c r="Q730" s="107"/>
      <c r="R730" s="107"/>
      <c r="S730" s="108"/>
      <c r="T730" s="108"/>
      <c r="U730" s="108"/>
      <c r="V730" s="108"/>
      <c r="W730" s="108"/>
      <c r="X730" s="108"/>
      <c r="Y730" s="108"/>
      <c r="Z730" s="108"/>
    </row>
    <row r="731" spans="1:26" ht="13.5" customHeight="1">
      <c r="A731" s="104"/>
      <c r="B731" s="173"/>
      <c r="C731" s="292"/>
      <c r="D731" s="292"/>
      <c r="E731" s="292"/>
      <c r="F731" s="292"/>
      <c r="G731" s="292"/>
      <c r="H731" s="292"/>
      <c r="I731" s="53"/>
      <c r="J731" s="116"/>
      <c r="K731" s="69"/>
      <c r="L731" s="115"/>
      <c r="M731" s="115"/>
      <c r="N731" s="115"/>
      <c r="O731" s="115"/>
      <c r="P731" s="101"/>
      <c r="Q731" s="107"/>
      <c r="R731" s="107"/>
      <c r="S731" s="108"/>
      <c r="T731" s="108"/>
      <c r="U731" s="108"/>
      <c r="V731" s="108"/>
      <c r="W731" s="108"/>
      <c r="X731" s="108"/>
      <c r="Y731" s="108"/>
      <c r="Z731" s="108"/>
    </row>
    <row r="732" spans="1:26" ht="85.5" customHeight="1">
      <c r="A732" s="104" t="s">
        <v>736</v>
      </c>
      <c r="B732" s="173" t="s">
        <v>2119</v>
      </c>
      <c r="C732" s="292">
        <v>1</v>
      </c>
      <c r="D732" s="292">
        <v>0</v>
      </c>
      <c r="E732" s="292">
        <v>0</v>
      </c>
      <c r="F732" s="292">
        <v>1</v>
      </c>
      <c r="G732" s="292">
        <v>0</v>
      </c>
      <c r="H732" s="292">
        <v>0</v>
      </c>
      <c r="I732" s="53" t="s">
        <v>459</v>
      </c>
      <c r="J732" s="69" t="s">
        <v>811</v>
      </c>
      <c r="K732" s="69" t="s">
        <v>748</v>
      </c>
      <c r="L732" s="109" t="s">
        <v>748</v>
      </c>
      <c r="M732" s="69" t="s">
        <v>811</v>
      </c>
      <c r="N732" s="69" t="s">
        <v>748</v>
      </c>
      <c r="O732" s="69" t="s">
        <v>748</v>
      </c>
      <c r="P732" s="101"/>
      <c r="Q732" s="107"/>
      <c r="R732" s="107"/>
      <c r="S732" s="108"/>
      <c r="T732" s="108"/>
      <c r="U732" s="108"/>
      <c r="V732" s="108"/>
      <c r="W732" s="108"/>
      <c r="X732" s="108"/>
      <c r="Y732" s="108"/>
      <c r="Z732" s="108"/>
    </row>
    <row r="733" spans="1:26" ht="13.5" customHeight="1">
      <c r="A733" s="104"/>
      <c r="B733" s="917"/>
      <c r="C733" s="894"/>
      <c r="D733" s="894"/>
      <c r="E733" s="65"/>
      <c r="F733" s="65"/>
      <c r="G733" s="65"/>
      <c r="H733" s="65"/>
      <c r="I733" s="53"/>
      <c r="J733" s="67"/>
      <c r="K733" s="106"/>
      <c r="L733" s="106"/>
      <c r="M733" s="67"/>
      <c r="N733" s="106"/>
      <c r="O733" s="106"/>
      <c r="P733" s="110"/>
      <c r="Q733" s="108"/>
      <c r="R733" s="108"/>
      <c r="S733" s="108"/>
      <c r="T733" s="108"/>
      <c r="U733" s="108"/>
      <c r="V733" s="108"/>
      <c r="W733" s="108"/>
      <c r="X733" s="108"/>
      <c r="Y733" s="108"/>
      <c r="Z733" s="108"/>
    </row>
    <row r="734" spans="1:26" ht="18.75" customHeight="1">
      <c r="A734" s="422">
        <v>3</v>
      </c>
      <c r="B734" s="2605" t="s">
        <v>2120</v>
      </c>
      <c r="C734" s="2600"/>
      <c r="D734" s="2600"/>
      <c r="E734" s="2600"/>
      <c r="F734" s="2600"/>
      <c r="G734" s="2600"/>
      <c r="H734" s="2601"/>
      <c r="I734" s="260"/>
      <c r="J734" s="2604"/>
      <c r="K734" s="2600"/>
      <c r="L734" s="2600"/>
      <c r="M734" s="2600"/>
      <c r="N734" s="2600"/>
      <c r="O734" s="2601"/>
      <c r="P734" s="98"/>
      <c r="Q734" s="98"/>
      <c r="R734" s="98"/>
      <c r="S734" s="99"/>
      <c r="T734" s="99"/>
      <c r="U734" s="99"/>
      <c r="V734" s="99"/>
      <c r="W734" s="99"/>
      <c r="X734" s="99"/>
      <c r="Y734" s="99"/>
      <c r="Z734" s="99"/>
    </row>
    <row r="735" spans="1:26" ht="35.25" customHeight="1">
      <c r="A735" s="422"/>
      <c r="B735" s="425" t="s">
        <v>2121</v>
      </c>
      <c r="C735" s="426">
        <f t="shared" ref="C735:H735" si="137">AVERAGE(C736,C795,C846,C879,C949)</f>
        <v>0.61988792526862613</v>
      </c>
      <c r="D735" s="426">
        <f t="shared" si="137"/>
        <v>0.67976448382282018</v>
      </c>
      <c r="E735" s="426">
        <f t="shared" si="137"/>
        <v>0.36796067254402343</v>
      </c>
      <c r="F735" s="426">
        <f t="shared" si="137"/>
        <v>0.65671283505410982</v>
      </c>
      <c r="G735" s="426">
        <f t="shared" si="137"/>
        <v>0.62185689208077777</v>
      </c>
      <c r="H735" s="426">
        <f t="shared" si="137"/>
        <v>0.61301540104156782</v>
      </c>
      <c r="I735" s="260"/>
      <c r="J735" s="280"/>
      <c r="K735" s="280"/>
      <c r="L735" s="280"/>
      <c r="M735" s="280"/>
      <c r="N735" s="280"/>
      <c r="O735" s="280"/>
      <c r="P735" s="98"/>
      <c r="Q735" s="98"/>
      <c r="R735" s="98"/>
      <c r="S735" s="99"/>
      <c r="T735" s="99"/>
      <c r="U735" s="99"/>
      <c r="V735" s="99"/>
      <c r="W735" s="99"/>
      <c r="X735" s="99"/>
      <c r="Y735" s="99"/>
      <c r="Z735" s="99"/>
    </row>
    <row r="736" spans="1:26" ht="29.25" customHeight="1">
      <c r="A736" s="537" t="s">
        <v>2122</v>
      </c>
      <c r="B736" s="112" t="s">
        <v>648</v>
      </c>
      <c r="C736" s="131">
        <f t="shared" ref="C736:H736" si="138">AVERAGE(C737,C750,C765,C774)</f>
        <v>0.86204545454545456</v>
      </c>
      <c r="D736" s="131">
        <f t="shared" si="138"/>
        <v>0.98750000000000004</v>
      </c>
      <c r="E736" s="131">
        <f t="shared" si="138"/>
        <v>0.41583333333333339</v>
      </c>
      <c r="F736" s="131">
        <f t="shared" si="138"/>
        <v>0.90239898989898981</v>
      </c>
      <c r="G736" s="131">
        <f t="shared" si="138"/>
        <v>0.63749999999999996</v>
      </c>
      <c r="H736" s="131">
        <f t="shared" si="138"/>
        <v>0.59911616161616155</v>
      </c>
      <c r="I736" s="260"/>
      <c r="J736" s="38"/>
      <c r="K736" s="38"/>
      <c r="L736" s="38"/>
      <c r="M736" s="38"/>
      <c r="N736" s="38"/>
      <c r="O736" s="38"/>
      <c r="P736" s="98"/>
      <c r="Q736" s="98"/>
      <c r="R736" s="98"/>
      <c r="S736" s="99"/>
      <c r="T736" s="99"/>
      <c r="U736" s="99"/>
      <c r="V736" s="99"/>
      <c r="W736" s="99"/>
      <c r="X736" s="99"/>
      <c r="Y736" s="99"/>
      <c r="Z736" s="99"/>
    </row>
    <row r="737" spans="1:26" ht="13.5" customHeight="1">
      <c r="A737" s="542" t="s">
        <v>2123</v>
      </c>
      <c r="B737" s="121" t="s">
        <v>650</v>
      </c>
      <c r="C737" s="240">
        <f t="shared" ref="C737:H737" si="139">AVERAGE(C738,C742,C744,C746,C748)</f>
        <v>0.7</v>
      </c>
      <c r="D737" s="240">
        <f t="shared" si="139"/>
        <v>1</v>
      </c>
      <c r="E737" s="240">
        <f t="shared" si="139"/>
        <v>0</v>
      </c>
      <c r="F737" s="240">
        <f t="shared" si="139"/>
        <v>1</v>
      </c>
      <c r="G737" s="240">
        <f t="shared" si="139"/>
        <v>0.4</v>
      </c>
      <c r="H737" s="240">
        <f t="shared" si="139"/>
        <v>0</v>
      </c>
      <c r="I737" s="53"/>
      <c r="J737" s="56"/>
      <c r="K737" s="56"/>
      <c r="L737" s="56"/>
      <c r="M737" s="56"/>
      <c r="N737" s="56"/>
      <c r="O737" s="56"/>
      <c r="P737" s="101"/>
      <c r="Q737" s="102"/>
      <c r="R737" s="102"/>
      <c r="S737" s="103"/>
      <c r="T737" s="103"/>
      <c r="U737" s="103"/>
      <c r="V737" s="103"/>
      <c r="W737" s="103"/>
      <c r="X737" s="103"/>
      <c r="Y737" s="103"/>
      <c r="Z737" s="103"/>
    </row>
    <row r="738" spans="1:26" ht="54" customHeight="1">
      <c r="A738" s="104" t="s">
        <v>736</v>
      </c>
      <c r="B738" s="105" t="s">
        <v>651</v>
      </c>
      <c r="C738" s="899">
        <f t="shared" ref="C738:H738" si="140">AVERAGE(C739:C740)</f>
        <v>1</v>
      </c>
      <c r="D738" s="899">
        <f t="shared" si="140"/>
        <v>1</v>
      </c>
      <c r="E738" s="899">
        <f t="shared" si="140"/>
        <v>0</v>
      </c>
      <c r="F738" s="899">
        <f t="shared" si="140"/>
        <v>1</v>
      </c>
      <c r="G738" s="899">
        <f t="shared" si="140"/>
        <v>0</v>
      </c>
      <c r="H738" s="899">
        <f t="shared" si="140"/>
        <v>0</v>
      </c>
      <c r="I738" s="53"/>
      <c r="J738" s="67" t="s">
        <v>811</v>
      </c>
      <c r="K738" s="106" t="s">
        <v>811</v>
      </c>
      <c r="L738" s="106" t="s">
        <v>748</v>
      </c>
      <c r="M738" s="69" t="s">
        <v>2124</v>
      </c>
      <c r="N738" s="106" t="s">
        <v>748</v>
      </c>
      <c r="O738" s="106" t="s">
        <v>748</v>
      </c>
      <c r="P738" s="101"/>
      <c r="Q738" s="107"/>
      <c r="R738" s="107"/>
      <c r="S738" s="108"/>
      <c r="T738" s="108"/>
      <c r="U738" s="108"/>
      <c r="V738" s="108"/>
      <c r="W738" s="108"/>
      <c r="X738" s="108"/>
      <c r="Y738" s="108"/>
      <c r="Z738" s="108"/>
    </row>
    <row r="739" spans="1:26" ht="13.5" customHeight="1">
      <c r="A739" s="104"/>
      <c r="B739" s="891" t="s">
        <v>652</v>
      </c>
      <c r="C739" s="91">
        <v>1</v>
      </c>
      <c r="D739" s="91">
        <v>1</v>
      </c>
      <c r="E739" s="91">
        <v>0</v>
      </c>
      <c r="F739" s="91">
        <v>1</v>
      </c>
      <c r="G739" s="91">
        <v>0</v>
      </c>
      <c r="H739" s="91">
        <v>0</v>
      </c>
      <c r="I739" s="53"/>
      <c r="J739" s="67" t="s">
        <v>811</v>
      </c>
      <c r="K739" s="106" t="s">
        <v>811</v>
      </c>
      <c r="L739" s="106" t="s">
        <v>748</v>
      </c>
      <c r="M739" s="69" t="s">
        <v>2124</v>
      </c>
      <c r="N739" s="106" t="s">
        <v>748</v>
      </c>
      <c r="O739" s="106" t="s">
        <v>748</v>
      </c>
      <c r="P739" s="101"/>
      <c r="Q739" s="107"/>
      <c r="R739" s="107"/>
      <c r="S739" s="108"/>
      <c r="T739" s="108"/>
      <c r="U739" s="108"/>
      <c r="V739" s="108"/>
      <c r="W739" s="108"/>
      <c r="X739" s="108"/>
      <c r="Y739" s="108"/>
      <c r="Z739" s="108"/>
    </row>
    <row r="740" spans="1:26" ht="130.5" customHeight="1">
      <c r="A740" s="104" t="s">
        <v>736</v>
      </c>
      <c r="B740" s="891" t="s">
        <v>653</v>
      </c>
      <c r="C740" s="91">
        <v>1</v>
      </c>
      <c r="D740" s="91">
        <v>1</v>
      </c>
      <c r="E740" s="91" t="s">
        <v>1073</v>
      </c>
      <c r="F740" s="91">
        <v>1</v>
      </c>
      <c r="G740" s="91" t="s">
        <v>1073</v>
      </c>
      <c r="H740" s="91" t="s">
        <v>1073</v>
      </c>
      <c r="I740" s="53"/>
      <c r="J740" s="67" t="s">
        <v>811</v>
      </c>
      <c r="K740" s="67" t="s">
        <v>811</v>
      </c>
      <c r="L740" s="71" t="s">
        <v>2125</v>
      </c>
      <c r="M740" s="67" t="s">
        <v>2126</v>
      </c>
      <c r="N740" s="67" t="s">
        <v>877</v>
      </c>
      <c r="O740" s="67" t="s">
        <v>877</v>
      </c>
      <c r="P740" s="101"/>
      <c r="Q740" s="107"/>
      <c r="R740" s="107"/>
      <c r="S740" s="108"/>
      <c r="T740" s="108"/>
      <c r="U740" s="108"/>
      <c r="V740" s="108"/>
      <c r="W740" s="108"/>
      <c r="X740" s="108"/>
      <c r="Y740" s="108"/>
      <c r="Z740" s="108"/>
    </row>
    <row r="741" spans="1:26" ht="13.5" customHeight="1">
      <c r="A741" s="104"/>
      <c r="B741" s="105"/>
      <c r="C741" s="91"/>
      <c r="D741" s="91"/>
      <c r="E741" s="293"/>
      <c r="F741" s="431"/>
      <c r="G741" s="91"/>
      <c r="H741" s="69"/>
      <c r="I741" s="53"/>
      <c r="J741" s="67"/>
      <c r="K741" s="67"/>
      <c r="L741" s="67"/>
      <c r="M741" s="69"/>
      <c r="N741" s="67"/>
      <c r="O741" s="67"/>
      <c r="P741" s="101"/>
      <c r="Q741" s="107"/>
      <c r="R741" s="107"/>
      <c r="S741" s="108"/>
      <c r="T741" s="108"/>
      <c r="U741" s="108"/>
      <c r="V741" s="108"/>
      <c r="W741" s="108"/>
      <c r="X741" s="108"/>
      <c r="Y741" s="108"/>
      <c r="Z741" s="108"/>
    </row>
    <row r="742" spans="1:26" ht="60.75" customHeight="1">
      <c r="A742" s="104" t="s">
        <v>736</v>
      </c>
      <c r="B742" s="105" t="s">
        <v>654</v>
      </c>
      <c r="C742" s="91">
        <v>1</v>
      </c>
      <c r="D742" s="91">
        <v>1</v>
      </c>
      <c r="E742" s="899">
        <v>0</v>
      </c>
      <c r="F742" s="899">
        <v>1</v>
      </c>
      <c r="G742" s="899">
        <v>0.5</v>
      </c>
      <c r="H742" s="899">
        <v>0</v>
      </c>
      <c r="I742" s="53"/>
      <c r="J742" s="67" t="s">
        <v>811</v>
      </c>
      <c r="K742" s="67" t="s">
        <v>811</v>
      </c>
      <c r="L742" s="67" t="s">
        <v>2127</v>
      </c>
      <c r="M742" s="69" t="s">
        <v>2128</v>
      </c>
      <c r="N742" s="147" t="s">
        <v>2129</v>
      </c>
      <c r="O742" s="67" t="s">
        <v>2130</v>
      </c>
      <c r="P742" s="101"/>
      <c r="Q742" s="107"/>
      <c r="R742" s="107"/>
      <c r="S742" s="108"/>
      <c r="T742" s="108"/>
      <c r="U742" s="108"/>
      <c r="V742" s="108"/>
      <c r="W742" s="108"/>
      <c r="X742" s="108"/>
      <c r="Y742" s="108"/>
      <c r="Z742" s="108"/>
    </row>
    <row r="743" spans="1:26" ht="17.25" customHeight="1">
      <c r="A743" s="104"/>
      <c r="B743" s="105"/>
      <c r="C743" s="69"/>
      <c r="D743" s="91"/>
      <c r="E743" s="293"/>
      <c r="F743" s="431"/>
      <c r="G743" s="91"/>
      <c r="H743" s="69"/>
      <c r="I743" s="53"/>
      <c r="J743" s="67"/>
      <c r="K743" s="67"/>
      <c r="L743" s="67"/>
      <c r="M743" s="548"/>
      <c r="N743" s="430"/>
      <c r="O743" s="67"/>
      <c r="P743" s="101"/>
      <c r="Q743" s="107"/>
      <c r="R743" s="107"/>
      <c r="S743" s="108"/>
      <c r="T743" s="108"/>
      <c r="U743" s="108"/>
      <c r="V743" s="108"/>
      <c r="W743" s="108"/>
      <c r="X743" s="108"/>
      <c r="Y743" s="108"/>
      <c r="Z743" s="108"/>
    </row>
    <row r="744" spans="1:26" ht="62.25" customHeight="1">
      <c r="A744" s="104" t="s">
        <v>736</v>
      </c>
      <c r="B744" s="105" t="s">
        <v>2131</v>
      </c>
      <c r="C744" s="91">
        <v>0</v>
      </c>
      <c r="D744" s="91">
        <v>1</v>
      </c>
      <c r="E744" s="91">
        <v>0</v>
      </c>
      <c r="F744" s="899">
        <v>1</v>
      </c>
      <c r="G744" s="91">
        <v>0</v>
      </c>
      <c r="H744" s="91">
        <v>0</v>
      </c>
      <c r="I744" s="53"/>
      <c r="J744" s="67" t="s">
        <v>748</v>
      </c>
      <c r="K744" s="67" t="s">
        <v>811</v>
      </c>
      <c r="L744" s="85" t="s">
        <v>748</v>
      </c>
      <c r="M744" s="429" t="s">
        <v>2132</v>
      </c>
      <c r="N744" s="147" t="s">
        <v>2133</v>
      </c>
      <c r="O744" s="67" t="s">
        <v>968</v>
      </c>
      <c r="P744" s="101"/>
      <c r="Q744" s="107"/>
      <c r="R744" s="107"/>
      <c r="S744" s="108"/>
      <c r="T744" s="108"/>
      <c r="U744" s="108"/>
      <c r="V744" s="108"/>
      <c r="W744" s="108"/>
      <c r="X744" s="108"/>
      <c r="Y744" s="108"/>
      <c r="Z744" s="108"/>
    </row>
    <row r="745" spans="1:26" ht="14.25" customHeight="1">
      <c r="A745" s="104"/>
      <c r="B745" s="105"/>
      <c r="C745" s="91"/>
      <c r="D745" s="91"/>
      <c r="E745" s="91"/>
      <c r="F745" s="91"/>
      <c r="G745" s="91"/>
      <c r="H745" s="91"/>
      <c r="I745" s="53"/>
      <c r="J745" s="67"/>
      <c r="K745" s="67"/>
      <c r="L745" s="85"/>
      <c r="M745" s="429"/>
      <c r="N745" s="85"/>
      <c r="O745" s="67"/>
      <c r="P745" s="101"/>
      <c r="Q745" s="107"/>
      <c r="R745" s="107"/>
      <c r="S745" s="108"/>
      <c r="T745" s="108"/>
      <c r="U745" s="108"/>
      <c r="V745" s="108"/>
      <c r="W745" s="108"/>
      <c r="X745" s="108"/>
      <c r="Y745" s="108"/>
      <c r="Z745" s="108"/>
    </row>
    <row r="746" spans="1:26" ht="95.25" customHeight="1">
      <c r="A746" s="104" t="s">
        <v>736</v>
      </c>
      <c r="B746" s="105" t="s">
        <v>656</v>
      </c>
      <c r="C746" s="899">
        <v>1</v>
      </c>
      <c r="D746" s="91">
        <v>1</v>
      </c>
      <c r="E746" s="91">
        <v>0</v>
      </c>
      <c r="F746" s="91">
        <v>1</v>
      </c>
      <c r="G746" s="899">
        <v>0.5</v>
      </c>
      <c r="H746" s="91">
        <v>0</v>
      </c>
      <c r="I746" s="53"/>
      <c r="J746" s="444" t="s">
        <v>1005</v>
      </c>
      <c r="K746" s="67" t="s">
        <v>811</v>
      </c>
      <c r="L746" s="85" t="s">
        <v>2134</v>
      </c>
      <c r="M746" s="67" t="s">
        <v>2135</v>
      </c>
      <c r="N746" s="71" t="s">
        <v>2136</v>
      </c>
      <c r="O746" s="67" t="s">
        <v>2137</v>
      </c>
      <c r="P746" s="101"/>
      <c r="Q746" s="107"/>
      <c r="R746" s="107"/>
      <c r="S746" s="108"/>
      <c r="T746" s="108"/>
      <c r="U746" s="108"/>
      <c r="V746" s="108"/>
      <c r="W746" s="108"/>
      <c r="X746" s="108"/>
      <c r="Y746" s="108"/>
      <c r="Z746" s="108"/>
    </row>
    <row r="747" spans="1:26" ht="27" customHeight="1">
      <c r="A747" s="104"/>
      <c r="B747" s="105"/>
      <c r="C747" s="91"/>
      <c r="D747" s="91"/>
      <c r="E747" s="293"/>
      <c r="F747" s="431"/>
      <c r="G747" s="292"/>
      <c r="H747" s="69"/>
      <c r="I747" s="53"/>
      <c r="J747" s="67"/>
      <c r="K747" s="67"/>
      <c r="L747" s="85"/>
      <c r="M747" s="69"/>
      <c r="N747" s="67"/>
      <c r="O747" s="290"/>
      <c r="P747" s="101"/>
      <c r="Q747" s="107"/>
      <c r="R747" s="107"/>
      <c r="S747" s="108"/>
      <c r="T747" s="108"/>
      <c r="U747" s="108"/>
      <c r="V747" s="108"/>
      <c r="W747" s="108"/>
      <c r="X747" s="108"/>
      <c r="Y747" s="108"/>
      <c r="Z747" s="108"/>
    </row>
    <row r="748" spans="1:26" ht="132.75" customHeight="1">
      <c r="A748" s="104" t="s">
        <v>736</v>
      </c>
      <c r="B748" s="105" t="s">
        <v>657</v>
      </c>
      <c r="C748" s="91">
        <v>0.5</v>
      </c>
      <c r="D748" s="91">
        <v>1</v>
      </c>
      <c r="E748" s="91">
        <v>0</v>
      </c>
      <c r="F748" s="91">
        <v>1</v>
      </c>
      <c r="G748" s="91">
        <v>1</v>
      </c>
      <c r="H748" s="899">
        <v>0</v>
      </c>
      <c r="I748" s="53"/>
      <c r="J748" s="67" t="s">
        <v>2138</v>
      </c>
      <c r="K748" s="67" t="s">
        <v>811</v>
      </c>
      <c r="L748" s="85" t="s">
        <v>2139</v>
      </c>
      <c r="M748" s="430" t="s">
        <v>2140</v>
      </c>
      <c r="N748" s="67" t="s">
        <v>2141</v>
      </c>
      <c r="O748" s="67" t="s">
        <v>2142</v>
      </c>
      <c r="P748" s="101"/>
      <c r="Q748" s="107"/>
      <c r="R748" s="107"/>
      <c r="S748" s="108"/>
      <c r="T748" s="108"/>
      <c r="U748" s="108"/>
      <c r="V748" s="108"/>
      <c r="W748" s="108"/>
      <c r="X748" s="108"/>
      <c r="Y748" s="108"/>
      <c r="Z748" s="108"/>
    </row>
    <row r="749" spans="1:26" ht="29.25" customHeight="1">
      <c r="A749" s="104"/>
      <c r="B749" s="921"/>
      <c r="C749" s="91"/>
      <c r="D749" s="91"/>
      <c r="E749" s="293"/>
      <c r="F749" s="431"/>
      <c r="G749" s="91"/>
      <c r="H749" s="69"/>
      <c r="I749" s="53"/>
      <c r="J749" s="107"/>
      <c r="K749" s="67"/>
      <c r="L749" s="67"/>
      <c r="M749" s="69"/>
      <c r="N749" s="71"/>
      <c r="O749" s="67"/>
      <c r="P749" s="101"/>
      <c r="Q749" s="107"/>
      <c r="R749" s="107"/>
      <c r="S749" s="108"/>
      <c r="T749" s="108"/>
      <c r="U749" s="108"/>
      <c r="V749" s="108"/>
      <c r="W749" s="108"/>
      <c r="X749" s="108"/>
      <c r="Y749" s="108"/>
      <c r="Z749" s="108"/>
    </row>
    <row r="750" spans="1:26" ht="27.75" customHeight="1">
      <c r="A750" s="494" t="s">
        <v>2143</v>
      </c>
      <c r="B750" s="121" t="s">
        <v>658</v>
      </c>
      <c r="C750" s="240">
        <f t="shared" ref="C750:H750" si="141">SUM(C751,C753,C755,C757,C761,C763)/6</f>
        <v>1</v>
      </c>
      <c r="D750" s="240">
        <f t="shared" si="141"/>
        <v>1</v>
      </c>
      <c r="E750" s="240">
        <f t="shared" si="141"/>
        <v>0.83333333333333337</v>
      </c>
      <c r="F750" s="240">
        <f t="shared" si="141"/>
        <v>0.91666666666666663</v>
      </c>
      <c r="G750" s="240">
        <f t="shared" si="141"/>
        <v>0.75</v>
      </c>
      <c r="H750" s="240">
        <f t="shared" si="141"/>
        <v>0.91666666666666663</v>
      </c>
      <c r="I750" s="53"/>
      <c r="J750" s="56"/>
      <c r="K750" s="56"/>
      <c r="L750" s="56"/>
      <c r="M750" s="56"/>
      <c r="N750" s="56"/>
      <c r="O750" s="56"/>
      <c r="P750" s="101"/>
      <c r="Q750" s="102"/>
      <c r="R750" s="102"/>
      <c r="S750" s="103"/>
      <c r="T750" s="103"/>
      <c r="U750" s="103"/>
      <c r="V750" s="103"/>
      <c r="W750" s="103"/>
      <c r="X750" s="103"/>
      <c r="Y750" s="103"/>
      <c r="Z750" s="103"/>
    </row>
    <row r="751" spans="1:26" ht="106.5" customHeight="1">
      <c r="A751" s="104" t="s">
        <v>736</v>
      </c>
      <c r="B751" s="105" t="s">
        <v>660</v>
      </c>
      <c r="C751" s="91">
        <v>1</v>
      </c>
      <c r="D751" s="91">
        <v>1</v>
      </c>
      <c r="E751" s="91">
        <v>1</v>
      </c>
      <c r="F751" s="91">
        <v>1</v>
      </c>
      <c r="G751" s="91">
        <v>1</v>
      </c>
      <c r="H751" s="91">
        <v>1</v>
      </c>
      <c r="I751" s="53" t="s">
        <v>38</v>
      </c>
      <c r="J751" s="67" t="s">
        <v>811</v>
      </c>
      <c r="K751" s="67" t="s">
        <v>811</v>
      </c>
      <c r="L751" s="67" t="s">
        <v>2144</v>
      </c>
      <c r="M751" s="430" t="s">
        <v>2145</v>
      </c>
      <c r="N751" s="67" t="s">
        <v>2146</v>
      </c>
      <c r="O751" s="67" t="s">
        <v>2147</v>
      </c>
      <c r="P751" s="101"/>
      <c r="Q751" s="107"/>
      <c r="R751" s="107"/>
      <c r="S751" s="108"/>
      <c r="T751" s="108"/>
      <c r="U751" s="108"/>
      <c r="V751" s="108"/>
      <c r="W751" s="108"/>
      <c r="X751" s="108"/>
      <c r="Y751" s="108"/>
      <c r="Z751" s="108"/>
    </row>
    <row r="752" spans="1:26" ht="22.5" customHeight="1">
      <c r="A752" s="104"/>
      <c r="B752" s="921"/>
      <c r="C752" s="91"/>
      <c r="D752" s="91"/>
      <c r="E752" s="433"/>
      <c r="F752" s="431"/>
      <c r="G752" s="91"/>
      <c r="H752" s="69"/>
      <c r="I752" s="53"/>
      <c r="J752" s="67"/>
      <c r="K752" s="67"/>
      <c r="L752" s="67"/>
      <c r="M752" s="109"/>
      <c r="N752" s="67"/>
      <c r="O752" s="67" t="s">
        <v>2148</v>
      </c>
      <c r="P752" s="101"/>
      <c r="Q752" s="107"/>
      <c r="R752" s="107"/>
      <c r="S752" s="108"/>
      <c r="T752" s="108"/>
      <c r="U752" s="108"/>
      <c r="V752" s="108"/>
      <c r="W752" s="108"/>
      <c r="X752" s="108"/>
      <c r="Y752" s="108"/>
      <c r="Z752" s="108"/>
    </row>
    <row r="753" spans="1:26" ht="228" customHeight="1">
      <c r="A753" s="104" t="s">
        <v>736</v>
      </c>
      <c r="B753" s="105" t="s">
        <v>661</v>
      </c>
      <c r="C753" s="91">
        <v>1</v>
      </c>
      <c r="D753" s="91">
        <v>1</v>
      </c>
      <c r="E753" s="91">
        <v>0.5</v>
      </c>
      <c r="F753" s="899">
        <v>1</v>
      </c>
      <c r="G753" s="91">
        <v>1</v>
      </c>
      <c r="H753" s="899">
        <v>1</v>
      </c>
      <c r="I753" s="53" t="s">
        <v>38</v>
      </c>
      <c r="J753" s="67" t="s">
        <v>811</v>
      </c>
      <c r="K753" s="67" t="s">
        <v>811</v>
      </c>
      <c r="L753" s="67" t="s">
        <v>2149</v>
      </c>
      <c r="M753" s="430" t="s">
        <v>2150</v>
      </c>
      <c r="N753" s="67" t="s">
        <v>2151</v>
      </c>
      <c r="O753" s="67" t="s">
        <v>811</v>
      </c>
      <c r="P753" s="101"/>
      <c r="Q753" s="107"/>
      <c r="R753" s="107"/>
      <c r="S753" s="108"/>
      <c r="T753" s="108"/>
      <c r="U753" s="108"/>
      <c r="V753" s="108"/>
      <c r="W753" s="108"/>
      <c r="X753" s="108"/>
      <c r="Y753" s="108"/>
      <c r="Z753" s="108"/>
    </row>
    <row r="754" spans="1:26" ht="13.5" customHeight="1">
      <c r="A754" s="104"/>
      <c r="B754" s="105"/>
      <c r="C754" s="91"/>
      <c r="D754" s="91"/>
      <c r="E754" s="293"/>
      <c r="F754" s="434"/>
      <c r="G754" s="91"/>
      <c r="H754" s="69"/>
      <c r="I754" s="53"/>
      <c r="J754" s="67"/>
      <c r="K754" s="67"/>
      <c r="L754" s="67"/>
      <c r="M754" s="109"/>
      <c r="N754" s="67"/>
      <c r="O754" s="67"/>
      <c r="P754" s="101"/>
      <c r="Q754" s="107"/>
      <c r="R754" s="107"/>
      <c r="S754" s="108"/>
      <c r="T754" s="108"/>
      <c r="U754" s="108"/>
      <c r="V754" s="108"/>
      <c r="W754" s="108"/>
      <c r="X754" s="108"/>
      <c r="Y754" s="108"/>
      <c r="Z754" s="108"/>
    </row>
    <row r="755" spans="1:26" ht="408" customHeight="1">
      <c r="A755" s="104" t="s">
        <v>736</v>
      </c>
      <c r="B755" s="105" t="s">
        <v>662</v>
      </c>
      <c r="C755" s="91">
        <v>1</v>
      </c>
      <c r="D755" s="91">
        <v>1</v>
      </c>
      <c r="E755" s="91">
        <v>1</v>
      </c>
      <c r="F755" s="91">
        <v>1</v>
      </c>
      <c r="G755" s="91">
        <v>1</v>
      </c>
      <c r="H755" s="91">
        <v>1</v>
      </c>
      <c r="I755" s="53" t="s">
        <v>38</v>
      </c>
      <c r="J755" s="67" t="s">
        <v>811</v>
      </c>
      <c r="K755" s="67" t="s">
        <v>811</v>
      </c>
      <c r="L755" s="67" t="s">
        <v>2152</v>
      </c>
      <c r="M755" s="435" t="s">
        <v>2153</v>
      </c>
      <c r="N755" s="67" t="s">
        <v>2154</v>
      </c>
      <c r="O755" s="67" t="s">
        <v>811</v>
      </c>
      <c r="P755" s="101"/>
      <c r="Q755" s="107"/>
      <c r="R755" s="107"/>
      <c r="S755" s="108"/>
      <c r="T755" s="108"/>
      <c r="U755" s="108"/>
      <c r="V755" s="108"/>
      <c r="W755" s="108"/>
      <c r="X755" s="108"/>
      <c r="Y755" s="108"/>
      <c r="Z755" s="108"/>
    </row>
    <row r="756" spans="1:26" ht="30" customHeight="1">
      <c r="A756" s="104"/>
      <c r="B756" s="921"/>
      <c r="C756" s="91"/>
      <c r="D756" s="91"/>
      <c r="E756" s="293"/>
      <c r="F756" s="431"/>
      <c r="G756" s="91"/>
      <c r="H756" s="69"/>
      <c r="I756" s="53"/>
      <c r="J756" s="67"/>
      <c r="K756" s="67"/>
      <c r="L756" s="67"/>
      <c r="M756" s="69"/>
      <c r="N756" s="67"/>
      <c r="O756" s="67"/>
      <c r="P756" s="101"/>
      <c r="Q756" s="107"/>
      <c r="R756" s="107"/>
      <c r="S756" s="108"/>
      <c r="T756" s="108"/>
      <c r="U756" s="108"/>
      <c r="V756" s="108"/>
      <c r="W756" s="108"/>
      <c r="X756" s="108"/>
      <c r="Y756" s="108"/>
      <c r="Z756" s="108"/>
    </row>
    <row r="757" spans="1:26" ht="27.75" customHeight="1">
      <c r="A757" s="104" t="s">
        <v>736</v>
      </c>
      <c r="B757" s="105" t="s">
        <v>663</v>
      </c>
      <c r="C757" s="905">
        <f t="shared" ref="C757:H757" si="142">AVERAGE(C758:C759)</f>
        <v>1</v>
      </c>
      <c r="D757" s="905">
        <f t="shared" si="142"/>
        <v>1</v>
      </c>
      <c r="E757" s="905">
        <f t="shared" si="142"/>
        <v>1</v>
      </c>
      <c r="F757" s="905">
        <f t="shared" si="142"/>
        <v>1</v>
      </c>
      <c r="G757" s="905">
        <f t="shared" si="142"/>
        <v>1</v>
      </c>
      <c r="H757" s="905">
        <f t="shared" si="142"/>
        <v>1</v>
      </c>
      <c r="I757" s="53"/>
      <c r="J757" s="67"/>
      <c r="K757" s="67"/>
      <c r="L757" s="67"/>
      <c r="M757" s="69"/>
      <c r="N757" s="67"/>
      <c r="O757" s="67"/>
      <c r="P757" s="101"/>
      <c r="Q757" s="107"/>
      <c r="R757" s="107"/>
      <c r="S757" s="108"/>
      <c r="T757" s="108"/>
      <c r="U757" s="108"/>
      <c r="V757" s="108"/>
      <c r="W757" s="108"/>
      <c r="X757" s="108"/>
      <c r="Y757" s="108"/>
      <c r="Z757" s="108"/>
    </row>
    <row r="758" spans="1:26" ht="72" customHeight="1">
      <c r="A758" s="104"/>
      <c r="B758" s="891" t="s">
        <v>664</v>
      </c>
      <c r="C758" s="91">
        <v>1</v>
      </c>
      <c r="D758" s="91">
        <v>1</v>
      </c>
      <c r="E758" s="91">
        <v>1</v>
      </c>
      <c r="F758" s="91">
        <v>1</v>
      </c>
      <c r="G758" s="91">
        <v>1</v>
      </c>
      <c r="H758" s="91">
        <v>1</v>
      </c>
      <c r="I758" s="53" t="s">
        <v>38</v>
      </c>
      <c r="J758" s="67" t="s">
        <v>811</v>
      </c>
      <c r="K758" s="67" t="s">
        <v>811</v>
      </c>
      <c r="L758" s="67" t="s">
        <v>2155</v>
      </c>
      <c r="M758" s="69" t="s">
        <v>2156</v>
      </c>
      <c r="N758" s="67" t="s">
        <v>2157</v>
      </c>
      <c r="O758" s="67" t="s">
        <v>811</v>
      </c>
      <c r="P758" s="101"/>
      <c r="Q758" s="107"/>
      <c r="R758" s="107"/>
      <c r="S758" s="108"/>
      <c r="T758" s="108"/>
      <c r="U758" s="108"/>
      <c r="V758" s="108"/>
      <c r="W758" s="108"/>
      <c r="X758" s="108"/>
      <c r="Y758" s="108"/>
      <c r="Z758" s="108"/>
    </row>
    <row r="759" spans="1:26" ht="192" customHeight="1">
      <c r="A759" s="104"/>
      <c r="B759" s="891" t="s">
        <v>665</v>
      </c>
      <c r="C759" s="91">
        <v>1</v>
      </c>
      <c r="D759" s="91">
        <v>1</v>
      </c>
      <c r="E759" s="91">
        <v>1</v>
      </c>
      <c r="F759" s="91">
        <v>1</v>
      </c>
      <c r="G759" s="91">
        <v>1</v>
      </c>
      <c r="H759" s="91">
        <v>1</v>
      </c>
      <c r="I759" s="53" t="s">
        <v>38</v>
      </c>
      <c r="J759" s="67" t="s">
        <v>811</v>
      </c>
      <c r="K759" s="67" t="s">
        <v>811</v>
      </c>
      <c r="L759" s="67" t="s">
        <v>2152</v>
      </c>
      <c r="M759" s="311" t="s">
        <v>2158</v>
      </c>
      <c r="N759" s="67" t="s">
        <v>2159</v>
      </c>
      <c r="O759" s="67" t="s">
        <v>811</v>
      </c>
      <c r="P759" s="101"/>
      <c r="Q759" s="107"/>
      <c r="R759" s="107"/>
      <c r="S759" s="108"/>
      <c r="T759" s="108"/>
      <c r="U759" s="108"/>
      <c r="V759" s="108"/>
      <c r="W759" s="108"/>
      <c r="X759" s="108"/>
      <c r="Y759" s="108"/>
      <c r="Z759" s="108"/>
    </row>
    <row r="760" spans="1:26" ht="20.25" customHeight="1">
      <c r="A760" s="104"/>
      <c r="B760" s="891"/>
      <c r="C760" s="91"/>
      <c r="D760" s="91"/>
      <c r="E760" s="293"/>
      <c r="F760" s="431"/>
      <c r="G760" s="91"/>
      <c r="H760" s="69"/>
      <c r="I760" s="53"/>
      <c r="J760" s="67"/>
      <c r="K760" s="67"/>
      <c r="L760" s="67"/>
      <c r="M760" s="69"/>
      <c r="N760" s="67"/>
      <c r="O760" s="67"/>
      <c r="P760" s="101"/>
      <c r="Q760" s="107"/>
      <c r="R760" s="107"/>
      <c r="S760" s="108"/>
      <c r="T760" s="108"/>
      <c r="U760" s="108"/>
      <c r="V760" s="108"/>
      <c r="W760" s="108"/>
      <c r="X760" s="108"/>
      <c r="Y760" s="108"/>
      <c r="Z760" s="108"/>
    </row>
    <row r="761" spans="1:26" ht="86.25" customHeight="1">
      <c r="A761" s="104" t="s">
        <v>736</v>
      </c>
      <c r="B761" s="105" t="s">
        <v>666</v>
      </c>
      <c r="C761" s="91">
        <v>1</v>
      </c>
      <c r="D761" s="91">
        <v>1</v>
      </c>
      <c r="E761" s="91">
        <v>1</v>
      </c>
      <c r="F761" s="899">
        <v>1</v>
      </c>
      <c r="G761" s="899">
        <v>0.5</v>
      </c>
      <c r="H761" s="899">
        <v>0.5</v>
      </c>
      <c r="I761" s="53" t="s">
        <v>459</v>
      </c>
      <c r="J761" s="67" t="s">
        <v>811</v>
      </c>
      <c r="K761" s="67" t="s">
        <v>811</v>
      </c>
      <c r="L761" s="67" t="s">
        <v>2160</v>
      </c>
      <c r="M761" s="69" t="s">
        <v>2161</v>
      </c>
      <c r="N761" s="67" t="s">
        <v>2162</v>
      </c>
      <c r="O761" s="69" t="s">
        <v>2163</v>
      </c>
      <c r="P761" s="101"/>
      <c r="Q761" s="107"/>
      <c r="R761" s="107"/>
      <c r="S761" s="108"/>
      <c r="T761" s="108"/>
      <c r="U761" s="108"/>
      <c r="V761" s="108"/>
      <c r="W761" s="108"/>
      <c r="X761" s="108"/>
      <c r="Y761" s="108"/>
      <c r="Z761" s="108"/>
    </row>
    <row r="762" spans="1:26" ht="24.75" customHeight="1">
      <c r="A762" s="104"/>
      <c r="B762" s="105"/>
      <c r="C762" s="91"/>
      <c r="D762" s="91"/>
      <c r="E762" s="91"/>
      <c r="F762" s="91"/>
      <c r="G762" s="91"/>
      <c r="H762" s="285"/>
      <c r="I762" s="53"/>
      <c r="J762" s="67"/>
      <c r="K762" s="67"/>
      <c r="L762" s="67"/>
      <c r="M762" s="69"/>
      <c r="N762" s="67"/>
      <c r="O762" s="67"/>
      <c r="P762" s="101"/>
      <c r="Q762" s="107"/>
      <c r="R762" s="107"/>
      <c r="S762" s="108"/>
      <c r="T762" s="108"/>
      <c r="U762" s="108"/>
      <c r="V762" s="108"/>
      <c r="W762" s="108"/>
      <c r="X762" s="108"/>
      <c r="Y762" s="108"/>
      <c r="Z762" s="108"/>
    </row>
    <row r="763" spans="1:26" ht="91.5" customHeight="1">
      <c r="A763" s="104" t="s">
        <v>736</v>
      </c>
      <c r="B763" s="105" t="s">
        <v>2164</v>
      </c>
      <c r="C763" s="91">
        <v>1</v>
      </c>
      <c r="D763" s="91">
        <v>1</v>
      </c>
      <c r="E763" s="91">
        <v>0.5</v>
      </c>
      <c r="F763" s="899">
        <v>0.5</v>
      </c>
      <c r="G763" s="91">
        <v>0</v>
      </c>
      <c r="H763" s="899">
        <v>1</v>
      </c>
      <c r="I763" s="53"/>
      <c r="J763" s="67" t="s">
        <v>811</v>
      </c>
      <c r="K763" s="67" t="s">
        <v>811</v>
      </c>
      <c r="L763" s="85" t="s">
        <v>2165</v>
      </c>
      <c r="M763" s="120" t="s">
        <v>2166</v>
      </c>
      <c r="N763" s="71" t="s">
        <v>748</v>
      </c>
      <c r="O763" s="67" t="s">
        <v>2167</v>
      </c>
      <c r="P763" s="101"/>
      <c r="Q763" s="107"/>
      <c r="R763" s="107"/>
      <c r="S763" s="108"/>
      <c r="T763" s="108"/>
      <c r="U763" s="108"/>
      <c r="V763" s="108"/>
      <c r="W763" s="108"/>
      <c r="X763" s="108"/>
      <c r="Y763" s="108"/>
      <c r="Z763" s="108"/>
    </row>
    <row r="764" spans="1:26" ht="13.5" customHeight="1">
      <c r="A764" s="104"/>
      <c r="B764" s="921"/>
      <c r="C764" s="91"/>
      <c r="D764" s="91"/>
      <c r="E764" s="293"/>
      <c r="F764" s="431"/>
      <c r="G764" s="91"/>
      <c r="H764" s="69"/>
      <c r="I764" s="53"/>
      <c r="J764" s="107"/>
      <c r="K764" s="67"/>
      <c r="L764" s="85"/>
      <c r="M764" s="69"/>
      <c r="N764" s="85"/>
      <c r="O764" s="67"/>
      <c r="P764" s="101"/>
      <c r="Q764" s="107"/>
      <c r="R764" s="107"/>
      <c r="S764" s="108"/>
      <c r="T764" s="108"/>
      <c r="U764" s="108"/>
      <c r="V764" s="108"/>
      <c r="W764" s="108"/>
      <c r="X764" s="108"/>
      <c r="Y764" s="108"/>
      <c r="Z764" s="108"/>
    </row>
    <row r="765" spans="1:26" ht="13.5" customHeight="1">
      <c r="A765" s="494" t="s">
        <v>2168</v>
      </c>
      <c r="B765" s="121" t="s">
        <v>669</v>
      </c>
      <c r="C765" s="240">
        <f>AVERAGE(C766,C768,C770,C772)</f>
        <v>0.81818181818181812</v>
      </c>
      <c r="D765" s="240">
        <f>AVERAGE(D766,D768,D770,D772)</f>
        <v>1</v>
      </c>
      <c r="E765" s="240">
        <f>AVERAGE(E766,E768,E770,E772)</f>
        <v>0</v>
      </c>
      <c r="F765" s="240">
        <f>AVERAGE(F766,F768,F770,F772)</f>
        <v>0.79292929292929293</v>
      </c>
      <c r="G765" s="240">
        <f>AVERAGE(G766,G768,G770,0)</f>
        <v>0.5</v>
      </c>
      <c r="H765" s="240">
        <f>AVERAGE(H766,H768,H770,H772)</f>
        <v>0.77979797979797982</v>
      </c>
      <c r="I765" s="53"/>
      <c r="J765" s="56"/>
      <c r="K765" s="56"/>
      <c r="L765" s="56"/>
      <c r="M765" s="56"/>
      <c r="N765" s="56"/>
      <c r="O765" s="56"/>
      <c r="P765" s="101"/>
      <c r="Q765" s="102"/>
      <c r="R765" s="102"/>
      <c r="S765" s="103"/>
      <c r="T765" s="103"/>
      <c r="U765" s="103"/>
      <c r="V765" s="103"/>
      <c r="W765" s="103"/>
      <c r="X765" s="103"/>
      <c r="Y765" s="103"/>
      <c r="Z765" s="103"/>
    </row>
    <row r="766" spans="1:26" ht="75" customHeight="1">
      <c r="A766" s="104" t="s">
        <v>736</v>
      </c>
      <c r="B766" s="105" t="s">
        <v>670</v>
      </c>
      <c r="C766" s="91">
        <v>1</v>
      </c>
      <c r="D766" s="91">
        <v>1</v>
      </c>
      <c r="E766" s="91">
        <v>0</v>
      </c>
      <c r="F766" s="91">
        <v>1</v>
      </c>
      <c r="G766" s="91">
        <v>1</v>
      </c>
      <c r="H766" s="899">
        <v>1</v>
      </c>
      <c r="I766" s="53" t="s">
        <v>38</v>
      </c>
      <c r="J766" s="237" t="s">
        <v>811</v>
      </c>
      <c r="K766" s="67" t="s">
        <v>811</v>
      </c>
      <c r="L766" s="85" t="s">
        <v>2169</v>
      </c>
      <c r="M766" s="69" t="s">
        <v>2170</v>
      </c>
      <c r="N766" s="67">
        <v>1</v>
      </c>
      <c r="O766" s="67" t="s">
        <v>2171</v>
      </c>
      <c r="P766" s="101"/>
      <c r="Q766" s="107"/>
      <c r="R766" s="107"/>
      <c r="S766" s="108"/>
      <c r="T766" s="108"/>
      <c r="U766" s="108"/>
      <c r="V766" s="108"/>
      <c r="W766" s="108"/>
      <c r="X766" s="108"/>
      <c r="Y766" s="108"/>
      <c r="Z766" s="108"/>
    </row>
    <row r="767" spans="1:26" ht="16.5" customHeight="1">
      <c r="A767" s="104"/>
      <c r="B767" s="105"/>
      <c r="C767" s="91"/>
      <c r="D767" s="91"/>
      <c r="E767" s="293"/>
      <c r="F767" s="431"/>
      <c r="G767" s="91"/>
      <c r="H767" s="69"/>
      <c r="I767" s="53"/>
      <c r="J767" s="237"/>
      <c r="K767" s="67"/>
      <c r="L767" s="67"/>
      <c r="M767" s="69"/>
      <c r="N767" s="67"/>
      <c r="O767" s="67"/>
      <c r="P767" s="101"/>
      <c r="Q767" s="107"/>
      <c r="R767" s="107"/>
      <c r="S767" s="108"/>
      <c r="T767" s="108"/>
      <c r="U767" s="108"/>
      <c r="V767" s="108"/>
      <c r="W767" s="108"/>
      <c r="X767" s="108"/>
      <c r="Y767" s="108"/>
      <c r="Z767" s="108"/>
    </row>
    <row r="768" spans="1:26" ht="107.25" customHeight="1">
      <c r="A768" s="104" t="s">
        <v>736</v>
      </c>
      <c r="B768" s="105" t="s">
        <v>671</v>
      </c>
      <c r="C768" s="91">
        <v>1</v>
      </c>
      <c r="D768" s="91">
        <v>1</v>
      </c>
      <c r="E768" s="91">
        <v>0</v>
      </c>
      <c r="F768" s="91">
        <v>1</v>
      </c>
      <c r="G768" s="91">
        <v>1</v>
      </c>
      <c r="H768" s="91">
        <v>1</v>
      </c>
      <c r="I768" s="53" t="s">
        <v>38</v>
      </c>
      <c r="J768" s="67" t="s">
        <v>811</v>
      </c>
      <c r="K768" s="67" t="s">
        <v>811</v>
      </c>
      <c r="L768" s="67" t="s">
        <v>748</v>
      </c>
      <c r="M768" s="69" t="s">
        <v>2172</v>
      </c>
      <c r="N768" s="67">
        <v>1</v>
      </c>
      <c r="O768" s="67" t="s">
        <v>2173</v>
      </c>
      <c r="P768" s="101"/>
      <c r="Q768" s="107"/>
      <c r="R768" s="107"/>
      <c r="S768" s="108"/>
      <c r="T768" s="108"/>
      <c r="U768" s="108"/>
      <c r="V768" s="108"/>
      <c r="W768" s="108"/>
      <c r="X768" s="108"/>
      <c r="Y768" s="108"/>
      <c r="Z768" s="108"/>
    </row>
    <row r="769" spans="1:26" ht="15.75" customHeight="1">
      <c r="A769" s="104"/>
      <c r="B769" s="105"/>
      <c r="C769" s="91"/>
      <c r="D769" s="91"/>
      <c r="E769" s="91"/>
      <c r="F769" s="91"/>
      <c r="G769" s="91"/>
      <c r="H769" s="91"/>
      <c r="I769" s="53"/>
      <c r="J769" s="67"/>
      <c r="K769" s="67"/>
      <c r="L769" s="67"/>
      <c r="M769" s="69"/>
      <c r="N769" s="67"/>
      <c r="O769" s="67"/>
      <c r="P769" s="101"/>
      <c r="Q769" s="107"/>
      <c r="R769" s="107"/>
      <c r="S769" s="108"/>
      <c r="T769" s="108"/>
      <c r="U769" s="108"/>
      <c r="V769" s="108"/>
      <c r="W769" s="108"/>
      <c r="X769" s="108"/>
      <c r="Y769" s="108"/>
      <c r="Z769" s="108"/>
    </row>
    <row r="770" spans="1:26" ht="84" customHeight="1">
      <c r="A770" s="104" t="s">
        <v>736</v>
      </c>
      <c r="B770" s="105" t="s">
        <v>672</v>
      </c>
      <c r="C770" s="91">
        <v>1</v>
      </c>
      <c r="D770" s="91">
        <v>1</v>
      </c>
      <c r="E770" s="91">
        <v>0</v>
      </c>
      <c r="F770" s="91">
        <v>1</v>
      </c>
      <c r="G770" s="91">
        <v>0</v>
      </c>
      <c r="H770" s="91">
        <v>1</v>
      </c>
      <c r="I770" s="53" t="s">
        <v>38</v>
      </c>
      <c r="J770" s="67" t="s">
        <v>960</v>
      </c>
      <c r="K770" s="67" t="s">
        <v>811</v>
      </c>
      <c r="L770" s="67" t="s">
        <v>748</v>
      </c>
      <c r="M770" s="69" t="s">
        <v>2174</v>
      </c>
      <c r="N770" s="67">
        <v>0</v>
      </c>
      <c r="O770" s="67" t="s">
        <v>2175</v>
      </c>
      <c r="P770" s="101"/>
      <c r="Q770" s="107"/>
      <c r="R770" s="107"/>
      <c r="S770" s="108"/>
      <c r="T770" s="108"/>
      <c r="U770" s="108"/>
      <c r="V770" s="108"/>
      <c r="W770" s="108"/>
      <c r="X770" s="108"/>
      <c r="Y770" s="108"/>
      <c r="Z770" s="108"/>
    </row>
    <row r="771" spans="1:26" ht="19.5" customHeight="1">
      <c r="A771" s="104"/>
      <c r="B771" s="105"/>
      <c r="C771" s="91"/>
      <c r="D771" s="91"/>
      <c r="E771" s="91"/>
      <c r="F771" s="91"/>
      <c r="G771" s="91"/>
      <c r="H771" s="91"/>
      <c r="I771" s="53"/>
      <c r="J771" s="67"/>
      <c r="K771" s="67"/>
      <c r="L771" s="67"/>
      <c r="M771" s="69"/>
      <c r="N771" s="67"/>
      <c r="O771" s="67"/>
      <c r="P771" s="101"/>
      <c r="Q771" s="107"/>
      <c r="R771" s="107"/>
      <c r="S771" s="108"/>
      <c r="T771" s="108"/>
      <c r="U771" s="108"/>
      <c r="V771" s="108"/>
      <c r="W771" s="108"/>
      <c r="X771" s="108"/>
      <c r="Y771" s="108"/>
      <c r="Z771" s="108"/>
    </row>
    <row r="772" spans="1:26" ht="258" customHeight="1">
      <c r="A772" s="104" t="s">
        <v>736</v>
      </c>
      <c r="B772" s="105" t="s">
        <v>673</v>
      </c>
      <c r="C772" s="907">
        <f>(27-0)/(99-0)</f>
        <v>0.27272727272727271</v>
      </c>
      <c r="D772" s="91">
        <f>(99-0)/(99-0)</f>
        <v>1</v>
      </c>
      <c r="E772" s="899">
        <f>(0-0)/(99-0)</f>
        <v>0</v>
      </c>
      <c r="F772" s="91">
        <f>(17-0)/(99-0)</f>
        <v>0.17171717171717171</v>
      </c>
      <c r="G772" s="91">
        <f>(0-0)/(99-0)</f>
        <v>0</v>
      </c>
      <c r="H772" s="91">
        <f>(11.8-0)/(99-0)</f>
        <v>0.1191919191919192</v>
      </c>
      <c r="I772" s="438" t="s">
        <v>674</v>
      </c>
      <c r="J772" s="75" t="s">
        <v>2176</v>
      </c>
      <c r="K772" s="75" t="s">
        <v>2177</v>
      </c>
      <c r="L772" s="75" t="s">
        <v>2178</v>
      </c>
      <c r="M772" s="69" t="s">
        <v>2179</v>
      </c>
      <c r="N772" s="75" t="s">
        <v>877</v>
      </c>
      <c r="O772" s="75" t="s">
        <v>2180</v>
      </c>
      <c r="P772" s="101"/>
      <c r="Q772" s="107"/>
      <c r="R772" s="107"/>
      <c r="S772" s="108"/>
      <c r="T772" s="108"/>
      <c r="U772" s="108"/>
      <c r="V772" s="108"/>
      <c r="W772" s="108"/>
      <c r="X772" s="108"/>
      <c r="Y772" s="108"/>
      <c r="Z772" s="108"/>
    </row>
    <row r="773" spans="1:26" ht="29.25" customHeight="1">
      <c r="A773" s="104"/>
      <c r="B773" s="105"/>
      <c r="C773" s="65"/>
      <c r="D773" s="65"/>
      <c r="E773" s="250"/>
      <c r="F773" s="557"/>
      <c r="G773" s="155"/>
      <c r="H773" s="67"/>
      <c r="I773" s="53"/>
      <c r="J773" s="67" t="s">
        <v>2181</v>
      </c>
      <c r="K773" s="67"/>
      <c r="L773" s="67"/>
      <c r="M773" s="69"/>
      <c r="N773" s="67"/>
      <c r="O773" s="67"/>
      <c r="P773" s="101"/>
      <c r="Q773" s="107"/>
      <c r="R773" s="107"/>
      <c r="S773" s="108"/>
      <c r="T773" s="108"/>
      <c r="U773" s="108"/>
      <c r="V773" s="108"/>
      <c r="W773" s="108"/>
      <c r="X773" s="108"/>
      <c r="Y773" s="108"/>
      <c r="Z773" s="108"/>
    </row>
    <row r="774" spans="1:26" ht="27.75" customHeight="1">
      <c r="A774" s="301" t="s">
        <v>2182</v>
      </c>
      <c r="B774" s="121" t="s">
        <v>676</v>
      </c>
      <c r="C774" s="240">
        <f t="shared" ref="C774:H774" si="143">AVERAGE(C775,C777,C779,C781,C783,C785,C787,C789,C791,C793)</f>
        <v>0.93</v>
      </c>
      <c r="D774" s="240">
        <f t="shared" si="143"/>
        <v>0.95</v>
      </c>
      <c r="E774" s="240">
        <f t="shared" si="143"/>
        <v>0.83000000000000007</v>
      </c>
      <c r="F774" s="240">
        <f t="shared" si="143"/>
        <v>0.9</v>
      </c>
      <c r="G774" s="240">
        <f t="shared" si="143"/>
        <v>0.9</v>
      </c>
      <c r="H774" s="240">
        <f t="shared" si="143"/>
        <v>0.7</v>
      </c>
      <c r="I774" s="53"/>
      <c r="J774" s="56"/>
      <c r="K774" s="56"/>
      <c r="L774" s="56"/>
      <c r="M774" s="56"/>
      <c r="N774" s="56"/>
      <c r="O774" s="56"/>
      <c r="P774" s="101"/>
      <c r="Q774" s="102"/>
      <c r="R774" s="102"/>
      <c r="S774" s="103"/>
      <c r="T774" s="103"/>
      <c r="U774" s="103"/>
      <c r="V774" s="103"/>
      <c r="W774" s="103"/>
      <c r="X774" s="103"/>
      <c r="Y774" s="103"/>
      <c r="Z774" s="103"/>
    </row>
    <row r="775" spans="1:26" ht="123.75" customHeight="1">
      <c r="A775" s="104" t="s">
        <v>736</v>
      </c>
      <c r="B775" s="105" t="s">
        <v>677</v>
      </c>
      <c r="C775" s="91">
        <v>1</v>
      </c>
      <c r="D775" s="91">
        <v>1</v>
      </c>
      <c r="E775" s="91">
        <v>1</v>
      </c>
      <c r="F775" s="91">
        <v>1</v>
      </c>
      <c r="G775" s="91">
        <v>1</v>
      </c>
      <c r="H775" s="91">
        <v>1</v>
      </c>
      <c r="I775" s="438" t="s">
        <v>38</v>
      </c>
      <c r="J775" s="75" t="s">
        <v>811</v>
      </c>
      <c r="K775" s="75" t="s">
        <v>811</v>
      </c>
      <c r="L775" s="75" t="s">
        <v>2183</v>
      </c>
      <c r="M775" s="75" t="s">
        <v>2184</v>
      </c>
      <c r="N775" s="75" t="s">
        <v>2185</v>
      </c>
      <c r="O775" s="75" t="s">
        <v>811</v>
      </c>
      <c r="P775" s="101"/>
      <c r="Q775" s="107"/>
      <c r="R775" s="107"/>
      <c r="S775" s="108"/>
      <c r="T775" s="108"/>
      <c r="U775" s="108"/>
      <c r="V775" s="108"/>
      <c r="W775" s="108"/>
      <c r="X775" s="108"/>
      <c r="Y775" s="108"/>
      <c r="Z775" s="108"/>
    </row>
    <row r="776" spans="1:26" ht="18.75" customHeight="1">
      <c r="A776" s="104"/>
      <c r="B776" s="105"/>
      <c r="C776" s="91"/>
      <c r="D776" s="91"/>
      <c r="E776" s="91"/>
      <c r="F776" s="91"/>
      <c r="G776" s="91"/>
      <c r="H776" s="91"/>
      <c r="I776" s="438"/>
      <c r="J776" s="75"/>
      <c r="K776" s="75"/>
      <c r="L776" s="75"/>
      <c r="M776" s="69"/>
      <c r="N776" s="75"/>
      <c r="O776" s="75"/>
      <c r="P776" s="101"/>
      <c r="Q776" s="107"/>
      <c r="R776" s="107"/>
      <c r="S776" s="108"/>
      <c r="T776" s="108"/>
      <c r="U776" s="108"/>
      <c r="V776" s="108"/>
      <c r="W776" s="108"/>
      <c r="X776" s="108"/>
      <c r="Y776" s="108"/>
      <c r="Z776" s="108"/>
    </row>
    <row r="777" spans="1:26" ht="75" customHeight="1">
      <c r="A777" s="104" t="s">
        <v>736</v>
      </c>
      <c r="B777" s="105" t="s">
        <v>678</v>
      </c>
      <c r="C777" s="91">
        <v>1</v>
      </c>
      <c r="D777" s="91">
        <v>1</v>
      </c>
      <c r="E777" s="91">
        <v>1</v>
      </c>
      <c r="F777" s="91">
        <v>1</v>
      </c>
      <c r="G777" s="91">
        <v>1</v>
      </c>
      <c r="H777" s="91">
        <v>1</v>
      </c>
      <c r="I777" s="438" t="s">
        <v>38</v>
      </c>
      <c r="J777" s="75" t="s">
        <v>811</v>
      </c>
      <c r="K777" s="75" t="s">
        <v>811</v>
      </c>
      <c r="L777" s="75" t="s">
        <v>811</v>
      </c>
      <c r="M777" s="69" t="s">
        <v>2186</v>
      </c>
      <c r="N777" s="75" t="s">
        <v>2187</v>
      </c>
      <c r="O777" s="75" t="s">
        <v>811</v>
      </c>
      <c r="P777" s="101"/>
      <c r="Q777" s="107"/>
      <c r="R777" s="107"/>
      <c r="S777" s="108"/>
      <c r="T777" s="108"/>
      <c r="U777" s="108"/>
      <c r="V777" s="108"/>
      <c r="W777" s="108"/>
      <c r="X777" s="108"/>
      <c r="Y777" s="108"/>
      <c r="Z777" s="108"/>
    </row>
    <row r="778" spans="1:26" ht="24" customHeight="1">
      <c r="A778" s="104"/>
      <c r="B778" s="105"/>
      <c r="C778" s="91"/>
      <c r="D778" s="91"/>
      <c r="E778" s="91"/>
      <c r="F778" s="91"/>
      <c r="G778" s="91"/>
      <c r="H778" s="91"/>
      <c r="I778" s="438"/>
      <c r="J778" s="75"/>
      <c r="K778" s="75"/>
      <c r="L778" s="75"/>
      <c r="M778" s="69"/>
      <c r="N778" s="75"/>
      <c r="O778" s="75"/>
      <c r="P778" s="101"/>
      <c r="Q778" s="107"/>
      <c r="R778" s="107"/>
      <c r="S778" s="108"/>
      <c r="T778" s="108"/>
      <c r="U778" s="108"/>
      <c r="V778" s="108"/>
      <c r="W778" s="108"/>
      <c r="X778" s="108"/>
      <c r="Y778" s="108"/>
      <c r="Z778" s="108"/>
    </row>
    <row r="779" spans="1:26" ht="154.5" customHeight="1">
      <c r="A779" s="104" t="s">
        <v>736</v>
      </c>
      <c r="B779" s="105" t="s">
        <v>679</v>
      </c>
      <c r="C779" s="91">
        <v>1</v>
      </c>
      <c r="D779" s="91">
        <v>1</v>
      </c>
      <c r="E779" s="91">
        <v>1</v>
      </c>
      <c r="F779" s="899">
        <v>1</v>
      </c>
      <c r="G779" s="91">
        <v>1</v>
      </c>
      <c r="H779" s="91">
        <v>0</v>
      </c>
      <c r="I779" s="438" t="s">
        <v>38</v>
      </c>
      <c r="J779" s="75" t="s">
        <v>811</v>
      </c>
      <c r="K779" s="75" t="s">
        <v>948</v>
      </c>
      <c r="L779" s="75" t="s">
        <v>2188</v>
      </c>
      <c r="M779" s="563" t="s">
        <v>2189</v>
      </c>
      <c r="N779" s="75" t="s">
        <v>2190</v>
      </c>
      <c r="O779" s="75" t="s">
        <v>2191</v>
      </c>
      <c r="P779" s="101"/>
      <c r="Q779" s="107"/>
      <c r="R779" s="107"/>
      <c r="S779" s="108"/>
      <c r="T779" s="108"/>
      <c r="U779" s="108"/>
      <c r="V779" s="108"/>
      <c r="W779" s="108"/>
      <c r="X779" s="108"/>
      <c r="Y779" s="108"/>
      <c r="Z779" s="108"/>
    </row>
    <row r="780" spans="1:26" ht="21" customHeight="1">
      <c r="A780" s="104"/>
      <c r="B780" s="921"/>
      <c r="C780" s="91"/>
      <c r="D780" s="91"/>
      <c r="E780" s="293"/>
      <c r="F780" s="431"/>
      <c r="G780" s="91"/>
      <c r="H780" s="69"/>
      <c r="I780" s="438"/>
      <c r="J780" s="75"/>
      <c r="K780" s="75"/>
      <c r="L780" s="75"/>
      <c r="M780" s="69"/>
      <c r="N780" s="75"/>
      <c r="O780" s="75"/>
      <c r="P780" s="101"/>
      <c r="Q780" s="107"/>
      <c r="R780" s="107"/>
      <c r="S780" s="108"/>
      <c r="T780" s="108"/>
      <c r="U780" s="108"/>
      <c r="V780" s="108"/>
      <c r="W780" s="108"/>
      <c r="X780" s="108"/>
      <c r="Y780" s="108"/>
      <c r="Z780" s="108"/>
    </row>
    <row r="781" spans="1:26" ht="111.75" customHeight="1">
      <c r="A781" s="104" t="s">
        <v>736</v>
      </c>
      <c r="B781" s="105" t="s">
        <v>680</v>
      </c>
      <c r="C781" s="91">
        <v>1</v>
      </c>
      <c r="D781" s="91">
        <v>1</v>
      </c>
      <c r="E781" s="91">
        <v>1</v>
      </c>
      <c r="F781" s="91">
        <v>1</v>
      </c>
      <c r="G781" s="91">
        <v>1</v>
      </c>
      <c r="H781" s="91">
        <v>1</v>
      </c>
      <c r="I781" s="438" t="s">
        <v>459</v>
      </c>
      <c r="J781" s="75" t="s">
        <v>811</v>
      </c>
      <c r="K781" s="75" t="s">
        <v>811</v>
      </c>
      <c r="L781" s="75" t="s">
        <v>2192</v>
      </c>
      <c r="M781" s="564" t="s">
        <v>2193</v>
      </c>
      <c r="N781" s="75" t="s">
        <v>2194</v>
      </c>
      <c r="O781" s="75" t="s">
        <v>2195</v>
      </c>
      <c r="P781" s="101"/>
      <c r="Q781" s="107"/>
      <c r="R781" s="107"/>
      <c r="S781" s="108"/>
      <c r="T781" s="108"/>
      <c r="U781" s="108"/>
      <c r="V781" s="108"/>
      <c r="W781" s="108"/>
      <c r="X781" s="108"/>
      <c r="Y781" s="108"/>
      <c r="Z781" s="108"/>
    </row>
    <row r="782" spans="1:26" ht="11.25" customHeight="1">
      <c r="A782" s="104"/>
      <c r="B782" s="921"/>
      <c r="C782" s="91"/>
      <c r="D782" s="91"/>
      <c r="E782" s="293"/>
      <c r="F782" s="431"/>
      <c r="G782" s="192"/>
      <c r="H782" s="69"/>
      <c r="I782" s="438"/>
      <c r="J782" s="75"/>
      <c r="K782" s="75"/>
      <c r="L782" s="75"/>
      <c r="M782" s="69"/>
      <c r="N782" s="75"/>
      <c r="O782" s="75"/>
      <c r="P782" s="101"/>
      <c r="Q782" s="107"/>
      <c r="R782" s="107"/>
      <c r="S782" s="108"/>
      <c r="T782" s="108"/>
      <c r="U782" s="108"/>
      <c r="V782" s="108"/>
      <c r="W782" s="108"/>
      <c r="X782" s="108"/>
      <c r="Y782" s="108"/>
      <c r="Z782" s="108"/>
    </row>
    <row r="783" spans="1:26" ht="72" customHeight="1">
      <c r="A783" s="104" t="s">
        <v>736</v>
      </c>
      <c r="B783" s="105" t="s">
        <v>681</v>
      </c>
      <c r="C783" s="91">
        <v>1</v>
      </c>
      <c r="D783" s="91">
        <v>1</v>
      </c>
      <c r="E783" s="91">
        <v>0</v>
      </c>
      <c r="F783" s="91">
        <v>1</v>
      </c>
      <c r="G783" s="91">
        <v>1</v>
      </c>
      <c r="H783" s="91">
        <v>0</v>
      </c>
      <c r="I783" s="438" t="s">
        <v>38</v>
      </c>
      <c r="J783" s="75" t="s">
        <v>811</v>
      </c>
      <c r="K783" s="565" t="s">
        <v>811</v>
      </c>
      <c r="L783" s="75" t="s">
        <v>748</v>
      </c>
      <c r="M783" s="441" t="s">
        <v>2196</v>
      </c>
      <c r="N783" s="75" t="s">
        <v>2197</v>
      </c>
      <c r="O783" s="75" t="s">
        <v>943</v>
      </c>
      <c r="P783" s="101"/>
      <c r="Q783" s="107"/>
      <c r="R783" s="107"/>
      <c r="S783" s="108"/>
      <c r="T783" s="108"/>
      <c r="U783" s="108"/>
      <c r="V783" s="108"/>
      <c r="W783" s="108"/>
      <c r="X783" s="108"/>
      <c r="Y783" s="108"/>
      <c r="Z783" s="108"/>
    </row>
    <row r="784" spans="1:26" ht="35.25" customHeight="1">
      <c r="A784" s="104"/>
      <c r="B784" s="105"/>
      <c r="C784" s="91"/>
      <c r="D784" s="91"/>
      <c r="E784" s="293"/>
      <c r="F784" s="431"/>
      <c r="G784" s="91"/>
      <c r="H784" s="69"/>
      <c r="I784" s="438"/>
      <c r="J784" s="75"/>
      <c r="K784" s="75"/>
      <c r="L784" s="75"/>
      <c r="M784" s="69"/>
      <c r="N784" s="75"/>
      <c r="O784" s="75"/>
      <c r="P784" s="101"/>
      <c r="Q784" s="107"/>
      <c r="R784" s="107"/>
      <c r="S784" s="108"/>
      <c r="T784" s="108"/>
      <c r="U784" s="108"/>
      <c r="V784" s="108"/>
      <c r="W784" s="108"/>
      <c r="X784" s="108"/>
      <c r="Y784" s="108"/>
      <c r="Z784" s="108"/>
    </row>
    <row r="785" spans="1:26" ht="76.5" customHeight="1">
      <c r="A785" s="104" t="s">
        <v>736</v>
      </c>
      <c r="B785" s="105" t="s">
        <v>682</v>
      </c>
      <c r="C785" s="91">
        <v>1</v>
      </c>
      <c r="D785" s="91">
        <v>1</v>
      </c>
      <c r="E785" s="91">
        <v>1</v>
      </c>
      <c r="F785" s="91">
        <v>1</v>
      </c>
      <c r="G785" s="91">
        <v>1</v>
      </c>
      <c r="H785" s="91">
        <v>1</v>
      </c>
      <c r="I785" s="438" t="s">
        <v>38</v>
      </c>
      <c r="J785" s="75" t="s">
        <v>811</v>
      </c>
      <c r="K785" s="75" t="s">
        <v>811</v>
      </c>
      <c r="L785" s="75" t="s">
        <v>2198</v>
      </c>
      <c r="M785" s="69" t="s">
        <v>2199</v>
      </c>
      <c r="N785" s="75" t="s">
        <v>2200</v>
      </c>
      <c r="O785" s="75" t="s">
        <v>2201</v>
      </c>
      <c r="P785" s="101"/>
      <c r="Q785" s="107"/>
      <c r="R785" s="107"/>
      <c r="S785" s="108"/>
      <c r="T785" s="108"/>
      <c r="U785" s="108"/>
      <c r="V785" s="108"/>
      <c r="W785" s="108"/>
      <c r="X785" s="108"/>
      <c r="Y785" s="108"/>
      <c r="Z785" s="108"/>
    </row>
    <row r="786" spans="1:26" ht="13.5" customHeight="1">
      <c r="A786" s="104"/>
      <c r="B786" s="921"/>
      <c r="C786" s="91"/>
      <c r="D786" s="91"/>
      <c r="E786" s="91"/>
      <c r="F786" s="91"/>
      <c r="G786" s="91"/>
      <c r="H786" s="91"/>
      <c r="I786" s="438"/>
      <c r="J786" s="75"/>
      <c r="K786" s="75"/>
      <c r="L786" s="75"/>
      <c r="M786" s="69"/>
      <c r="N786" s="75"/>
      <c r="O786" s="75"/>
      <c r="P786" s="101"/>
      <c r="Q786" s="107"/>
      <c r="R786" s="107"/>
      <c r="S786" s="108"/>
      <c r="T786" s="108"/>
      <c r="U786" s="108"/>
      <c r="V786" s="108"/>
      <c r="W786" s="108"/>
      <c r="X786" s="108"/>
      <c r="Y786" s="108"/>
      <c r="Z786" s="108"/>
    </row>
    <row r="787" spans="1:26" ht="96" customHeight="1">
      <c r="A787" s="104" t="s">
        <v>736</v>
      </c>
      <c r="B787" s="105" t="s">
        <v>683</v>
      </c>
      <c r="C787" s="91">
        <v>1</v>
      </c>
      <c r="D787" s="91">
        <v>1</v>
      </c>
      <c r="E787" s="91">
        <v>1</v>
      </c>
      <c r="F787" s="91">
        <v>1</v>
      </c>
      <c r="G787" s="91">
        <v>1</v>
      </c>
      <c r="H787" s="91">
        <v>1</v>
      </c>
      <c r="I787" s="438" t="s">
        <v>38</v>
      </c>
      <c r="J787" s="75" t="s">
        <v>811</v>
      </c>
      <c r="K787" s="75" t="s">
        <v>2202</v>
      </c>
      <c r="L787" s="75" t="s">
        <v>2203</v>
      </c>
      <c r="M787" s="69" t="s">
        <v>2204</v>
      </c>
      <c r="N787" s="75" t="s">
        <v>2205</v>
      </c>
      <c r="O787" s="75" t="s">
        <v>2206</v>
      </c>
      <c r="P787" s="101"/>
      <c r="Q787" s="107"/>
      <c r="R787" s="107"/>
      <c r="S787" s="108"/>
      <c r="T787" s="108"/>
      <c r="U787" s="108"/>
      <c r="V787" s="108"/>
      <c r="W787" s="108"/>
      <c r="X787" s="108"/>
      <c r="Y787" s="108"/>
      <c r="Z787" s="108"/>
    </row>
    <row r="788" spans="1:26" ht="32.25" customHeight="1">
      <c r="A788" s="104"/>
      <c r="B788" s="921"/>
      <c r="C788" s="91"/>
      <c r="D788" s="91"/>
      <c r="E788" s="91"/>
      <c r="F788" s="91"/>
      <c r="G788" s="91"/>
      <c r="H788" s="91"/>
      <c r="I788" s="438"/>
      <c r="J788" s="75"/>
      <c r="K788" s="75"/>
      <c r="L788" s="75"/>
      <c r="M788" s="69"/>
      <c r="N788" s="75"/>
      <c r="O788" s="75"/>
      <c r="P788" s="101"/>
      <c r="Q788" s="107"/>
      <c r="R788" s="107"/>
      <c r="S788" s="108"/>
      <c r="T788" s="108"/>
      <c r="U788" s="108"/>
      <c r="V788" s="108"/>
      <c r="W788" s="108"/>
      <c r="X788" s="108"/>
      <c r="Y788" s="108"/>
      <c r="Z788" s="108"/>
    </row>
    <row r="789" spans="1:26" ht="121.5" customHeight="1">
      <c r="A789" s="104" t="s">
        <v>736</v>
      </c>
      <c r="B789" s="243" t="s">
        <v>684</v>
      </c>
      <c r="C789" s="91">
        <v>1</v>
      </c>
      <c r="D789" s="91">
        <v>1</v>
      </c>
      <c r="E789" s="91">
        <v>1</v>
      </c>
      <c r="F789" s="91">
        <v>1</v>
      </c>
      <c r="G789" s="899">
        <v>0.5</v>
      </c>
      <c r="H789" s="91">
        <v>0.5</v>
      </c>
      <c r="I789" s="438" t="s">
        <v>457</v>
      </c>
      <c r="J789" s="567" t="s">
        <v>811</v>
      </c>
      <c r="K789" s="75" t="s">
        <v>2207</v>
      </c>
      <c r="L789" s="75" t="s">
        <v>811</v>
      </c>
      <c r="M789" s="69" t="s">
        <v>2208</v>
      </c>
      <c r="N789" s="569" t="s">
        <v>2209</v>
      </c>
      <c r="O789" s="75" t="s">
        <v>2210</v>
      </c>
      <c r="P789" s="101"/>
      <c r="Q789" s="107"/>
      <c r="R789" s="107"/>
      <c r="S789" s="108"/>
      <c r="T789" s="108"/>
      <c r="U789" s="108"/>
      <c r="V789" s="108"/>
      <c r="W789" s="108"/>
      <c r="X789" s="108"/>
      <c r="Y789" s="108"/>
      <c r="Z789" s="108"/>
    </row>
    <row r="790" spans="1:26" ht="31.5" customHeight="1">
      <c r="A790" s="104"/>
      <c r="B790" s="60"/>
      <c r="C790" s="91"/>
      <c r="D790" s="91"/>
      <c r="E790" s="91"/>
      <c r="F790" s="91"/>
      <c r="G790" s="91"/>
      <c r="H790" s="91"/>
      <c r="I790" s="438"/>
      <c r="J790" s="75"/>
      <c r="K790" s="75"/>
      <c r="L790" s="75"/>
      <c r="M790" s="69"/>
      <c r="N790" s="75"/>
      <c r="O790" s="75"/>
      <c r="P790" s="101"/>
      <c r="Q790" s="107"/>
      <c r="R790" s="107"/>
      <c r="S790" s="108"/>
      <c r="T790" s="108"/>
      <c r="U790" s="108"/>
      <c r="V790" s="108"/>
      <c r="W790" s="108"/>
      <c r="X790" s="108"/>
      <c r="Y790" s="108"/>
      <c r="Z790" s="108"/>
    </row>
    <row r="791" spans="1:26" ht="130.5" customHeight="1">
      <c r="A791" s="104" t="s">
        <v>736</v>
      </c>
      <c r="B791" s="243" t="s">
        <v>685</v>
      </c>
      <c r="C791" s="899">
        <v>0.3</v>
      </c>
      <c r="D791" s="899">
        <v>0.5</v>
      </c>
      <c r="E791" s="899">
        <v>0.3</v>
      </c>
      <c r="F791" s="899">
        <v>0.5</v>
      </c>
      <c r="G791" s="899">
        <v>1</v>
      </c>
      <c r="H791" s="899">
        <v>0.5</v>
      </c>
      <c r="I791" s="445" t="s">
        <v>686</v>
      </c>
      <c r="J791" s="521" t="s">
        <v>2211</v>
      </c>
      <c r="K791" s="521" t="s">
        <v>2212</v>
      </c>
      <c r="L791" s="75" t="s">
        <v>2211</v>
      </c>
      <c r="M791" s="69" t="s">
        <v>2213</v>
      </c>
      <c r="N791" s="572">
        <v>1</v>
      </c>
      <c r="O791" s="75" t="s">
        <v>2212</v>
      </c>
      <c r="P791" s="101"/>
      <c r="Q791" s="107"/>
      <c r="R791" s="107"/>
      <c r="S791" s="108"/>
      <c r="T791" s="108"/>
      <c r="U791" s="108"/>
      <c r="V791" s="108"/>
      <c r="W791" s="108"/>
      <c r="X791" s="108"/>
      <c r="Y791" s="108"/>
      <c r="Z791" s="108"/>
    </row>
    <row r="792" spans="1:26" ht="22.5" customHeight="1">
      <c r="A792" s="925"/>
      <c r="B792" s="921"/>
      <c r="C792" s="899"/>
      <c r="D792" s="899"/>
      <c r="E792" s="899"/>
      <c r="F792" s="899"/>
      <c r="G792" s="899"/>
      <c r="H792" s="899"/>
      <c r="I792" s="928"/>
      <c r="J792" s="75"/>
      <c r="K792" s="75"/>
      <c r="L792" s="75"/>
      <c r="M792" s="69"/>
      <c r="N792" s="75"/>
      <c r="O792" s="75"/>
      <c r="P792" s="446"/>
      <c r="Q792" s="159"/>
      <c r="R792" s="159"/>
      <c r="S792" s="917"/>
      <c r="T792" s="917"/>
      <c r="U792" s="917"/>
      <c r="V792" s="917"/>
      <c r="W792" s="917"/>
      <c r="X792" s="917"/>
      <c r="Y792" s="917"/>
      <c r="Z792" s="917"/>
    </row>
    <row r="793" spans="1:26" ht="94.5" customHeight="1">
      <c r="A793" s="104" t="s">
        <v>736</v>
      </c>
      <c r="B793" s="105" t="s">
        <v>687</v>
      </c>
      <c r="C793" s="91">
        <v>1</v>
      </c>
      <c r="D793" s="91">
        <v>1</v>
      </c>
      <c r="E793" s="91">
        <v>1</v>
      </c>
      <c r="F793" s="91">
        <v>0.5</v>
      </c>
      <c r="G793" s="91">
        <v>0.5</v>
      </c>
      <c r="H793" s="91">
        <v>1</v>
      </c>
      <c r="I793" s="438" t="s">
        <v>38</v>
      </c>
      <c r="J793" s="75" t="s">
        <v>811</v>
      </c>
      <c r="K793" s="75" t="s">
        <v>811</v>
      </c>
      <c r="L793" s="75" t="s">
        <v>2214</v>
      </c>
      <c r="M793" s="569" t="s">
        <v>2215</v>
      </c>
      <c r="N793" s="75" t="s">
        <v>2216</v>
      </c>
      <c r="O793" s="75" t="s">
        <v>2217</v>
      </c>
      <c r="P793" s="101"/>
      <c r="Q793" s="107"/>
      <c r="R793" s="107"/>
      <c r="S793" s="108"/>
      <c r="T793" s="108"/>
      <c r="U793" s="108"/>
      <c r="V793" s="108"/>
      <c r="W793" s="108"/>
      <c r="X793" s="108"/>
      <c r="Y793" s="108"/>
      <c r="Z793" s="108"/>
    </row>
    <row r="794" spans="1:26" ht="25.5" customHeight="1">
      <c r="A794" s="104"/>
      <c r="B794" s="105"/>
      <c r="C794" s="898"/>
      <c r="D794" s="898"/>
      <c r="E794" s="67"/>
      <c r="F794" s="898"/>
      <c r="G794" s="447"/>
      <c r="H794" s="898"/>
      <c r="I794" s="53"/>
      <c r="J794" s="67"/>
      <c r="K794" s="67"/>
      <c r="L794" s="67"/>
      <c r="M794" s="69"/>
      <c r="N794" s="67"/>
      <c r="O794" s="67"/>
      <c r="P794" s="101"/>
      <c r="Q794" s="107"/>
      <c r="R794" s="107"/>
      <c r="S794" s="108"/>
      <c r="T794" s="108"/>
      <c r="U794" s="108"/>
      <c r="V794" s="108"/>
      <c r="W794" s="108"/>
      <c r="X794" s="108"/>
      <c r="Y794" s="108"/>
      <c r="Z794" s="108"/>
    </row>
    <row r="795" spans="1:26" ht="27.75" customHeight="1">
      <c r="A795" s="573" t="s">
        <v>2218</v>
      </c>
      <c r="B795" s="158" t="s">
        <v>688</v>
      </c>
      <c r="C795" s="350">
        <f t="shared" ref="C795:H795" si="144">AVERAGE(C796,C811,C828,C838)</f>
        <v>0.43163469714809</v>
      </c>
      <c r="D795" s="350">
        <f t="shared" si="144"/>
        <v>0.55988315999476712</v>
      </c>
      <c r="E795" s="350">
        <f t="shared" si="144"/>
        <v>0.26269623233908951</v>
      </c>
      <c r="F795" s="350">
        <f t="shared" si="144"/>
        <v>0.48925423534798529</v>
      </c>
      <c r="G795" s="350">
        <f t="shared" si="144"/>
        <v>0.44607821493982203</v>
      </c>
      <c r="H795" s="350">
        <f t="shared" si="144"/>
        <v>0.30254243524332808</v>
      </c>
      <c r="I795" s="438"/>
      <c r="J795" s="575"/>
      <c r="K795" s="575"/>
      <c r="L795" s="576"/>
      <c r="M795" s="575"/>
      <c r="N795" s="575"/>
      <c r="O795" s="575"/>
      <c r="P795" s="451"/>
      <c r="Q795" s="454"/>
      <c r="R795" s="454"/>
      <c r="S795" s="454"/>
      <c r="T795" s="454"/>
      <c r="U795" s="454"/>
      <c r="V795" s="454"/>
      <c r="W795" s="454"/>
      <c r="X795" s="454"/>
      <c r="Y795" s="454"/>
      <c r="Z795" s="454"/>
    </row>
    <row r="796" spans="1:26" ht="13.5" customHeight="1">
      <c r="A796" s="130" t="s">
        <v>2219</v>
      </c>
      <c r="B796" s="133" t="s">
        <v>2220</v>
      </c>
      <c r="C796" s="299">
        <f t="shared" ref="C796:H796" si="145">AVERAGE(C797,C799)</f>
        <v>0.72812499999999991</v>
      </c>
      <c r="D796" s="299">
        <f t="shared" si="145"/>
        <v>0.60312500000000002</v>
      </c>
      <c r="E796" s="299">
        <f t="shared" si="145"/>
        <v>1.2500000000000001E-2</v>
      </c>
      <c r="F796" s="299">
        <f t="shared" si="145"/>
        <v>0.40312500000000001</v>
      </c>
      <c r="G796" s="299">
        <f t="shared" si="145"/>
        <v>0.31562499999999999</v>
      </c>
      <c r="H796" s="299">
        <f t="shared" si="145"/>
        <v>9.0624999999999997E-2</v>
      </c>
      <c r="I796" s="124"/>
      <c r="J796" s="205"/>
      <c r="K796" s="206"/>
      <c r="L796" s="205"/>
      <c r="M796" s="205"/>
      <c r="N796" s="206"/>
      <c r="O796" s="206"/>
      <c r="P796" s="577"/>
      <c r="Q796" s="206"/>
      <c r="R796" s="206"/>
      <c r="S796" s="206"/>
      <c r="T796" s="206"/>
      <c r="U796" s="206"/>
      <c r="V796" s="206"/>
      <c r="W796" s="206"/>
      <c r="X796" s="206"/>
      <c r="Y796" s="206"/>
      <c r="Z796" s="206"/>
    </row>
    <row r="797" spans="1:26" ht="109.5" customHeight="1">
      <c r="A797" s="143" t="s">
        <v>736</v>
      </c>
      <c r="B797" s="144" t="s">
        <v>2221</v>
      </c>
      <c r="C797" s="87">
        <v>1</v>
      </c>
      <c r="D797" s="87">
        <v>1</v>
      </c>
      <c r="E797" s="87">
        <v>0</v>
      </c>
      <c r="F797" s="87">
        <v>0.75</v>
      </c>
      <c r="G797" s="87">
        <v>0.5</v>
      </c>
      <c r="H797" s="87">
        <v>0</v>
      </c>
      <c r="I797" s="438" t="s">
        <v>2222</v>
      </c>
      <c r="J797" s="75" t="s">
        <v>2223</v>
      </c>
      <c r="K797" s="911" t="s">
        <v>811</v>
      </c>
      <c r="L797" s="75" t="s">
        <v>748</v>
      </c>
      <c r="M797" s="911" t="s">
        <v>2224</v>
      </c>
      <c r="N797" s="75" t="s">
        <v>2225</v>
      </c>
      <c r="O797" s="69" t="s">
        <v>2226</v>
      </c>
      <c r="P797" s="451"/>
      <c r="Q797" s="149"/>
      <c r="R797" s="149"/>
      <c r="S797" s="149"/>
      <c r="T797" s="149"/>
      <c r="U797" s="149"/>
      <c r="V797" s="149"/>
      <c r="W797" s="149"/>
      <c r="X797" s="149"/>
      <c r="Y797" s="149"/>
      <c r="Z797" s="149"/>
    </row>
    <row r="798" spans="1:26" ht="20.25" customHeight="1">
      <c r="A798" s="143"/>
      <c r="B798" s="144"/>
      <c r="C798" s="87"/>
      <c r="D798" s="87"/>
      <c r="E798" s="87"/>
      <c r="F798" s="87"/>
      <c r="G798" s="87"/>
      <c r="H798" s="87"/>
      <c r="I798" s="438"/>
      <c r="J798" s="75"/>
      <c r="K798" s="911"/>
      <c r="L798" s="75"/>
      <c r="M798" s="911"/>
      <c r="N798" s="75"/>
      <c r="O798" s="291"/>
      <c r="P798" s="451"/>
      <c r="Q798" s="149"/>
      <c r="R798" s="149"/>
      <c r="S798" s="149"/>
      <c r="T798" s="149"/>
      <c r="U798" s="149"/>
      <c r="V798" s="149"/>
      <c r="W798" s="149"/>
      <c r="X798" s="149"/>
      <c r="Y798" s="149"/>
      <c r="Z798" s="149"/>
    </row>
    <row r="799" spans="1:26" ht="24.75" customHeight="1">
      <c r="A799" s="143" t="s">
        <v>736</v>
      </c>
      <c r="B799" s="144" t="s">
        <v>2227</v>
      </c>
      <c r="C799" s="87">
        <f t="shared" ref="C799:H799" si="146">AVERAGE(C800,C801,C802,C805,C806,C807,C808,C809)</f>
        <v>0.45624999999999993</v>
      </c>
      <c r="D799" s="87">
        <f t="shared" si="146"/>
        <v>0.20625000000000002</v>
      </c>
      <c r="E799" s="87">
        <f t="shared" si="146"/>
        <v>2.5000000000000001E-2</v>
      </c>
      <c r="F799" s="87">
        <f t="shared" si="146"/>
        <v>5.6249999999999994E-2</v>
      </c>
      <c r="G799" s="87">
        <f t="shared" si="146"/>
        <v>0.13125000000000001</v>
      </c>
      <c r="H799" s="87">
        <f t="shared" si="146"/>
        <v>0.18124999999999999</v>
      </c>
      <c r="I799" s="438"/>
      <c r="J799" s="75"/>
      <c r="K799" s="146"/>
      <c r="L799" s="75"/>
      <c r="M799" s="911"/>
      <c r="N799" s="75"/>
      <c r="O799" s="929"/>
      <c r="P799" s="451"/>
      <c r="Q799" s="149"/>
      <c r="R799" s="149"/>
      <c r="S799" s="149"/>
      <c r="T799" s="149"/>
      <c r="U799" s="149"/>
      <c r="V799" s="149"/>
      <c r="W799" s="149"/>
      <c r="X799" s="149"/>
      <c r="Y799" s="149"/>
      <c r="Z799" s="149"/>
    </row>
    <row r="800" spans="1:26" ht="163.5" customHeight="1">
      <c r="A800" s="143">
        <v>1</v>
      </c>
      <c r="B800" s="144" t="s">
        <v>2228</v>
      </c>
      <c r="C800" s="91">
        <v>0.9</v>
      </c>
      <c r="D800" s="91">
        <v>0.75</v>
      </c>
      <c r="E800" s="91">
        <v>0</v>
      </c>
      <c r="F800" s="87">
        <v>0.1</v>
      </c>
      <c r="G800" s="87">
        <v>0</v>
      </c>
      <c r="H800" s="87">
        <v>0.1</v>
      </c>
      <c r="I800" s="438" t="s">
        <v>123</v>
      </c>
      <c r="J800" s="75" t="s">
        <v>2229</v>
      </c>
      <c r="K800" s="75" t="s">
        <v>2230</v>
      </c>
      <c r="L800" s="75" t="s">
        <v>748</v>
      </c>
      <c r="M800" s="75" t="s">
        <v>2231</v>
      </c>
      <c r="N800" s="75" t="s">
        <v>748</v>
      </c>
      <c r="O800" s="75" t="s">
        <v>2232</v>
      </c>
      <c r="P800" s="451"/>
      <c r="Q800" s="149"/>
      <c r="R800" s="149"/>
      <c r="S800" s="149"/>
      <c r="T800" s="149"/>
      <c r="U800" s="149"/>
      <c r="V800" s="149"/>
      <c r="W800" s="149"/>
      <c r="X800" s="149"/>
      <c r="Y800" s="149"/>
      <c r="Z800" s="149"/>
    </row>
    <row r="801" spans="1:26" ht="120" customHeight="1">
      <c r="A801" s="143">
        <v>2</v>
      </c>
      <c r="B801" s="144" t="s">
        <v>2233</v>
      </c>
      <c r="C801" s="899">
        <v>0.75</v>
      </c>
      <c r="D801" s="899">
        <v>0.5</v>
      </c>
      <c r="E801" s="91">
        <v>0</v>
      </c>
      <c r="F801" s="87">
        <v>0.25</v>
      </c>
      <c r="G801" s="87">
        <v>0.1</v>
      </c>
      <c r="H801" s="87">
        <v>0.1</v>
      </c>
      <c r="I801" s="438" t="s">
        <v>123</v>
      </c>
      <c r="J801" s="75" t="s">
        <v>2234</v>
      </c>
      <c r="K801" s="75" t="s">
        <v>2235</v>
      </c>
      <c r="L801" s="75" t="s">
        <v>748</v>
      </c>
      <c r="M801" s="69" t="s">
        <v>2236</v>
      </c>
      <c r="N801" s="75" t="s">
        <v>2237</v>
      </c>
      <c r="O801" s="75" t="s">
        <v>2238</v>
      </c>
      <c r="P801" s="451"/>
      <c r="Q801" s="149"/>
      <c r="R801" s="149"/>
      <c r="S801" s="149"/>
      <c r="T801" s="149"/>
      <c r="U801" s="149"/>
      <c r="V801" s="149"/>
      <c r="W801" s="149"/>
      <c r="X801" s="149"/>
      <c r="Y801" s="149"/>
      <c r="Z801" s="149"/>
    </row>
    <row r="802" spans="1:26" ht="15.75" customHeight="1">
      <c r="A802" s="143">
        <v>3</v>
      </c>
      <c r="B802" s="79" t="s">
        <v>2239</v>
      </c>
      <c r="C802" s="908">
        <f t="shared" ref="C802:H802" si="147">AVERAGE(C803,C804)</f>
        <v>0.1</v>
      </c>
      <c r="D802" s="87">
        <f t="shared" si="147"/>
        <v>0</v>
      </c>
      <c r="E802" s="87">
        <f t="shared" si="147"/>
        <v>0</v>
      </c>
      <c r="F802" s="87">
        <f t="shared" si="147"/>
        <v>0</v>
      </c>
      <c r="G802" s="87">
        <f t="shared" si="147"/>
        <v>0</v>
      </c>
      <c r="H802" s="87">
        <f t="shared" si="147"/>
        <v>0.1</v>
      </c>
      <c r="I802" s="438"/>
      <c r="J802" s="75"/>
      <c r="K802" s="146"/>
      <c r="L802" s="75"/>
      <c r="M802" s="75"/>
      <c r="N802" s="75"/>
      <c r="O802" s="484"/>
      <c r="P802" s="451"/>
      <c r="Q802" s="149"/>
      <c r="R802" s="149"/>
      <c r="S802" s="149"/>
      <c r="T802" s="149"/>
      <c r="U802" s="149"/>
      <c r="V802" s="149"/>
      <c r="W802" s="149"/>
      <c r="X802" s="149"/>
      <c r="Y802" s="149"/>
      <c r="Z802" s="149"/>
    </row>
    <row r="803" spans="1:26" ht="166.5" customHeight="1">
      <c r="A803" s="143"/>
      <c r="B803" s="930" t="s">
        <v>2240</v>
      </c>
      <c r="C803" s="899">
        <v>0.1</v>
      </c>
      <c r="D803" s="87">
        <v>0</v>
      </c>
      <c r="E803" s="87">
        <v>0</v>
      </c>
      <c r="F803" s="87">
        <v>0</v>
      </c>
      <c r="G803" s="87">
        <v>0</v>
      </c>
      <c r="H803" s="87">
        <v>0.1</v>
      </c>
      <c r="I803" s="438" t="s">
        <v>38</v>
      </c>
      <c r="J803" s="457" t="s">
        <v>2241</v>
      </c>
      <c r="K803" s="75" t="s">
        <v>748</v>
      </c>
      <c r="L803" s="75" t="s">
        <v>748</v>
      </c>
      <c r="M803" s="75" t="s">
        <v>748</v>
      </c>
      <c r="N803" s="75" t="s">
        <v>748</v>
      </c>
      <c r="O803" s="75" t="s">
        <v>2242</v>
      </c>
      <c r="P803" s="451"/>
      <c r="Q803" s="149"/>
      <c r="R803" s="149"/>
      <c r="S803" s="149"/>
      <c r="T803" s="149"/>
      <c r="U803" s="149"/>
      <c r="V803" s="149"/>
      <c r="W803" s="149"/>
      <c r="X803" s="149"/>
      <c r="Y803" s="149"/>
      <c r="Z803" s="149"/>
    </row>
    <row r="804" spans="1:26" ht="161.25" customHeight="1">
      <c r="A804" s="143"/>
      <c r="B804" s="930" t="s">
        <v>2243</v>
      </c>
      <c r="C804" s="899">
        <v>0.1</v>
      </c>
      <c r="D804" s="91">
        <v>0</v>
      </c>
      <c r="E804" s="91">
        <v>0</v>
      </c>
      <c r="F804" s="91">
        <v>0</v>
      </c>
      <c r="G804" s="91">
        <v>0</v>
      </c>
      <c r="H804" s="91">
        <v>0.1</v>
      </c>
      <c r="I804" s="438" t="s">
        <v>38</v>
      </c>
      <c r="J804" s="457" t="s">
        <v>2244</v>
      </c>
      <c r="K804" s="75" t="s">
        <v>748</v>
      </c>
      <c r="L804" s="75" t="s">
        <v>748</v>
      </c>
      <c r="M804" s="75" t="s">
        <v>748</v>
      </c>
      <c r="N804" s="75" t="s">
        <v>748</v>
      </c>
      <c r="O804" s="75" t="s">
        <v>2245</v>
      </c>
      <c r="P804" s="451"/>
      <c r="Q804" s="149"/>
      <c r="R804" s="149"/>
      <c r="S804" s="149"/>
      <c r="T804" s="149"/>
      <c r="U804" s="149"/>
      <c r="V804" s="149"/>
      <c r="W804" s="149"/>
      <c r="X804" s="149"/>
      <c r="Y804" s="149"/>
      <c r="Z804" s="149"/>
    </row>
    <row r="805" spans="1:26" ht="161.25" customHeight="1">
      <c r="A805" s="143">
        <v>4</v>
      </c>
      <c r="B805" s="79" t="s">
        <v>2246</v>
      </c>
      <c r="C805" s="899">
        <v>0.55000000000000004</v>
      </c>
      <c r="D805" s="899">
        <v>0.1</v>
      </c>
      <c r="E805" s="899">
        <v>0.1</v>
      </c>
      <c r="F805" s="91">
        <v>0</v>
      </c>
      <c r="G805" s="91">
        <v>0.1</v>
      </c>
      <c r="H805" s="91">
        <v>0.1</v>
      </c>
      <c r="I805" s="438" t="s">
        <v>123</v>
      </c>
      <c r="J805" s="457" t="s">
        <v>2247</v>
      </c>
      <c r="K805" s="75" t="s">
        <v>2248</v>
      </c>
      <c r="L805" s="75" t="s">
        <v>2249</v>
      </c>
      <c r="M805" s="69" t="s">
        <v>748</v>
      </c>
      <c r="N805" s="75" t="s">
        <v>2250</v>
      </c>
      <c r="O805" s="75" t="s">
        <v>2251</v>
      </c>
      <c r="P805" s="451"/>
      <c r="Q805" s="149"/>
      <c r="R805" s="149"/>
      <c r="S805" s="149"/>
      <c r="T805" s="149"/>
      <c r="U805" s="149"/>
      <c r="V805" s="149"/>
      <c r="W805" s="149"/>
      <c r="X805" s="149"/>
      <c r="Y805" s="149"/>
      <c r="Z805" s="149"/>
    </row>
    <row r="806" spans="1:26" ht="113.25" customHeight="1">
      <c r="A806" s="143">
        <v>5</v>
      </c>
      <c r="B806" s="79" t="s">
        <v>2252</v>
      </c>
      <c r="C806" s="91">
        <v>0.3</v>
      </c>
      <c r="D806" s="91">
        <v>0</v>
      </c>
      <c r="E806" s="91">
        <v>0</v>
      </c>
      <c r="F806" s="91">
        <v>0</v>
      </c>
      <c r="G806" s="91">
        <v>0.1</v>
      </c>
      <c r="H806" s="899">
        <v>0.3</v>
      </c>
      <c r="I806" s="438"/>
      <c r="J806" s="457" t="s">
        <v>2253</v>
      </c>
      <c r="K806" s="75" t="s">
        <v>2254</v>
      </c>
      <c r="L806" s="75" t="s">
        <v>2255</v>
      </c>
      <c r="M806" s="69" t="s">
        <v>748</v>
      </c>
      <c r="N806" s="75" t="s">
        <v>2256</v>
      </c>
      <c r="O806" s="75" t="s">
        <v>2257</v>
      </c>
      <c r="P806" s="451"/>
      <c r="Q806" s="149"/>
      <c r="R806" s="149"/>
      <c r="S806" s="149"/>
      <c r="T806" s="149"/>
      <c r="U806" s="149"/>
      <c r="V806" s="149"/>
      <c r="W806" s="149"/>
      <c r="X806" s="149"/>
      <c r="Y806" s="149"/>
      <c r="Z806" s="149"/>
    </row>
    <row r="807" spans="1:26" ht="211.5" customHeight="1">
      <c r="A807" s="143">
        <v>6</v>
      </c>
      <c r="B807" s="79" t="s">
        <v>2258</v>
      </c>
      <c r="C807" s="899">
        <v>0.3</v>
      </c>
      <c r="D807" s="899">
        <v>0.3</v>
      </c>
      <c r="E807" s="899">
        <v>0.1</v>
      </c>
      <c r="F807" s="91">
        <v>0</v>
      </c>
      <c r="G807" s="91">
        <v>0</v>
      </c>
      <c r="H807" s="91">
        <v>0</v>
      </c>
      <c r="I807" s="438"/>
      <c r="J807" s="457" t="s">
        <v>2259</v>
      </c>
      <c r="K807" s="75" t="s">
        <v>2260</v>
      </c>
      <c r="L807" s="75" t="s">
        <v>2261</v>
      </c>
      <c r="M807" s="69" t="s">
        <v>748</v>
      </c>
      <c r="N807" s="75" t="s">
        <v>748</v>
      </c>
      <c r="O807" s="75" t="s">
        <v>2262</v>
      </c>
      <c r="P807" s="451"/>
      <c r="Q807" s="149"/>
      <c r="R807" s="149"/>
      <c r="S807" s="149"/>
      <c r="T807" s="149"/>
      <c r="U807" s="149"/>
      <c r="V807" s="149"/>
      <c r="W807" s="149"/>
      <c r="X807" s="149"/>
      <c r="Y807" s="149"/>
      <c r="Z807" s="149"/>
    </row>
    <row r="808" spans="1:26" ht="138" customHeight="1">
      <c r="A808" s="143">
        <v>7</v>
      </c>
      <c r="B808" s="79" t="s">
        <v>2263</v>
      </c>
      <c r="C808" s="87">
        <v>0</v>
      </c>
      <c r="D808" s="87">
        <v>0</v>
      </c>
      <c r="E808" s="87">
        <v>0</v>
      </c>
      <c r="F808" s="87">
        <v>0</v>
      </c>
      <c r="G808" s="87">
        <v>0</v>
      </c>
      <c r="H808" s="87">
        <v>0</v>
      </c>
      <c r="I808" s="438"/>
      <c r="J808" s="457" t="s">
        <v>2264</v>
      </c>
      <c r="K808" s="75" t="s">
        <v>748</v>
      </c>
      <c r="L808" s="75" t="s">
        <v>748</v>
      </c>
      <c r="M808" s="69" t="s">
        <v>2265</v>
      </c>
      <c r="N808" s="75" t="s">
        <v>748</v>
      </c>
      <c r="O808" s="75" t="s">
        <v>2266</v>
      </c>
      <c r="P808" s="451"/>
      <c r="Q808" s="149"/>
      <c r="R808" s="149"/>
      <c r="S808" s="149"/>
      <c r="T808" s="149"/>
      <c r="U808" s="149"/>
      <c r="V808" s="149"/>
      <c r="W808" s="149"/>
      <c r="X808" s="149"/>
      <c r="Y808" s="149"/>
      <c r="Z808" s="149"/>
    </row>
    <row r="809" spans="1:26" ht="195.75" customHeight="1">
      <c r="A809" s="143">
        <v>8</v>
      </c>
      <c r="B809" s="79" t="s">
        <v>2267</v>
      </c>
      <c r="C809" s="87">
        <v>0.75</v>
      </c>
      <c r="D809" s="87">
        <v>0</v>
      </c>
      <c r="E809" s="87">
        <v>0</v>
      </c>
      <c r="F809" s="87">
        <v>0.1</v>
      </c>
      <c r="G809" s="87">
        <v>0.75</v>
      </c>
      <c r="H809" s="87">
        <v>0.75</v>
      </c>
      <c r="I809" s="438"/>
      <c r="J809" s="457" t="s">
        <v>2268</v>
      </c>
      <c r="K809" s="75" t="s">
        <v>748</v>
      </c>
      <c r="L809" s="75" t="s">
        <v>2269</v>
      </c>
      <c r="M809" s="69" t="s">
        <v>2270</v>
      </c>
      <c r="N809" s="75" t="s">
        <v>811</v>
      </c>
      <c r="O809" s="75" t="s">
        <v>2271</v>
      </c>
      <c r="P809" s="451"/>
      <c r="Q809" s="149"/>
      <c r="R809" s="149"/>
      <c r="S809" s="149"/>
      <c r="T809" s="149"/>
      <c r="U809" s="149"/>
      <c r="V809" s="149"/>
      <c r="W809" s="149"/>
      <c r="X809" s="149"/>
      <c r="Y809" s="149"/>
      <c r="Z809" s="149"/>
    </row>
    <row r="810" spans="1:26" ht="18.75" customHeight="1">
      <c r="A810" s="143"/>
      <c r="B810" s="79"/>
      <c r="C810" s="87"/>
      <c r="D810" s="87"/>
      <c r="E810" s="87"/>
      <c r="F810" s="87"/>
      <c r="G810" s="87"/>
      <c r="H810" s="87"/>
      <c r="I810" s="438"/>
      <c r="J810" s="457"/>
      <c r="K810" s="911"/>
      <c r="L810" s="75"/>
      <c r="M810" s="69"/>
      <c r="N810" s="75"/>
      <c r="O810" s="75"/>
      <c r="P810" s="451"/>
      <c r="Q810" s="149"/>
      <c r="R810" s="149"/>
      <c r="S810" s="149"/>
      <c r="T810" s="149"/>
      <c r="U810" s="149"/>
      <c r="V810" s="149"/>
      <c r="W810" s="149"/>
      <c r="X810" s="149"/>
      <c r="Y810" s="149"/>
      <c r="Z810" s="149"/>
    </row>
    <row r="811" spans="1:26" ht="27.75" customHeight="1">
      <c r="A811" s="130" t="s">
        <v>2272</v>
      </c>
      <c r="B811" s="133" t="s">
        <v>2273</v>
      </c>
      <c r="C811" s="299">
        <f t="shared" ref="C811:H811" si="148">AVERAGE(C812,C814,C816,C818,C820,C822,C824,C826)</f>
        <v>0.53125</v>
      </c>
      <c r="D811" s="299">
        <f t="shared" si="148"/>
        <v>0.42499999999999999</v>
      </c>
      <c r="E811" s="584">
        <f t="shared" si="148"/>
        <v>0.33750000000000002</v>
      </c>
      <c r="F811" s="299">
        <f t="shared" si="148"/>
        <v>1.2500000000000001E-2</v>
      </c>
      <c r="G811" s="299">
        <f t="shared" si="148"/>
        <v>6.25E-2</v>
      </c>
      <c r="H811" s="299">
        <f t="shared" si="148"/>
        <v>0.25</v>
      </c>
      <c r="I811" s="438"/>
      <c r="J811" s="452"/>
      <c r="K811" s="453"/>
      <c r="L811" s="585"/>
      <c r="M811" s="452"/>
      <c r="N811" s="452"/>
      <c r="O811" s="453"/>
      <c r="P811" s="451"/>
      <c r="Q811" s="138"/>
      <c r="R811" s="138"/>
      <c r="S811" s="138"/>
      <c r="T811" s="138"/>
      <c r="U811" s="138"/>
      <c r="V811" s="138"/>
      <c r="W811" s="138"/>
      <c r="X811" s="138"/>
      <c r="Y811" s="138"/>
      <c r="Z811" s="138"/>
    </row>
    <row r="812" spans="1:26" ht="120.75" customHeight="1">
      <c r="A812" s="143" t="s">
        <v>736</v>
      </c>
      <c r="B812" s="79" t="s">
        <v>2274</v>
      </c>
      <c r="C812" s="87">
        <v>0</v>
      </c>
      <c r="D812" s="87">
        <v>0</v>
      </c>
      <c r="E812" s="87">
        <v>0</v>
      </c>
      <c r="F812" s="87">
        <v>0</v>
      </c>
      <c r="G812" s="87">
        <v>0</v>
      </c>
      <c r="H812" s="87">
        <v>0</v>
      </c>
      <c r="I812" s="438" t="s">
        <v>123</v>
      </c>
      <c r="J812" s="75" t="s">
        <v>2275</v>
      </c>
      <c r="K812" s="75" t="s">
        <v>748</v>
      </c>
      <c r="L812" s="75" t="s">
        <v>2276</v>
      </c>
      <c r="M812" s="75" t="s">
        <v>748</v>
      </c>
      <c r="N812" s="75" t="s">
        <v>748</v>
      </c>
      <c r="O812" s="75" t="s">
        <v>748</v>
      </c>
      <c r="P812" s="451"/>
      <c r="Q812" s="149"/>
      <c r="R812" s="149"/>
      <c r="S812" s="149"/>
      <c r="T812" s="149"/>
      <c r="U812" s="149"/>
      <c r="V812" s="149"/>
      <c r="W812" s="149"/>
      <c r="X812" s="149"/>
      <c r="Y812" s="149"/>
      <c r="Z812" s="149"/>
    </row>
    <row r="813" spans="1:26" ht="13.5" customHeight="1">
      <c r="A813" s="143"/>
      <c r="B813" s="930"/>
      <c r="C813" s="87"/>
      <c r="D813" s="87"/>
      <c r="E813" s="87"/>
      <c r="F813" s="87"/>
      <c r="G813" s="87"/>
      <c r="H813" s="87"/>
      <c r="I813" s="438"/>
      <c r="J813" s="75"/>
      <c r="K813" s="911"/>
      <c r="L813" s="75"/>
      <c r="M813" s="397"/>
      <c r="N813" s="75"/>
      <c r="O813" s="75"/>
      <c r="P813" s="451"/>
      <c r="Q813" s="149"/>
      <c r="R813" s="149"/>
      <c r="S813" s="149"/>
      <c r="T813" s="149"/>
      <c r="U813" s="149"/>
      <c r="V813" s="149"/>
      <c r="W813" s="149"/>
      <c r="X813" s="149"/>
      <c r="Y813" s="149"/>
      <c r="Z813" s="149"/>
    </row>
    <row r="814" spans="1:26" ht="108.75" customHeight="1">
      <c r="A814" s="143" t="s">
        <v>736</v>
      </c>
      <c r="B814" s="79" t="s">
        <v>2277</v>
      </c>
      <c r="C814" s="87">
        <v>0.75</v>
      </c>
      <c r="D814" s="87">
        <v>0.75</v>
      </c>
      <c r="E814" s="899">
        <v>0.5</v>
      </c>
      <c r="F814" s="899">
        <v>0</v>
      </c>
      <c r="G814" s="899">
        <v>0</v>
      </c>
      <c r="H814" s="899">
        <v>1</v>
      </c>
      <c r="I814" s="438" t="s">
        <v>38</v>
      </c>
      <c r="J814" s="75" t="s">
        <v>2278</v>
      </c>
      <c r="K814" s="75" t="s">
        <v>2279</v>
      </c>
      <c r="L814" s="75" t="s">
        <v>2280</v>
      </c>
      <c r="M814" s="75" t="s">
        <v>748</v>
      </c>
      <c r="N814" s="75" t="s">
        <v>748</v>
      </c>
      <c r="O814" s="75" t="s">
        <v>811</v>
      </c>
      <c r="P814" s="451"/>
      <c r="Q814" s="149"/>
      <c r="R814" s="149"/>
      <c r="S814" s="149"/>
      <c r="T814" s="149"/>
      <c r="U814" s="149"/>
      <c r="V814" s="149"/>
      <c r="W814" s="149"/>
      <c r="X814" s="149"/>
      <c r="Y814" s="149"/>
      <c r="Z814" s="149"/>
    </row>
    <row r="815" spans="1:26" ht="18" customHeight="1">
      <c r="A815" s="143"/>
      <c r="B815" s="79"/>
      <c r="C815" s="87"/>
      <c r="D815" s="87"/>
      <c r="E815" s="87"/>
      <c r="F815" s="87"/>
      <c r="G815" s="87"/>
      <c r="H815" s="87"/>
      <c r="I815" s="135"/>
      <c r="J815" s="521"/>
      <c r="K815" s="521"/>
      <c r="L815" s="75"/>
      <c r="M815" s="75"/>
      <c r="N815" s="75"/>
      <c r="O815" s="75"/>
      <c r="P815" s="451"/>
      <c r="Q815" s="149"/>
      <c r="R815" s="149"/>
      <c r="S815" s="149"/>
      <c r="T815" s="149"/>
      <c r="U815" s="149"/>
      <c r="V815" s="149"/>
      <c r="W815" s="149"/>
      <c r="X815" s="149"/>
      <c r="Y815" s="149"/>
      <c r="Z815" s="149"/>
    </row>
    <row r="816" spans="1:26" ht="97.5" customHeight="1">
      <c r="A816" s="143" t="s">
        <v>736</v>
      </c>
      <c r="B816" s="79" t="s">
        <v>2281</v>
      </c>
      <c r="C816" s="899">
        <v>1</v>
      </c>
      <c r="D816" s="899">
        <v>0</v>
      </c>
      <c r="E816" s="899">
        <v>1</v>
      </c>
      <c r="F816" s="899">
        <v>0</v>
      </c>
      <c r="G816" s="899">
        <v>0</v>
      </c>
      <c r="H816" s="899">
        <v>1</v>
      </c>
      <c r="I816" s="438"/>
      <c r="J816" s="75" t="s">
        <v>2282</v>
      </c>
      <c r="K816" s="75" t="s">
        <v>748</v>
      </c>
      <c r="L816" s="75" t="s">
        <v>2283</v>
      </c>
      <c r="M816" s="75" t="s">
        <v>2284</v>
      </c>
      <c r="N816" s="75" t="s">
        <v>748</v>
      </c>
      <c r="O816" s="75" t="s">
        <v>2285</v>
      </c>
      <c r="P816" s="451"/>
      <c r="Q816" s="149"/>
      <c r="R816" s="149"/>
      <c r="S816" s="149"/>
      <c r="T816" s="149"/>
      <c r="U816" s="149"/>
      <c r="V816" s="149"/>
      <c r="W816" s="149"/>
      <c r="X816" s="149"/>
      <c r="Y816" s="149"/>
      <c r="Z816" s="149"/>
    </row>
    <row r="817" spans="1:26" ht="13.5" customHeight="1">
      <c r="A817" s="143"/>
      <c r="B817" s="79"/>
      <c r="C817" s="91"/>
      <c r="D817" s="91"/>
      <c r="E817" s="91"/>
      <c r="F817" s="91"/>
      <c r="G817" s="91"/>
      <c r="H817" s="91"/>
      <c r="I817" s="438"/>
      <c r="J817" s="75"/>
      <c r="K817" s="911"/>
      <c r="L817" s="75"/>
      <c r="M817" s="75"/>
      <c r="N817" s="75"/>
      <c r="O817" s="75"/>
      <c r="P817" s="451"/>
      <c r="Q817" s="149"/>
      <c r="R817" s="149"/>
      <c r="S817" s="149"/>
      <c r="T817" s="149"/>
      <c r="U817" s="149"/>
      <c r="V817" s="149"/>
      <c r="W817" s="149"/>
      <c r="X817" s="149"/>
      <c r="Y817" s="149"/>
      <c r="Z817" s="149"/>
    </row>
    <row r="818" spans="1:26" ht="84" customHeight="1">
      <c r="A818" s="143" t="s">
        <v>736</v>
      </c>
      <c r="B818" s="79" t="s">
        <v>2286</v>
      </c>
      <c r="C818" s="91">
        <v>0</v>
      </c>
      <c r="D818" s="91">
        <v>0</v>
      </c>
      <c r="E818" s="91">
        <v>0</v>
      </c>
      <c r="F818" s="91">
        <v>0</v>
      </c>
      <c r="G818" s="91">
        <v>0</v>
      </c>
      <c r="H818" s="91">
        <v>0</v>
      </c>
      <c r="I818" s="438"/>
      <c r="J818" s="75" t="s">
        <v>748</v>
      </c>
      <c r="K818" s="75" t="s">
        <v>748</v>
      </c>
      <c r="L818" s="75" t="s">
        <v>748</v>
      </c>
      <c r="M818" s="75" t="s">
        <v>748</v>
      </c>
      <c r="N818" s="75" t="s">
        <v>748</v>
      </c>
      <c r="O818" s="75" t="s">
        <v>748</v>
      </c>
      <c r="P818" s="451"/>
      <c r="Q818" s="149"/>
      <c r="R818" s="149"/>
      <c r="S818" s="149"/>
      <c r="T818" s="149"/>
      <c r="U818" s="149"/>
      <c r="V818" s="149"/>
      <c r="W818" s="149"/>
      <c r="X818" s="149"/>
      <c r="Y818" s="149"/>
      <c r="Z818" s="149"/>
    </row>
    <row r="819" spans="1:26" ht="13.5" customHeight="1">
      <c r="A819" s="143"/>
      <c r="B819" s="79"/>
      <c r="C819" s="91"/>
      <c r="D819" s="91"/>
      <c r="E819" s="91"/>
      <c r="F819" s="91"/>
      <c r="G819" s="91"/>
      <c r="H819" s="91"/>
      <c r="I819" s="438"/>
      <c r="J819" s="75"/>
      <c r="K819" s="911"/>
      <c r="L819" s="75"/>
      <c r="M819" s="75"/>
      <c r="N819" s="75"/>
      <c r="O819" s="75"/>
      <c r="P819" s="451"/>
      <c r="Q819" s="149"/>
      <c r="R819" s="149"/>
      <c r="S819" s="149"/>
      <c r="T819" s="149"/>
      <c r="U819" s="149"/>
      <c r="V819" s="149"/>
      <c r="W819" s="149"/>
      <c r="X819" s="149"/>
      <c r="Y819" s="149"/>
      <c r="Z819" s="149"/>
    </row>
    <row r="820" spans="1:26" ht="236.25" customHeight="1">
      <c r="A820" s="143" t="s">
        <v>736</v>
      </c>
      <c r="B820" s="79" t="s">
        <v>2287</v>
      </c>
      <c r="C820" s="899">
        <v>0.1</v>
      </c>
      <c r="D820" s="91">
        <v>0</v>
      </c>
      <c r="E820" s="899">
        <v>0</v>
      </c>
      <c r="F820" s="91">
        <v>0.1</v>
      </c>
      <c r="G820" s="91">
        <v>0</v>
      </c>
      <c r="H820" s="91">
        <v>0</v>
      </c>
      <c r="I820" s="438"/>
      <c r="J820" s="75" t="s">
        <v>2288</v>
      </c>
      <c r="K820" s="75" t="s">
        <v>748</v>
      </c>
      <c r="L820" s="75" t="s">
        <v>2289</v>
      </c>
      <c r="M820" s="75" t="s">
        <v>2290</v>
      </c>
      <c r="N820" s="75" t="s">
        <v>748</v>
      </c>
      <c r="O820" s="75" t="s">
        <v>748</v>
      </c>
      <c r="P820" s="451"/>
      <c r="Q820" s="149"/>
      <c r="R820" s="149"/>
      <c r="S820" s="149"/>
      <c r="T820" s="149"/>
      <c r="U820" s="149"/>
      <c r="V820" s="149"/>
      <c r="W820" s="149"/>
      <c r="X820" s="149"/>
      <c r="Y820" s="149"/>
      <c r="Z820" s="149"/>
    </row>
    <row r="821" spans="1:26" ht="13.5" customHeight="1">
      <c r="A821" s="143"/>
      <c r="B821" s="79"/>
      <c r="C821" s="91"/>
      <c r="D821" s="91"/>
      <c r="E821" s="91"/>
      <c r="F821" s="91"/>
      <c r="G821" s="91"/>
      <c r="H821" s="91"/>
      <c r="I821" s="438"/>
      <c r="J821" s="291"/>
      <c r="K821" s="911"/>
      <c r="L821" s="75"/>
      <c r="M821" s="450"/>
      <c r="N821" s="291"/>
      <c r="O821" s="291"/>
      <c r="P821" s="451"/>
      <c r="Q821" s="149"/>
      <c r="R821" s="149"/>
      <c r="S821" s="149"/>
      <c r="T821" s="149"/>
      <c r="U821" s="149"/>
      <c r="V821" s="149"/>
      <c r="W821" s="149"/>
      <c r="X821" s="149"/>
      <c r="Y821" s="149"/>
      <c r="Z821" s="149"/>
    </row>
    <row r="822" spans="1:26" ht="124.5" customHeight="1">
      <c r="A822" s="143" t="s">
        <v>736</v>
      </c>
      <c r="B822" s="79" t="s">
        <v>2291</v>
      </c>
      <c r="C822" s="899">
        <v>1</v>
      </c>
      <c r="D822" s="899">
        <v>1</v>
      </c>
      <c r="E822" s="899">
        <v>1</v>
      </c>
      <c r="F822" s="91">
        <v>0</v>
      </c>
      <c r="G822" s="91">
        <v>0.3</v>
      </c>
      <c r="H822" s="91">
        <v>0</v>
      </c>
      <c r="I822" s="438" t="s">
        <v>38</v>
      </c>
      <c r="J822" s="75" t="s">
        <v>2292</v>
      </c>
      <c r="K822" s="911" t="s">
        <v>2293</v>
      </c>
      <c r="L822" s="75" t="s">
        <v>811</v>
      </c>
      <c r="M822" s="69" t="s">
        <v>748</v>
      </c>
      <c r="N822" s="75" t="s">
        <v>2294</v>
      </c>
      <c r="O822" s="75" t="s">
        <v>748</v>
      </c>
      <c r="P822" s="451"/>
      <c r="Q822" s="149"/>
      <c r="R822" s="149"/>
      <c r="S822" s="149"/>
      <c r="T822" s="149"/>
      <c r="U822" s="149"/>
      <c r="V822" s="149"/>
      <c r="W822" s="149"/>
      <c r="X822" s="149"/>
      <c r="Y822" s="149"/>
      <c r="Z822" s="149"/>
    </row>
    <row r="823" spans="1:26" ht="13.5" customHeight="1">
      <c r="A823" s="143"/>
      <c r="B823" s="79"/>
      <c r="C823" s="91"/>
      <c r="D823" s="91"/>
      <c r="E823" s="91"/>
      <c r="F823" s="91"/>
      <c r="G823" s="91"/>
      <c r="H823" s="91"/>
      <c r="I823" s="438"/>
      <c r="J823" s="291"/>
      <c r="K823" s="589"/>
      <c r="L823" s="75"/>
      <c r="M823" s="590"/>
      <c r="N823" s="291"/>
      <c r="O823" s="291"/>
      <c r="P823" s="451"/>
      <c r="Q823" s="149"/>
      <c r="R823" s="149"/>
      <c r="S823" s="149"/>
      <c r="T823" s="149"/>
      <c r="U823" s="149"/>
      <c r="V823" s="149"/>
      <c r="W823" s="149"/>
      <c r="X823" s="149"/>
      <c r="Y823" s="149"/>
      <c r="Z823" s="149"/>
    </row>
    <row r="824" spans="1:26" ht="96.75" customHeight="1">
      <c r="A824" s="143" t="s">
        <v>736</v>
      </c>
      <c r="B824" s="79" t="s">
        <v>2295</v>
      </c>
      <c r="C824" s="899">
        <v>0.9</v>
      </c>
      <c r="D824" s="899">
        <v>0.9</v>
      </c>
      <c r="E824" s="899">
        <v>0.1</v>
      </c>
      <c r="F824" s="91">
        <v>0</v>
      </c>
      <c r="G824" s="91">
        <v>0.1</v>
      </c>
      <c r="H824" s="91">
        <v>0</v>
      </c>
      <c r="I824" s="438" t="s">
        <v>38</v>
      </c>
      <c r="J824" s="75" t="s">
        <v>2296</v>
      </c>
      <c r="K824" s="75" t="s">
        <v>2297</v>
      </c>
      <c r="L824" s="75" t="s">
        <v>2298</v>
      </c>
      <c r="M824" s="69" t="s">
        <v>2299</v>
      </c>
      <c r="N824" s="75" t="s">
        <v>2300</v>
      </c>
      <c r="O824" s="75" t="s">
        <v>748</v>
      </c>
      <c r="P824" s="451"/>
      <c r="Q824" s="149"/>
      <c r="R824" s="149"/>
      <c r="S824" s="149"/>
      <c r="T824" s="149"/>
      <c r="U824" s="149"/>
      <c r="V824" s="149"/>
      <c r="W824" s="149"/>
      <c r="X824" s="149"/>
      <c r="Y824" s="149"/>
      <c r="Z824" s="149"/>
    </row>
    <row r="825" spans="1:26" ht="18" customHeight="1">
      <c r="A825" s="143"/>
      <c r="B825" s="930"/>
      <c r="C825" s="286"/>
      <c r="D825" s="286"/>
      <c r="E825" s="286"/>
      <c r="F825" s="286"/>
      <c r="G825" s="286"/>
      <c r="H825" s="286"/>
      <c r="I825" s="438"/>
      <c r="J825" s="291"/>
      <c r="K825" s="589"/>
      <c r="L825" s="75"/>
      <c r="M825" s="590"/>
      <c r="N825" s="291"/>
      <c r="O825" s="291"/>
      <c r="P825" s="451"/>
      <c r="Q825" s="149"/>
      <c r="R825" s="149"/>
      <c r="S825" s="149"/>
      <c r="T825" s="149"/>
      <c r="U825" s="149"/>
      <c r="V825" s="149"/>
      <c r="W825" s="149"/>
      <c r="X825" s="149"/>
      <c r="Y825" s="149"/>
      <c r="Z825" s="149"/>
    </row>
    <row r="826" spans="1:26" ht="150" customHeight="1">
      <c r="A826" s="143" t="s">
        <v>736</v>
      </c>
      <c r="B826" s="79" t="s">
        <v>2301</v>
      </c>
      <c r="C826" s="91">
        <v>0.5</v>
      </c>
      <c r="D826" s="91">
        <v>0.75</v>
      </c>
      <c r="E826" s="897">
        <v>0.1</v>
      </c>
      <c r="F826" s="91">
        <v>0</v>
      </c>
      <c r="G826" s="292">
        <v>0.1</v>
      </c>
      <c r="H826" s="91">
        <v>0</v>
      </c>
      <c r="I826" s="438" t="s">
        <v>38</v>
      </c>
      <c r="J826" s="75" t="s">
        <v>2302</v>
      </c>
      <c r="K826" s="75" t="s">
        <v>811</v>
      </c>
      <c r="L826" s="75" t="s">
        <v>2303</v>
      </c>
      <c r="M826" s="69" t="s">
        <v>2304</v>
      </c>
      <c r="N826" s="75" t="s">
        <v>811</v>
      </c>
      <c r="O826" s="75" t="s">
        <v>748</v>
      </c>
      <c r="P826" s="451"/>
      <c r="Q826" s="149"/>
      <c r="R826" s="149"/>
      <c r="S826" s="149"/>
      <c r="T826" s="149"/>
      <c r="U826" s="149"/>
      <c r="V826" s="149"/>
      <c r="W826" s="149"/>
      <c r="X826" s="149"/>
      <c r="Y826" s="149"/>
      <c r="Z826" s="149"/>
    </row>
    <row r="827" spans="1:26" ht="13.5" customHeight="1">
      <c r="A827" s="143"/>
      <c r="B827" s="931"/>
      <c r="C827" s="149"/>
      <c r="D827" s="149"/>
      <c r="E827" s="149"/>
      <c r="F827" s="149"/>
      <c r="G827" s="149"/>
      <c r="H827" s="149"/>
      <c r="I827" s="438"/>
      <c r="J827" s="291"/>
      <c r="K827" s="149"/>
      <c r="L827" s="75"/>
      <c r="M827" s="450"/>
      <c r="N827" s="291"/>
      <c r="O827" s="149"/>
      <c r="P827" s="451"/>
      <c r="Q827" s="149"/>
      <c r="R827" s="149"/>
      <c r="S827" s="149"/>
      <c r="T827" s="149"/>
      <c r="U827" s="149"/>
      <c r="V827" s="149"/>
      <c r="W827" s="149"/>
      <c r="X827" s="149"/>
      <c r="Y827" s="149"/>
      <c r="Z827" s="149"/>
    </row>
    <row r="828" spans="1:26" ht="27.75" customHeight="1">
      <c r="A828" s="130" t="s">
        <v>668</v>
      </c>
      <c r="B828" s="133" t="s">
        <v>690</v>
      </c>
      <c r="C828" s="299">
        <f t="shared" ref="C828:H828" si="149">AVERAGE(C829,C833)</f>
        <v>0.13333333333333333</v>
      </c>
      <c r="D828" s="299">
        <f t="shared" si="149"/>
        <v>0.66666666666666663</v>
      </c>
      <c r="E828" s="299">
        <f t="shared" si="149"/>
        <v>0</v>
      </c>
      <c r="F828" s="299">
        <f t="shared" si="149"/>
        <v>0.66666666666666663</v>
      </c>
      <c r="G828" s="299">
        <f t="shared" si="149"/>
        <v>0.54166666666666663</v>
      </c>
      <c r="H828" s="299">
        <f t="shared" si="149"/>
        <v>0</v>
      </c>
      <c r="I828" s="438"/>
      <c r="J828" s="452"/>
      <c r="K828" s="453"/>
      <c r="L828" s="74"/>
      <c r="M828" s="452"/>
      <c r="N828" s="452"/>
      <c r="O828" s="453"/>
      <c r="P828" s="451"/>
      <c r="Q828" s="138"/>
      <c r="R828" s="138"/>
      <c r="S828" s="138"/>
      <c r="T828" s="138"/>
      <c r="U828" s="138"/>
      <c r="V828" s="138"/>
      <c r="W828" s="138"/>
      <c r="X828" s="138"/>
      <c r="Y828" s="138"/>
      <c r="Z828" s="138"/>
    </row>
    <row r="829" spans="1:26" ht="27.75" customHeight="1">
      <c r="A829" s="143" t="s">
        <v>736</v>
      </c>
      <c r="B829" s="144" t="s">
        <v>691</v>
      </c>
      <c r="C829" s="908">
        <f t="shared" ref="C829:H829" si="150">AVERAGE(C830,C831)</f>
        <v>0</v>
      </c>
      <c r="D829" s="908">
        <f t="shared" si="150"/>
        <v>1</v>
      </c>
      <c r="E829" s="908">
        <f t="shared" si="150"/>
        <v>0</v>
      </c>
      <c r="F829" s="908">
        <f t="shared" si="150"/>
        <v>1</v>
      </c>
      <c r="G829" s="908">
        <f t="shared" si="150"/>
        <v>0.75</v>
      </c>
      <c r="H829" s="908">
        <f t="shared" si="150"/>
        <v>0</v>
      </c>
      <c r="I829" s="438"/>
      <c r="J829" s="149"/>
      <c r="K829" s="149"/>
      <c r="L829" s="75"/>
      <c r="M829" s="450"/>
      <c r="N829" s="291"/>
      <c r="O829" s="149"/>
      <c r="P829" s="454"/>
      <c r="Q829" s="149"/>
      <c r="R829" s="149"/>
      <c r="S829" s="149"/>
      <c r="T829" s="149"/>
      <c r="U829" s="149"/>
      <c r="V829" s="149"/>
      <c r="W829" s="149"/>
      <c r="X829" s="149"/>
      <c r="Y829" s="149"/>
      <c r="Z829" s="149"/>
    </row>
    <row r="830" spans="1:26" ht="164.25" customHeight="1">
      <c r="A830" s="143">
        <v>1</v>
      </c>
      <c r="B830" s="930" t="s">
        <v>692</v>
      </c>
      <c r="C830" s="908">
        <v>0</v>
      </c>
      <c r="D830" s="908">
        <v>1</v>
      </c>
      <c r="E830" s="908">
        <v>0</v>
      </c>
      <c r="F830" s="910">
        <v>1</v>
      </c>
      <c r="G830" s="908">
        <v>1</v>
      </c>
      <c r="H830" s="908">
        <v>0</v>
      </c>
      <c r="I830" s="438" t="s">
        <v>38</v>
      </c>
      <c r="J830" s="75" t="s">
        <v>2305</v>
      </c>
      <c r="K830" s="75" t="s">
        <v>811</v>
      </c>
      <c r="L830" s="75" t="s">
        <v>748</v>
      </c>
      <c r="M830" s="69" t="s">
        <v>2306</v>
      </c>
      <c r="N830" s="75" t="s">
        <v>811</v>
      </c>
      <c r="O830" s="75" t="s">
        <v>2307</v>
      </c>
      <c r="P830" s="455"/>
      <c r="Q830" s="146"/>
      <c r="R830" s="146"/>
      <c r="S830" s="146"/>
      <c r="T830" s="149"/>
      <c r="U830" s="149"/>
      <c r="V830" s="149"/>
      <c r="W830" s="149"/>
      <c r="X830" s="149"/>
      <c r="Y830" s="149"/>
      <c r="Z830" s="149"/>
    </row>
    <row r="831" spans="1:26" ht="99" customHeight="1">
      <c r="A831" s="143">
        <v>2</v>
      </c>
      <c r="B831" s="930" t="s">
        <v>693</v>
      </c>
      <c r="C831" s="87">
        <v>0</v>
      </c>
      <c r="D831" s="87">
        <v>1</v>
      </c>
      <c r="E831" s="87">
        <v>0</v>
      </c>
      <c r="F831" s="910">
        <v>1</v>
      </c>
      <c r="G831" s="87">
        <v>0.5</v>
      </c>
      <c r="H831" s="87">
        <v>0</v>
      </c>
      <c r="I831" s="438" t="s">
        <v>38</v>
      </c>
      <c r="J831" s="75" t="s">
        <v>2308</v>
      </c>
      <c r="K831" s="911" t="s">
        <v>811</v>
      </c>
      <c r="L831" s="75" t="s">
        <v>748</v>
      </c>
      <c r="M831" s="69" t="s">
        <v>2309</v>
      </c>
      <c r="N831" s="75" t="s">
        <v>2310</v>
      </c>
      <c r="O831" s="75" t="s">
        <v>2311</v>
      </c>
      <c r="P831" s="455"/>
      <c r="Q831" s="146"/>
      <c r="R831" s="146"/>
      <c r="S831" s="146"/>
      <c r="T831" s="149"/>
      <c r="U831" s="149"/>
      <c r="V831" s="149"/>
      <c r="W831" s="149"/>
      <c r="X831" s="149"/>
      <c r="Y831" s="149"/>
      <c r="Z831" s="149"/>
    </row>
    <row r="832" spans="1:26" ht="13.5" customHeight="1">
      <c r="A832" s="143"/>
      <c r="B832" s="931"/>
      <c r="C832" s="87"/>
      <c r="D832" s="87"/>
      <c r="E832" s="87"/>
      <c r="F832" s="87"/>
      <c r="G832" s="87"/>
      <c r="H832" s="87"/>
      <c r="I832" s="438"/>
      <c r="J832" s="291"/>
      <c r="K832" s="911"/>
      <c r="L832" s="75"/>
      <c r="M832" s="450"/>
      <c r="N832" s="291"/>
      <c r="O832" s="149"/>
      <c r="P832" s="454"/>
      <c r="Q832" s="149"/>
      <c r="R832" s="149"/>
      <c r="S832" s="149"/>
      <c r="T832" s="149"/>
      <c r="U832" s="149"/>
      <c r="V832" s="149"/>
      <c r="W832" s="149"/>
      <c r="X832" s="149"/>
      <c r="Y832" s="149"/>
      <c r="Z832" s="149"/>
    </row>
    <row r="833" spans="1:26" ht="27.75" customHeight="1">
      <c r="A833" s="143" t="s">
        <v>736</v>
      </c>
      <c r="B833" s="144" t="s">
        <v>695</v>
      </c>
      <c r="C833" s="87">
        <f t="shared" ref="C833:H833" si="151">AVERAGE(C834,C835,C836)</f>
        <v>0.26666666666666666</v>
      </c>
      <c r="D833" s="87">
        <f t="shared" si="151"/>
        <v>0.33333333333333331</v>
      </c>
      <c r="E833" s="87">
        <f t="shared" si="151"/>
        <v>0</v>
      </c>
      <c r="F833" s="87">
        <f t="shared" si="151"/>
        <v>0.33333333333333331</v>
      </c>
      <c r="G833" s="87">
        <f t="shared" si="151"/>
        <v>0.33333333333333331</v>
      </c>
      <c r="H833" s="87">
        <f t="shared" si="151"/>
        <v>0</v>
      </c>
      <c r="I833" s="438"/>
      <c r="J833" s="291"/>
      <c r="K833" s="911"/>
      <c r="L833" s="75"/>
      <c r="M833" s="450"/>
      <c r="N833" s="291"/>
      <c r="O833" s="456"/>
      <c r="P833" s="454"/>
      <c r="Q833" s="149"/>
      <c r="R833" s="149"/>
      <c r="S833" s="149"/>
      <c r="T833" s="149"/>
      <c r="U833" s="149"/>
      <c r="V833" s="149"/>
      <c r="W833" s="149"/>
      <c r="X833" s="149"/>
      <c r="Y833" s="149"/>
      <c r="Z833" s="149"/>
    </row>
    <row r="834" spans="1:26" ht="132.75" customHeight="1">
      <c r="A834" s="143">
        <v>1</v>
      </c>
      <c r="B834" s="930" t="s">
        <v>696</v>
      </c>
      <c r="C834" s="87">
        <v>0</v>
      </c>
      <c r="D834" s="87">
        <v>0.5</v>
      </c>
      <c r="E834" s="87">
        <v>0</v>
      </c>
      <c r="F834" s="87">
        <v>0</v>
      </c>
      <c r="G834" s="87">
        <v>1</v>
      </c>
      <c r="H834" s="87">
        <v>0</v>
      </c>
      <c r="I834" s="438" t="s">
        <v>38</v>
      </c>
      <c r="J834" s="457" t="s">
        <v>2312</v>
      </c>
      <c r="K834" s="911" t="s">
        <v>2313</v>
      </c>
      <c r="L834" s="75" t="s">
        <v>2314</v>
      </c>
      <c r="M834" s="69" t="s">
        <v>748</v>
      </c>
      <c r="N834" s="75" t="s">
        <v>2315</v>
      </c>
      <c r="O834" s="75" t="s">
        <v>2316</v>
      </c>
      <c r="P834" s="455"/>
      <c r="Q834" s="149"/>
      <c r="R834" s="149"/>
      <c r="S834" s="149"/>
      <c r="T834" s="149"/>
      <c r="U834" s="149"/>
      <c r="V834" s="149"/>
      <c r="W834" s="149"/>
      <c r="X834" s="149"/>
      <c r="Y834" s="149"/>
      <c r="Z834" s="149"/>
    </row>
    <row r="835" spans="1:26" ht="107.25" customHeight="1">
      <c r="A835" s="143">
        <v>2</v>
      </c>
      <c r="B835" s="930" t="s">
        <v>697</v>
      </c>
      <c r="C835" s="87">
        <v>0.3</v>
      </c>
      <c r="D835" s="87">
        <v>0</v>
      </c>
      <c r="E835" s="87">
        <v>0</v>
      </c>
      <c r="F835" s="87">
        <v>0</v>
      </c>
      <c r="G835" s="87">
        <v>0</v>
      </c>
      <c r="H835" s="87">
        <v>0</v>
      </c>
      <c r="I835" s="438" t="s">
        <v>38</v>
      </c>
      <c r="J835" s="75" t="s">
        <v>2317</v>
      </c>
      <c r="K835" s="911" t="s">
        <v>748</v>
      </c>
      <c r="L835" s="75" t="s">
        <v>748</v>
      </c>
      <c r="M835" s="69" t="s">
        <v>748</v>
      </c>
      <c r="N835" s="75" t="s">
        <v>748</v>
      </c>
      <c r="O835" s="75" t="s">
        <v>2318</v>
      </c>
      <c r="P835" s="455"/>
      <c r="Q835" s="149"/>
      <c r="R835" s="149"/>
      <c r="S835" s="149"/>
      <c r="T835" s="149"/>
      <c r="U835" s="149"/>
      <c r="V835" s="149"/>
      <c r="W835" s="149"/>
      <c r="X835" s="149"/>
      <c r="Y835" s="149"/>
      <c r="Z835" s="149"/>
    </row>
    <row r="836" spans="1:26" ht="107.25" customHeight="1">
      <c r="A836" s="143">
        <v>3</v>
      </c>
      <c r="B836" s="930" t="s">
        <v>698</v>
      </c>
      <c r="C836" s="908">
        <v>0.5</v>
      </c>
      <c r="D836" s="87">
        <v>0.5</v>
      </c>
      <c r="E836" s="87">
        <v>0</v>
      </c>
      <c r="F836" s="87">
        <v>1</v>
      </c>
      <c r="G836" s="87">
        <v>0</v>
      </c>
      <c r="H836" s="87">
        <v>0</v>
      </c>
      <c r="I836" s="438" t="s">
        <v>38</v>
      </c>
      <c r="J836" s="75" t="s">
        <v>2319</v>
      </c>
      <c r="K836" s="75" t="s">
        <v>2320</v>
      </c>
      <c r="L836" s="75" t="s">
        <v>748</v>
      </c>
      <c r="M836" s="69" t="s">
        <v>811</v>
      </c>
      <c r="N836" s="75" t="s">
        <v>748</v>
      </c>
      <c r="O836" s="75" t="s">
        <v>748</v>
      </c>
      <c r="P836" s="455"/>
      <c r="Q836" s="149"/>
      <c r="R836" s="149"/>
      <c r="S836" s="149"/>
      <c r="T836" s="149"/>
      <c r="U836" s="149"/>
      <c r="V836" s="149"/>
      <c r="W836" s="149"/>
      <c r="X836" s="149"/>
      <c r="Y836" s="149"/>
      <c r="Z836" s="149"/>
    </row>
    <row r="837" spans="1:26" ht="13.5" customHeight="1">
      <c r="A837" s="143"/>
      <c r="B837" s="931"/>
      <c r="C837" s="87"/>
      <c r="D837" s="87"/>
      <c r="E837" s="87"/>
      <c r="F837" s="87"/>
      <c r="G837" s="87"/>
      <c r="H837" s="87"/>
      <c r="I837" s="438"/>
      <c r="J837" s="291"/>
      <c r="K837" s="911"/>
      <c r="L837" s="75"/>
      <c r="M837" s="450"/>
      <c r="N837" s="291"/>
      <c r="O837" s="291"/>
      <c r="P837" s="454"/>
      <c r="Q837" s="149"/>
      <c r="R837" s="149"/>
      <c r="S837" s="149"/>
      <c r="T837" s="149"/>
      <c r="U837" s="149"/>
      <c r="V837" s="149"/>
      <c r="W837" s="149"/>
      <c r="X837" s="149"/>
      <c r="Y837" s="149"/>
      <c r="Z837" s="149"/>
    </row>
    <row r="838" spans="1:26" ht="14.25" customHeight="1">
      <c r="A838" s="130" t="s">
        <v>2321</v>
      </c>
      <c r="B838" s="133" t="s">
        <v>703</v>
      </c>
      <c r="C838" s="299">
        <f t="shared" ref="C838:H838" si="152">AVERAGE(C841,C843)</f>
        <v>0.33383045525902666</v>
      </c>
      <c r="D838" s="299">
        <f t="shared" si="152"/>
        <v>0.54474097331240179</v>
      </c>
      <c r="E838" s="299">
        <f t="shared" si="152"/>
        <v>0.70078492935635794</v>
      </c>
      <c r="F838" s="299">
        <f t="shared" si="152"/>
        <v>0.87472527472527462</v>
      </c>
      <c r="G838" s="299">
        <f t="shared" si="152"/>
        <v>0.86452119309262154</v>
      </c>
      <c r="H838" s="299">
        <f t="shared" si="152"/>
        <v>0.86954474097331236</v>
      </c>
      <c r="I838" s="438"/>
      <c r="J838" s="452"/>
      <c r="K838" s="912"/>
      <c r="L838" s="74"/>
      <c r="M838" s="452"/>
      <c r="N838" s="452"/>
      <c r="O838" s="452"/>
      <c r="P838" s="454"/>
      <c r="Q838" s="138"/>
      <c r="R838" s="138"/>
      <c r="S838" s="138"/>
      <c r="T838" s="138"/>
      <c r="U838" s="138"/>
      <c r="V838" s="138"/>
      <c r="W838" s="138"/>
      <c r="X838" s="138"/>
      <c r="Y838" s="138"/>
      <c r="Z838" s="138"/>
    </row>
    <row r="839" spans="1:26" ht="14.25" customHeight="1">
      <c r="A839" s="130"/>
      <c r="B839" s="133"/>
      <c r="C839" s="299"/>
      <c r="D839" s="299"/>
      <c r="E839" s="299"/>
      <c r="F839" s="299"/>
      <c r="G839" s="299"/>
      <c r="H839" s="299"/>
      <c r="I839" s="438"/>
      <c r="J839" s="452"/>
      <c r="K839" s="912"/>
      <c r="L839" s="74"/>
      <c r="M839" s="452"/>
      <c r="N839" s="452"/>
      <c r="O839" s="452"/>
      <c r="P839" s="454"/>
      <c r="Q839" s="138"/>
      <c r="R839" s="138"/>
      <c r="S839" s="138"/>
      <c r="T839" s="138"/>
      <c r="U839" s="138"/>
      <c r="V839" s="138"/>
      <c r="W839" s="138"/>
      <c r="X839" s="138"/>
      <c r="Y839" s="138"/>
      <c r="Z839" s="138"/>
    </row>
    <row r="840" spans="1:26" ht="27" customHeight="1">
      <c r="A840" s="130"/>
      <c r="B840" s="459"/>
      <c r="C840" s="460">
        <f t="shared" ref="C840:H840" si="153">AVERAGE(C842,C844)</f>
        <v>0.26745495495495508</v>
      </c>
      <c r="D840" s="460">
        <f t="shared" si="153"/>
        <v>0.54631193693693703</v>
      </c>
      <c r="E840" s="460">
        <f t="shared" si="153"/>
        <v>0.64203265765765771</v>
      </c>
      <c r="F840" s="460">
        <f t="shared" si="153"/>
        <v>0.8668355855855856</v>
      </c>
      <c r="G840" s="460">
        <f t="shared" si="153"/>
        <v>0.83769707207207222</v>
      </c>
      <c r="H840" s="460">
        <f t="shared" si="153"/>
        <v>0.93651463963963966</v>
      </c>
      <c r="I840" s="438"/>
      <c r="J840" s="452"/>
      <c r="K840" s="912"/>
      <c r="L840" s="74"/>
      <c r="M840" s="452"/>
      <c r="N840" s="452"/>
      <c r="O840" s="452"/>
      <c r="P840" s="454"/>
      <c r="Q840" s="138"/>
      <c r="R840" s="138"/>
      <c r="S840" s="138"/>
      <c r="T840" s="138"/>
      <c r="U840" s="138"/>
      <c r="V840" s="138"/>
      <c r="W840" s="138"/>
      <c r="X840" s="138"/>
      <c r="Y840" s="138"/>
      <c r="Z840" s="138"/>
    </row>
    <row r="841" spans="1:26" ht="69.75" customHeight="1">
      <c r="A841" s="143" t="s">
        <v>736</v>
      </c>
      <c r="B841" s="931" t="s">
        <v>2322</v>
      </c>
      <c r="C841" s="87">
        <f t="shared" ref="C841:H841" si="154">(J841-0.58)/(0.09-0.58)</f>
        <v>0.30612244897959179</v>
      </c>
      <c r="D841" s="87">
        <f t="shared" si="154"/>
        <v>0.55102040816326525</v>
      </c>
      <c r="E841" s="87">
        <f t="shared" si="154"/>
        <v>0.69387755102040816</v>
      </c>
      <c r="F841" s="87">
        <f t="shared" si="154"/>
        <v>0.85714285714285698</v>
      </c>
      <c r="G841" s="87">
        <f t="shared" si="154"/>
        <v>0.83673469387755084</v>
      </c>
      <c r="H841" s="87">
        <f t="shared" si="154"/>
        <v>0.87755102040816313</v>
      </c>
      <c r="I841" s="438" t="s">
        <v>2323</v>
      </c>
      <c r="J841" s="910">
        <v>0.43</v>
      </c>
      <c r="K841" s="908">
        <v>0.31</v>
      </c>
      <c r="L841" s="908">
        <v>0.24</v>
      </c>
      <c r="M841" s="910">
        <v>0.16</v>
      </c>
      <c r="N841" s="908">
        <v>0.17</v>
      </c>
      <c r="O841" s="908">
        <v>0.15</v>
      </c>
      <c r="P841" s="454"/>
      <c r="Q841" s="149"/>
      <c r="R841" s="149"/>
      <c r="S841" s="149"/>
      <c r="T841" s="149"/>
      <c r="U841" s="149"/>
      <c r="V841" s="149"/>
      <c r="W841" s="149"/>
      <c r="X841" s="149"/>
      <c r="Y841" s="149"/>
      <c r="Z841" s="149"/>
    </row>
    <row r="842" spans="1:26" ht="13.5" customHeight="1">
      <c r="A842" s="143"/>
      <c r="B842" s="461"/>
      <c r="C842" s="908">
        <f t="shared" ref="C842:H842" si="155">(J842-0.45)/(0.08-0.45)</f>
        <v>0.24324324324324331</v>
      </c>
      <c r="D842" s="908">
        <f t="shared" si="155"/>
        <v>0.54054054054054057</v>
      </c>
      <c r="E842" s="908">
        <f t="shared" si="155"/>
        <v>0.64864864864864868</v>
      </c>
      <c r="F842" s="908">
        <f t="shared" si="155"/>
        <v>0.83783783783783783</v>
      </c>
      <c r="G842" s="908">
        <f t="shared" si="155"/>
        <v>0.81081081081081097</v>
      </c>
      <c r="H842" s="908">
        <f t="shared" si="155"/>
        <v>0.94594594594594594</v>
      </c>
      <c r="I842" s="438" t="s">
        <v>2324</v>
      </c>
      <c r="J842" s="908">
        <v>0.36</v>
      </c>
      <c r="K842" s="911">
        <v>0.25</v>
      </c>
      <c r="L842" s="908">
        <v>0.21</v>
      </c>
      <c r="M842" s="908">
        <v>0.14000000000000001</v>
      </c>
      <c r="N842" s="908">
        <v>0.15</v>
      </c>
      <c r="O842" s="908">
        <v>0.1</v>
      </c>
      <c r="P842" s="454"/>
      <c r="Q842" s="149"/>
      <c r="R842" s="149"/>
      <c r="S842" s="149"/>
      <c r="T842" s="149"/>
      <c r="U842" s="149"/>
      <c r="V842" s="149"/>
      <c r="W842" s="149"/>
      <c r="X842" s="149"/>
      <c r="Y842" s="149"/>
      <c r="Z842" s="149"/>
    </row>
    <row r="843" spans="1:26" ht="63" customHeight="1">
      <c r="A843" s="143" t="s">
        <v>736</v>
      </c>
      <c r="B843" s="144" t="s">
        <v>2325</v>
      </c>
      <c r="C843" s="908">
        <f t="shared" ref="C843:H843" si="156">(J843-1.45)/(0.15-1.45)</f>
        <v>0.36153846153846153</v>
      </c>
      <c r="D843" s="908">
        <f t="shared" si="156"/>
        <v>0.53846153846153844</v>
      </c>
      <c r="E843" s="908">
        <f t="shared" si="156"/>
        <v>0.70769230769230762</v>
      </c>
      <c r="F843" s="908">
        <f t="shared" si="156"/>
        <v>0.89230769230769225</v>
      </c>
      <c r="G843" s="908">
        <f t="shared" si="156"/>
        <v>0.89230769230769225</v>
      </c>
      <c r="H843" s="908">
        <f t="shared" si="156"/>
        <v>0.86153846153846148</v>
      </c>
      <c r="I843" s="73" t="s">
        <v>2326</v>
      </c>
      <c r="J843" s="910">
        <v>0.98</v>
      </c>
      <c r="K843" s="908">
        <v>0.75</v>
      </c>
      <c r="L843" s="908">
        <v>0.53</v>
      </c>
      <c r="M843" s="908">
        <v>0.28999999999999998</v>
      </c>
      <c r="N843" s="908">
        <v>0.28999999999999998</v>
      </c>
      <c r="O843" s="908">
        <v>0.33</v>
      </c>
      <c r="P843" s="462"/>
      <c r="Q843" s="87"/>
      <c r="R843" s="87"/>
      <c r="S843" s="87"/>
      <c r="T843" s="149"/>
      <c r="U843" s="149"/>
      <c r="V843" s="149"/>
      <c r="W843" s="149"/>
      <c r="X843" s="149"/>
      <c r="Y843" s="149"/>
      <c r="Z843" s="149"/>
    </row>
    <row r="844" spans="1:26" ht="56.25" customHeight="1">
      <c r="A844" s="143"/>
      <c r="B844" s="461" t="s">
        <v>2327</v>
      </c>
      <c r="C844" s="908">
        <f t="shared" ref="C844:H844" si="157">(J844-1.11)/(0.15-1.11)</f>
        <v>0.2916666666666668</v>
      </c>
      <c r="D844" s="908">
        <f t="shared" si="157"/>
        <v>0.55208333333333348</v>
      </c>
      <c r="E844" s="908">
        <f t="shared" si="157"/>
        <v>0.63541666666666674</v>
      </c>
      <c r="F844" s="908">
        <f t="shared" si="157"/>
        <v>0.89583333333333337</v>
      </c>
      <c r="G844" s="908">
        <f t="shared" si="157"/>
        <v>0.86458333333333337</v>
      </c>
      <c r="H844" s="908">
        <f t="shared" si="157"/>
        <v>0.92708333333333337</v>
      </c>
      <c r="I844" s="73" t="s">
        <v>2328</v>
      </c>
      <c r="J844" s="908">
        <v>0.83</v>
      </c>
      <c r="K844" s="908">
        <v>0.57999999999999996</v>
      </c>
      <c r="L844" s="908">
        <v>0.5</v>
      </c>
      <c r="M844" s="910">
        <v>0.25</v>
      </c>
      <c r="N844" s="908">
        <v>0.28000000000000003</v>
      </c>
      <c r="O844" s="908">
        <v>0.22</v>
      </c>
      <c r="P844" s="454"/>
      <c r="Q844" s="149"/>
      <c r="R844" s="149"/>
      <c r="S844" s="149"/>
      <c r="T844" s="149"/>
      <c r="U844" s="149"/>
      <c r="V844" s="149"/>
      <c r="W844" s="149"/>
      <c r="X844" s="149"/>
      <c r="Y844" s="149"/>
      <c r="Z844" s="149"/>
    </row>
    <row r="845" spans="1:26" ht="36" customHeight="1">
      <c r="A845" s="104"/>
      <c r="B845" s="105"/>
      <c r="C845" s="65"/>
      <c r="D845" s="65"/>
      <c r="E845" s="65"/>
      <c r="F845" s="65"/>
      <c r="G845" s="65"/>
      <c r="H845" s="65"/>
      <c r="I845" s="53"/>
      <c r="J845" s="159"/>
      <c r="K845" s="67"/>
      <c r="L845" s="67"/>
      <c r="M845" s="69"/>
      <c r="N845" s="67"/>
      <c r="O845" s="67"/>
      <c r="P845" s="110"/>
      <c r="Q845" s="108"/>
      <c r="R845" s="108"/>
      <c r="S845" s="108"/>
      <c r="T845" s="108"/>
      <c r="U845" s="108"/>
      <c r="V845" s="108"/>
      <c r="W845" s="108"/>
      <c r="X845" s="108"/>
      <c r="Y845" s="108"/>
      <c r="Z845" s="108"/>
    </row>
    <row r="846" spans="1:26" ht="13.5" customHeight="1">
      <c r="A846" s="392" t="s">
        <v>2329</v>
      </c>
      <c r="B846" s="392" t="s">
        <v>706</v>
      </c>
      <c r="C846" s="390">
        <f t="shared" ref="C846:H846" si="158">AVERAGE(C847,C853,C859,C865,C871,C877)</f>
        <v>0.57353725242736375</v>
      </c>
      <c r="D846" s="390">
        <f t="shared" si="158"/>
        <v>0.57954100235817341</v>
      </c>
      <c r="E846" s="390">
        <f t="shared" si="158"/>
        <v>0.20070933910420408</v>
      </c>
      <c r="F846" s="390">
        <f t="shared" si="158"/>
        <v>0.72854785478547857</v>
      </c>
      <c r="G846" s="390">
        <f t="shared" si="158"/>
        <v>0.64581732166385286</v>
      </c>
      <c r="H846" s="390">
        <f t="shared" si="158"/>
        <v>0.66663443962889712</v>
      </c>
      <c r="I846" s="96"/>
      <c r="J846" s="38"/>
      <c r="K846" s="38"/>
      <c r="L846" s="38"/>
      <c r="M846" s="464"/>
      <c r="N846" s="38"/>
      <c r="O846" s="38"/>
      <c r="P846" s="391"/>
      <c r="Q846" s="391"/>
      <c r="R846" s="391"/>
      <c r="S846" s="392"/>
      <c r="T846" s="392"/>
      <c r="U846" s="392"/>
      <c r="V846" s="392"/>
      <c r="W846" s="392"/>
      <c r="X846" s="392"/>
      <c r="Y846" s="392"/>
      <c r="Z846" s="392"/>
    </row>
    <row r="847" spans="1:26" ht="84" customHeight="1">
      <c r="A847" s="466" t="s">
        <v>736</v>
      </c>
      <c r="B847" s="105" t="s">
        <v>707</v>
      </c>
      <c r="C847" s="468">
        <f t="shared" ref="C847:H847" si="159">AVERAGE(C848:C851)</f>
        <v>0.5</v>
      </c>
      <c r="D847" s="468">
        <f t="shared" si="159"/>
        <v>0.875</v>
      </c>
      <c r="E847" s="468">
        <f t="shared" si="159"/>
        <v>0</v>
      </c>
      <c r="F847" s="468">
        <f t="shared" si="159"/>
        <v>0.875</v>
      </c>
      <c r="G847" s="468">
        <f t="shared" si="159"/>
        <v>1</v>
      </c>
      <c r="H847" s="468">
        <f t="shared" si="159"/>
        <v>0.625</v>
      </c>
      <c r="I847" s="262" t="s">
        <v>708</v>
      </c>
      <c r="J847" s="67"/>
      <c r="K847" s="67"/>
      <c r="L847" s="67"/>
      <c r="M847" s="397"/>
      <c r="N847" s="67"/>
      <c r="O847" s="67"/>
      <c r="P847" s="101"/>
      <c r="Q847" s="107"/>
      <c r="R847" s="107"/>
      <c r="S847" s="108"/>
      <c r="T847" s="108"/>
      <c r="U847" s="108"/>
      <c r="V847" s="108"/>
      <c r="W847" s="108"/>
      <c r="X847" s="108"/>
      <c r="Y847" s="108"/>
      <c r="Z847" s="108"/>
    </row>
    <row r="848" spans="1:26" ht="40.5" customHeight="1">
      <c r="A848" s="255"/>
      <c r="B848" s="201" t="s">
        <v>709</v>
      </c>
      <c r="C848" s="468">
        <v>0.5</v>
      </c>
      <c r="D848" s="468">
        <v>0.5</v>
      </c>
      <c r="E848" s="468">
        <v>0</v>
      </c>
      <c r="F848" s="913">
        <v>0.5</v>
      </c>
      <c r="G848" s="913">
        <v>1</v>
      </c>
      <c r="H848" s="913">
        <v>0.5</v>
      </c>
      <c r="I848" s="262"/>
      <c r="J848" s="435" t="s">
        <v>2330</v>
      </c>
      <c r="K848" s="435" t="s">
        <v>2331</v>
      </c>
      <c r="L848" s="435" t="s">
        <v>2332</v>
      </c>
      <c r="M848" s="469" t="s">
        <v>2333</v>
      </c>
      <c r="N848" s="435" t="s">
        <v>2334</v>
      </c>
      <c r="O848" s="435" t="s">
        <v>2335</v>
      </c>
      <c r="P848" s="101"/>
      <c r="Q848" s="107"/>
      <c r="R848" s="107"/>
      <c r="S848" s="108"/>
      <c r="T848" s="108"/>
      <c r="U848" s="108"/>
      <c r="V848" s="108"/>
      <c r="W848" s="108"/>
      <c r="X848" s="108"/>
      <c r="Y848" s="108"/>
      <c r="Z848" s="108"/>
    </row>
    <row r="849" spans="1:26" ht="69.75" customHeight="1">
      <c r="A849" s="255"/>
      <c r="B849" s="201" t="s">
        <v>569</v>
      </c>
      <c r="C849" s="468">
        <v>0</v>
      </c>
      <c r="D849" s="468">
        <v>1</v>
      </c>
      <c r="E849" s="468">
        <v>0</v>
      </c>
      <c r="F849" s="913">
        <v>1</v>
      </c>
      <c r="G849" s="913">
        <v>1</v>
      </c>
      <c r="H849" s="913">
        <v>1</v>
      </c>
      <c r="I849" s="262" t="s">
        <v>710</v>
      </c>
      <c r="J849" s="435" t="s">
        <v>2336</v>
      </c>
      <c r="K849" s="435" t="s">
        <v>2337</v>
      </c>
      <c r="L849" s="435" t="s">
        <v>2338</v>
      </c>
      <c r="M849" s="469" t="s">
        <v>2337</v>
      </c>
      <c r="N849" s="435" t="s">
        <v>2339</v>
      </c>
      <c r="O849" s="435" t="s">
        <v>2337</v>
      </c>
      <c r="P849" s="101"/>
      <c r="Q849" s="107"/>
      <c r="R849" s="107"/>
      <c r="S849" s="108"/>
      <c r="T849" s="108"/>
      <c r="U849" s="108"/>
      <c r="V849" s="108"/>
      <c r="W849" s="108"/>
      <c r="X849" s="108"/>
      <c r="Y849" s="108"/>
      <c r="Z849" s="108"/>
    </row>
    <row r="850" spans="1:26" ht="24" customHeight="1">
      <c r="A850" s="255"/>
      <c r="B850" s="201" t="s">
        <v>711</v>
      </c>
      <c r="C850" s="468">
        <v>1</v>
      </c>
      <c r="D850" s="468">
        <v>1</v>
      </c>
      <c r="E850" s="468" t="s">
        <v>1073</v>
      </c>
      <c r="F850" s="913">
        <v>1</v>
      </c>
      <c r="G850" s="913" t="s">
        <v>1073</v>
      </c>
      <c r="H850" s="913">
        <v>1</v>
      </c>
      <c r="I850" s="262"/>
      <c r="J850" s="435" t="s">
        <v>2340</v>
      </c>
      <c r="K850" s="435" t="s">
        <v>2341</v>
      </c>
      <c r="L850" s="435" t="s">
        <v>2342</v>
      </c>
      <c r="M850" s="469" t="s">
        <v>2341</v>
      </c>
      <c r="N850" s="435" t="s">
        <v>2342</v>
      </c>
      <c r="O850" s="435" t="s">
        <v>2341</v>
      </c>
      <c r="P850" s="101"/>
      <c r="Q850" s="107"/>
      <c r="R850" s="107"/>
      <c r="S850" s="108"/>
      <c r="T850" s="108"/>
      <c r="U850" s="108"/>
      <c r="V850" s="108"/>
      <c r="W850" s="108"/>
      <c r="X850" s="108"/>
      <c r="Y850" s="108"/>
      <c r="Z850" s="108"/>
    </row>
    <row r="851" spans="1:26" ht="36" customHeight="1">
      <c r="A851" s="255"/>
      <c r="B851" s="201" t="s">
        <v>712</v>
      </c>
      <c r="C851" s="468">
        <v>0.5</v>
      </c>
      <c r="D851" s="468">
        <v>1</v>
      </c>
      <c r="E851" s="468">
        <v>0</v>
      </c>
      <c r="F851" s="468">
        <v>1</v>
      </c>
      <c r="G851" s="468">
        <v>1</v>
      </c>
      <c r="H851" s="468">
        <v>0</v>
      </c>
      <c r="I851" s="262"/>
      <c r="J851" s="435" t="s">
        <v>2343</v>
      </c>
      <c r="K851" s="435" t="s">
        <v>2344</v>
      </c>
      <c r="L851" s="435" t="s">
        <v>2345</v>
      </c>
      <c r="M851" s="469" t="s">
        <v>2346</v>
      </c>
      <c r="N851" s="435" t="s">
        <v>2344</v>
      </c>
      <c r="O851" s="435" t="s">
        <v>2347</v>
      </c>
      <c r="P851" s="101"/>
      <c r="Q851" s="107"/>
      <c r="R851" s="107"/>
      <c r="S851" s="108"/>
      <c r="T851" s="108"/>
      <c r="U851" s="108"/>
      <c r="V851" s="108"/>
      <c r="W851" s="108"/>
      <c r="X851" s="108"/>
      <c r="Y851" s="108"/>
      <c r="Z851" s="108"/>
    </row>
    <row r="852" spans="1:26" ht="13.5" customHeight="1">
      <c r="A852" s="255"/>
      <c r="B852" s="255"/>
      <c r="C852" s="65"/>
      <c r="D852" s="65"/>
      <c r="E852" s="65"/>
      <c r="F852" s="65"/>
      <c r="G852" s="65"/>
      <c r="H852" s="65"/>
      <c r="I852" s="262"/>
      <c r="J852" s="67"/>
      <c r="K852" s="67"/>
      <c r="L852" s="67"/>
      <c r="M852" s="69"/>
      <c r="N852" s="67"/>
      <c r="O852" s="67"/>
      <c r="P852" s="101"/>
      <c r="Q852" s="107"/>
      <c r="R852" s="107"/>
      <c r="S852" s="108"/>
      <c r="T852" s="108"/>
      <c r="U852" s="108"/>
      <c r="V852" s="108"/>
      <c r="W852" s="108"/>
      <c r="X852" s="108"/>
      <c r="Y852" s="108"/>
      <c r="Z852" s="108"/>
    </row>
    <row r="853" spans="1:26" ht="42.75" customHeight="1">
      <c r="A853" s="466" t="s">
        <v>736</v>
      </c>
      <c r="B853" s="105" t="s">
        <v>713</v>
      </c>
      <c r="C853" s="65">
        <f t="shared" ref="C853:H853" si="160">AVERAGE(C854:C857)</f>
        <v>0.75</v>
      </c>
      <c r="D853" s="65">
        <f t="shared" si="160"/>
        <v>0.75</v>
      </c>
      <c r="E853" s="65">
        <f t="shared" si="160"/>
        <v>0.16666666666666666</v>
      </c>
      <c r="F853" s="65">
        <f t="shared" si="160"/>
        <v>1</v>
      </c>
      <c r="G853" s="65">
        <f t="shared" si="160"/>
        <v>1</v>
      </c>
      <c r="H853" s="65">
        <f t="shared" si="160"/>
        <v>0.75</v>
      </c>
      <c r="I853" s="262" t="s">
        <v>714</v>
      </c>
      <c r="J853" s="71"/>
      <c r="K853" s="71"/>
      <c r="L853" s="71"/>
      <c r="M853" s="92"/>
      <c r="N853" s="71"/>
      <c r="O853" s="71"/>
      <c r="P853" s="101"/>
      <c r="Q853" s="107"/>
      <c r="R853" s="107"/>
      <c r="S853" s="108"/>
      <c r="T853" s="108"/>
      <c r="U853" s="108"/>
      <c r="V853" s="108"/>
      <c r="W853" s="108"/>
      <c r="X853" s="108"/>
      <c r="Y853" s="108"/>
      <c r="Z853" s="108"/>
    </row>
    <row r="854" spans="1:26" ht="48" customHeight="1">
      <c r="A854" s="255"/>
      <c r="B854" s="201" t="s">
        <v>709</v>
      </c>
      <c r="C854" s="468">
        <v>0.5</v>
      </c>
      <c r="D854" s="468">
        <v>0</v>
      </c>
      <c r="E854" s="468">
        <v>0</v>
      </c>
      <c r="F854" s="468">
        <v>1</v>
      </c>
      <c r="G854" s="468">
        <v>1</v>
      </c>
      <c r="H854" s="468">
        <v>0.5</v>
      </c>
      <c r="I854" s="262"/>
      <c r="J854" s="435" t="s">
        <v>2348</v>
      </c>
      <c r="K854" s="435" t="s">
        <v>2349</v>
      </c>
      <c r="L854" s="435" t="s">
        <v>2350</v>
      </c>
      <c r="M854" s="469" t="s">
        <v>2351</v>
      </c>
      <c r="N854" s="435" t="s">
        <v>2352</v>
      </c>
      <c r="O854" s="435" t="s">
        <v>2348</v>
      </c>
      <c r="P854" s="101"/>
      <c r="Q854" s="107"/>
      <c r="R854" s="107"/>
      <c r="S854" s="108"/>
      <c r="T854" s="108"/>
      <c r="U854" s="108"/>
      <c r="V854" s="108"/>
      <c r="W854" s="108"/>
      <c r="X854" s="108"/>
      <c r="Y854" s="108"/>
      <c r="Z854" s="108"/>
    </row>
    <row r="855" spans="1:26" ht="29.25" customHeight="1">
      <c r="A855" s="255"/>
      <c r="B855" s="201" t="s">
        <v>715</v>
      </c>
      <c r="C855" s="468">
        <v>0.5</v>
      </c>
      <c r="D855" s="468">
        <v>1</v>
      </c>
      <c r="E855" s="468">
        <v>0.5</v>
      </c>
      <c r="F855" s="468">
        <v>1</v>
      </c>
      <c r="G855" s="468">
        <v>1</v>
      </c>
      <c r="H855" s="468">
        <v>1</v>
      </c>
      <c r="I855" s="262" t="s">
        <v>716</v>
      </c>
      <c r="J855" s="435" t="s">
        <v>2353</v>
      </c>
      <c r="K855" s="435" t="s">
        <v>2354</v>
      </c>
      <c r="L855" s="435" t="s">
        <v>2355</v>
      </c>
      <c r="M855" s="469" t="s">
        <v>2356</v>
      </c>
      <c r="N855" s="435" t="s">
        <v>2356</v>
      </c>
      <c r="O855" s="435" t="s">
        <v>2356</v>
      </c>
      <c r="P855" s="101"/>
      <c r="Q855" s="107"/>
      <c r="R855" s="107"/>
      <c r="S855" s="108"/>
      <c r="T855" s="108"/>
      <c r="U855" s="108"/>
      <c r="V855" s="108"/>
      <c r="W855" s="108"/>
      <c r="X855" s="108"/>
      <c r="Y855" s="108"/>
      <c r="Z855" s="108"/>
    </row>
    <row r="856" spans="1:26" ht="24" customHeight="1">
      <c r="A856" s="255"/>
      <c r="B856" s="201" t="s">
        <v>711</v>
      </c>
      <c r="C856" s="468">
        <v>1</v>
      </c>
      <c r="D856" s="468">
        <v>1</v>
      </c>
      <c r="E856" s="468" t="s">
        <v>1073</v>
      </c>
      <c r="F856" s="468">
        <v>1</v>
      </c>
      <c r="G856" s="468" t="s">
        <v>1073</v>
      </c>
      <c r="H856" s="468">
        <v>0.5</v>
      </c>
      <c r="I856" s="262"/>
      <c r="J856" s="435" t="s">
        <v>2357</v>
      </c>
      <c r="K856" s="435" t="s">
        <v>2357</v>
      </c>
      <c r="L856" s="435" t="s">
        <v>2342</v>
      </c>
      <c r="M856" s="469" t="s">
        <v>2357</v>
      </c>
      <c r="N856" s="435" t="s">
        <v>2342</v>
      </c>
      <c r="O856" s="435" t="s">
        <v>2358</v>
      </c>
      <c r="P856" s="101"/>
      <c r="Q856" s="107"/>
      <c r="R856" s="107"/>
      <c r="S856" s="108"/>
      <c r="T856" s="108"/>
      <c r="U856" s="108"/>
      <c r="V856" s="108"/>
      <c r="W856" s="108"/>
      <c r="X856" s="108"/>
      <c r="Y856" s="108"/>
      <c r="Z856" s="108"/>
    </row>
    <row r="857" spans="1:26" ht="24" customHeight="1">
      <c r="A857" s="255"/>
      <c r="B857" s="201" t="s">
        <v>712</v>
      </c>
      <c r="C857" s="468">
        <v>1</v>
      </c>
      <c r="D857" s="468">
        <v>1</v>
      </c>
      <c r="E857" s="468">
        <v>0</v>
      </c>
      <c r="F857" s="468">
        <v>1</v>
      </c>
      <c r="G857" s="468">
        <v>1</v>
      </c>
      <c r="H857" s="468">
        <v>1</v>
      </c>
      <c r="I857" s="262"/>
      <c r="J857" s="435" t="s">
        <v>2359</v>
      </c>
      <c r="K857" s="435" t="s">
        <v>2359</v>
      </c>
      <c r="L857" s="435" t="s">
        <v>2360</v>
      </c>
      <c r="M857" s="469" t="s">
        <v>2359</v>
      </c>
      <c r="N857" s="435" t="s">
        <v>2359</v>
      </c>
      <c r="O857" s="435" t="s">
        <v>2359</v>
      </c>
      <c r="P857" s="101"/>
      <c r="Q857" s="107"/>
      <c r="R857" s="107"/>
      <c r="S857" s="108"/>
      <c r="T857" s="108"/>
      <c r="U857" s="108"/>
      <c r="V857" s="108"/>
      <c r="W857" s="108"/>
      <c r="X857" s="108"/>
      <c r="Y857" s="108"/>
      <c r="Z857" s="108"/>
    </row>
    <row r="858" spans="1:26" ht="13.5" customHeight="1">
      <c r="A858" s="255"/>
      <c r="B858" s="255"/>
      <c r="C858" s="65"/>
      <c r="D858" s="65"/>
      <c r="E858" s="65"/>
      <c r="F858" s="65"/>
      <c r="G858" s="65"/>
      <c r="H858" s="65"/>
      <c r="I858" s="262"/>
      <c r="J858" s="470"/>
      <c r="K858" s="470"/>
      <c r="L858" s="470"/>
      <c r="M858" s="469"/>
      <c r="N858" s="470"/>
      <c r="O858" s="470"/>
      <c r="P858" s="101"/>
      <c r="Q858" s="107"/>
      <c r="R858" s="107"/>
      <c r="S858" s="108"/>
      <c r="T858" s="108"/>
      <c r="U858" s="108"/>
      <c r="V858" s="108"/>
      <c r="W858" s="108"/>
      <c r="X858" s="108"/>
      <c r="Y858" s="108"/>
      <c r="Z858" s="108"/>
    </row>
    <row r="859" spans="1:26" ht="68.25" customHeight="1">
      <c r="A859" s="466" t="s">
        <v>736</v>
      </c>
      <c r="B859" s="105" t="s">
        <v>717</v>
      </c>
      <c r="C859" s="65">
        <f t="shared" ref="C859:H859" si="161">AVERAGE(C860:C863)</f>
        <v>0.75</v>
      </c>
      <c r="D859" s="65">
        <f t="shared" si="161"/>
        <v>0.875</v>
      </c>
      <c r="E859" s="65">
        <f t="shared" si="161"/>
        <v>0</v>
      </c>
      <c r="F859" s="65">
        <f t="shared" si="161"/>
        <v>1</v>
      </c>
      <c r="G859" s="65">
        <f t="shared" si="161"/>
        <v>0.83333333333333337</v>
      </c>
      <c r="H859" s="65">
        <f t="shared" si="161"/>
        <v>0.625</v>
      </c>
      <c r="I859" s="262" t="s">
        <v>718</v>
      </c>
      <c r="J859" s="71"/>
      <c r="K859" s="71"/>
      <c r="L859" s="71"/>
      <c r="M859" s="92"/>
      <c r="N859" s="71"/>
      <c r="O859" s="71"/>
      <c r="P859" s="101"/>
      <c r="Q859" s="107"/>
      <c r="R859" s="107"/>
      <c r="S859" s="108"/>
      <c r="T859" s="108"/>
      <c r="U859" s="108"/>
      <c r="V859" s="108"/>
      <c r="W859" s="108"/>
      <c r="X859" s="108"/>
      <c r="Y859" s="108"/>
      <c r="Z859" s="108"/>
    </row>
    <row r="860" spans="1:26" ht="48" customHeight="1">
      <c r="A860" s="255"/>
      <c r="B860" s="201" t="s">
        <v>709</v>
      </c>
      <c r="C860" s="468">
        <v>0.5</v>
      </c>
      <c r="D860" s="468">
        <v>0.5</v>
      </c>
      <c r="E860" s="468">
        <v>0</v>
      </c>
      <c r="F860" s="468">
        <v>1</v>
      </c>
      <c r="G860" s="468">
        <v>0.5</v>
      </c>
      <c r="H860" s="913">
        <v>0.5</v>
      </c>
      <c r="I860" s="262"/>
      <c r="J860" s="435" t="s">
        <v>2361</v>
      </c>
      <c r="K860" s="435" t="s">
        <v>2362</v>
      </c>
      <c r="L860" s="435" t="s">
        <v>2363</v>
      </c>
      <c r="M860" s="469" t="s">
        <v>2364</v>
      </c>
      <c r="N860" s="435" t="s">
        <v>2365</v>
      </c>
      <c r="O860" s="435" t="s">
        <v>2365</v>
      </c>
      <c r="P860" s="101"/>
      <c r="Q860" s="107"/>
      <c r="R860" s="107"/>
      <c r="S860" s="108"/>
      <c r="T860" s="108"/>
      <c r="U860" s="108"/>
      <c r="V860" s="108"/>
      <c r="W860" s="108"/>
      <c r="X860" s="108"/>
      <c r="Y860" s="108"/>
      <c r="Z860" s="108"/>
    </row>
    <row r="861" spans="1:26" ht="30" customHeight="1">
      <c r="A861" s="255"/>
      <c r="B861" s="201" t="s">
        <v>569</v>
      </c>
      <c r="C861" s="468">
        <v>0.5</v>
      </c>
      <c r="D861" s="468">
        <v>1</v>
      </c>
      <c r="E861" s="468">
        <v>0</v>
      </c>
      <c r="F861" s="468">
        <v>1</v>
      </c>
      <c r="G861" s="468">
        <v>1</v>
      </c>
      <c r="H861" s="468">
        <v>1</v>
      </c>
      <c r="I861" s="262" t="s">
        <v>719</v>
      </c>
      <c r="J861" s="435" t="s">
        <v>2366</v>
      </c>
      <c r="K861" s="435" t="s">
        <v>2367</v>
      </c>
      <c r="L861" s="435" t="s">
        <v>2368</v>
      </c>
      <c r="M861" s="469" t="s">
        <v>2369</v>
      </c>
      <c r="N861" s="435" t="s">
        <v>2370</v>
      </c>
      <c r="O861" s="435" t="s">
        <v>2367</v>
      </c>
      <c r="P861" s="101"/>
      <c r="Q861" s="107"/>
      <c r="R861" s="107"/>
      <c r="S861" s="108"/>
      <c r="T861" s="108"/>
      <c r="U861" s="108"/>
      <c r="V861" s="108"/>
      <c r="W861" s="108"/>
      <c r="X861" s="108"/>
      <c r="Y861" s="108"/>
      <c r="Z861" s="108"/>
    </row>
    <row r="862" spans="1:26" ht="24" customHeight="1">
      <c r="A862" s="255"/>
      <c r="B862" s="201" t="s">
        <v>711</v>
      </c>
      <c r="C862" s="468">
        <v>1</v>
      </c>
      <c r="D862" s="468">
        <v>1</v>
      </c>
      <c r="E862" s="468" t="s">
        <v>1073</v>
      </c>
      <c r="F862" s="468">
        <v>1</v>
      </c>
      <c r="G862" s="468" t="s">
        <v>1073</v>
      </c>
      <c r="H862" s="468">
        <v>0</v>
      </c>
      <c r="I862" s="262"/>
      <c r="J862" s="435" t="s">
        <v>2371</v>
      </c>
      <c r="K862" s="435" t="s">
        <v>2371</v>
      </c>
      <c r="L862" s="435" t="s">
        <v>2342</v>
      </c>
      <c r="M862" s="469" t="s">
        <v>2371</v>
      </c>
      <c r="N862" s="435" t="s">
        <v>2342</v>
      </c>
      <c r="O862" s="435" t="s">
        <v>2372</v>
      </c>
      <c r="P862" s="101"/>
      <c r="Q862" s="107"/>
      <c r="R862" s="107"/>
      <c r="S862" s="108"/>
      <c r="T862" s="108"/>
      <c r="U862" s="108"/>
      <c r="V862" s="108"/>
      <c r="W862" s="108"/>
      <c r="X862" s="108"/>
      <c r="Y862" s="108"/>
      <c r="Z862" s="108"/>
    </row>
    <row r="863" spans="1:26" ht="24" customHeight="1">
      <c r="A863" s="255"/>
      <c r="B863" s="201" t="s">
        <v>712</v>
      </c>
      <c r="C863" s="468">
        <v>1</v>
      </c>
      <c r="D863" s="468">
        <v>1</v>
      </c>
      <c r="E863" s="468">
        <v>0</v>
      </c>
      <c r="F863" s="468">
        <v>1</v>
      </c>
      <c r="G863" s="468">
        <v>1</v>
      </c>
      <c r="H863" s="468">
        <v>1</v>
      </c>
      <c r="I863" s="262"/>
      <c r="J863" s="435" t="s">
        <v>2373</v>
      </c>
      <c r="K863" s="435" t="s">
        <v>2373</v>
      </c>
      <c r="L863" s="435" t="s">
        <v>2374</v>
      </c>
      <c r="M863" s="469" t="s">
        <v>2373</v>
      </c>
      <c r="N863" s="435" t="s">
        <v>2373</v>
      </c>
      <c r="O863" s="435" t="s">
        <v>2373</v>
      </c>
      <c r="P863" s="101"/>
      <c r="Q863" s="107"/>
      <c r="R863" s="107"/>
      <c r="S863" s="108"/>
      <c r="T863" s="108"/>
      <c r="U863" s="108"/>
      <c r="V863" s="108"/>
      <c r="W863" s="108"/>
      <c r="X863" s="108"/>
      <c r="Y863" s="108"/>
      <c r="Z863" s="108"/>
    </row>
    <row r="864" spans="1:26" ht="13.5" customHeight="1">
      <c r="A864" s="255"/>
      <c r="B864" s="255"/>
      <c r="C864" s="65"/>
      <c r="D864" s="65"/>
      <c r="E864" s="65"/>
      <c r="F864" s="65"/>
      <c r="G864" s="65"/>
      <c r="H864" s="65"/>
      <c r="I864" s="262"/>
      <c r="J864" s="470"/>
      <c r="K864" s="470"/>
      <c r="L864" s="470"/>
      <c r="M864" s="469"/>
      <c r="N864" s="470"/>
      <c r="O864" s="470"/>
      <c r="P864" s="101"/>
      <c r="Q864" s="107"/>
      <c r="R864" s="107"/>
      <c r="S864" s="108"/>
      <c r="T864" s="108"/>
      <c r="U864" s="108"/>
      <c r="V864" s="108"/>
      <c r="W864" s="108"/>
      <c r="X864" s="108"/>
      <c r="Y864" s="108"/>
      <c r="Z864" s="108"/>
    </row>
    <row r="865" spans="1:26" ht="55.5" customHeight="1">
      <c r="A865" s="466" t="s">
        <v>736</v>
      </c>
      <c r="B865" s="105" t="s">
        <v>720</v>
      </c>
      <c r="C865" s="65">
        <f t="shared" ref="C865:H865" si="162">AVERAGE(C866:C869)</f>
        <v>0.125</v>
      </c>
      <c r="D865" s="65">
        <f t="shared" si="162"/>
        <v>0.25</v>
      </c>
      <c r="E865" s="65">
        <f t="shared" si="162"/>
        <v>0</v>
      </c>
      <c r="F865" s="65">
        <f t="shared" si="162"/>
        <v>0</v>
      </c>
      <c r="G865" s="65">
        <f t="shared" si="162"/>
        <v>0.33333333333333331</v>
      </c>
      <c r="H865" s="65">
        <f t="shared" si="162"/>
        <v>0.5</v>
      </c>
      <c r="I865" s="262" t="s">
        <v>721</v>
      </c>
      <c r="J865" s="67"/>
      <c r="K865" s="67"/>
      <c r="L865" s="67"/>
      <c r="M865" s="69"/>
      <c r="N865" s="67"/>
      <c r="O865" s="67"/>
      <c r="P865" s="101"/>
      <c r="Q865" s="107"/>
      <c r="R865" s="107"/>
      <c r="S865" s="108"/>
      <c r="T865" s="108"/>
      <c r="U865" s="108"/>
      <c r="V865" s="108"/>
      <c r="W865" s="108"/>
      <c r="X865" s="108"/>
      <c r="Y865" s="108"/>
      <c r="Z865" s="108"/>
    </row>
    <row r="866" spans="1:26" ht="24" customHeight="1">
      <c r="A866" s="255"/>
      <c r="B866" s="201" t="s">
        <v>709</v>
      </c>
      <c r="C866" s="468">
        <v>0</v>
      </c>
      <c r="D866" s="468">
        <v>0</v>
      </c>
      <c r="E866" s="468">
        <v>0</v>
      </c>
      <c r="F866" s="468">
        <v>0</v>
      </c>
      <c r="G866" s="468">
        <v>0</v>
      </c>
      <c r="H866" s="468">
        <v>0</v>
      </c>
      <c r="I866" s="262" t="s">
        <v>38</v>
      </c>
      <c r="J866" s="435" t="s">
        <v>2375</v>
      </c>
      <c r="K866" s="435" t="s">
        <v>2375</v>
      </c>
      <c r="L866" s="435" t="s">
        <v>2375</v>
      </c>
      <c r="M866" s="469" t="s">
        <v>2375</v>
      </c>
      <c r="N866" s="435" t="s">
        <v>2375</v>
      </c>
      <c r="O866" s="435" t="s">
        <v>2375</v>
      </c>
      <c r="P866" s="101"/>
      <c r="Q866" s="107"/>
      <c r="R866" s="107"/>
      <c r="S866" s="108"/>
      <c r="T866" s="108"/>
      <c r="U866" s="108"/>
      <c r="V866" s="108"/>
      <c r="W866" s="108"/>
      <c r="X866" s="108"/>
      <c r="Y866" s="108"/>
      <c r="Z866" s="108"/>
    </row>
    <row r="867" spans="1:26" ht="42" customHeight="1">
      <c r="A867" s="255"/>
      <c r="B867" s="201" t="s">
        <v>569</v>
      </c>
      <c r="C867" s="468">
        <v>0</v>
      </c>
      <c r="D867" s="468">
        <v>0.5</v>
      </c>
      <c r="E867" s="468">
        <v>0</v>
      </c>
      <c r="F867" s="468">
        <v>0</v>
      </c>
      <c r="G867" s="468">
        <v>0</v>
      </c>
      <c r="H867" s="468">
        <v>0</v>
      </c>
      <c r="I867" s="262" t="s">
        <v>722</v>
      </c>
      <c r="J867" s="435" t="s">
        <v>2375</v>
      </c>
      <c r="K867" s="435" t="s">
        <v>2376</v>
      </c>
      <c r="L867" s="435" t="s">
        <v>2375</v>
      </c>
      <c r="M867" s="469" t="s">
        <v>2375</v>
      </c>
      <c r="N867" s="435" t="s">
        <v>2375</v>
      </c>
      <c r="O867" s="435" t="s">
        <v>2375</v>
      </c>
      <c r="P867" s="101"/>
      <c r="Q867" s="107"/>
      <c r="R867" s="107"/>
      <c r="S867" s="108"/>
      <c r="T867" s="108"/>
      <c r="U867" s="108"/>
      <c r="V867" s="108"/>
      <c r="W867" s="108"/>
      <c r="X867" s="108"/>
      <c r="Y867" s="108"/>
      <c r="Z867" s="108"/>
    </row>
    <row r="868" spans="1:26" ht="24" customHeight="1">
      <c r="A868" s="255"/>
      <c r="B868" s="201" t="s">
        <v>711</v>
      </c>
      <c r="C868" s="468">
        <v>0</v>
      </c>
      <c r="D868" s="468">
        <v>0</v>
      </c>
      <c r="E868" s="468" t="s">
        <v>1073</v>
      </c>
      <c r="F868" s="468">
        <v>0</v>
      </c>
      <c r="G868" s="468" t="s">
        <v>1073</v>
      </c>
      <c r="H868" s="913">
        <v>1</v>
      </c>
      <c r="I868" s="262" t="s">
        <v>38</v>
      </c>
      <c r="J868" s="435" t="s">
        <v>2375</v>
      </c>
      <c r="K868" s="435" t="s">
        <v>2375</v>
      </c>
      <c r="L868" s="435" t="s">
        <v>2342</v>
      </c>
      <c r="M868" s="469" t="s">
        <v>2375</v>
      </c>
      <c r="N868" s="435" t="s">
        <v>2342</v>
      </c>
      <c r="O868" s="435" t="s">
        <v>2377</v>
      </c>
      <c r="P868" s="101"/>
      <c r="Q868" s="107"/>
      <c r="R868" s="107"/>
      <c r="S868" s="108"/>
      <c r="T868" s="108"/>
      <c r="U868" s="108"/>
      <c r="V868" s="108"/>
      <c r="W868" s="108"/>
      <c r="X868" s="108"/>
      <c r="Y868" s="108"/>
      <c r="Z868" s="108"/>
    </row>
    <row r="869" spans="1:26" ht="36.75" customHeight="1">
      <c r="A869" s="255"/>
      <c r="B869" s="201" t="s">
        <v>712</v>
      </c>
      <c r="C869" s="468">
        <v>0.5</v>
      </c>
      <c r="D869" s="468">
        <v>0.5</v>
      </c>
      <c r="E869" s="468">
        <v>0</v>
      </c>
      <c r="F869" s="468">
        <v>0</v>
      </c>
      <c r="G869" s="468">
        <v>1</v>
      </c>
      <c r="H869" s="468">
        <v>1</v>
      </c>
      <c r="I869" s="262" t="s">
        <v>722</v>
      </c>
      <c r="J869" s="435" t="s">
        <v>2378</v>
      </c>
      <c r="K869" s="435" t="s">
        <v>2378</v>
      </c>
      <c r="L869" s="435" t="s">
        <v>2375</v>
      </c>
      <c r="M869" s="469" t="s">
        <v>2375</v>
      </c>
      <c r="N869" s="435" t="s">
        <v>2379</v>
      </c>
      <c r="O869" s="435" t="s">
        <v>2380</v>
      </c>
      <c r="P869" s="101"/>
      <c r="Q869" s="107"/>
      <c r="R869" s="107"/>
      <c r="S869" s="108"/>
      <c r="T869" s="108"/>
      <c r="U869" s="108"/>
      <c r="V869" s="108"/>
      <c r="W869" s="108"/>
      <c r="X869" s="108"/>
      <c r="Y869" s="108"/>
      <c r="Z869" s="108"/>
    </row>
    <row r="870" spans="1:26" ht="13.5" customHeight="1">
      <c r="A870" s="255"/>
      <c r="B870" s="255"/>
      <c r="C870" s="65"/>
      <c r="D870" s="65"/>
      <c r="E870" s="65"/>
      <c r="F870" s="65"/>
      <c r="G870" s="65"/>
      <c r="H870" s="65"/>
      <c r="I870" s="262"/>
      <c r="J870" s="470"/>
      <c r="K870" s="470"/>
      <c r="L870" s="470"/>
      <c r="M870" s="469"/>
      <c r="N870" s="470"/>
      <c r="O870" s="470"/>
      <c r="P870" s="101"/>
      <c r="Q870" s="107"/>
      <c r="R870" s="107"/>
      <c r="S870" s="108"/>
      <c r="T870" s="108"/>
      <c r="U870" s="108"/>
      <c r="V870" s="108"/>
      <c r="W870" s="108"/>
      <c r="X870" s="108"/>
      <c r="Y870" s="108"/>
      <c r="Z870" s="108"/>
    </row>
    <row r="871" spans="1:26" ht="53.25" customHeight="1">
      <c r="A871" s="466" t="s">
        <v>736</v>
      </c>
      <c r="B871" s="105" t="s">
        <v>723</v>
      </c>
      <c r="C871" s="65">
        <f t="shared" ref="C871:H871" si="163">AVERAGE(C872:C875)</f>
        <v>0.75</v>
      </c>
      <c r="D871" s="65">
        <f t="shared" si="163"/>
        <v>0.25</v>
      </c>
      <c r="E871" s="65">
        <f t="shared" si="163"/>
        <v>0.33333333333333331</v>
      </c>
      <c r="F871" s="65">
        <f t="shared" si="163"/>
        <v>0.75</v>
      </c>
      <c r="G871" s="65">
        <f t="shared" si="163"/>
        <v>0.5</v>
      </c>
      <c r="H871" s="65">
        <f t="shared" si="163"/>
        <v>0.5</v>
      </c>
      <c r="I871" s="262" t="s">
        <v>724</v>
      </c>
      <c r="J871" s="67"/>
      <c r="K871" s="67"/>
      <c r="L871" s="67"/>
      <c r="M871" s="69"/>
      <c r="N871" s="67"/>
      <c r="O871" s="67"/>
      <c r="P871" s="101"/>
      <c r="Q871" s="107"/>
      <c r="R871" s="107"/>
      <c r="S871" s="108"/>
      <c r="T871" s="108"/>
      <c r="U871" s="108"/>
      <c r="V871" s="108"/>
      <c r="W871" s="108"/>
      <c r="X871" s="108"/>
      <c r="Y871" s="108"/>
      <c r="Z871" s="108"/>
    </row>
    <row r="872" spans="1:26" ht="36" customHeight="1">
      <c r="A872" s="466"/>
      <c r="B872" s="201" t="s">
        <v>709</v>
      </c>
      <c r="C872" s="468">
        <v>0.5</v>
      </c>
      <c r="D872" s="468">
        <v>0</v>
      </c>
      <c r="E872" s="468">
        <v>0</v>
      </c>
      <c r="F872" s="468">
        <v>0</v>
      </c>
      <c r="G872" s="468">
        <v>0</v>
      </c>
      <c r="H872" s="468">
        <v>0</v>
      </c>
      <c r="I872" s="262" t="s">
        <v>38</v>
      </c>
      <c r="J872" s="435" t="s">
        <v>2381</v>
      </c>
      <c r="K872" s="435" t="s">
        <v>2382</v>
      </c>
      <c r="L872" s="435" t="s">
        <v>2382</v>
      </c>
      <c r="M872" s="469" t="s">
        <v>2382</v>
      </c>
      <c r="N872" s="435" t="s">
        <v>2382</v>
      </c>
      <c r="O872" s="435" t="s">
        <v>2382</v>
      </c>
      <c r="P872" s="101"/>
      <c r="Q872" s="107"/>
      <c r="R872" s="107"/>
      <c r="S872" s="108"/>
      <c r="T872" s="108"/>
      <c r="U872" s="108"/>
      <c r="V872" s="108"/>
      <c r="W872" s="108"/>
      <c r="X872" s="108"/>
      <c r="Y872" s="108"/>
      <c r="Z872" s="108"/>
    </row>
    <row r="873" spans="1:26" ht="37.5" customHeight="1">
      <c r="A873" s="466"/>
      <c r="B873" s="201" t="s">
        <v>569</v>
      </c>
      <c r="C873" s="468">
        <v>1</v>
      </c>
      <c r="D873" s="468">
        <v>1</v>
      </c>
      <c r="E873" s="468">
        <v>1</v>
      </c>
      <c r="F873" s="468">
        <v>1</v>
      </c>
      <c r="G873" s="468">
        <v>1</v>
      </c>
      <c r="H873" s="468">
        <v>1</v>
      </c>
      <c r="I873" s="262" t="s">
        <v>722</v>
      </c>
      <c r="J873" s="435" t="s">
        <v>2383</v>
      </c>
      <c r="K873" s="435" t="s">
        <v>2383</v>
      </c>
      <c r="L873" s="435" t="s">
        <v>2383</v>
      </c>
      <c r="M873" s="469" t="s">
        <v>2383</v>
      </c>
      <c r="N873" s="435" t="s">
        <v>2383</v>
      </c>
      <c r="O873" s="435" t="s">
        <v>2383</v>
      </c>
      <c r="P873" s="101"/>
      <c r="Q873" s="107"/>
      <c r="R873" s="107"/>
      <c r="S873" s="108"/>
      <c r="T873" s="108"/>
      <c r="U873" s="108"/>
      <c r="V873" s="108"/>
      <c r="W873" s="108"/>
      <c r="X873" s="108"/>
      <c r="Y873" s="108"/>
      <c r="Z873" s="108"/>
    </row>
    <row r="874" spans="1:26" ht="42" customHeight="1">
      <c r="A874" s="466"/>
      <c r="B874" s="201" t="s">
        <v>711</v>
      </c>
      <c r="C874" s="468">
        <v>0.5</v>
      </c>
      <c r="D874" s="468">
        <v>0</v>
      </c>
      <c r="E874" s="468" t="s">
        <v>1073</v>
      </c>
      <c r="F874" s="468">
        <v>1</v>
      </c>
      <c r="G874" s="468" t="s">
        <v>1073</v>
      </c>
      <c r="H874" s="468">
        <v>0.5</v>
      </c>
      <c r="I874" s="262" t="s">
        <v>38</v>
      </c>
      <c r="J874" s="435" t="s">
        <v>2384</v>
      </c>
      <c r="K874" s="435" t="s">
        <v>2385</v>
      </c>
      <c r="L874" s="435" t="s">
        <v>2342</v>
      </c>
      <c r="M874" s="469" t="s">
        <v>2386</v>
      </c>
      <c r="N874" s="435" t="s">
        <v>2342</v>
      </c>
      <c r="O874" s="435" t="s">
        <v>2387</v>
      </c>
      <c r="P874" s="101"/>
      <c r="Q874" s="107"/>
      <c r="R874" s="107"/>
      <c r="S874" s="108"/>
      <c r="T874" s="108"/>
      <c r="U874" s="108"/>
      <c r="V874" s="108"/>
      <c r="W874" s="108"/>
      <c r="X874" s="108"/>
      <c r="Y874" s="108"/>
      <c r="Z874" s="108"/>
    </row>
    <row r="875" spans="1:26" ht="20.25" customHeight="1">
      <c r="A875" s="466"/>
      <c r="B875" s="201" t="s">
        <v>712</v>
      </c>
      <c r="C875" s="468">
        <v>1</v>
      </c>
      <c r="D875" s="468">
        <v>0</v>
      </c>
      <c r="E875" s="468">
        <v>0</v>
      </c>
      <c r="F875" s="468">
        <v>1</v>
      </c>
      <c r="G875" s="468">
        <v>0.5</v>
      </c>
      <c r="H875" s="468">
        <v>0.5</v>
      </c>
      <c r="I875" s="262" t="s">
        <v>38</v>
      </c>
      <c r="J875" s="435" t="s">
        <v>2388</v>
      </c>
      <c r="K875" s="435" t="s">
        <v>2389</v>
      </c>
      <c r="L875" s="435" t="s">
        <v>2390</v>
      </c>
      <c r="M875" s="469" t="s">
        <v>2391</v>
      </c>
      <c r="N875" s="435" t="s">
        <v>2392</v>
      </c>
      <c r="O875" s="435" t="s">
        <v>2393</v>
      </c>
      <c r="P875" s="101"/>
      <c r="Q875" s="107"/>
      <c r="R875" s="107"/>
      <c r="S875" s="108"/>
      <c r="T875" s="108"/>
      <c r="U875" s="108"/>
      <c r="V875" s="108"/>
      <c r="W875" s="108"/>
      <c r="X875" s="108"/>
      <c r="Y875" s="108"/>
      <c r="Z875" s="108"/>
    </row>
    <row r="876" spans="1:26" ht="13.5" customHeight="1">
      <c r="A876" s="466"/>
      <c r="B876" s="255"/>
      <c r="C876" s="65"/>
      <c r="D876" s="65"/>
      <c r="E876" s="65"/>
      <c r="F876" s="65"/>
      <c r="G876" s="65"/>
      <c r="H876" s="65"/>
      <c r="I876" s="262"/>
      <c r="J876" s="67"/>
      <c r="K876" s="67"/>
      <c r="L876" s="67"/>
      <c r="M876" s="69"/>
      <c r="N876" s="67"/>
      <c r="O876" s="67"/>
      <c r="P876" s="101"/>
      <c r="Q876" s="107"/>
      <c r="R876" s="107"/>
      <c r="S876" s="108"/>
      <c r="T876" s="108"/>
      <c r="U876" s="108"/>
      <c r="V876" s="108"/>
      <c r="W876" s="108"/>
      <c r="X876" s="108"/>
      <c r="Y876" s="108"/>
      <c r="Z876" s="108"/>
    </row>
    <row r="877" spans="1:26" ht="72.75" customHeight="1">
      <c r="A877" s="466" t="s">
        <v>736</v>
      </c>
      <c r="B877" s="105" t="s">
        <v>725</v>
      </c>
      <c r="C877" s="468">
        <f t="shared" ref="C877:H877" si="164">1-(309-J877)/(309-1117)</f>
        <v>0.56622351456418207</v>
      </c>
      <c r="D877" s="468">
        <f t="shared" si="164"/>
        <v>0.47724601414904066</v>
      </c>
      <c r="E877" s="468">
        <f t="shared" si="164"/>
        <v>0.70425603462522446</v>
      </c>
      <c r="F877" s="468">
        <f t="shared" si="164"/>
        <v>0.74628712871287128</v>
      </c>
      <c r="G877" s="468">
        <f t="shared" si="164"/>
        <v>0.20823726331644987</v>
      </c>
      <c r="H877" s="468">
        <f t="shared" si="164"/>
        <v>0.99980663777338319</v>
      </c>
      <c r="I877" s="262" t="s">
        <v>726</v>
      </c>
      <c r="J877" s="474">
        <v>659.4914002321409</v>
      </c>
      <c r="K877" s="474">
        <v>731.38522056757517</v>
      </c>
      <c r="L877" s="474">
        <v>547.96112402281858</v>
      </c>
      <c r="M877" s="475">
        <v>514</v>
      </c>
      <c r="N877" s="474">
        <v>948.74429124030848</v>
      </c>
      <c r="O877" s="474">
        <v>309.15623667910637</v>
      </c>
      <c r="P877" s="101"/>
      <c r="Q877" s="107"/>
      <c r="R877" s="107"/>
      <c r="S877" s="108"/>
      <c r="T877" s="108"/>
      <c r="U877" s="108"/>
      <c r="V877" s="108"/>
      <c r="W877" s="108"/>
      <c r="X877" s="108"/>
      <c r="Y877" s="108"/>
      <c r="Z877" s="108"/>
    </row>
    <row r="878" spans="1:26" ht="13.5" customHeight="1">
      <c r="A878" s="466"/>
      <c r="B878" s="105"/>
      <c r="C878" s="65"/>
      <c r="D878" s="65"/>
      <c r="E878" s="65"/>
      <c r="F878" s="65"/>
      <c r="G878" s="65"/>
      <c r="H878" s="65"/>
      <c r="I878" s="262"/>
      <c r="J878" s="476"/>
      <c r="K878" s="476"/>
      <c r="L878" s="476"/>
      <c r="M878" s="475"/>
      <c r="N878" s="476"/>
      <c r="O878" s="476"/>
      <c r="P878" s="101"/>
      <c r="Q878" s="107"/>
      <c r="R878" s="107"/>
      <c r="S878" s="108"/>
      <c r="T878" s="108"/>
      <c r="U878" s="108"/>
      <c r="V878" s="108"/>
      <c r="W878" s="108"/>
      <c r="X878" s="108"/>
      <c r="Y878" s="108"/>
      <c r="Z878" s="108"/>
    </row>
    <row r="879" spans="1:26" ht="27.75" customHeight="1">
      <c r="A879" s="21" t="s">
        <v>2394</v>
      </c>
      <c r="B879" s="618" t="s">
        <v>2395</v>
      </c>
      <c r="C879" s="620">
        <f>(C883+C885+C887+C889+C892+C893+C894+C896+C898+C901+C903+C906+C908+C910+C914+C915+C916+C917+C918+C920+C924+C926+C928+C930+C933+C935+C937+C939+C941+C943+C945+C947)/33</f>
        <v>0.48333333333333339</v>
      </c>
      <c r="D879" s="620">
        <f>(D883+D885+D887+D889+D892+D893+D894+D896+D898+D901+D903+D906+D908+D910+D914+D915+D916+D917+D918+D920+D924+D926+D928+D930+D933+D935+D937+D939+D941+D943+D945+D947)/33</f>
        <v>0.66070381231671538</v>
      </c>
      <c r="E879" s="620">
        <f>(E883+E885+E887+E889+E892+E893+E894+E896+E898+E901+E903+E906+E908+E910+E914+E915+E916+E917+E918+E920+E924+E926+E928+E930+E933+E935+E937+E939+E941+E943+E945+E947)/33</f>
        <v>0.66006842619745842</v>
      </c>
      <c r="F879" s="620">
        <f>(F883+F885+F887+F889+F893+F894+F896+F898+F901+F903+F906+F908+F910+F914+F915+F916+F917+F918+F920+F924+F926+F928+F930+F933+F935+F937+F939+F941+F943+F945+F947)/32</f>
        <v>0.63687500000000008</v>
      </c>
      <c r="G879" s="620">
        <f>(G883+G885+G887+G889+G892+G893+G894+G896+G898+G901+G903+G906+G910+G914+G915+G916+G917+G918+G920+G924+G926+G928+G930+G933+G935+G937+G939+G941+G943+G945+G947)/33</f>
        <v>0.66213098729227771</v>
      </c>
      <c r="H879" s="620">
        <f>(H883+H885+H887+H889+H892+H893+H894+H896+H898+H901+H903+H906+H908+H910+H914+H915+H916+H917+H918+H920+H924+H926+H928+H930+H933+H935+H937+H939+H941+H943+H945+H947)/33</f>
        <v>0.74678396871945252</v>
      </c>
      <c r="I879" s="25"/>
      <c r="J879" s="139"/>
      <c r="K879" s="139"/>
      <c r="L879" s="139"/>
      <c r="M879" s="139"/>
      <c r="N879" s="139"/>
      <c r="O879" s="139"/>
      <c r="P879" s="49"/>
      <c r="Q879" s="624"/>
      <c r="R879" s="624"/>
      <c r="S879" s="29"/>
      <c r="T879" s="29"/>
      <c r="U879" s="29"/>
      <c r="V879" s="29"/>
      <c r="W879" s="29"/>
      <c r="X879" s="29"/>
      <c r="Y879" s="29"/>
      <c r="Z879" s="29"/>
    </row>
    <row r="880" spans="1:26" ht="13.5" customHeight="1">
      <c r="A880" s="2595" t="s">
        <v>2396</v>
      </c>
      <c r="B880" s="2596"/>
      <c r="C880" s="626">
        <f>AVERAGE(C883,C885,C887,C889,C892,C893,C894,C896,C898,C901,C903,C906,C908,C910,C914,C915,C916,C918,C920)</f>
        <v>0.60526315789473684</v>
      </c>
      <c r="D880" s="626">
        <f>AVERAGE(D883,D885,D887,D889,D892,D893,D894,D896,D898,D901,D903,D906,D908,D910,D914,D915,D916,D918,D920)</f>
        <v>0.82</v>
      </c>
      <c r="E880" s="626">
        <f>AVERAGE(E883,E885,E887,E889,E892,E893,E894,E896,E898,E901,E903,E906,E908,E910,E914,E915,E916,E918,E920)</f>
        <v>0.70105263157894737</v>
      </c>
      <c r="F880" s="626">
        <f>AVERAGE(F883,F885,F887,F889,F893,F894,F896,F898,F901,F903,F906,F908,F910,F914,F915,F916,F918,F920)</f>
        <v>0.70000000000000007</v>
      </c>
      <c r="G880" s="626">
        <f>AVERAGE(G883,G885,G887,G889,G892,G893,G894,G896,G898,G901,G903,G906,G908,G910,G914,G915,G916,G918,G920)</f>
        <v>0.76333333333333342</v>
      </c>
      <c r="H880" s="626">
        <f>AVERAGE(H883,H885,H887,H889,H892,H893,H894,H896,H898,H901,H903,H906,H908,H910,H914,H915,H916,H918,H920)</f>
        <v>0.74736842105263157</v>
      </c>
      <c r="I880" s="25"/>
      <c r="J880" s="139"/>
      <c r="K880" s="139"/>
      <c r="L880" s="139"/>
      <c r="M880" s="139"/>
      <c r="N880" s="139"/>
      <c r="O880" s="139"/>
      <c r="P880" s="49"/>
      <c r="Q880" s="624"/>
      <c r="R880" s="624"/>
      <c r="S880" s="29"/>
      <c r="T880" s="29"/>
      <c r="U880" s="29"/>
      <c r="V880" s="29"/>
      <c r="W880" s="29"/>
      <c r="X880" s="29"/>
      <c r="Y880" s="29"/>
      <c r="Z880" s="29"/>
    </row>
    <row r="881" spans="1:26" ht="13.5" customHeight="1">
      <c r="A881" s="21" t="s">
        <v>2397</v>
      </c>
      <c r="B881" s="50" t="s">
        <v>491</v>
      </c>
      <c r="C881" s="620"/>
      <c r="D881" s="620"/>
      <c r="E881" s="620"/>
      <c r="F881" s="620"/>
      <c r="G881" s="620"/>
      <c r="H881" s="620"/>
      <c r="I881" s="17"/>
      <c r="J881" s="56"/>
      <c r="K881" s="56"/>
      <c r="L881" s="56"/>
      <c r="M881" s="56"/>
      <c r="N881" s="56"/>
      <c r="O881" s="56"/>
      <c r="P881" s="57"/>
      <c r="Q881" s="82"/>
      <c r="R881" s="82"/>
      <c r="S881" s="20"/>
      <c r="T881" s="20"/>
      <c r="U881" s="20"/>
      <c r="V881" s="20"/>
      <c r="W881" s="20"/>
      <c r="X881" s="20"/>
      <c r="Y881" s="20"/>
      <c r="Z881" s="20"/>
    </row>
    <row r="882" spans="1:26" ht="13.5" customHeight="1">
      <c r="A882" s="634"/>
      <c r="B882" s="4"/>
      <c r="C882" s="5"/>
      <c r="D882" s="5"/>
      <c r="E882" s="5"/>
      <c r="F882" s="5"/>
      <c r="G882" s="5"/>
      <c r="H882" s="5"/>
      <c r="I882" s="17"/>
      <c r="J882" s="69"/>
      <c r="K882" s="67"/>
      <c r="L882" s="67"/>
      <c r="M882" s="69"/>
      <c r="N882" s="67"/>
      <c r="O882" s="67"/>
      <c r="P882" s="57"/>
      <c r="Q882" s="58"/>
      <c r="R882" s="58"/>
      <c r="S882" s="12"/>
      <c r="T882" s="12"/>
      <c r="U882" s="12"/>
      <c r="V882" s="12"/>
      <c r="W882" s="12"/>
      <c r="X882" s="12"/>
      <c r="Y882" s="12"/>
      <c r="Z882" s="12"/>
    </row>
    <row r="883" spans="1:26" ht="91.5" customHeight="1">
      <c r="A883" s="174" t="s">
        <v>736</v>
      </c>
      <c r="B883" s="105" t="s">
        <v>2398</v>
      </c>
      <c r="C883" s="905">
        <v>1</v>
      </c>
      <c r="D883" s="905">
        <v>0.7</v>
      </c>
      <c r="E883" s="905">
        <v>0.5</v>
      </c>
      <c r="F883" s="905">
        <v>1</v>
      </c>
      <c r="G883" s="905">
        <v>1</v>
      </c>
      <c r="H883" s="901">
        <v>0.7</v>
      </c>
      <c r="I883" s="17"/>
      <c r="J883" s="475" t="s">
        <v>2399</v>
      </c>
      <c r="K883" s="67" t="s">
        <v>2400</v>
      </c>
      <c r="L883" s="476" t="s">
        <v>2401</v>
      </c>
      <c r="M883" s="475" t="s">
        <v>2402</v>
      </c>
      <c r="N883" s="476" t="s">
        <v>2403</v>
      </c>
      <c r="O883" s="475" t="s">
        <v>2404</v>
      </c>
      <c r="P883" s="636"/>
      <c r="Q883" s="476"/>
      <c r="R883" s="58"/>
      <c r="S883" s="12"/>
      <c r="T883" s="12"/>
      <c r="U883" s="12"/>
      <c r="V883" s="12"/>
      <c r="W883" s="12"/>
      <c r="X883" s="12"/>
      <c r="Y883" s="12"/>
      <c r="Z883" s="12"/>
    </row>
    <row r="884" spans="1:26" ht="14.25" customHeight="1">
      <c r="A884" s="174"/>
      <c r="B884" s="105"/>
      <c r="C884" s="902"/>
      <c r="D884" s="902"/>
      <c r="E884" s="902"/>
      <c r="F884" s="902"/>
      <c r="G884" s="900"/>
      <c r="H884" s="902"/>
      <c r="I884" s="17"/>
      <c r="J884" s="475"/>
      <c r="K884" s="476"/>
      <c r="L884" s="476"/>
      <c r="M884" s="475"/>
      <c r="N884" s="476"/>
      <c r="O884" s="475"/>
      <c r="P884" s="636"/>
      <c r="Q884" s="476"/>
      <c r="R884" s="58"/>
      <c r="S884" s="12"/>
      <c r="T884" s="12"/>
      <c r="U884" s="12"/>
      <c r="V884" s="12"/>
      <c r="W884" s="12"/>
      <c r="X884" s="12"/>
      <c r="Y884" s="12"/>
      <c r="Z884" s="12"/>
    </row>
    <row r="885" spans="1:26" ht="45.75" customHeight="1">
      <c r="A885" s="174" t="s">
        <v>736</v>
      </c>
      <c r="B885" s="105" t="s">
        <v>503</v>
      </c>
      <c r="C885" s="905">
        <v>0.7</v>
      </c>
      <c r="D885" s="905">
        <v>0.7</v>
      </c>
      <c r="E885" s="905">
        <v>0.5</v>
      </c>
      <c r="F885" s="905">
        <v>0.7</v>
      </c>
      <c r="G885" s="901">
        <v>0.7</v>
      </c>
      <c r="H885" s="905">
        <v>0.7</v>
      </c>
      <c r="I885" s="17"/>
      <c r="J885" s="638" t="s">
        <v>2405</v>
      </c>
      <c r="K885" s="69" t="s">
        <v>2406</v>
      </c>
      <c r="L885" s="475" t="s">
        <v>2407</v>
      </c>
      <c r="M885" s="475" t="s">
        <v>811</v>
      </c>
      <c r="N885" s="475" t="s">
        <v>2408</v>
      </c>
      <c r="O885" s="475" t="s">
        <v>811</v>
      </c>
      <c r="P885" s="636"/>
      <c r="Q885" s="476"/>
      <c r="R885" s="58"/>
      <c r="S885" s="12"/>
      <c r="T885" s="12"/>
      <c r="U885" s="12"/>
      <c r="V885" s="12"/>
      <c r="W885" s="12"/>
      <c r="X885" s="12"/>
      <c r="Y885" s="12"/>
      <c r="Z885" s="12"/>
    </row>
    <row r="886" spans="1:26" ht="22.5" customHeight="1">
      <c r="A886" s="174"/>
      <c r="B886" s="105"/>
      <c r="C886" s="902"/>
      <c r="D886" s="902"/>
      <c r="E886" s="902"/>
      <c r="F886" s="902"/>
      <c r="G886" s="900"/>
      <c r="H886" s="639"/>
      <c r="I886" s="17"/>
      <c r="J886" s="475"/>
      <c r="K886" s="476"/>
      <c r="L886" s="476"/>
      <c r="M886" s="475"/>
      <c r="N886" s="476"/>
      <c r="O886" s="475"/>
      <c r="P886" s="636"/>
      <c r="Q886" s="476"/>
      <c r="R886" s="58"/>
      <c r="S886" s="12"/>
      <c r="T886" s="12"/>
      <c r="U886" s="12"/>
      <c r="V886" s="12"/>
      <c r="W886" s="12"/>
      <c r="X886" s="12"/>
      <c r="Y886" s="12"/>
      <c r="Z886" s="12"/>
    </row>
    <row r="887" spans="1:26" ht="94.5" customHeight="1">
      <c r="A887" s="174" t="s">
        <v>736</v>
      </c>
      <c r="B887" s="105" t="s">
        <v>2409</v>
      </c>
      <c r="C887" s="905">
        <v>0.5</v>
      </c>
      <c r="D887" s="905">
        <v>0.5</v>
      </c>
      <c r="E887" s="905">
        <v>1</v>
      </c>
      <c r="F887" s="905">
        <v>0.7</v>
      </c>
      <c r="G887" s="901">
        <v>0.5</v>
      </c>
      <c r="H887" s="905">
        <v>0.5</v>
      </c>
      <c r="I887" s="17"/>
      <c r="J887" s="475" t="s">
        <v>2410</v>
      </c>
      <c r="K887" s="475" t="s">
        <v>2411</v>
      </c>
      <c r="L887" s="475" t="s">
        <v>2412</v>
      </c>
      <c r="M887" s="475" t="s">
        <v>2413</v>
      </c>
      <c r="N887" s="475" t="s">
        <v>2414</v>
      </c>
      <c r="O887" s="475" t="s">
        <v>2415</v>
      </c>
      <c r="P887" s="636"/>
      <c r="Q887" s="476"/>
      <c r="R887" s="58"/>
      <c r="S887" s="12"/>
      <c r="T887" s="12"/>
      <c r="U887" s="12"/>
      <c r="V887" s="12"/>
      <c r="W887" s="12"/>
      <c r="X887" s="12"/>
      <c r="Y887" s="12"/>
      <c r="Z887" s="12"/>
    </row>
    <row r="888" spans="1:26" ht="23.25" customHeight="1">
      <c r="A888" s="12"/>
      <c r="B888" s="12"/>
      <c r="C888" s="902"/>
      <c r="D888" s="902"/>
      <c r="E888" s="902"/>
      <c r="F888" s="902"/>
      <c r="G888" s="902"/>
      <c r="H888" s="902"/>
      <c r="I888" s="17"/>
      <c r="J888" s="475"/>
      <c r="K888" s="476"/>
      <c r="L888" s="476"/>
      <c r="M888" s="475"/>
      <c r="N888" s="476"/>
      <c r="O888" s="475"/>
      <c r="P888" s="636"/>
      <c r="Q888" s="476"/>
      <c r="R888" s="58"/>
      <c r="S888" s="641"/>
      <c r="T888" s="12"/>
      <c r="U888" s="12"/>
      <c r="V888" s="12"/>
      <c r="W888" s="12"/>
      <c r="X888" s="12"/>
      <c r="Y888" s="12"/>
      <c r="Z888" s="12"/>
    </row>
    <row r="889" spans="1:26" ht="87.75" customHeight="1">
      <c r="A889" s="174" t="s">
        <v>736</v>
      </c>
      <c r="B889" s="643" t="s">
        <v>511</v>
      </c>
      <c r="C889" s="905">
        <v>0.9</v>
      </c>
      <c r="D889" s="905">
        <v>0.78</v>
      </c>
      <c r="E889" s="905">
        <v>0.72</v>
      </c>
      <c r="F889" s="905">
        <v>0.6</v>
      </c>
      <c r="G889" s="398">
        <v>0.74</v>
      </c>
      <c r="H889" s="905">
        <v>0.6</v>
      </c>
      <c r="I889" s="17"/>
      <c r="J889" s="475" t="s">
        <v>467</v>
      </c>
      <c r="K889" s="475" t="s">
        <v>2416</v>
      </c>
      <c r="L889" s="475" t="s">
        <v>2417</v>
      </c>
      <c r="M889" s="475" t="s">
        <v>2418</v>
      </c>
      <c r="N889" s="645" t="s">
        <v>2419</v>
      </c>
      <c r="O889" s="475" t="s">
        <v>2417</v>
      </c>
      <c r="P889" s="636"/>
      <c r="Q889" s="476"/>
      <c r="R889" s="58"/>
      <c r="S889" s="641"/>
      <c r="T889" s="12"/>
      <c r="U889" s="12"/>
      <c r="V889" s="12"/>
      <c r="W889" s="12"/>
      <c r="X889" s="12"/>
      <c r="Y889" s="12"/>
      <c r="Z889" s="12"/>
    </row>
    <row r="890" spans="1:26" ht="24" customHeight="1">
      <c r="A890" s="174"/>
      <c r="B890" s="643"/>
      <c r="C890" s="902"/>
      <c r="D890" s="902"/>
      <c r="E890" s="902"/>
      <c r="F890" s="902"/>
      <c r="G890" s="902"/>
      <c r="H890" s="902"/>
      <c r="I890" s="17"/>
      <c r="J890" s="475"/>
      <c r="K890" s="476"/>
      <c r="L890" s="476"/>
      <c r="M890" s="475"/>
      <c r="N890" s="476"/>
      <c r="O890" s="475"/>
      <c r="P890" s="636"/>
      <c r="Q890" s="476"/>
      <c r="R890" s="58"/>
      <c r="S890" s="641"/>
      <c r="T890" s="12"/>
      <c r="U890" s="12"/>
      <c r="V890" s="12"/>
      <c r="W890" s="12"/>
      <c r="X890" s="12"/>
      <c r="Y890" s="12"/>
      <c r="Z890" s="12"/>
    </row>
    <row r="891" spans="1:26" ht="77.25" customHeight="1">
      <c r="A891" s="174" t="s">
        <v>736</v>
      </c>
      <c r="B891" s="643" t="s">
        <v>512</v>
      </c>
      <c r="C891" s="902"/>
      <c r="D891" s="902"/>
      <c r="E891" s="902"/>
      <c r="F891" s="902"/>
      <c r="G891" s="902"/>
      <c r="H891" s="902"/>
      <c r="I891" s="17"/>
      <c r="J891" s="475"/>
      <c r="K891" s="476"/>
      <c r="L891" s="476"/>
      <c r="M891" s="475"/>
      <c r="N891" s="476"/>
      <c r="O891" s="475"/>
      <c r="P891" s="636"/>
      <c r="Q891" s="476"/>
      <c r="R891" s="58"/>
      <c r="S891" s="12"/>
      <c r="T891" s="12"/>
      <c r="U891" s="12"/>
      <c r="V891" s="12"/>
      <c r="W891" s="12"/>
      <c r="X891" s="12"/>
      <c r="Y891" s="12"/>
      <c r="Z891" s="12"/>
    </row>
    <row r="892" spans="1:26" ht="26.25" customHeight="1">
      <c r="A892" s="174"/>
      <c r="B892" s="891" t="s">
        <v>2420</v>
      </c>
      <c r="C892" s="905">
        <v>0</v>
      </c>
      <c r="D892" s="905">
        <v>1</v>
      </c>
      <c r="E892" s="905">
        <v>1</v>
      </c>
      <c r="F892" s="905" t="s">
        <v>1073</v>
      </c>
      <c r="G892" s="905">
        <v>1</v>
      </c>
      <c r="H892" s="905">
        <v>1</v>
      </c>
      <c r="I892" s="17"/>
      <c r="J892" s="475" t="s">
        <v>960</v>
      </c>
      <c r="K892" s="475" t="s">
        <v>1060</v>
      </c>
      <c r="L892" s="475" t="s">
        <v>2421</v>
      </c>
      <c r="M892" s="475" t="s">
        <v>877</v>
      </c>
      <c r="N892" s="475" t="s">
        <v>2422</v>
      </c>
      <c r="O892" s="475" t="s">
        <v>1060</v>
      </c>
      <c r="P892" s="636"/>
      <c r="Q892" s="476"/>
      <c r="R892" s="58"/>
      <c r="S892" s="12"/>
      <c r="T892" s="12"/>
      <c r="U892" s="12"/>
      <c r="V892" s="12"/>
      <c r="W892" s="12"/>
      <c r="X892" s="12"/>
      <c r="Y892" s="12"/>
      <c r="Z892" s="12"/>
    </row>
    <row r="893" spans="1:26" ht="24.75" customHeight="1">
      <c r="A893" s="174"/>
      <c r="B893" s="891" t="s">
        <v>2423</v>
      </c>
      <c r="C893" s="905">
        <v>0</v>
      </c>
      <c r="D893" s="905">
        <v>1</v>
      </c>
      <c r="E893" s="905">
        <v>0</v>
      </c>
      <c r="F893" s="905">
        <v>1</v>
      </c>
      <c r="G893" s="905">
        <v>0</v>
      </c>
      <c r="H893" s="905">
        <v>1</v>
      </c>
      <c r="I893" s="17"/>
      <c r="J893" s="646" t="s">
        <v>960</v>
      </c>
      <c r="K893" s="475" t="s">
        <v>2424</v>
      </c>
      <c r="L893" s="475" t="s">
        <v>811</v>
      </c>
      <c r="M893" s="475" t="s">
        <v>2425</v>
      </c>
      <c r="N893" s="475" t="s">
        <v>811</v>
      </c>
      <c r="O893" s="475" t="s">
        <v>1060</v>
      </c>
      <c r="P893" s="636"/>
      <c r="Q893" s="476"/>
      <c r="R893" s="58"/>
      <c r="S893" s="12"/>
      <c r="T893" s="12"/>
      <c r="U893" s="12"/>
      <c r="V893" s="12"/>
      <c r="W893" s="12"/>
      <c r="X893" s="12"/>
      <c r="Y893" s="12"/>
      <c r="Z893" s="12"/>
    </row>
    <row r="894" spans="1:26" ht="27" customHeight="1">
      <c r="A894" s="174"/>
      <c r="B894" s="891" t="s">
        <v>2426</v>
      </c>
      <c r="C894" s="905">
        <v>1</v>
      </c>
      <c r="D894" s="905">
        <v>1</v>
      </c>
      <c r="E894" s="905">
        <v>1</v>
      </c>
      <c r="F894" s="905">
        <v>1</v>
      </c>
      <c r="G894" s="905">
        <v>1</v>
      </c>
      <c r="H894" s="905">
        <v>1</v>
      </c>
      <c r="I894" s="17"/>
      <c r="J894" s="475" t="s">
        <v>2427</v>
      </c>
      <c r="K894" s="475" t="s">
        <v>1060</v>
      </c>
      <c r="L894" s="475" t="s">
        <v>748</v>
      </c>
      <c r="M894" s="475" t="s">
        <v>748</v>
      </c>
      <c r="N894" s="475" t="s">
        <v>748</v>
      </c>
      <c r="O894" s="475" t="s">
        <v>1060</v>
      </c>
      <c r="P894" s="636"/>
      <c r="Q894" s="476"/>
      <c r="R894" s="58"/>
      <c r="S894" s="12"/>
      <c r="T894" s="12"/>
      <c r="U894" s="12"/>
      <c r="V894" s="12"/>
      <c r="W894" s="12"/>
      <c r="X894" s="12"/>
      <c r="Y894" s="12"/>
      <c r="Z894" s="12"/>
    </row>
    <row r="895" spans="1:26" ht="21" customHeight="1">
      <c r="A895" s="174"/>
      <c r="B895" s="105"/>
      <c r="C895" s="145"/>
      <c r="D895" s="145"/>
      <c r="E895" s="145"/>
      <c r="F895" s="145"/>
      <c r="G895" s="145"/>
      <c r="H895" s="145"/>
      <c r="I895" s="17"/>
      <c r="J895" s="475"/>
      <c r="K895" s="476"/>
      <c r="L895" s="476"/>
      <c r="M895" s="475"/>
      <c r="N895" s="476"/>
      <c r="O895" s="475"/>
      <c r="P895" s="636"/>
      <c r="Q895" s="476"/>
      <c r="R895" s="58"/>
      <c r="S895" s="12"/>
      <c r="T895" s="12"/>
      <c r="U895" s="12"/>
      <c r="V895" s="12"/>
      <c r="W895" s="12"/>
      <c r="X895" s="12"/>
      <c r="Y895" s="12"/>
      <c r="Z895" s="12"/>
    </row>
    <row r="896" spans="1:26" ht="77.25" customHeight="1">
      <c r="A896" s="174" t="s">
        <v>736</v>
      </c>
      <c r="B896" s="105" t="s">
        <v>2428</v>
      </c>
      <c r="C896" s="192">
        <v>0.5</v>
      </c>
      <c r="D896" s="192">
        <v>1</v>
      </c>
      <c r="E896" s="192">
        <v>1</v>
      </c>
      <c r="F896" s="192">
        <v>0.7</v>
      </c>
      <c r="G896" s="192">
        <v>1</v>
      </c>
      <c r="H896" s="192">
        <v>1</v>
      </c>
      <c r="I896" s="17"/>
      <c r="J896" s="475" t="s">
        <v>2429</v>
      </c>
      <c r="K896" s="475" t="s">
        <v>811</v>
      </c>
      <c r="L896" s="475" t="s">
        <v>811</v>
      </c>
      <c r="M896" s="475" t="s">
        <v>2430</v>
      </c>
      <c r="N896" s="475" t="s">
        <v>2431</v>
      </c>
      <c r="O896" s="475" t="s">
        <v>811</v>
      </c>
      <c r="P896" s="636"/>
      <c r="Q896" s="476"/>
      <c r="R896" s="58"/>
      <c r="S896" s="12"/>
      <c r="T896" s="12"/>
      <c r="U896" s="12"/>
      <c r="V896" s="12"/>
      <c r="W896" s="12"/>
      <c r="X896" s="12"/>
      <c r="Y896" s="12"/>
      <c r="Z896" s="12"/>
    </row>
    <row r="897" spans="1:26" ht="27" customHeight="1">
      <c r="A897" s="174"/>
      <c r="B897" s="105"/>
      <c r="C897" s="902"/>
      <c r="D897" s="902"/>
      <c r="E897" s="902"/>
      <c r="F897" s="902"/>
      <c r="G897" s="902"/>
      <c r="H897" s="902"/>
      <c r="I897" s="17"/>
      <c r="J897" s="475"/>
      <c r="K897" s="476"/>
      <c r="L897" s="476"/>
      <c r="M897" s="475"/>
      <c r="N897" s="476"/>
      <c r="O897" s="475"/>
      <c r="P897" s="636"/>
      <c r="Q897" s="476"/>
      <c r="R897" s="58"/>
      <c r="S897" s="12"/>
      <c r="T897" s="12"/>
      <c r="U897" s="12"/>
      <c r="V897" s="12"/>
      <c r="W897" s="12"/>
      <c r="X897" s="12"/>
      <c r="Y897" s="12"/>
      <c r="Z897" s="12"/>
    </row>
    <row r="898" spans="1:26" ht="39.75" customHeight="1">
      <c r="A898" s="174" t="s">
        <v>736</v>
      </c>
      <c r="B898" s="105" t="s">
        <v>513</v>
      </c>
      <c r="C898" s="192">
        <v>1</v>
      </c>
      <c r="D898" s="905">
        <v>1</v>
      </c>
      <c r="E898" s="905">
        <v>1</v>
      </c>
      <c r="F898" s="192">
        <v>1</v>
      </c>
      <c r="G898" s="905">
        <v>1</v>
      </c>
      <c r="H898" s="905">
        <v>1</v>
      </c>
      <c r="I898" s="17"/>
      <c r="J898" s="475" t="s">
        <v>2432</v>
      </c>
      <c r="K898" s="252" t="s">
        <v>2433</v>
      </c>
      <c r="L898" s="475" t="s">
        <v>811</v>
      </c>
      <c r="M898" s="475" t="s">
        <v>2434</v>
      </c>
      <c r="N898" s="475" t="s">
        <v>2435</v>
      </c>
      <c r="O898" s="475" t="s">
        <v>811</v>
      </c>
      <c r="P898" s="636"/>
      <c r="Q898" s="476"/>
      <c r="R898" s="58"/>
      <c r="S898" s="12"/>
      <c r="T898" s="12"/>
      <c r="U898" s="12"/>
      <c r="V898" s="12"/>
      <c r="W898" s="12"/>
      <c r="X898" s="12"/>
      <c r="Y898" s="12"/>
      <c r="Z898" s="12"/>
    </row>
    <row r="899" spans="1:26" ht="24.75" customHeight="1">
      <c r="A899" s="174"/>
      <c r="B899" s="105"/>
      <c r="C899" s="145"/>
      <c r="D899" s="902"/>
      <c r="E899" s="902"/>
      <c r="F899" s="145"/>
      <c r="G899" s="902"/>
      <c r="H899" s="902"/>
      <c r="I899" s="17"/>
      <c r="J899" s="475"/>
      <c r="K899" s="476"/>
      <c r="L899" s="476"/>
      <c r="M899" s="475"/>
      <c r="N899" s="476"/>
      <c r="O899" s="475"/>
      <c r="P899" s="636"/>
      <c r="Q899" s="476"/>
      <c r="R899" s="58"/>
      <c r="S899" s="12"/>
      <c r="T899" s="12"/>
      <c r="U899" s="12"/>
      <c r="V899" s="12"/>
      <c r="W899" s="12"/>
      <c r="X899" s="12"/>
      <c r="Y899" s="12"/>
      <c r="Z899" s="12"/>
    </row>
    <row r="900" spans="1:26" ht="27" customHeight="1">
      <c r="A900" s="649" t="s">
        <v>2436</v>
      </c>
      <c r="B900" s="50" t="s">
        <v>514</v>
      </c>
      <c r="C900" s="620"/>
      <c r="D900" s="620"/>
      <c r="E900" s="620"/>
      <c r="F900" s="620"/>
      <c r="G900" s="620"/>
      <c r="H900" s="620"/>
      <c r="I900" s="17"/>
      <c r="J900" s="56"/>
      <c r="K900" s="56"/>
      <c r="L900" s="56"/>
      <c r="M900" s="56"/>
      <c r="N900" s="56"/>
      <c r="O900" s="69"/>
      <c r="P900" s="57"/>
      <c r="Q900" s="82"/>
      <c r="R900" s="82"/>
      <c r="S900" s="20"/>
      <c r="T900" s="20"/>
      <c r="U900" s="20"/>
      <c r="V900" s="20"/>
      <c r="W900" s="20"/>
      <c r="X900" s="20"/>
      <c r="Y900" s="20"/>
      <c r="Z900" s="20"/>
    </row>
    <row r="901" spans="1:26" ht="97.5" customHeight="1">
      <c r="A901" s="174" t="s">
        <v>736</v>
      </c>
      <c r="B901" s="220" t="s">
        <v>515</v>
      </c>
      <c r="C901" s="904">
        <v>0.7</v>
      </c>
      <c r="D901" s="652">
        <v>0.7</v>
      </c>
      <c r="E901" s="652">
        <v>1</v>
      </c>
      <c r="F901" s="905">
        <v>0.7</v>
      </c>
      <c r="G901" s="652">
        <v>1</v>
      </c>
      <c r="H901" s="652">
        <v>0.7</v>
      </c>
      <c r="I901" s="17"/>
      <c r="J901" s="69" t="s">
        <v>2437</v>
      </c>
      <c r="K901" s="226" t="s">
        <v>2438</v>
      </c>
      <c r="L901" s="660" t="s">
        <v>2439</v>
      </c>
      <c r="M901" s="475" t="s">
        <v>2440</v>
      </c>
      <c r="N901" s="660" t="s">
        <v>2441</v>
      </c>
      <c r="O901" s="475" t="s">
        <v>2442</v>
      </c>
      <c r="P901" s="57"/>
      <c r="Q901" s="58"/>
      <c r="R901" s="58"/>
      <c r="S901" s="12"/>
      <c r="T901" s="12"/>
      <c r="U901" s="12"/>
      <c r="V901" s="12"/>
      <c r="W901" s="12"/>
      <c r="X901" s="12"/>
      <c r="Y901" s="12"/>
      <c r="Z901" s="12"/>
    </row>
    <row r="902" spans="1:26" ht="21" customHeight="1">
      <c r="A902" s="12"/>
      <c r="B902" s="12"/>
      <c r="C902" s="902"/>
      <c r="D902" s="902"/>
      <c r="E902" s="902"/>
      <c r="F902" s="902"/>
      <c r="G902" s="902"/>
      <c r="H902" s="902"/>
      <c r="I902" s="17"/>
      <c r="J902" s="252"/>
      <c r="K902" s="58"/>
      <c r="L902" s="58"/>
      <c r="M902" s="226"/>
      <c r="N902" s="58"/>
      <c r="O902" s="661"/>
      <c r="P902" s="57"/>
      <c r="Q902" s="58"/>
      <c r="R902" s="58"/>
      <c r="S902" s="12"/>
      <c r="T902" s="12"/>
      <c r="U902" s="12"/>
      <c r="V902" s="12"/>
      <c r="W902" s="12"/>
      <c r="X902" s="12"/>
      <c r="Y902" s="12"/>
      <c r="Z902" s="12"/>
    </row>
    <row r="903" spans="1:26" ht="66.75" customHeight="1">
      <c r="A903" s="174" t="s">
        <v>736</v>
      </c>
      <c r="B903" s="4" t="s">
        <v>516</v>
      </c>
      <c r="C903" s="905">
        <v>0</v>
      </c>
      <c r="D903" s="905">
        <v>0.5</v>
      </c>
      <c r="E903" s="905">
        <v>0</v>
      </c>
      <c r="F903" s="905">
        <v>0.3</v>
      </c>
      <c r="G903" s="905">
        <v>1</v>
      </c>
      <c r="H903" s="905">
        <v>0.7</v>
      </c>
      <c r="I903" s="17"/>
      <c r="J903" s="69" t="s">
        <v>2443</v>
      </c>
      <c r="K903" s="226" t="s">
        <v>2444</v>
      </c>
      <c r="L903" s="226" t="s">
        <v>748</v>
      </c>
      <c r="M903" s="660" t="s">
        <v>2445</v>
      </c>
      <c r="N903" s="660" t="s">
        <v>2446</v>
      </c>
      <c r="O903" s="228" t="s">
        <v>2447</v>
      </c>
      <c r="P903" s="57"/>
      <c r="Q903" s="58"/>
      <c r="R903" s="58"/>
      <c r="S903" s="12"/>
      <c r="T903" s="12"/>
      <c r="U903" s="12"/>
      <c r="V903" s="12"/>
      <c r="W903" s="12"/>
      <c r="X903" s="12"/>
      <c r="Y903" s="12"/>
      <c r="Z903" s="12"/>
    </row>
    <row r="904" spans="1:26" ht="21.75" customHeight="1">
      <c r="A904" s="174"/>
      <c r="B904" s="105"/>
      <c r="C904" s="902"/>
      <c r="D904" s="902"/>
      <c r="E904" s="902"/>
      <c r="F904" s="902"/>
      <c r="G904" s="902"/>
      <c r="H904" s="902"/>
      <c r="I904" s="17"/>
      <c r="J904" s="252"/>
      <c r="K904" s="58"/>
      <c r="L904" s="58"/>
      <c r="M904" s="226"/>
      <c r="N904" s="58"/>
      <c r="O904" s="226"/>
      <c r="P904" s="57"/>
      <c r="Q904" s="58"/>
      <c r="R904" s="58"/>
      <c r="S904" s="12"/>
      <c r="T904" s="12"/>
      <c r="U904" s="12"/>
      <c r="V904" s="12"/>
      <c r="W904" s="12"/>
      <c r="X904" s="12"/>
      <c r="Y904" s="12"/>
      <c r="Z904" s="12"/>
    </row>
    <row r="905" spans="1:26" ht="31.5" customHeight="1">
      <c r="A905" s="664" t="s">
        <v>2448</v>
      </c>
      <c r="B905" s="50" t="s">
        <v>517</v>
      </c>
      <c r="C905" s="620"/>
      <c r="D905" s="620"/>
      <c r="E905" s="620"/>
      <c r="F905" s="620"/>
      <c r="G905" s="620"/>
      <c r="H905" s="620"/>
      <c r="I905" s="17"/>
      <c r="J905" s="56"/>
      <c r="K905" s="56"/>
      <c r="L905" s="56"/>
      <c r="M905" s="56"/>
      <c r="N905" s="56"/>
      <c r="O905" s="82"/>
      <c r="P905" s="57"/>
      <c r="Q905" s="82"/>
      <c r="R905" s="82"/>
      <c r="S905" s="20"/>
      <c r="T905" s="20"/>
      <c r="U905" s="20"/>
      <c r="V905" s="20"/>
      <c r="W905" s="20"/>
      <c r="X905" s="20"/>
      <c r="Y905" s="20"/>
      <c r="Z905" s="20"/>
    </row>
    <row r="906" spans="1:26" ht="46.5" customHeight="1">
      <c r="A906" s="634" t="s">
        <v>736</v>
      </c>
      <c r="B906" s="105" t="s">
        <v>2449</v>
      </c>
      <c r="C906" s="192">
        <v>1</v>
      </c>
      <c r="D906" s="192">
        <v>0.5</v>
      </c>
      <c r="E906" s="192">
        <v>0.6</v>
      </c>
      <c r="F906" s="192">
        <v>0.2</v>
      </c>
      <c r="G906" s="192">
        <v>0.3</v>
      </c>
      <c r="H906" s="192">
        <v>0.8</v>
      </c>
      <c r="I906" s="17"/>
      <c r="J906" s="69" t="s">
        <v>2450</v>
      </c>
      <c r="K906" s="69" t="s">
        <v>2450</v>
      </c>
      <c r="L906" s="252" t="s">
        <v>2451</v>
      </c>
      <c r="M906" s="69" t="s">
        <v>2452</v>
      </c>
      <c r="N906" s="69" t="s">
        <v>2417</v>
      </c>
      <c r="O906" s="228">
        <v>57</v>
      </c>
      <c r="P906" s="57"/>
      <c r="Q906" s="58"/>
      <c r="R906" s="58"/>
      <c r="S906" s="12"/>
      <c r="T906" s="12"/>
      <c r="U906" s="12"/>
      <c r="V906" s="12"/>
      <c r="W906" s="12"/>
      <c r="X906" s="12"/>
      <c r="Y906" s="12"/>
      <c r="Z906" s="12"/>
    </row>
    <row r="907" spans="1:26" ht="22.5" customHeight="1">
      <c r="A907" s="634"/>
      <c r="B907" s="243"/>
      <c r="C907" s="5"/>
      <c r="D907" s="145"/>
      <c r="E907" s="145"/>
      <c r="F907" s="145"/>
      <c r="G907" s="145"/>
      <c r="H907" s="145"/>
      <c r="I907" s="17"/>
      <c r="J907" s="252"/>
      <c r="K907" s="665"/>
      <c r="L907" s="667"/>
      <c r="M907" s="252"/>
      <c r="N907" s="668"/>
      <c r="O907" s="252"/>
      <c r="P907" s="57"/>
      <c r="Q907" s="58"/>
      <c r="R907" s="58"/>
      <c r="S907" s="12"/>
      <c r="T907" s="12"/>
      <c r="U907" s="12"/>
      <c r="V907" s="12"/>
      <c r="W907" s="12"/>
      <c r="X907" s="12"/>
      <c r="Y907" s="12"/>
      <c r="Z907" s="12"/>
    </row>
    <row r="908" spans="1:26" ht="71.25" customHeight="1">
      <c r="A908" s="634" t="s">
        <v>736</v>
      </c>
      <c r="B908" s="243" t="s">
        <v>518</v>
      </c>
      <c r="C908" s="192">
        <v>0.5</v>
      </c>
      <c r="D908" s="192">
        <v>1</v>
      </c>
      <c r="E908" s="192">
        <v>1</v>
      </c>
      <c r="F908" s="192">
        <v>0</v>
      </c>
      <c r="G908" s="669" t="s">
        <v>1073</v>
      </c>
      <c r="H908" s="192">
        <v>0.5</v>
      </c>
      <c r="I908" s="17"/>
      <c r="J908" s="69" t="s">
        <v>2453</v>
      </c>
      <c r="K908" s="69" t="s">
        <v>2417</v>
      </c>
      <c r="L908" s="69" t="s">
        <v>811</v>
      </c>
      <c r="M908" s="69" t="s">
        <v>748</v>
      </c>
      <c r="N908" s="228" t="s">
        <v>1073</v>
      </c>
      <c r="O908" s="69" t="s">
        <v>2454</v>
      </c>
      <c r="P908" s="57"/>
      <c r="Q908" s="58"/>
      <c r="R908" s="58"/>
      <c r="S908" s="12"/>
      <c r="T908" s="12"/>
      <c r="U908" s="12"/>
      <c r="V908" s="12"/>
      <c r="W908" s="12"/>
      <c r="X908" s="12"/>
      <c r="Y908" s="12"/>
      <c r="Z908" s="12"/>
    </row>
    <row r="909" spans="1:26" ht="23.25" customHeight="1">
      <c r="A909" s="634"/>
      <c r="B909" s="105"/>
      <c r="C909" s="145"/>
      <c r="D909" s="145"/>
      <c r="E909" s="145"/>
      <c r="F909" s="145"/>
      <c r="G909" s="145"/>
      <c r="H909" s="145"/>
      <c r="I909" s="17"/>
      <c r="J909" s="252"/>
      <c r="K909" s="665"/>
      <c r="L909" s="667"/>
      <c r="M909" s="252"/>
      <c r="N909" s="665"/>
      <c r="O909" s="252"/>
      <c r="P909" s="57"/>
      <c r="Q909" s="58"/>
      <c r="R909" s="58"/>
      <c r="S909" s="12"/>
      <c r="T909" s="12"/>
      <c r="U909" s="12"/>
      <c r="V909" s="12"/>
      <c r="W909" s="12"/>
      <c r="X909" s="12"/>
      <c r="Y909" s="12"/>
      <c r="Z909" s="12"/>
    </row>
    <row r="910" spans="1:26" ht="52.5" customHeight="1">
      <c r="A910" s="634" t="s">
        <v>736</v>
      </c>
      <c r="B910" s="105" t="s">
        <v>519</v>
      </c>
      <c r="C910" s="192">
        <v>1</v>
      </c>
      <c r="D910" s="670">
        <v>1</v>
      </c>
      <c r="E910" s="670">
        <v>1</v>
      </c>
      <c r="F910" s="670">
        <v>0.5</v>
      </c>
      <c r="G910" s="670">
        <v>1</v>
      </c>
      <c r="H910" s="670">
        <v>1</v>
      </c>
      <c r="I910" s="17"/>
      <c r="J910" s="671" t="s">
        <v>811</v>
      </c>
      <c r="K910" s="671" t="s">
        <v>811</v>
      </c>
      <c r="L910" s="671" t="s">
        <v>811</v>
      </c>
      <c r="M910" s="672" t="s">
        <v>2455</v>
      </c>
      <c r="N910" s="671" t="s">
        <v>811</v>
      </c>
      <c r="O910" s="671" t="s">
        <v>811</v>
      </c>
      <c r="P910" s="57"/>
      <c r="Q910" s="58"/>
      <c r="R910" s="58"/>
      <c r="S910" s="12"/>
      <c r="T910" s="12"/>
      <c r="U910" s="12"/>
      <c r="V910" s="12"/>
      <c r="W910" s="12"/>
      <c r="X910" s="12"/>
      <c r="Y910" s="12"/>
      <c r="Z910" s="12"/>
    </row>
    <row r="911" spans="1:26" ht="24.75" customHeight="1">
      <c r="A911" s="634"/>
      <c r="B911" s="105"/>
      <c r="C911" s="145"/>
      <c r="D911" s="145"/>
      <c r="E911" s="145"/>
      <c r="F911" s="145"/>
      <c r="G911" s="145"/>
      <c r="H911" s="145"/>
      <c r="I911" s="17"/>
      <c r="J911" s="67"/>
      <c r="K911" s="67"/>
      <c r="L911" s="667"/>
      <c r="M911" s="252"/>
      <c r="N911" s="67"/>
      <c r="O911" s="673"/>
      <c r="P911" s="57"/>
      <c r="Q911" s="58"/>
      <c r="R911" s="58"/>
      <c r="S911" s="12"/>
      <c r="T911" s="12"/>
      <c r="U911" s="12"/>
      <c r="V911" s="12"/>
      <c r="W911" s="12"/>
      <c r="X911" s="12"/>
      <c r="Y911" s="12"/>
      <c r="Z911" s="12"/>
    </row>
    <row r="912" spans="1:26" ht="13.5" customHeight="1">
      <c r="A912" s="649" t="s">
        <v>2456</v>
      </c>
      <c r="B912" s="618" t="s">
        <v>520</v>
      </c>
      <c r="C912" s="620"/>
      <c r="D912" s="620"/>
      <c r="E912" s="620"/>
      <c r="F912" s="620"/>
      <c r="G912" s="620"/>
      <c r="H912" s="620"/>
      <c r="I912" s="17"/>
      <c r="J912" s="56"/>
      <c r="K912" s="56"/>
      <c r="L912" s="56"/>
      <c r="M912" s="56"/>
      <c r="N912" s="56"/>
      <c r="O912" s="82"/>
      <c r="P912" s="57"/>
      <c r="Q912" s="82"/>
      <c r="R912" s="82"/>
      <c r="S912" s="20"/>
      <c r="T912" s="20"/>
      <c r="U912" s="20"/>
      <c r="V912" s="20"/>
      <c r="W912" s="20"/>
      <c r="X912" s="20"/>
      <c r="Y912" s="20"/>
      <c r="Z912" s="20"/>
    </row>
    <row r="913" spans="1:26" ht="93" customHeight="1">
      <c r="A913" s="1" t="s">
        <v>736</v>
      </c>
      <c r="B913" s="105" t="s">
        <v>2457</v>
      </c>
      <c r="C913" s="145"/>
      <c r="D913" s="145"/>
      <c r="E913" s="145"/>
      <c r="F913" s="145"/>
      <c r="G913" s="145"/>
      <c r="H913" s="145"/>
      <c r="I913" s="17"/>
      <c r="J913" s="67"/>
      <c r="K913" s="67"/>
      <c r="L913" s="67"/>
      <c r="M913" s="69"/>
      <c r="N913" s="67"/>
      <c r="O913" s="69"/>
      <c r="P913" s="57"/>
      <c r="Q913" s="58"/>
      <c r="R913" s="58"/>
      <c r="S913" s="12"/>
      <c r="T913" s="12"/>
      <c r="U913" s="12"/>
      <c r="V913" s="12"/>
      <c r="W913" s="12"/>
      <c r="X913" s="12"/>
      <c r="Y913" s="12"/>
      <c r="Z913" s="12"/>
    </row>
    <row r="914" spans="1:26" ht="60.75" customHeight="1">
      <c r="A914" s="1"/>
      <c r="B914" s="932" t="s">
        <v>2458</v>
      </c>
      <c r="C914" s="905">
        <v>0</v>
      </c>
      <c r="D914" s="905">
        <v>1</v>
      </c>
      <c r="E914" s="905">
        <v>0</v>
      </c>
      <c r="F914" s="905">
        <v>0.5</v>
      </c>
      <c r="G914" s="905">
        <v>0.5</v>
      </c>
      <c r="H914" s="905">
        <v>0.5</v>
      </c>
      <c r="I914" s="17"/>
      <c r="J914" s="675" t="s">
        <v>1060</v>
      </c>
      <c r="K914" s="69" t="s">
        <v>960</v>
      </c>
      <c r="L914" s="69" t="s">
        <v>2459</v>
      </c>
      <c r="M914" s="69" t="s">
        <v>2460</v>
      </c>
      <c r="N914" s="69" t="s">
        <v>2461</v>
      </c>
      <c r="O914" s="69" t="s">
        <v>2462</v>
      </c>
      <c r="P914" s="57"/>
      <c r="Q914" s="58"/>
      <c r="R914" s="58"/>
      <c r="S914" s="12"/>
      <c r="T914" s="12"/>
      <c r="U914" s="12"/>
      <c r="V914" s="12"/>
      <c r="W914" s="12"/>
      <c r="X914" s="12"/>
      <c r="Y914" s="12"/>
      <c r="Z914" s="12"/>
    </row>
    <row r="915" spans="1:26" ht="51" customHeight="1">
      <c r="A915" s="1"/>
      <c r="B915" s="932" t="s">
        <v>2463</v>
      </c>
      <c r="C915" s="905">
        <v>0.7</v>
      </c>
      <c r="D915" s="905">
        <v>0.5</v>
      </c>
      <c r="E915" s="905">
        <v>0</v>
      </c>
      <c r="F915" s="905">
        <v>1</v>
      </c>
      <c r="G915" s="905">
        <v>1</v>
      </c>
      <c r="H915" s="905">
        <v>0.5</v>
      </c>
      <c r="I915" s="17"/>
      <c r="J915" s="675" t="s">
        <v>2464</v>
      </c>
      <c r="K915" s="252" t="s">
        <v>2465</v>
      </c>
      <c r="L915" s="69" t="s">
        <v>2466</v>
      </c>
      <c r="M915" s="69" t="s">
        <v>2467</v>
      </c>
      <c r="N915" s="69" t="s">
        <v>2468</v>
      </c>
      <c r="O915" s="69" t="s">
        <v>2462</v>
      </c>
      <c r="P915" s="57"/>
      <c r="Q915" s="58"/>
      <c r="R915" s="58"/>
      <c r="S915" s="12"/>
      <c r="T915" s="12"/>
      <c r="U915" s="12"/>
      <c r="V915" s="12"/>
      <c r="W915" s="12"/>
      <c r="X915" s="12"/>
      <c r="Y915" s="12"/>
      <c r="Z915" s="12"/>
    </row>
    <row r="916" spans="1:26" ht="27.75" customHeight="1">
      <c r="A916" s="1"/>
      <c r="B916" s="932" t="s">
        <v>2469</v>
      </c>
      <c r="C916" s="905">
        <v>1</v>
      </c>
      <c r="D916" s="905">
        <v>1</v>
      </c>
      <c r="E916" s="905">
        <v>1</v>
      </c>
      <c r="F916" s="905">
        <v>1</v>
      </c>
      <c r="G916" s="905">
        <v>1</v>
      </c>
      <c r="H916" s="905">
        <v>1</v>
      </c>
      <c r="I916" s="17"/>
      <c r="J916" s="69" t="s">
        <v>811</v>
      </c>
      <c r="K916" s="69" t="s">
        <v>811</v>
      </c>
      <c r="L916" s="69" t="s">
        <v>811</v>
      </c>
      <c r="M916" s="69" t="s">
        <v>2470</v>
      </c>
      <c r="N916" s="69" t="s">
        <v>811</v>
      </c>
      <c r="O916" s="69" t="s">
        <v>811</v>
      </c>
      <c r="P916" s="57"/>
      <c r="Q916" s="58"/>
      <c r="R916" s="58"/>
      <c r="S916" s="12"/>
      <c r="T916" s="12"/>
      <c r="U916" s="12"/>
      <c r="V916" s="12"/>
      <c r="W916" s="12"/>
      <c r="X916" s="12"/>
      <c r="Y916" s="12"/>
      <c r="Z916" s="12"/>
    </row>
    <row r="917" spans="1:26" ht="39" customHeight="1">
      <c r="A917" s="1"/>
      <c r="B917" s="676" t="s">
        <v>2471</v>
      </c>
      <c r="C917" s="902">
        <v>1</v>
      </c>
      <c r="D917" s="902">
        <v>1</v>
      </c>
      <c r="E917" s="902">
        <v>1</v>
      </c>
      <c r="F917" s="902">
        <v>1</v>
      </c>
      <c r="G917" s="902">
        <v>1</v>
      </c>
      <c r="H917" s="902">
        <v>1</v>
      </c>
      <c r="I917" s="17" t="s">
        <v>38</v>
      </c>
      <c r="J917" s="677">
        <v>41638</v>
      </c>
      <c r="K917" s="69">
        <v>2013</v>
      </c>
      <c r="L917" s="548">
        <v>2013</v>
      </c>
      <c r="M917" s="69">
        <v>2010</v>
      </c>
      <c r="N917" s="69" t="s">
        <v>2472</v>
      </c>
      <c r="O917" s="69">
        <v>2010</v>
      </c>
      <c r="P917" s="57"/>
      <c r="Q917" s="58"/>
      <c r="R917" s="58"/>
      <c r="S917" s="12"/>
      <c r="T917" s="12"/>
      <c r="U917" s="12"/>
      <c r="V917" s="12"/>
      <c r="W917" s="12"/>
      <c r="X917" s="12"/>
      <c r="Y917" s="12"/>
      <c r="Z917" s="12"/>
    </row>
    <row r="918" spans="1:26" ht="55.5" customHeight="1">
      <c r="A918" s="1"/>
      <c r="B918" s="932" t="s">
        <v>2473</v>
      </c>
      <c r="C918" s="905">
        <v>0.5</v>
      </c>
      <c r="D918" s="905">
        <v>1</v>
      </c>
      <c r="E918" s="905">
        <v>1</v>
      </c>
      <c r="F918" s="905">
        <v>1</v>
      </c>
      <c r="G918" s="905">
        <v>1</v>
      </c>
      <c r="H918" s="905">
        <v>1</v>
      </c>
      <c r="I918" s="17" t="s">
        <v>38</v>
      </c>
      <c r="J918" s="69" t="s">
        <v>2421</v>
      </c>
      <c r="K918" s="69" t="s">
        <v>811</v>
      </c>
      <c r="L918" s="69" t="s">
        <v>811</v>
      </c>
      <c r="M918" s="69" t="s">
        <v>811</v>
      </c>
      <c r="N918" s="69" t="s">
        <v>811</v>
      </c>
      <c r="O918" s="69" t="s">
        <v>811</v>
      </c>
      <c r="P918" s="57"/>
      <c r="Q918" s="58"/>
      <c r="R918" s="58"/>
      <c r="S918" s="12"/>
      <c r="T918" s="12"/>
      <c r="U918" s="12"/>
      <c r="V918" s="12"/>
      <c r="W918" s="12"/>
      <c r="X918" s="12"/>
      <c r="Y918" s="12"/>
      <c r="Z918" s="12"/>
    </row>
    <row r="919" spans="1:26" ht="13.5" customHeight="1">
      <c r="A919" s="1"/>
      <c r="B919" s="932"/>
      <c r="C919" s="902"/>
      <c r="D919" s="902"/>
      <c r="E919" s="902"/>
      <c r="F919" s="902"/>
      <c r="G919" s="902"/>
      <c r="H919" s="902"/>
      <c r="I919" s="17"/>
      <c r="J919" s="252"/>
      <c r="K919" s="67"/>
      <c r="L919" s="311"/>
      <c r="M919" s="69"/>
      <c r="N919" s="67"/>
      <c r="O919" s="673"/>
      <c r="P919" s="57"/>
      <c r="Q919" s="58"/>
      <c r="R919" s="58"/>
      <c r="S919" s="12"/>
      <c r="T919" s="12"/>
      <c r="U919" s="12"/>
      <c r="V919" s="12"/>
      <c r="W919" s="12"/>
      <c r="X919" s="12"/>
      <c r="Y919" s="12"/>
      <c r="Z919" s="12"/>
    </row>
    <row r="920" spans="1:26" ht="66.75" customHeight="1">
      <c r="A920" s="1" t="s">
        <v>736</v>
      </c>
      <c r="B920" s="105" t="s">
        <v>2474</v>
      </c>
      <c r="C920" s="192">
        <v>0.5</v>
      </c>
      <c r="D920" s="192">
        <v>0.7</v>
      </c>
      <c r="E920" s="192">
        <v>1</v>
      </c>
      <c r="F920" s="192" t="s">
        <v>2475</v>
      </c>
      <c r="G920" s="192">
        <v>0</v>
      </c>
      <c r="H920" s="905">
        <v>0</v>
      </c>
      <c r="I920" s="17"/>
      <c r="J920" s="675" t="s">
        <v>2476</v>
      </c>
      <c r="K920" s="69" t="s">
        <v>2477</v>
      </c>
      <c r="L920" s="69" t="s">
        <v>2478</v>
      </c>
      <c r="M920" s="895" t="s">
        <v>2479</v>
      </c>
      <c r="N920" s="69" t="s">
        <v>2480</v>
      </c>
      <c r="O920" s="69" t="s">
        <v>2462</v>
      </c>
      <c r="P920" s="57"/>
      <c r="Q920" s="58"/>
      <c r="R920" s="58"/>
      <c r="S920" s="12"/>
      <c r="T920" s="12"/>
      <c r="U920" s="12"/>
      <c r="V920" s="12"/>
      <c r="W920" s="12"/>
      <c r="X920" s="12"/>
      <c r="Y920" s="12"/>
      <c r="Z920" s="12"/>
    </row>
    <row r="921" spans="1:26" ht="27.75" customHeight="1">
      <c r="A921" s="1"/>
      <c r="B921" s="921"/>
      <c r="C921" s="145"/>
      <c r="D921" s="145"/>
      <c r="E921" s="145"/>
      <c r="F921" s="145"/>
      <c r="G921" s="145"/>
      <c r="H921" s="902"/>
      <c r="I921" s="17"/>
      <c r="J921" s="67"/>
      <c r="K921" s="67"/>
      <c r="L921" s="311"/>
      <c r="M921" s="69"/>
      <c r="N921" s="67"/>
      <c r="O921" s="548"/>
      <c r="P921" s="57"/>
      <c r="Q921" s="58"/>
      <c r="R921" s="58"/>
      <c r="S921" s="12"/>
      <c r="T921" s="12"/>
      <c r="U921" s="12"/>
      <c r="V921" s="12"/>
      <c r="W921" s="12"/>
      <c r="X921" s="12"/>
      <c r="Y921" s="12"/>
      <c r="Z921" s="12"/>
    </row>
    <row r="922" spans="1:26" ht="33" customHeight="1">
      <c r="A922" s="2597" t="s">
        <v>2481</v>
      </c>
      <c r="B922" s="2598"/>
      <c r="C922" s="626">
        <f t="shared" ref="C922:H922" si="165">AVERAGE(C924,C926,C928,C930,C933,C935,C937,C939,C941,C943,C945,C947)</f>
        <v>0.28750000000000003</v>
      </c>
      <c r="D922" s="626">
        <f t="shared" si="165"/>
        <v>0.43526881720430111</v>
      </c>
      <c r="E922" s="626">
        <f t="shared" si="165"/>
        <v>0.62185483870967728</v>
      </c>
      <c r="F922" s="626">
        <f t="shared" si="165"/>
        <v>0.58272727272727276</v>
      </c>
      <c r="G922" s="626">
        <f t="shared" si="165"/>
        <v>0.59252688172043011</v>
      </c>
      <c r="H922" s="626">
        <f t="shared" si="165"/>
        <v>0.78698924731182796</v>
      </c>
      <c r="I922" s="17"/>
      <c r="J922" s="56"/>
      <c r="K922" s="56"/>
      <c r="L922" s="680"/>
      <c r="M922" s="56"/>
      <c r="N922" s="56"/>
      <c r="O922" s="82"/>
      <c r="P922" s="57"/>
      <c r="Q922" s="82"/>
      <c r="R922" s="82"/>
      <c r="S922" s="20"/>
      <c r="T922" s="20"/>
      <c r="U922" s="20"/>
      <c r="V922" s="20"/>
      <c r="W922" s="20"/>
      <c r="X922" s="20"/>
      <c r="Y922" s="20"/>
      <c r="Z922" s="20"/>
    </row>
    <row r="923" spans="1:26" ht="13.5" customHeight="1">
      <c r="A923" s="649" t="s">
        <v>2482</v>
      </c>
      <c r="B923" s="50" t="s">
        <v>443</v>
      </c>
      <c r="C923" s="620"/>
      <c r="D923" s="620"/>
      <c r="E923" s="620"/>
      <c r="F923" s="620"/>
      <c r="G923" s="620"/>
      <c r="H923" s="620"/>
      <c r="I923" s="17"/>
      <c r="J923" s="56"/>
      <c r="K923" s="56"/>
      <c r="L923" s="56"/>
      <c r="M923" s="56"/>
      <c r="N923" s="56"/>
      <c r="O923" s="82"/>
      <c r="P923" s="57"/>
      <c r="Q923" s="82"/>
      <c r="R923" s="82"/>
      <c r="S923" s="20"/>
      <c r="T923" s="20"/>
      <c r="U923" s="20"/>
      <c r="V923" s="20"/>
      <c r="W923" s="20"/>
      <c r="X923" s="20"/>
      <c r="Y923" s="20"/>
      <c r="Z923" s="20"/>
    </row>
    <row r="924" spans="1:26" ht="57" customHeight="1">
      <c r="A924" s="634" t="s">
        <v>736</v>
      </c>
      <c r="B924" s="105" t="s">
        <v>444</v>
      </c>
      <c r="C924" s="192">
        <v>0.64</v>
      </c>
      <c r="D924" s="192">
        <v>0.56999999999999995</v>
      </c>
      <c r="E924" s="192">
        <v>1</v>
      </c>
      <c r="F924" s="192">
        <v>0.94</v>
      </c>
      <c r="G924" s="192">
        <v>0</v>
      </c>
      <c r="H924" s="192">
        <v>0.43</v>
      </c>
      <c r="I924" s="17"/>
      <c r="J924" s="933">
        <v>0.155</v>
      </c>
      <c r="K924" s="398" t="s">
        <v>2483</v>
      </c>
      <c r="L924" s="682">
        <v>2.9000000000000001E-2</v>
      </c>
      <c r="M924" s="933">
        <v>4.9000000000000002E-2</v>
      </c>
      <c r="N924" s="933">
        <v>0.378</v>
      </c>
      <c r="O924" s="398">
        <v>22.8</v>
      </c>
      <c r="P924" s="57"/>
      <c r="Q924" s="58"/>
      <c r="R924" s="58"/>
      <c r="S924" s="12"/>
      <c r="T924" s="12"/>
      <c r="U924" s="12"/>
      <c r="V924" s="12"/>
      <c r="W924" s="12"/>
      <c r="X924" s="12"/>
      <c r="Y924" s="12"/>
      <c r="Z924" s="12"/>
    </row>
    <row r="925" spans="1:26" ht="21.75" customHeight="1">
      <c r="A925" s="634"/>
      <c r="B925" s="105"/>
      <c r="C925" s="145"/>
      <c r="D925" s="145"/>
      <c r="E925" s="145"/>
      <c r="F925" s="145"/>
      <c r="G925" s="145"/>
      <c r="H925" s="145"/>
      <c r="I925" s="684"/>
      <c r="J925" s="682"/>
      <c r="K925" s="93"/>
      <c r="L925" s="93"/>
      <c r="M925" s="682"/>
      <c r="N925" s="685"/>
      <c r="O925" s="686"/>
      <c r="P925" s="57"/>
      <c r="Q925" s="58"/>
      <c r="R925" s="58"/>
      <c r="S925" s="12"/>
      <c r="T925" s="12"/>
      <c r="U925" s="12"/>
      <c r="V925" s="12"/>
      <c r="W925" s="12"/>
      <c r="X925" s="12"/>
      <c r="Y925" s="12"/>
      <c r="Z925" s="12"/>
    </row>
    <row r="926" spans="1:26" ht="72" customHeight="1">
      <c r="A926" s="634"/>
      <c r="B926" s="318" t="s">
        <v>2484</v>
      </c>
      <c r="C926" s="192">
        <v>0</v>
      </c>
      <c r="D926" s="192">
        <v>0.9</v>
      </c>
      <c r="E926" s="192">
        <v>0.45</v>
      </c>
      <c r="F926" s="192">
        <v>0.67</v>
      </c>
      <c r="G926" s="192">
        <v>0.74</v>
      </c>
      <c r="H926" s="192">
        <v>1</v>
      </c>
      <c r="I926" s="684"/>
      <c r="J926" s="398" t="s">
        <v>2485</v>
      </c>
      <c r="K926" s="895" t="s">
        <v>2486</v>
      </c>
      <c r="L926" s="895" t="s">
        <v>2487</v>
      </c>
      <c r="M926" s="895" t="s">
        <v>2488</v>
      </c>
      <c r="N926" s="895" t="s">
        <v>2489</v>
      </c>
      <c r="O926" s="895" t="s">
        <v>2490</v>
      </c>
      <c r="P926" s="57"/>
      <c r="Q926" s="58"/>
      <c r="R926" s="58"/>
      <c r="S926" s="12"/>
      <c r="T926" s="12"/>
      <c r="U926" s="12"/>
      <c r="V926" s="12"/>
      <c r="W926" s="12"/>
      <c r="X926" s="12"/>
      <c r="Y926" s="12"/>
      <c r="Z926" s="12"/>
    </row>
    <row r="927" spans="1:26" ht="21" customHeight="1">
      <c r="A927" s="634"/>
      <c r="B927" s="105"/>
      <c r="C927" s="145"/>
      <c r="D927" s="145"/>
      <c r="E927" s="902"/>
      <c r="F927" s="902"/>
      <c r="G927" s="902"/>
      <c r="H927" s="902"/>
      <c r="I927" s="17"/>
      <c r="J927" s="320"/>
      <c r="K927" s="470"/>
      <c r="L927" s="470"/>
      <c r="M927" s="688"/>
      <c r="N927" s="689"/>
      <c r="O927" s="688"/>
      <c r="P927" s="57"/>
      <c r="Q927" s="58"/>
      <c r="R927" s="58"/>
      <c r="S927" s="12"/>
      <c r="T927" s="12"/>
      <c r="U927" s="12"/>
      <c r="V927" s="12"/>
      <c r="W927" s="12"/>
      <c r="X927" s="12"/>
      <c r="Y927" s="12"/>
      <c r="Z927" s="12"/>
    </row>
    <row r="928" spans="1:26" ht="27.75" customHeight="1">
      <c r="A928" s="634" t="s">
        <v>736</v>
      </c>
      <c r="B928" s="105" t="s">
        <v>445</v>
      </c>
      <c r="C928" s="192">
        <v>0.46</v>
      </c>
      <c r="D928" s="192">
        <v>0</v>
      </c>
      <c r="E928" s="905">
        <v>0.06</v>
      </c>
      <c r="F928" s="905">
        <v>0.8</v>
      </c>
      <c r="G928" s="905">
        <v>1</v>
      </c>
      <c r="H928" s="905">
        <v>0.88</v>
      </c>
      <c r="I928" s="17"/>
      <c r="J928" s="934" t="s">
        <v>2491</v>
      </c>
      <c r="K928" s="934" t="s">
        <v>2492</v>
      </c>
      <c r="L928" s="469" t="s">
        <v>2493</v>
      </c>
      <c r="M928" s="935" t="s">
        <v>2494</v>
      </c>
      <c r="N928" s="934" t="s">
        <v>2495</v>
      </c>
      <c r="O928" s="398">
        <v>179.7</v>
      </c>
      <c r="P928" s="57"/>
      <c r="Q928" s="58"/>
      <c r="R928" s="58"/>
      <c r="S928" s="12"/>
      <c r="T928" s="12"/>
      <c r="U928" s="12"/>
      <c r="V928" s="12"/>
      <c r="W928" s="12"/>
      <c r="X928" s="12"/>
      <c r="Y928" s="12"/>
      <c r="Z928" s="12"/>
    </row>
    <row r="929" spans="1:26" ht="20.25" customHeight="1">
      <c r="A929" s="634"/>
      <c r="B929" s="105"/>
      <c r="C929" s="145"/>
      <c r="D929" s="145"/>
      <c r="E929" s="145"/>
      <c r="F929" s="145"/>
      <c r="G929" s="145"/>
      <c r="H929" s="145"/>
      <c r="I929" s="17"/>
      <c r="J929" s="690"/>
      <c r="K929" s="691"/>
      <c r="L929" s="691"/>
      <c r="M929" s="690"/>
      <c r="N929" s="691"/>
      <c r="O929" s="690"/>
      <c r="P929" s="57"/>
      <c r="Q929" s="58"/>
      <c r="R929" s="58"/>
      <c r="S929" s="12"/>
      <c r="T929" s="12"/>
      <c r="U929" s="12"/>
      <c r="V929" s="12"/>
      <c r="W929" s="12"/>
      <c r="X929" s="12"/>
      <c r="Y929" s="12"/>
      <c r="Z929" s="12"/>
    </row>
    <row r="930" spans="1:26" ht="13.5" customHeight="1">
      <c r="A930" s="634" t="s">
        <v>736</v>
      </c>
      <c r="B930" s="105" t="s">
        <v>446</v>
      </c>
      <c r="C930" s="192">
        <v>0.16</v>
      </c>
      <c r="D930" s="192">
        <v>0.13</v>
      </c>
      <c r="E930" s="192">
        <v>1</v>
      </c>
      <c r="F930" s="192">
        <v>0</v>
      </c>
      <c r="G930" s="192">
        <v>0.03</v>
      </c>
      <c r="H930" s="192">
        <v>0.78</v>
      </c>
      <c r="I930" s="17"/>
      <c r="J930" s="936">
        <v>2.5000000000000001E-2</v>
      </c>
      <c r="K930" s="692">
        <v>0.02</v>
      </c>
      <c r="L930" s="690">
        <v>16</v>
      </c>
      <c r="M930" s="937">
        <v>0</v>
      </c>
      <c r="N930" s="937">
        <v>0.4</v>
      </c>
      <c r="O930" s="694" t="s">
        <v>2496</v>
      </c>
      <c r="P930" s="697"/>
      <c r="Q930" s="58"/>
      <c r="R930" s="58"/>
      <c r="S930" s="12"/>
      <c r="T930" s="12"/>
      <c r="U930" s="12"/>
      <c r="V930" s="12"/>
      <c r="W930" s="12"/>
      <c r="X930" s="12"/>
      <c r="Y930" s="12"/>
      <c r="Z930" s="12"/>
    </row>
    <row r="931" spans="1:26" ht="13.5" customHeight="1">
      <c r="A931" s="634"/>
      <c r="B931" s="105"/>
      <c r="C931" s="145"/>
      <c r="D931" s="145"/>
      <c r="E931" s="145"/>
      <c r="F931" s="145"/>
      <c r="G931" s="145"/>
      <c r="H931" s="145"/>
      <c r="I931" s="17"/>
      <c r="J931" s="118"/>
      <c r="K931" s="258"/>
      <c r="L931" s="691"/>
      <c r="M931" s="690"/>
      <c r="N931" s="691"/>
      <c r="O931" s="690"/>
      <c r="P931" s="697"/>
      <c r="Q931" s="58"/>
      <c r="R931" s="58"/>
      <c r="S931" s="12"/>
      <c r="T931" s="12"/>
      <c r="U931" s="12"/>
      <c r="V931" s="12"/>
      <c r="W931" s="12"/>
      <c r="X931" s="12"/>
      <c r="Y931" s="12"/>
      <c r="Z931" s="12"/>
    </row>
    <row r="932" spans="1:26" ht="13.5" customHeight="1">
      <c r="A932" s="649" t="s">
        <v>2497</v>
      </c>
      <c r="B932" s="698" t="s">
        <v>447</v>
      </c>
      <c r="C932" s="620"/>
      <c r="D932" s="620"/>
      <c r="E932" s="620"/>
      <c r="F932" s="620"/>
      <c r="G932" s="620"/>
      <c r="H932" s="620"/>
      <c r="I932" s="17"/>
      <c r="J932" s="69"/>
      <c r="K932" s="56"/>
      <c r="L932" s="56"/>
      <c r="M932" s="56"/>
      <c r="N932" s="56"/>
      <c r="O932" s="69"/>
      <c r="P932" s="57"/>
      <c r="Q932" s="82"/>
      <c r="R932" s="82"/>
      <c r="S932" s="20"/>
      <c r="T932" s="20"/>
      <c r="U932" s="20"/>
      <c r="V932" s="20"/>
      <c r="W932" s="20"/>
      <c r="X932" s="20"/>
      <c r="Y932" s="20"/>
      <c r="Z932" s="20"/>
    </row>
    <row r="933" spans="1:26" ht="27.75" customHeight="1">
      <c r="A933" s="699" t="s">
        <v>736</v>
      </c>
      <c r="B933" s="152" t="s">
        <v>2498</v>
      </c>
      <c r="C933" s="145">
        <f>(0.83-0.83)/(0.21-0.83)</f>
        <v>0</v>
      </c>
      <c r="D933" s="145">
        <f>(0.58-0.83)/(0.21-0.83)</f>
        <v>0.40322580645161293</v>
      </c>
      <c r="E933" s="145">
        <f>(0.5-0.83)/(0.21-0.83)</f>
        <v>0.532258064516129</v>
      </c>
      <c r="F933" s="145">
        <f>(0.21-0.83)/(0.21-0.83)</f>
        <v>1</v>
      </c>
      <c r="G933" s="145">
        <f>(0.34-0.83)/(0.21-0.83)</f>
        <v>0.79032258064516114</v>
      </c>
      <c r="H933" s="145">
        <f>(0.22-0.83)/(0.21-0.83)</f>
        <v>0.9838709677419355</v>
      </c>
      <c r="I933" s="17"/>
      <c r="J933" s="702">
        <v>0.83</v>
      </c>
      <c r="K933" s="905">
        <v>0.57999999999999996</v>
      </c>
      <c r="L933" s="69">
        <v>0.5</v>
      </c>
      <c r="M933" s="933" t="s">
        <v>2499</v>
      </c>
      <c r="N933" s="703">
        <v>0.34</v>
      </c>
      <c r="O933" s="895">
        <v>0.22</v>
      </c>
      <c r="P933" s="226"/>
      <c r="Q933" s="226"/>
      <c r="R933" s="226"/>
      <c r="S933" s="704"/>
      <c r="T933" s="704"/>
      <c r="U933" s="704"/>
      <c r="V933" s="704"/>
      <c r="W933" s="704"/>
      <c r="X933" s="704"/>
      <c r="Y933" s="704"/>
      <c r="Z933" s="704"/>
    </row>
    <row r="934" spans="1:26" ht="13.5" customHeight="1">
      <c r="A934" s="634"/>
      <c r="B934" s="105"/>
      <c r="C934" s="145"/>
      <c r="D934" s="145"/>
      <c r="E934" s="145"/>
      <c r="F934" s="145"/>
      <c r="G934" s="145"/>
      <c r="H934" s="145"/>
      <c r="I934" s="17"/>
      <c r="J934" s="682"/>
      <c r="K934" s="708"/>
      <c r="L934" s="93"/>
      <c r="M934" s="682"/>
      <c r="N934" s="93"/>
      <c r="O934" s="682"/>
      <c r="P934" s="57"/>
      <c r="Q934" s="58"/>
      <c r="R934" s="58"/>
      <c r="S934" s="12"/>
      <c r="T934" s="12"/>
      <c r="U934" s="12"/>
      <c r="V934" s="12"/>
      <c r="W934" s="12"/>
      <c r="X934" s="12"/>
      <c r="Y934" s="12"/>
      <c r="Z934" s="12"/>
    </row>
    <row r="935" spans="1:26" ht="42" customHeight="1">
      <c r="A935" s="634" t="s">
        <v>736</v>
      </c>
      <c r="B935" s="105" t="s">
        <v>526</v>
      </c>
      <c r="C935" s="192">
        <v>0.69</v>
      </c>
      <c r="D935" s="192">
        <v>0.55000000000000004</v>
      </c>
      <c r="E935" s="192">
        <v>1</v>
      </c>
      <c r="F935" s="192">
        <v>0</v>
      </c>
      <c r="G935" s="192">
        <v>0.44</v>
      </c>
      <c r="H935" s="192">
        <v>0.83</v>
      </c>
      <c r="I935" s="17"/>
      <c r="J935" s="710">
        <v>8.4000000000000005E-2</v>
      </c>
      <c r="K935" s="938">
        <v>0.12</v>
      </c>
      <c r="L935" s="92">
        <v>0.37</v>
      </c>
      <c r="M935" s="933">
        <v>0.26</v>
      </c>
      <c r="N935" s="933">
        <v>0.14799999999999999</v>
      </c>
      <c r="O935" s="933">
        <v>4.8000000000000001E-2</v>
      </c>
      <c r="P935" s="57"/>
      <c r="Q935" s="58"/>
      <c r="R935" s="58"/>
      <c r="S935" s="12"/>
      <c r="T935" s="12"/>
      <c r="U935" s="12"/>
      <c r="V935" s="12"/>
      <c r="W935" s="12"/>
      <c r="X935" s="12"/>
      <c r="Y935" s="12"/>
      <c r="Z935" s="12"/>
    </row>
    <row r="936" spans="1:26" ht="13.5" customHeight="1">
      <c r="A936" s="634"/>
      <c r="B936" s="105"/>
      <c r="C936" s="145"/>
      <c r="D936" s="145"/>
      <c r="E936" s="145"/>
      <c r="F936" s="145"/>
      <c r="G936" s="145"/>
      <c r="H936" s="145"/>
      <c r="I936" s="17"/>
      <c r="J936" s="92"/>
      <c r="K936" s="258"/>
      <c r="L936" s="67"/>
      <c r="M936" s="92"/>
      <c r="N936" s="71"/>
      <c r="O936" s="92"/>
      <c r="P936" s="57"/>
      <c r="Q936" s="58"/>
      <c r="R936" s="58"/>
      <c r="S936" s="12"/>
      <c r="T936" s="12"/>
      <c r="U936" s="12"/>
      <c r="V936" s="12"/>
      <c r="W936" s="12"/>
      <c r="X936" s="12"/>
      <c r="Y936" s="12"/>
      <c r="Z936" s="12"/>
    </row>
    <row r="937" spans="1:26" ht="13.5" customHeight="1">
      <c r="A937" s="634" t="s">
        <v>736</v>
      </c>
      <c r="B937" s="105" t="s">
        <v>448</v>
      </c>
      <c r="C937" s="192">
        <v>0</v>
      </c>
      <c r="D937" s="192">
        <v>0.9</v>
      </c>
      <c r="E937" s="192">
        <v>0.85</v>
      </c>
      <c r="F937" s="192">
        <v>0.9</v>
      </c>
      <c r="G937" s="192">
        <v>0.68</v>
      </c>
      <c r="H937" s="192">
        <v>1</v>
      </c>
      <c r="I937" s="17"/>
      <c r="J937" s="652">
        <v>31.1</v>
      </c>
      <c r="K937" s="939" t="s">
        <v>2500</v>
      </c>
      <c r="L937" s="69">
        <v>5.16</v>
      </c>
      <c r="M937" s="895">
        <v>3.5</v>
      </c>
      <c r="N937" s="905">
        <v>10.5</v>
      </c>
      <c r="O937" s="895" t="s">
        <v>2501</v>
      </c>
      <c r="P937" s="226">
        <v>30.5</v>
      </c>
      <c r="Q937" s="58"/>
      <c r="R937" s="58"/>
      <c r="S937" s="12"/>
      <c r="T937" s="12"/>
      <c r="U937" s="12"/>
      <c r="V937" s="12"/>
      <c r="W937" s="12"/>
      <c r="X937" s="12"/>
      <c r="Y937" s="12"/>
      <c r="Z937" s="12"/>
    </row>
    <row r="938" spans="1:26" ht="13.5" customHeight="1">
      <c r="A938" s="634"/>
      <c r="B938" s="105"/>
      <c r="C938" s="145"/>
      <c r="D938" s="145"/>
      <c r="E938" s="145"/>
      <c r="F938" s="145"/>
      <c r="G938" s="145"/>
      <c r="H938" s="145"/>
      <c r="I938" s="17"/>
      <c r="J938" s="92"/>
      <c r="K938" s="258"/>
      <c r="L938" s="71"/>
      <c r="M938" s="92"/>
      <c r="N938" s="71"/>
      <c r="O938" s="92"/>
      <c r="P938" s="57"/>
      <c r="Q938" s="58"/>
      <c r="R938" s="58"/>
      <c r="S938" s="12"/>
      <c r="T938" s="12"/>
      <c r="U938" s="12"/>
      <c r="V938" s="12"/>
      <c r="W938" s="12"/>
      <c r="X938" s="12"/>
      <c r="Y938" s="12"/>
      <c r="Z938" s="12"/>
    </row>
    <row r="939" spans="1:26" ht="13.5" customHeight="1">
      <c r="A939" s="634" t="s">
        <v>736</v>
      </c>
      <c r="B939" s="105" t="s">
        <v>449</v>
      </c>
      <c r="C939" s="192">
        <v>0.22</v>
      </c>
      <c r="D939" s="192">
        <v>0.6</v>
      </c>
      <c r="E939" s="192">
        <v>0</v>
      </c>
      <c r="F939" s="192">
        <v>0.8</v>
      </c>
      <c r="G939" s="192">
        <v>0.88</v>
      </c>
      <c r="H939" s="192">
        <v>1</v>
      </c>
      <c r="I939" s="17"/>
      <c r="J939" s="527">
        <v>13.9</v>
      </c>
      <c r="K939" s="901" t="s">
        <v>2502</v>
      </c>
      <c r="L939" s="92">
        <v>16.63</v>
      </c>
      <c r="M939" s="895">
        <v>6.5</v>
      </c>
      <c r="N939" s="905">
        <v>5.56</v>
      </c>
      <c r="O939" s="398" t="s">
        <v>2503</v>
      </c>
      <c r="P939" s="57"/>
      <c r="Q939" s="58"/>
      <c r="R939" s="58"/>
      <c r="S939" s="12"/>
      <c r="T939" s="12"/>
      <c r="U939" s="12"/>
      <c r="V939" s="12"/>
      <c r="W939" s="12"/>
      <c r="X939" s="12"/>
      <c r="Y939" s="12"/>
      <c r="Z939" s="12"/>
    </row>
    <row r="940" spans="1:26" ht="13.5" customHeight="1">
      <c r="A940" s="634"/>
      <c r="B940" s="105"/>
      <c r="C940" s="145"/>
      <c r="D940" s="145"/>
      <c r="E940" s="145"/>
      <c r="F940" s="145"/>
      <c r="G940" s="145"/>
      <c r="H940" s="145"/>
      <c r="I940" s="17"/>
      <c r="J940" s="682"/>
      <c r="K940" s="440"/>
      <c r="L940" s="93"/>
      <c r="M940" s="252"/>
      <c r="N940" s="718"/>
      <c r="O940" s="719"/>
      <c r="P940" s="57"/>
      <c r="Q940" s="58"/>
      <c r="R940" s="58"/>
      <c r="S940" s="12"/>
      <c r="T940" s="12"/>
      <c r="U940" s="12"/>
      <c r="V940" s="12"/>
      <c r="W940" s="12"/>
      <c r="X940" s="12"/>
      <c r="Y940" s="12"/>
      <c r="Z940" s="12"/>
    </row>
    <row r="941" spans="1:26" ht="13.5" customHeight="1">
      <c r="A941" s="634" t="s">
        <v>736</v>
      </c>
      <c r="B941" s="105" t="s">
        <v>450</v>
      </c>
      <c r="C941" s="192">
        <v>0.22</v>
      </c>
      <c r="D941" s="192">
        <v>0</v>
      </c>
      <c r="E941" s="192">
        <v>1</v>
      </c>
      <c r="F941" s="652">
        <v>0.96</v>
      </c>
      <c r="G941" s="192">
        <v>0</v>
      </c>
      <c r="H941" s="192">
        <v>0.03</v>
      </c>
      <c r="I941" s="17"/>
      <c r="J941" s="527">
        <v>17.600000000000001</v>
      </c>
      <c r="K941" s="933">
        <v>0.111</v>
      </c>
      <c r="L941" s="92">
        <v>41.6</v>
      </c>
      <c r="M941" s="933" t="s">
        <v>2504</v>
      </c>
      <c r="N941" s="933">
        <v>0.11</v>
      </c>
      <c r="O941" s="692">
        <v>0.11799999999999999</v>
      </c>
      <c r="P941" s="57"/>
      <c r="Q941" s="58"/>
      <c r="R941" s="58"/>
      <c r="S941" s="12"/>
      <c r="T941" s="12"/>
      <c r="U941" s="12"/>
      <c r="V941" s="12"/>
      <c r="W941" s="12"/>
      <c r="X941" s="12"/>
      <c r="Y941" s="12"/>
      <c r="Z941" s="12"/>
    </row>
    <row r="942" spans="1:26" ht="13.5" customHeight="1">
      <c r="A942" s="634"/>
      <c r="B942" s="105"/>
      <c r="C942" s="145"/>
      <c r="D942" s="145"/>
      <c r="E942" s="145"/>
      <c r="F942" s="145"/>
      <c r="G942" s="145"/>
      <c r="H942" s="145"/>
      <c r="I942" s="17"/>
      <c r="J942" s="682"/>
      <c r="K942" s="93"/>
      <c r="L942" s="93"/>
      <c r="M942" s="719"/>
      <c r="N942" s="718"/>
      <c r="O942" s="719"/>
      <c r="P942" s="57"/>
      <c r="Q942" s="58"/>
      <c r="R942" s="58"/>
      <c r="S942" s="12"/>
      <c r="T942" s="12"/>
      <c r="U942" s="12"/>
      <c r="V942" s="12"/>
      <c r="W942" s="12"/>
      <c r="X942" s="12"/>
      <c r="Y942" s="12"/>
      <c r="Z942" s="12"/>
    </row>
    <row r="943" spans="1:26" ht="27.75" customHeight="1">
      <c r="A943" s="634" t="s">
        <v>736</v>
      </c>
      <c r="B943" s="105" t="s">
        <v>451</v>
      </c>
      <c r="C943" s="192">
        <v>0.16</v>
      </c>
      <c r="D943" s="192">
        <v>0</v>
      </c>
      <c r="E943" s="192">
        <v>0.37</v>
      </c>
      <c r="F943" s="192">
        <v>0.34</v>
      </c>
      <c r="G943" s="192">
        <v>1</v>
      </c>
      <c r="H943" s="192">
        <v>0.68</v>
      </c>
      <c r="I943" s="17"/>
      <c r="J943" s="933">
        <v>6.0499999999999998E-2</v>
      </c>
      <c r="K943" s="710">
        <v>4.7600000000000003E-2</v>
      </c>
      <c r="L943" s="92">
        <v>7.8</v>
      </c>
      <c r="M943" s="933" t="s">
        <v>2505</v>
      </c>
      <c r="N943" s="933">
        <v>0.129</v>
      </c>
      <c r="O943" s="692">
        <v>0.10299999999999999</v>
      </c>
      <c r="P943" s="57"/>
      <c r="Q943" s="58"/>
      <c r="R943" s="58"/>
      <c r="S943" s="12"/>
      <c r="T943" s="12"/>
      <c r="U943" s="12"/>
      <c r="V943" s="12"/>
      <c r="W943" s="12"/>
      <c r="X943" s="12"/>
      <c r="Y943" s="12"/>
      <c r="Z943" s="12"/>
    </row>
    <row r="944" spans="1:26" ht="13.5" customHeight="1">
      <c r="A944" s="634"/>
      <c r="B944" s="105"/>
      <c r="C944" s="145"/>
      <c r="D944" s="145"/>
      <c r="E944" s="145"/>
      <c r="F944" s="145"/>
      <c r="G944" s="145"/>
      <c r="H944" s="145"/>
      <c r="I944" s="17"/>
      <c r="J944" s="682"/>
      <c r="K944" s="93"/>
      <c r="L944" s="93"/>
      <c r="M944" s="682"/>
      <c r="N944" s="93"/>
      <c r="O944" s="682"/>
      <c r="P944" s="57"/>
      <c r="Q944" s="58"/>
      <c r="R944" s="58"/>
      <c r="S944" s="12"/>
      <c r="T944" s="12"/>
      <c r="U944" s="12"/>
      <c r="V944" s="12"/>
      <c r="W944" s="12"/>
      <c r="X944" s="12"/>
      <c r="Y944" s="12"/>
      <c r="Z944" s="12"/>
    </row>
    <row r="945" spans="1:26" ht="13.5" customHeight="1">
      <c r="A945" s="634" t="s">
        <v>736</v>
      </c>
      <c r="B945" s="105" t="s">
        <v>452</v>
      </c>
      <c r="C945" s="192">
        <v>0</v>
      </c>
      <c r="D945" s="192">
        <v>0.59</v>
      </c>
      <c r="E945" s="192">
        <v>0.72</v>
      </c>
      <c r="F945" s="192" t="s">
        <v>2506</v>
      </c>
      <c r="G945" s="192">
        <v>0.55000000000000004</v>
      </c>
      <c r="H945" s="192">
        <v>1</v>
      </c>
      <c r="I945" s="17"/>
      <c r="J945" s="933">
        <v>0.57499999999999996</v>
      </c>
      <c r="K945" s="933">
        <v>0.32</v>
      </c>
      <c r="L945" s="92">
        <v>26.6</v>
      </c>
      <c r="M945" s="940">
        <v>0.33</v>
      </c>
      <c r="N945" s="933">
        <v>0.33700000000000002</v>
      </c>
      <c r="O945" s="692">
        <v>0.14599999999999999</v>
      </c>
      <c r="P945" s="57"/>
      <c r="Q945" s="58"/>
      <c r="R945" s="58"/>
      <c r="S945" s="12"/>
      <c r="T945" s="12"/>
      <c r="U945" s="12"/>
      <c r="V945" s="12"/>
      <c r="W945" s="12"/>
      <c r="X945" s="12"/>
      <c r="Y945" s="12"/>
      <c r="Z945" s="12"/>
    </row>
    <row r="946" spans="1:26" ht="13.5" customHeight="1">
      <c r="A946" s="634"/>
      <c r="B946" s="4"/>
      <c r="C946" s="145"/>
      <c r="D946" s="145"/>
      <c r="E946" s="145"/>
      <c r="F946" s="145"/>
      <c r="G946" s="145"/>
      <c r="H946" s="145"/>
      <c r="I946" s="17"/>
      <c r="J946" s="69"/>
      <c r="K946" s="67"/>
      <c r="L946" s="67"/>
      <c r="M946" s="252"/>
      <c r="N946" s="665"/>
      <c r="O946" s="252"/>
      <c r="P946" s="57"/>
      <c r="Q946" s="58"/>
      <c r="R946" s="58"/>
      <c r="S946" s="12"/>
      <c r="T946" s="12"/>
      <c r="U946" s="12"/>
      <c r="V946" s="12"/>
      <c r="W946" s="12"/>
      <c r="X946" s="12"/>
      <c r="Y946" s="12"/>
      <c r="Z946" s="12"/>
    </row>
    <row r="947" spans="1:26" ht="13.5" customHeight="1">
      <c r="A947" s="634" t="s">
        <v>736</v>
      </c>
      <c r="B947" s="4" t="s">
        <v>453</v>
      </c>
      <c r="C947" s="192">
        <v>0.9</v>
      </c>
      <c r="D947" s="192">
        <v>0.57999999999999996</v>
      </c>
      <c r="E947" s="192">
        <v>0.48</v>
      </c>
      <c r="F947" s="192">
        <v>0</v>
      </c>
      <c r="G947" s="192">
        <v>1</v>
      </c>
      <c r="H947" s="192">
        <v>0.83</v>
      </c>
      <c r="I947" s="53"/>
      <c r="J947" s="895">
        <v>1.3</v>
      </c>
      <c r="K947" s="895">
        <v>2.6</v>
      </c>
      <c r="L947" s="109">
        <v>2.98</v>
      </c>
      <c r="M947" s="726" t="s">
        <v>2507</v>
      </c>
      <c r="N947" s="895">
        <v>0.9</v>
      </c>
      <c r="O947" s="398" t="s">
        <v>2508</v>
      </c>
      <c r="P947" s="57"/>
      <c r="Q947" s="58"/>
      <c r="R947" s="58"/>
      <c r="S947" s="12"/>
      <c r="T947" s="12"/>
      <c r="U947" s="12"/>
      <c r="V947" s="12"/>
      <c r="W947" s="12"/>
      <c r="X947" s="12"/>
      <c r="Y947" s="12"/>
      <c r="Z947" s="12"/>
    </row>
    <row r="948" spans="1:26" ht="13.5" customHeight="1">
      <c r="A948" s="104"/>
      <c r="B948" s="921"/>
      <c r="C948" s="65"/>
      <c r="D948" s="65"/>
      <c r="E948" s="65"/>
      <c r="F948" s="65"/>
      <c r="G948" s="65"/>
      <c r="H948" s="65"/>
      <c r="I948" s="53"/>
      <c r="J948" s="67"/>
      <c r="K948" s="67"/>
      <c r="L948" s="67"/>
      <c r="M948" s="69"/>
      <c r="N948" s="67"/>
      <c r="O948" s="69"/>
      <c r="P948" s="110"/>
      <c r="Q948" s="108"/>
      <c r="R948" s="108"/>
      <c r="S948" s="108"/>
      <c r="T948" s="108"/>
      <c r="U948" s="108"/>
      <c r="V948" s="108"/>
      <c r="W948" s="108"/>
      <c r="X948" s="108"/>
      <c r="Y948" s="108"/>
      <c r="Z948" s="108"/>
    </row>
    <row r="949" spans="1:26" ht="42" customHeight="1">
      <c r="A949" s="537" t="s">
        <v>2509</v>
      </c>
      <c r="B949" s="96" t="s">
        <v>2510</v>
      </c>
      <c r="C949" s="131">
        <f t="shared" ref="C949:H949" si="166">AVERAGE(C950,C977,C986,C995)</f>
        <v>0.74888888888888894</v>
      </c>
      <c r="D949" s="131">
        <f t="shared" si="166"/>
        <v>0.61119444444444448</v>
      </c>
      <c r="E949" s="131">
        <f t="shared" si="166"/>
        <v>0.30049603174603173</v>
      </c>
      <c r="F949" s="131">
        <f t="shared" si="166"/>
        <v>0.52648809523809526</v>
      </c>
      <c r="G949" s="131">
        <f t="shared" si="166"/>
        <v>0.71775793650793651</v>
      </c>
      <c r="H949" s="131">
        <f t="shared" si="166"/>
        <v>0.75</v>
      </c>
      <c r="I949" s="260"/>
      <c r="J949" s="44"/>
      <c r="K949" s="44"/>
      <c r="L949" s="448"/>
      <c r="M949" s="44"/>
      <c r="N949" s="44"/>
      <c r="O949" s="44"/>
      <c r="P949" s="98"/>
      <c r="Q949" s="98"/>
      <c r="R949" s="98"/>
      <c r="S949" s="99"/>
      <c r="T949" s="99"/>
      <c r="U949" s="99"/>
      <c r="V949" s="99"/>
      <c r="W949" s="99"/>
      <c r="X949" s="99"/>
      <c r="Y949" s="99"/>
      <c r="Z949" s="99"/>
    </row>
    <row r="950" spans="1:26" ht="13.5" customHeight="1">
      <c r="A950" s="494" t="s">
        <v>2511</v>
      </c>
      <c r="B950" s="121" t="s">
        <v>2512</v>
      </c>
      <c r="C950" s="240">
        <f t="shared" ref="C950:H950" si="167">AVERAGE(C951,C953,C955,C959,C963,C969,C971,C973,C975)</f>
        <v>0.74555555555555553</v>
      </c>
      <c r="D950" s="240">
        <f t="shared" si="167"/>
        <v>0.56977777777777783</v>
      </c>
      <c r="E950" s="240">
        <f t="shared" si="167"/>
        <v>0.24365079365079367</v>
      </c>
      <c r="F950" s="240">
        <f t="shared" si="167"/>
        <v>0.85595238095238091</v>
      </c>
      <c r="G950" s="240">
        <f t="shared" si="167"/>
        <v>0.74603174603174605</v>
      </c>
      <c r="H950" s="240">
        <f t="shared" si="167"/>
        <v>0.625</v>
      </c>
      <c r="I950" s="53"/>
      <c r="J950" s="56"/>
      <c r="K950" s="56"/>
      <c r="L950" s="56"/>
      <c r="M950" s="56"/>
      <c r="N950" s="56"/>
      <c r="O950" s="56"/>
      <c r="P950" s="101"/>
      <c r="Q950" s="102"/>
      <c r="R950" s="102"/>
      <c r="S950" s="103"/>
      <c r="T950" s="103"/>
      <c r="U950" s="103"/>
      <c r="V950" s="103"/>
      <c r="W950" s="103"/>
      <c r="X950" s="103"/>
      <c r="Y950" s="103"/>
      <c r="Z950" s="103"/>
    </row>
    <row r="951" spans="1:26" ht="94.5" customHeight="1">
      <c r="A951" s="104" t="s">
        <v>736</v>
      </c>
      <c r="B951" s="105" t="s">
        <v>456</v>
      </c>
      <c r="C951" s="899">
        <v>1</v>
      </c>
      <c r="D951" s="899">
        <v>0.5</v>
      </c>
      <c r="E951" s="897">
        <v>0</v>
      </c>
      <c r="F951" s="91">
        <v>1</v>
      </c>
      <c r="G951" s="91">
        <v>1</v>
      </c>
      <c r="H951" s="91">
        <v>0.5</v>
      </c>
      <c r="I951" s="53" t="s">
        <v>457</v>
      </c>
      <c r="J951" s="67" t="s">
        <v>2513</v>
      </c>
      <c r="K951" s="68" t="s">
        <v>2514</v>
      </c>
      <c r="L951" s="281" t="s">
        <v>2515</v>
      </c>
      <c r="M951" s="85" t="s">
        <v>2516</v>
      </c>
      <c r="N951" s="85" t="s">
        <v>2517</v>
      </c>
      <c r="O951" s="67" t="s">
        <v>2518</v>
      </c>
      <c r="P951" s="101"/>
      <c r="Q951" s="107"/>
      <c r="R951" s="107"/>
      <c r="S951" s="108"/>
      <c r="T951" s="108"/>
      <c r="U951" s="108"/>
      <c r="V951" s="108"/>
      <c r="W951" s="108"/>
      <c r="X951" s="108"/>
      <c r="Y951" s="108"/>
      <c r="Z951" s="108"/>
    </row>
    <row r="952" spans="1:26" ht="30" customHeight="1">
      <c r="A952" s="104"/>
      <c r="B952" s="921"/>
      <c r="C952" s="91"/>
      <c r="D952" s="91"/>
      <c r="E952" s="91"/>
      <c r="F952" s="91"/>
      <c r="G952" s="91"/>
      <c r="H952" s="91"/>
      <c r="I952" s="53"/>
      <c r="J952" s="246"/>
      <c r="K952" s="246"/>
      <c r="L952" s="85"/>
      <c r="M952" s="246"/>
      <c r="N952" s="85"/>
      <c r="O952" s="67"/>
      <c r="P952" s="101"/>
      <c r="Q952" s="107"/>
      <c r="R952" s="107"/>
      <c r="S952" s="108"/>
      <c r="T952" s="108"/>
      <c r="U952" s="108"/>
      <c r="V952" s="108"/>
      <c r="W952" s="108"/>
      <c r="X952" s="108"/>
      <c r="Y952" s="108"/>
      <c r="Z952" s="108"/>
    </row>
    <row r="953" spans="1:26" ht="81.75" customHeight="1">
      <c r="A953" s="104" t="s">
        <v>736</v>
      </c>
      <c r="B953" s="105" t="s">
        <v>458</v>
      </c>
      <c r="C953" s="899">
        <v>0.5</v>
      </c>
      <c r="D953" s="91">
        <v>0.5</v>
      </c>
      <c r="E953" s="91">
        <v>0</v>
      </c>
      <c r="F953" s="91">
        <v>1</v>
      </c>
      <c r="G953" s="91">
        <v>0.5</v>
      </c>
      <c r="H953" s="899">
        <v>0.5</v>
      </c>
      <c r="I953" s="53" t="s">
        <v>459</v>
      </c>
      <c r="J953" s="67" t="s">
        <v>2519</v>
      </c>
      <c r="K953" s="89" t="s">
        <v>2520</v>
      </c>
      <c r="L953" s="67" t="s">
        <v>2521</v>
      </c>
      <c r="M953" s="85" t="s">
        <v>2522</v>
      </c>
      <c r="N953" s="85" t="s">
        <v>2523</v>
      </c>
      <c r="O953" s="67" t="s">
        <v>2524</v>
      </c>
      <c r="P953" s="101"/>
      <c r="Q953" s="107"/>
      <c r="R953" s="107"/>
      <c r="S953" s="108"/>
      <c r="T953" s="108"/>
      <c r="U953" s="108"/>
      <c r="V953" s="108"/>
      <c r="W953" s="108"/>
      <c r="X953" s="108"/>
      <c r="Y953" s="108"/>
      <c r="Z953" s="108"/>
    </row>
    <row r="954" spans="1:26" ht="13.5" customHeight="1">
      <c r="A954" s="104"/>
      <c r="B954" s="105"/>
      <c r="C954" s="91"/>
      <c r="D954" s="91"/>
      <c r="E954" s="91"/>
      <c r="F954" s="91"/>
      <c r="G954" s="91"/>
      <c r="H954" s="91"/>
      <c r="I954" s="53"/>
      <c r="J954" s="246"/>
      <c r="K954" s="232"/>
      <c r="L954" s="85"/>
      <c r="M954" s="246"/>
      <c r="N954" s="85"/>
      <c r="O954" s="67"/>
      <c r="P954" s="101"/>
      <c r="Q954" s="107"/>
      <c r="R954" s="107"/>
      <c r="S954" s="108"/>
      <c r="T954" s="108"/>
      <c r="U954" s="108"/>
      <c r="V954" s="108"/>
      <c r="W954" s="108"/>
      <c r="X954" s="108"/>
      <c r="Y954" s="108"/>
      <c r="Z954" s="108"/>
    </row>
    <row r="955" spans="1:26" ht="42" customHeight="1">
      <c r="A955" s="104" t="s">
        <v>736</v>
      </c>
      <c r="B955" s="105" t="s">
        <v>460</v>
      </c>
      <c r="C955" s="91">
        <f t="shared" ref="C955:H955" si="168">AVERAGE(C956:C957)</f>
        <v>0.75</v>
      </c>
      <c r="D955" s="91">
        <f t="shared" si="168"/>
        <v>1</v>
      </c>
      <c r="E955" s="91">
        <f t="shared" si="168"/>
        <v>0</v>
      </c>
      <c r="F955" s="91">
        <f t="shared" si="168"/>
        <v>1</v>
      </c>
      <c r="G955" s="91">
        <f t="shared" si="168"/>
        <v>1</v>
      </c>
      <c r="H955" s="91">
        <f t="shared" si="168"/>
        <v>0.75</v>
      </c>
      <c r="I955" s="53"/>
      <c r="J955" s="246"/>
      <c r="K955" s="232"/>
      <c r="L955" s="67"/>
      <c r="M955" s="246"/>
      <c r="N955" s="85"/>
      <c r="O955" s="67"/>
      <c r="P955" s="101"/>
      <c r="Q955" s="107"/>
      <c r="R955" s="107"/>
      <c r="S955" s="108"/>
      <c r="T955" s="108"/>
      <c r="U955" s="108"/>
      <c r="V955" s="108"/>
      <c r="W955" s="108"/>
      <c r="X955" s="108"/>
      <c r="Y955" s="108"/>
      <c r="Z955" s="108"/>
    </row>
    <row r="956" spans="1:26" ht="41.25" customHeight="1">
      <c r="A956" s="104"/>
      <c r="B956" s="921" t="s">
        <v>461</v>
      </c>
      <c r="C956" s="91">
        <v>1</v>
      </c>
      <c r="D956" s="91">
        <v>1</v>
      </c>
      <c r="E956" s="91">
        <v>0</v>
      </c>
      <c r="F956" s="91">
        <v>1</v>
      </c>
      <c r="G956" s="899">
        <v>1</v>
      </c>
      <c r="H956" s="899">
        <v>0.5</v>
      </c>
      <c r="I956" s="53" t="s">
        <v>462</v>
      </c>
      <c r="J956" s="85" t="s">
        <v>2525</v>
      </c>
      <c r="K956" s="147" t="s">
        <v>2526</v>
      </c>
      <c r="L956" s="270" t="s">
        <v>2527</v>
      </c>
      <c r="M956" s="85" t="s">
        <v>2528</v>
      </c>
      <c r="N956" s="85" t="s">
        <v>2529</v>
      </c>
      <c r="O956" s="67" t="s">
        <v>2530</v>
      </c>
      <c r="P956" s="101"/>
      <c r="Q956" s="107"/>
      <c r="R956" s="107"/>
      <c r="S956" s="108"/>
      <c r="T956" s="108"/>
      <c r="U956" s="108"/>
      <c r="V956" s="108"/>
      <c r="W956" s="108"/>
      <c r="X956" s="108"/>
      <c r="Y956" s="108"/>
      <c r="Z956" s="108"/>
    </row>
    <row r="957" spans="1:26" ht="64.5" customHeight="1">
      <c r="A957" s="104"/>
      <c r="B957" s="921" t="s">
        <v>463</v>
      </c>
      <c r="C957" s="91">
        <v>0.5</v>
      </c>
      <c r="D957" s="91">
        <v>1</v>
      </c>
      <c r="E957" s="91">
        <v>0</v>
      </c>
      <c r="F957" s="91">
        <v>1</v>
      </c>
      <c r="G957" s="899">
        <v>1</v>
      </c>
      <c r="H957" s="899">
        <v>1</v>
      </c>
      <c r="I957" s="53" t="s">
        <v>462</v>
      </c>
      <c r="J957" s="67" t="s">
        <v>2531</v>
      </c>
      <c r="K957" s="147" t="s">
        <v>2532</v>
      </c>
      <c r="L957" s="281" t="s">
        <v>2533</v>
      </c>
      <c r="M957" s="67" t="s">
        <v>2534</v>
      </c>
      <c r="N957" s="71" t="s">
        <v>2535</v>
      </c>
      <c r="O957" s="67" t="s">
        <v>2536</v>
      </c>
      <c r="P957" s="101"/>
      <c r="Q957" s="107"/>
      <c r="R957" s="107"/>
      <c r="S957" s="108"/>
      <c r="T957" s="108"/>
      <c r="U957" s="108"/>
      <c r="V957" s="108"/>
      <c r="W957" s="108"/>
      <c r="X957" s="108"/>
      <c r="Y957" s="108"/>
      <c r="Z957" s="108"/>
    </row>
    <row r="958" spans="1:26" ht="30" customHeight="1">
      <c r="A958" s="104"/>
      <c r="B958" s="921"/>
      <c r="C958" s="91"/>
      <c r="D958" s="91"/>
      <c r="E958" s="91"/>
      <c r="F958" s="91"/>
      <c r="G958" s="91"/>
      <c r="H958" s="91"/>
      <c r="I958" s="53"/>
      <c r="J958" s="282"/>
      <c r="K958" s="232"/>
      <c r="L958" s="85"/>
      <c r="M958" s="246"/>
      <c r="N958" s="85"/>
      <c r="O958" s="67"/>
      <c r="P958" s="101"/>
      <c r="Q958" s="107"/>
      <c r="R958" s="107"/>
      <c r="S958" s="108"/>
      <c r="T958" s="108"/>
      <c r="U958" s="108"/>
      <c r="V958" s="108"/>
      <c r="W958" s="108"/>
      <c r="X958" s="108"/>
      <c r="Y958" s="108"/>
      <c r="Z958" s="108"/>
    </row>
    <row r="959" spans="1:26" ht="27.75" customHeight="1">
      <c r="A959" s="104" t="s">
        <v>736</v>
      </c>
      <c r="B959" s="105" t="s">
        <v>464</v>
      </c>
      <c r="C959" s="91">
        <f t="shared" ref="C959:H959" si="169">AVERAGE(C960:C961)</f>
        <v>0.5</v>
      </c>
      <c r="D959" s="91">
        <f t="shared" si="169"/>
        <v>1</v>
      </c>
      <c r="E959" s="91">
        <f t="shared" si="169"/>
        <v>0</v>
      </c>
      <c r="F959" s="91">
        <f t="shared" si="169"/>
        <v>1</v>
      </c>
      <c r="G959" s="91">
        <f t="shared" si="169"/>
        <v>1</v>
      </c>
      <c r="H959" s="91">
        <f t="shared" si="169"/>
        <v>0.5</v>
      </c>
      <c r="I959" s="53"/>
      <c r="J959" s="246"/>
      <c r="K959" s="232"/>
      <c r="L959" s="85"/>
      <c r="M959" s="246"/>
      <c r="N959" s="85"/>
      <c r="O959" s="67"/>
      <c r="P959" s="101"/>
      <c r="Q959" s="107"/>
      <c r="R959" s="107"/>
      <c r="S959" s="108"/>
      <c r="T959" s="108"/>
      <c r="U959" s="108"/>
      <c r="V959" s="108"/>
      <c r="W959" s="108"/>
      <c r="X959" s="108"/>
      <c r="Y959" s="108"/>
      <c r="Z959" s="108"/>
    </row>
    <row r="960" spans="1:26" ht="66.75" customHeight="1">
      <c r="A960" s="104"/>
      <c r="B960" s="921" t="s">
        <v>465</v>
      </c>
      <c r="C960" s="899">
        <v>0.5</v>
      </c>
      <c r="D960" s="897">
        <v>1</v>
      </c>
      <c r="E960" s="899">
        <v>0</v>
      </c>
      <c r="F960" s="899">
        <v>1</v>
      </c>
      <c r="G960" s="899">
        <v>1</v>
      </c>
      <c r="H960" s="899">
        <v>0.5</v>
      </c>
      <c r="I960" s="53" t="s">
        <v>466</v>
      </c>
      <c r="J960" s="85" t="s">
        <v>2537</v>
      </c>
      <c r="K960" s="71" t="s">
        <v>2538</v>
      </c>
      <c r="L960" s="85" t="s">
        <v>2539</v>
      </c>
      <c r="M960" s="71" t="s">
        <v>2540</v>
      </c>
      <c r="N960" s="71" t="s">
        <v>2541</v>
      </c>
      <c r="O960" s="67" t="s">
        <v>2542</v>
      </c>
      <c r="P960" s="101"/>
      <c r="Q960" s="107"/>
      <c r="R960" s="107"/>
      <c r="S960" s="108"/>
      <c r="T960" s="108"/>
      <c r="U960" s="108"/>
      <c r="V960" s="108"/>
      <c r="W960" s="108"/>
      <c r="X960" s="108"/>
      <c r="Y960" s="108"/>
      <c r="Z960" s="108"/>
    </row>
    <row r="961" spans="1:26" ht="63" customHeight="1">
      <c r="A961" s="104"/>
      <c r="B961" s="921" t="s">
        <v>467</v>
      </c>
      <c r="C961" s="897" t="s">
        <v>877</v>
      </c>
      <c r="D961" s="897" t="s">
        <v>877</v>
      </c>
      <c r="E961" s="897" t="s">
        <v>877</v>
      </c>
      <c r="F961" s="897" t="s">
        <v>877</v>
      </c>
      <c r="G961" s="897" t="s">
        <v>877</v>
      </c>
      <c r="H961" s="897" t="s">
        <v>877</v>
      </c>
      <c r="I961" s="53"/>
      <c r="J961" s="67" t="s">
        <v>2543</v>
      </c>
      <c r="K961" s="232" t="s">
        <v>877</v>
      </c>
      <c r="L961" s="232" t="s">
        <v>2544</v>
      </c>
      <c r="M961" s="176" t="s">
        <v>2545</v>
      </c>
      <c r="N961" s="71" t="s">
        <v>2546</v>
      </c>
      <c r="O961" s="232" t="s">
        <v>2544</v>
      </c>
      <c r="P961" s="101"/>
      <c r="Q961" s="107"/>
      <c r="R961" s="107"/>
      <c r="S961" s="108"/>
      <c r="T961" s="108"/>
      <c r="U961" s="108"/>
      <c r="V961" s="108"/>
      <c r="W961" s="108"/>
      <c r="X961" s="108"/>
      <c r="Y961" s="108"/>
      <c r="Z961" s="108"/>
    </row>
    <row r="962" spans="1:26" ht="24.75" customHeight="1">
      <c r="A962" s="104"/>
      <c r="B962" s="105"/>
      <c r="C962" s="91"/>
      <c r="D962" s="91"/>
      <c r="E962" s="91"/>
      <c r="F962" s="91"/>
      <c r="G962" s="91"/>
      <c r="H962" s="91"/>
      <c r="I962" s="53"/>
      <c r="J962" s="246"/>
      <c r="K962" s="232"/>
      <c r="L962" s="85"/>
      <c r="M962" s="67"/>
      <c r="N962" s="71"/>
      <c r="O962" s="67"/>
      <c r="P962" s="101"/>
      <c r="Q962" s="107"/>
      <c r="R962" s="107"/>
      <c r="S962" s="108"/>
      <c r="T962" s="108"/>
      <c r="U962" s="108"/>
      <c r="V962" s="108"/>
      <c r="W962" s="108"/>
      <c r="X962" s="108"/>
      <c r="Y962" s="108"/>
      <c r="Z962" s="108"/>
    </row>
    <row r="963" spans="1:26" ht="79.5" customHeight="1">
      <c r="A963" s="925" t="s">
        <v>736</v>
      </c>
      <c r="B963" s="105" t="s">
        <v>468</v>
      </c>
      <c r="C963" s="899">
        <f t="shared" ref="C963:H963" si="170">AVERAGE(C964:C967)</f>
        <v>1</v>
      </c>
      <c r="D963" s="899">
        <f t="shared" si="170"/>
        <v>0.5</v>
      </c>
      <c r="E963" s="899">
        <f t="shared" si="170"/>
        <v>0.25</v>
      </c>
      <c r="F963" s="899">
        <f t="shared" si="170"/>
        <v>0.875</v>
      </c>
      <c r="G963" s="899">
        <f t="shared" si="170"/>
        <v>0.5</v>
      </c>
      <c r="H963" s="899">
        <f t="shared" si="170"/>
        <v>0.375</v>
      </c>
      <c r="I963" s="919"/>
      <c r="J963" s="67" t="s">
        <v>2547</v>
      </c>
      <c r="K963" s="176"/>
      <c r="L963" s="71"/>
      <c r="M963" s="90"/>
      <c r="N963" s="71"/>
      <c r="O963" s="67"/>
      <c r="P963" s="101"/>
      <c r="Q963" s="107"/>
      <c r="R963" s="107"/>
      <c r="S963" s="108"/>
      <c r="T963" s="108"/>
      <c r="U963" s="108"/>
      <c r="V963" s="108"/>
      <c r="W963" s="108"/>
      <c r="X963" s="108"/>
      <c r="Y963" s="108"/>
      <c r="Z963" s="108"/>
    </row>
    <row r="964" spans="1:26" ht="39" customHeight="1">
      <c r="A964" s="925"/>
      <c r="B964" s="921" t="s">
        <v>469</v>
      </c>
      <c r="C964" s="899">
        <v>1</v>
      </c>
      <c r="D964" s="899">
        <v>0.5</v>
      </c>
      <c r="E964" s="899">
        <v>0</v>
      </c>
      <c r="F964" s="899">
        <v>1</v>
      </c>
      <c r="G964" s="899">
        <v>0.5</v>
      </c>
      <c r="H964" s="899">
        <v>0</v>
      </c>
      <c r="I964" s="919" t="s">
        <v>462</v>
      </c>
      <c r="J964" s="67" t="s">
        <v>2548</v>
      </c>
      <c r="K964" s="67" t="s">
        <v>2549</v>
      </c>
      <c r="L964" s="67" t="s">
        <v>2550</v>
      </c>
      <c r="M964" s="71" t="s">
        <v>2551</v>
      </c>
      <c r="N964" s="71" t="s">
        <v>2552</v>
      </c>
      <c r="O964" s="67" t="s">
        <v>2553</v>
      </c>
      <c r="P964" s="101"/>
      <c r="Q964" s="107"/>
      <c r="R964" s="107"/>
      <c r="S964" s="108"/>
      <c r="T964" s="108"/>
      <c r="U964" s="108"/>
      <c r="V964" s="108"/>
      <c r="W964" s="108"/>
      <c r="X964" s="108"/>
      <c r="Y964" s="108"/>
      <c r="Z964" s="108"/>
    </row>
    <row r="965" spans="1:26" ht="42.75" customHeight="1">
      <c r="A965" s="925"/>
      <c r="B965" s="921" t="s">
        <v>470</v>
      </c>
      <c r="C965" s="899">
        <v>1</v>
      </c>
      <c r="D965" s="899">
        <v>0.5</v>
      </c>
      <c r="E965" s="899">
        <v>0</v>
      </c>
      <c r="F965" s="899">
        <v>1</v>
      </c>
      <c r="G965" s="899">
        <v>0.5</v>
      </c>
      <c r="H965" s="899">
        <v>0.5</v>
      </c>
      <c r="I965" s="919" t="s">
        <v>462</v>
      </c>
      <c r="J965" s="67" t="s">
        <v>2554</v>
      </c>
      <c r="K965" s="67" t="s">
        <v>2555</v>
      </c>
      <c r="L965" s="67" t="s">
        <v>2556</v>
      </c>
      <c r="M965" s="67" t="s">
        <v>2557</v>
      </c>
      <c r="N965" s="71" t="s">
        <v>2558</v>
      </c>
      <c r="O965" s="67" t="s">
        <v>2559</v>
      </c>
      <c r="P965" s="101"/>
      <c r="Q965" s="107"/>
      <c r="R965" s="107"/>
      <c r="S965" s="108"/>
      <c r="T965" s="108"/>
      <c r="U965" s="108"/>
      <c r="V965" s="108"/>
      <c r="W965" s="108"/>
      <c r="X965" s="108"/>
      <c r="Y965" s="108"/>
      <c r="Z965" s="108"/>
    </row>
    <row r="966" spans="1:26" ht="38.25" customHeight="1">
      <c r="A966" s="925"/>
      <c r="B966" s="921" t="s">
        <v>471</v>
      </c>
      <c r="C966" s="899">
        <v>1</v>
      </c>
      <c r="D966" s="899">
        <v>0.5</v>
      </c>
      <c r="E966" s="899">
        <v>0.5</v>
      </c>
      <c r="F966" s="899">
        <v>0.5</v>
      </c>
      <c r="G966" s="899">
        <v>0.5</v>
      </c>
      <c r="H966" s="899">
        <v>0.5</v>
      </c>
      <c r="I966" s="919"/>
      <c r="J966" s="67" t="s">
        <v>2560</v>
      </c>
      <c r="K966" s="67" t="s">
        <v>2561</v>
      </c>
      <c r="L966" s="67" t="s">
        <v>2562</v>
      </c>
      <c r="M966" s="71" t="s">
        <v>2563</v>
      </c>
      <c r="N966" s="71" t="s">
        <v>2564</v>
      </c>
      <c r="O966" s="67" t="s">
        <v>2565</v>
      </c>
      <c r="P966" s="101"/>
      <c r="Q966" s="107"/>
      <c r="R966" s="107"/>
      <c r="S966" s="108"/>
      <c r="T966" s="108"/>
      <c r="U966" s="108"/>
      <c r="V966" s="108"/>
      <c r="W966" s="108"/>
      <c r="X966" s="108"/>
      <c r="Y966" s="108"/>
      <c r="Z966" s="108"/>
    </row>
    <row r="967" spans="1:26" ht="30.75" customHeight="1">
      <c r="A967" s="925"/>
      <c r="B967" s="921" t="s">
        <v>472</v>
      </c>
      <c r="C967" s="899">
        <v>1</v>
      </c>
      <c r="D967" s="899">
        <v>0.5</v>
      </c>
      <c r="E967" s="899">
        <v>0.5</v>
      </c>
      <c r="F967" s="899">
        <v>1</v>
      </c>
      <c r="G967" s="899">
        <v>0.5</v>
      </c>
      <c r="H967" s="899">
        <v>0.5</v>
      </c>
      <c r="I967" s="919" t="s">
        <v>462</v>
      </c>
      <c r="J967" s="67" t="s">
        <v>2566</v>
      </c>
      <c r="K967" s="67" t="s">
        <v>2567</v>
      </c>
      <c r="L967" s="67" t="s">
        <v>2568</v>
      </c>
      <c r="M967" s="284" t="s">
        <v>2569</v>
      </c>
      <c r="N967" s="71" t="s">
        <v>2558</v>
      </c>
      <c r="O967" s="67" t="s">
        <v>2570</v>
      </c>
      <c r="P967" s="101"/>
      <c r="Q967" s="107"/>
      <c r="R967" s="107"/>
      <c r="S967" s="108"/>
      <c r="T967" s="108"/>
      <c r="U967" s="108"/>
      <c r="V967" s="108"/>
      <c r="W967" s="108"/>
      <c r="X967" s="108"/>
      <c r="Y967" s="108"/>
      <c r="Z967" s="108"/>
    </row>
    <row r="968" spans="1:26" ht="27.75" customHeight="1">
      <c r="A968" s="925"/>
      <c r="B968" s="921"/>
      <c r="C968" s="899"/>
      <c r="D968" s="899"/>
      <c r="E968" s="899"/>
      <c r="F968" s="899"/>
      <c r="G968" s="899"/>
      <c r="H968" s="899"/>
      <c r="I968" s="919"/>
      <c r="J968" s="90"/>
      <c r="K968" s="176"/>
      <c r="L968" s="67"/>
      <c r="M968" s="90"/>
      <c r="N968" s="71"/>
      <c r="O968" s="67"/>
      <c r="P968" s="101"/>
      <c r="Q968" s="107"/>
      <c r="R968" s="107"/>
      <c r="S968" s="108"/>
      <c r="T968" s="108"/>
      <c r="U968" s="108"/>
      <c r="V968" s="108"/>
      <c r="W968" s="108"/>
      <c r="X968" s="108"/>
      <c r="Y968" s="108"/>
      <c r="Z968" s="108"/>
    </row>
    <row r="969" spans="1:26" ht="68.25" customHeight="1">
      <c r="A969" s="925" t="s">
        <v>736</v>
      </c>
      <c r="B969" s="105" t="s">
        <v>2571</v>
      </c>
      <c r="C969" s="899">
        <v>1</v>
      </c>
      <c r="D969" s="899">
        <v>0</v>
      </c>
      <c r="E969" s="899">
        <v>0.5</v>
      </c>
      <c r="F969" s="899">
        <v>1</v>
      </c>
      <c r="G969" s="899">
        <v>0.5</v>
      </c>
      <c r="H969" s="899">
        <v>1</v>
      </c>
      <c r="I969" s="923" t="s">
        <v>474</v>
      </c>
      <c r="J969" s="67" t="s">
        <v>2572</v>
      </c>
      <c r="K969" s="67" t="s">
        <v>2573</v>
      </c>
      <c r="L969" s="270" t="s">
        <v>2574</v>
      </c>
      <c r="M969" s="67" t="s">
        <v>2575</v>
      </c>
      <c r="N969" s="71" t="s">
        <v>2576</v>
      </c>
      <c r="O969" s="67" t="s">
        <v>2577</v>
      </c>
      <c r="P969" s="101"/>
      <c r="Q969" s="107"/>
      <c r="R969" s="107"/>
      <c r="S969" s="108"/>
      <c r="T969" s="108"/>
      <c r="U969" s="108"/>
      <c r="V969" s="108"/>
      <c r="W969" s="108"/>
      <c r="X969" s="108"/>
      <c r="Y969" s="108"/>
      <c r="Z969" s="108"/>
    </row>
    <row r="970" spans="1:26" ht="13.5" customHeight="1">
      <c r="A970" s="104"/>
      <c r="B970" s="105"/>
      <c r="C970" s="91"/>
      <c r="D970" s="91"/>
      <c r="E970" s="91"/>
      <c r="F970" s="91"/>
      <c r="G970" s="91"/>
      <c r="H970" s="285"/>
      <c r="I970" s="53"/>
      <c r="J970" s="246"/>
      <c r="K970" s="232"/>
      <c r="L970" s="85"/>
      <c r="M970" s="246"/>
      <c r="N970" s="85"/>
      <c r="O970" s="67"/>
      <c r="P970" s="101"/>
      <c r="Q970" s="107"/>
      <c r="R970" s="107"/>
      <c r="S970" s="108"/>
      <c r="T970" s="108"/>
      <c r="U970" s="108"/>
      <c r="V970" s="108"/>
      <c r="W970" s="108"/>
      <c r="X970" s="108"/>
      <c r="Y970" s="108"/>
      <c r="Z970" s="108"/>
    </row>
    <row r="971" spans="1:26" ht="111.75" customHeight="1">
      <c r="A971" s="104" t="s">
        <v>736</v>
      </c>
      <c r="B971" s="105" t="s">
        <v>2578</v>
      </c>
      <c r="C971" s="91">
        <f>0.0336/0.035</f>
        <v>0.95999999999999985</v>
      </c>
      <c r="D971" s="91">
        <f>0.02198/0.035</f>
        <v>0.62799999999999989</v>
      </c>
      <c r="E971" s="91">
        <f>0.033/0.035</f>
        <v>0.94285714285714284</v>
      </c>
      <c r="F971" s="91">
        <f>0.029/0.035</f>
        <v>0.82857142857142851</v>
      </c>
      <c r="G971" s="91">
        <f>0.025/0.035</f>
        <v>0.7142857142857143</v>
      </c>
      <c r="H971" s="91">
        <f>0.035/0.035</f>
        <v>1</v>
      </c>
      <c r="I971" s="53" t="s">
        <v>476</v>
      </c>
      <c r="J971" s="67" t="s">
        <v>2579</v>
      </c>
      <c r="K971" s="67" t="s">
        <v>2580</v>
      </c>
      <c r="L971" s="85" t="s">
        <v>2581</v>
      </c>
      <c r="M971" s="71" t="s">
        <v>2582</v>
      </c>
      <c r="N971" s="67" t="s">
        <v>2583</v>
      </c>
      <c r="O971" s="67" t="s">
        <v>2584</v>
      </c>
      <c r="P971" s="101"/>
      <c r="Q971" s="107"/>
      <c r="R971" s="107"/>
      <c r="S971" s="108"/>
      <c r="T971" s="108"/>
      <c r="U971" s="108"/>
      <c r="V971" s="108"/>
      <c r="W971" s="108"/>
      <c r="X971" s="108"/>
      <c r="Y971" s="108"/>
      <c r="Z971" s="108"/>
    </row>
    <row r="972" spans="1:26" ht="13.5" customHeight="1">
      <c r="A972" s="104"/>
      <c r="B972" s="921"/>
      <c r="C972" s="941"/>
      <c r="D972" s="286"/>
      <c r="E972" s="287"/>
      <c r="F972" s="286"/>
      <c r="G972" s="286"/>
      <c r="H972" s="286"/>
      <c r="I972" s="53"/>
      <c r="J972" s="246"/>
      <c r="K972" s="232"/>
      <c r="L972" s="85"/>
      <c r="M972" s="246"/>
      <c r="N972" s="85"/>
      <c r="O972" s="289"/>
      <c r="P972" s="101"/>
      <c r="Q972" s="107"/>
      <c r="R972" s="107"/>
      <c r="S972" s="108"/>
      <c r="T972" s="108"/>
      <c r="U972" s="108"/>
      <c r="V972" s="108"/>
      <c r="W972" s="108"/>
      <c r="X972" s="108"/>
      <c r="Y972" s="108"/>
      <c r="Z972" s="108"/>
    </row>
    <row r="973" spans="1:26" ht="110.25" customHeight="1">
      <c r="A973" s="925" t="s">
        <v>736</v>
      </c>
      <c r="B973" s="105" t="s">
        <v>477</v>
      </c>
      <c r="C973" s="899">
        <v>0.5</v>
      </c>
      <c r="D973" s="899">
        <v>1</v>
      </c>
      <c r="E973" s="899">
        <v>0.5</v>
      </c>
      <c r="F973" s="899">
        <v>1</v>
      </c>
      <c r="G973" s="899">
        <v>1</v>
      </c>
      <c r="H973" s="899">
        <v>1</v>
      </c>
      <c r="I973" s="919" t="s">
        <v>462</v>
      </c>
      <c r="J973" s="67" t="s">
        <v>2585</v>
      </c>
      <c r="K973" s="71" t="s">
        <v>2586</v>
      </c>
      <c r="L973" s="67" t="s">
        <v>2587</v>
      </c>
      <c r="M973" s="67" t="s">
        <v>2588</v>
      </c>
      <c r="N973" s="71" t="s">
        <v>2589</v>
      </c>
      <c r="O973" s="67" t="s">
        <v>2590</v>
      </c>
      <c r="P973" s="101"/>
      <c r="Q973" s="107"/>
      <c r="R973" s="107"/>
      <c r="S973" s="108"/>
      <c r="T973" s="108"/>
      <c r="U973" s="108"/>
      <c r="V973" s="108"/>
      <c r="W973" s="108"/>
      <c r="X973" s="108"/>
      <c r="Y973" s="108"/>
      <c r="Z973" s="108"/>
    </row>
    <row r="974" spans="1:26" ht="19.5" customHeight="1">
      <c r="A974" s="925"/>
      <c r="B974" s="105"/>
      <c r="C974" s="69"/>
      <c r="D974" s="899"/>
      <c r="E974" s="899"/>
      <c r="F974" s="899"/>
      <c r="G974" s="899"/>
      <c r="H974" s="899"/>
      <c r="I974" s="919"/>
      <c r="J974" s="67"/>
      <c r="K974" s="67"/>
      <c r="L974" s="71"/>
      <c r="M974" s="90"/>
      <c r="N974" s="71"/>
      <c r="O974" s="67"/>
      <c r="P974" s="101"/>
      <c r="Q974" s="107"/>
      <c r="R974" s="107"/>
      <c r="S974" s="108"/>
      <c r="T974" s="108"/>
      <c r="U974" s="108"/>
      <c r="V974" s="108"/>
      <c r="W974" s="108"/>
      <c r="X974" s="108"/>
      <c r="Y974" s="108"/>
      <c r="Z974" s="108"/>
    </row>
    <row r="975" spans="1:26" ht="81.75" customHeight="1">
      <c r="A975" s="925" t="s">
        <v>736</v>
      </c>
      <c r="B975" s="105" t="s">
        <v>478</v>
      </c>
      <c r="C975" s="899">
        <v>0.5</v>
      </c>
      <c r="D975" s="899">
        <v>0</v>
      </c>
      <c r="E975" s="899">
        <v>0</v>
      </c>
      <c r="F975" s="899">
        <v>0</v>
      </c>
      <c r="G975" s="899">
        <v>0.5</v>
      </c>
      <c r="H975" s="899">
        <v>0</v>
      </c>
      <c r="I975" s="919" t="s">
        <v>462</v>
      </c>
      <c r="J975" s="67" t="s">
        <v>2591</v>
      </c>
      <c r="K975" s="67" t="s">
        <v>2592</v>
      </c>
      <c r="L975" s="71" t="s">
        <v>748</v>
      </c>
      <c r="M975" s="67" t="s">
        <v>2593</v>
      </c>
      <c r="N975" s="71" t="s">
        <v>2594</v>
      </c>
      <c r="O975" s="71" t="s">
        <v>748</v>
      </c>
      <c r="P975" s="101"/>
      <c r="Q975" s="107"/>
      <c r="R975" s="107"/>
      <c r="S975" s="108"/>
      <c r="T975" s="108"/>
      <c r="U975" s="108"/>
      <c r="V975" s="108"/>
      <c r="W975" s="108"/>
      <c r="X975" s="108"/>
      <c r="Y975" s="108"/>
      <c r="Z975" s="108"/>
    </row>
    <row r="976" spans="1:26" ht="14.25" customHeight="1">
      <c r="A976" s="104"/>
      <c r="B976" s="105"/>
      <c r="C976" s="908"/>
      <c r="D976" s="908"/>
      <c r="E976" s="908"/>
      <c r="F976" s="908"/>
      <c r="G976" s="908"/>
      <c r="H976" s="87"/>
      <c r="I976" s="53"/>
      <c r="J976" s="290"/>
      <c r="K976" s="290"/>
      <c r="L976" s="85"/>
      <c r="M976" s="67"/>
      <c r="N976" s="259"/>
      <c r="O976" s="85"/>
      <c r="P976" s="101"/>
      <c r="Q976" s="107"/>
      <c r="R976" s="107"/>
      <c r="S976" s="108"/>
      <c r="T976" s="108"/>
      <c r="U976" s="108"/>
      <c r="V976" s="108"/>
      <c r="W976" s="108"/>
      <c r="X976" s="108"/>
      <c r="Y976" s="108"/>
      <c r="Z976" s="108"/>
    </row>
    <row r="977" spans="1:26" ht="13.5" customHeight="1">
      <c r="A977" s="494" t="s">
        <v>2595</v>
      </c>
      <c r="B977" s="121" t="s">
        <v>479</v>
      </c>
      <c r="C977" s="72">
        <f t="shared" ref="C977:H977" si="171">AVERAGE(C978,C980,C982,C984)</f>
        <v>0.75</v>
      </c>
      <c r="D977" s="72">
        <f t="shared" si="171"/>
        <v>0.75</v>
      </c>
      <c r="E977" s="72">
        <f t="shared" si="171"/>
        <v>0.33333333333333331</v>
      </c>
      <c r="F977" s="72">
        <f t="shared" si="171"/>
        <v>0.375</v>
      </c>
      <c r="G977" s="72">
        <f t="shared" si="171"/>
        <v>0.75</v>
      </c>
      <c r="H977" s="72">
        <f t="shared" si="171"/>
        <v>0.75</v>
      </c>
      <c r="I977" s="53"/>
      <c r="J977" s="56"/>
      <c r="K977" s="139"/>
      <c r="L977" s="139"/>
      <c r="M977" s="139"/>
      <c r="N977" s="139"/>
      <c r="O977" s="139"/>
      <c r="P977" s="98"/>
      <c r="Q977" s="171"/>
      <c r="R977" s="171"/>
      <c r="S977" s="172"/>
      <c r="T977" s="172"/>
      <c r="U977" s="172"/>
      <c r="V977" s="172"/>
      <c r="W977" s="172"/>
      <c r="X977" s="172"/>
      <c r="Y977" s="172"/>
      <c r="Z977" s="172"/>
    </row>
    <row r="978" spans="1:26" ht="57.75" customHeight="1">
      <c r="A978" s="104" t="s">
        <v>736</v>
      </c>
      <c r="B978" s="105" t="s">
        <v>480</v>
      </c>
      <c r="C978" s="91">
        <v>1</v>
      </c>
      <c r="D978" s="91">
        <v>1</v>
      </c>
      <c r="E978" s="91">
        <v>0</v>
      </c>
      <c r="F978" s="899">
        <v>0</v>
      </c>
      <c r="G978" s="91">
        <v>1</v>
      </c>
      <c r="H978" s="91">
        <v>1</v>
      </c>
      <c r="I978" s="53" t="s">
        <v>481</v>
      </c>
      <c r="J978" s="71" t="s">
        <v>2596</v>
      </c>
      <c r="K978" s="67" t="s">
        <v>811</v>
      </c>
      <c r="L978" s="67" t="s">
        <v>2597</v>
      </c>
      <c r="M978" s="67" t="s">
        <v>2598</v>
      </c>
      <c r="N978" s="67" t="s">
        <v>2599</v>
      </c>
      <c r="O978" s="67" t="s">
        <v>2600</v>
      </c>
      <c r="P978" s="101"/>
      <c r="Q978" s="107"/>
      <c r="R978" s="107"/>
      <c r="S978" s="108"/>
      <c r="T978" s="108"/>
      <c r="U978" s="108"/>
      <c r="V978" s="108"/>
      <c r="W978" s="108"/>
      <c r="X978" s="108"/>
      <c r="Y978" s="108"/>
      <c r="Z978" s="108"/>
    </row>
    <row r="979" spans="1:26" ht="29.25" customHeight="1">
      <c r="A979" s="104"/>
      <c r="B979" s="105"/>
      <c r="C979" s="292"/>
      <c r="D979" s="292"/>
      <c r="E979" s="293"/>
      <c r="F979" s="91"/>
      <c r="G979" s="91"/>
      <c r="H979" s="91"/>
      <c r="I979" s="53"/>
      <c r="J979" s="67"/>
      <c r="K979" s="67"/>
      <c r="L979" s="67"/>
      <c r="M979" s="67"/>
      <c r="N979" s="67"/>
      <c r="O979" s="67"/>
      <c r="P979" s="101"/>
      <c r="Q979" s="107"/>
      <c r="R979" s="107"/>
      <c r="S979" s="108"/>
      <c r="T979" s="108"/>
      <c r="U979" s="108"/>
      <c r="V979" s="108"/>
      <c r="W979" s="108"/>
      <c r="X979" s="108"/>
      <c r="Y979" s="108"/>
      <c r="Z979" s="108"/>
    </row>
    <row r="980" spans="1:26" ht="98.25" customHeight="1">
      <c r="A980" s="104" t="s">
        <v>736</v>
      </c>
      <c r="B980" s="105" t="s">
        <v>482</v>
      </c>
      <c r="C980" s="91">
        <v>1</v>
      </c>
      <c r="D980" s="91">
        <v>1</v>
      </c>
      <c r="E980" s="899" t="s">
        <v>1073</v>
      </c>
      <c r="F980" s="899">
        <v>1</v>
      </c>
      <c r="G980" s="91">
        <v>1</v>
      </c>
      <c r="H980" s="91">
        <v>1</v>
      </c>
      <c r="I980" s="53" t="s">
        <v>123</v>
      </c>
      <c r="J980" s="67" t="s">
        <v>2601</v>
      </c>
      <c r="K980" s="67" t="s">
        <v>811</v>
      </c>
      <c r="L980" s="67" t="s">
        <v>2602</v>
      </c>
      <c r="M980" s="67" t="s">
        <v>948</v>
      </c>
      <c r="N980" s="147" t="s">
        <v>2603</v>
      </c>
      <c r="O980" s="67" t="s">
        <v>811</v>
      </c>
      <c r="P980" s="101"/>
      <c r="Q980" s="107"/>
      <c r="R980" s="107"/>
      <c r="S980" s="108"/>
      <c r="T980" s="108"/>
      <c r="U980" s="108"/>
      <c r="V980" s="108"/>
      <c r="W980" s="108"/>
      <c r="X980" s="108"/>
      <c r="Y980" s="108"/>
      <c r="Z980" s="108"/>
    </row>
    <row r="981" spans="1:26" ht="13.5" customHeight="1">
      <c r="A981" s="104"/>
      <c r="B981" s="105"/>
      <c r="C981" s="91"/>
      <c r="D981" s="91"/>
      <c r="E981" s="91"/>
      <c r="F981" s="91"/>
      <c r="G981" s="91"/>
      <c r="H981" s="91"/>
      <c r="I981" s="53"/>
      <c r="J981" s="67"/>
      <c r="K981" s="67"/>
      <c r="L981" s="67"/>
      <c r="M981" s="67"/>
      <c r="N981" s="106"/>
      <c r="O981" s="67"/>
      <c r="P981" s="101"/>
      <c r="Q981" s="107"/>
      <c r="R981" s="107"/>
      <c r="S981" s="108"/>
      <c r="T981" s="108"/>
      <c r="U981" s="108"/>
      <c r="V981" s="108"/>
      <c r="W981" s="108"/>
      <c r="X981" s="108"/>
      <c r="Y981" s="108"/>
      <c r="Z981" s="108"/>
    </row>
    <row r="982" spans="1:26" ht="81" customHeight="1">
      <c r="A982" s="104" t="s">
        <v>736</v>
      </c>
      <c r="B982" s="105" t="s">
        <v>483</v>
      </c>
      <c r="C982" s="91">
        <v>1</v>
      </c>
      <c r="D982" s="91">
        <v>1</v>
      </c>
      <c r="E982" s="91">
        <v>1</v>
      </c>
      <c r="F982" s="91">
        <v>0.5</v>
      </c>
      <c r="G982" s="91">
        <v>1</v>
      </c>
      <c r="H982" s="91">
        <v>1</v>
      </c>
      <c r="I982" s="53" t="s">
        <v>484</v>
      </c>
      <c r="J982" s="67" t="s">
        <v>2604</v>
      </c>
      <c r="K982" s="67" t="s">
        <v>2605</v>
      </c>
      <c r="L982" s="147" t="s">
        <v>2605</v>
      </c>
      <c r="M982" s="67" t="s">
        <v>2606</v>
      </c>
      <c r="N982" s="67" t="s">
        <v>2607</v>
      </c>
      <c r="O982" s="67" t="s">
        <v>2608</v>
      </c>
      <c r="P982" s="101"/>
      <c r="Q982" s="107"/>
      <c r="R982" s="107"/>
      <c r="S982" s="108"/>
      <c r="T982" s="108"/>
      <c r="U982" s="108"/>
      <c r="V982" s="108"/>
      <c r="W982" s="108"/>
      <c r="X982" s="108"/>
      <c r="Y982" s="108"/>
      <c r="Z982" s="108"/>
    </row>
    <row r="983" spans="1:26" ht="13.5" customHeight="1">
      <c r="A983" s="104"/>
      <c r="B983" s="921"/>
      <c r="C983" s="91"/>
      <c r="D983" s="91"/>
      <c r="E983" s="91"/>
      <c r="F983" s="91"/>
      <c r="G983" s="91"/>
      <c r="H983" s="91"/>
      <c r="I983" s="53"/>
      <c r="J983" s="67"/>
      <c r="K983" s="67"/>
      <c r="L983" s="67"/>
      <c r="M983" s="67"/>
      <c r="N983" s="67"/>
      <c r="O983" s="67"/>
      <c r="P983" s="101"/>
      <c r="Q983" s="107"/>
      <c r="R983" s="107"/>
      <c r="S983" s="108"/>
      <c r="T983" s="108"/>
      <c r="U983" s="108"/>
      <c r="V983" s="108"/>
      <c r="W983" s="108"/>
      <c r="X983" s="108"/>
      <c r="Y983" s="108"/>
      <c r="Z983" s="108"/>
    </row>
    <row r="984" spans="1:26" ht="74.25" customHeight="1">
      <c r="A984" s="104" t="s">
        <v>736</v>
      </c>
      <c r="B984" s="105" t="s">
        <v>485</v>
      </c>
      <c r="C984" s="91">
        <v>0</v>
      </c>
      <c r="D984" s="91">
        <v>0</v>
      </c>
      <c r="E984" s="91">
        <v>0</v>
      </c>
      <c r="F984" s="91">
        <v>0</v>
      </c>
      <c r="G984" s="91">
        <v>0</v>
      </c>
      <c r="H984" s="91">
        <v>0</v>
      </c>
      <c r="I984" s="53" t="s">
        <v>123</v>
      </c>
      <c r="J984" s="67" t="s">
        <v>943</v>
      </c>
      <c r="K984" s="67" t="s">
        <v>748</v>
      </c>
      <c r="L984" s="67" t="s">
        <v>748</v>
      </c>
      <c r="M984" s="67" t="s">
        <v>748</v>
      </c>
      <c r="N984" s="67" t="s">
        <v>748</v>
      </c>
      <c r="O984" s="67" t="s">
        <v>748</v>
      </c>
      <c r="P984" s="101"/>
      <c r="Q984" s="107"/>
      <c r="R984" s="107"/>
      <c r="S984" s="108"/>
      <c r="T984" s="108"/>
      <c r="U984" s="108"/>
      <c r="V984" s="108"/>
      <c r="W984" s="108"/>
      <c r="X984" s="108"/>
      <c r="Y984" s="108"/>
      <c r="Z984" s="108"/>
    </row>
    <row r="985" spans="1:26" ht="13.5" customHeight="1">
      <c r="A985" s="104"/>
      <c r="B985" s="105"/>
      <c r="C985" s="87"/>
      <c r="D985" s="87"/>
      <c r="E985" s="87"/>
      <c r="F985" s="87"/>
      <c r="G985" s="87"/>
      <c r="H985" s="87"/>
      <c r="I985" s="53"/>
      <c r="J985" s="67"/>
      <c r="K985" s="67"/>
      <c r="L985" s="159"/>
      <c r="M985" s="67"/>
      <c r="N985" s="67"/>
      <c r="O985" s="67"/>
      <c r="P985" s="101"/>
      <c r="Q985" s="107"/>
      <c r="R985" s="107"/>
      <c r="S985" s="108"/>
      <c r="T985" s="108"/>
      <c r="U985" s="108"/>
      <c r="V985" s="108"/>
      <c r="W985" s="108"/>
      <c r="X985" s="108"/>
      <c r="Y985" s="108"/>
      <c r="Z985" s="108"/>
    </row>
    <row r="986" spans="1:26" ht="13.5" customHeight="1">
      <c r="A986" s="760" t="s">
        <v>2609</v>
      </c>
      <c r="B986" s="121" t="s">
        <v>486</v>
      </c>
      <c r="C986" s="942">
        <f t="shared" ref="C986:H986" si="172">AVERAGE(C987,C989,C991,C993)</f>
        <v>1</v>
      </c>
      <c r="D986" s="942">
        <f t="shared" si="172"/>
        <v>0.875</v>
      </c>
      <c r="E986" s="942">
        <f t="shared" si="172"/>
        <v>0.625</v>
      </c>
      <c r="F986" s="942">
        <f t="shared" si="172"/>
        <v>0.875</v>
      </c>
      <c r="G986" s="942">
        <f t="shared" si="172"/>
        <v>0.875</v>
      </c>
      <c r="H986" s="942">
        <f t="shared" si="172"/>
        <v>0.875</v>
      </c>
      <c r="I986" s="919"/>
      <c r="J986" s="56"/>
      <c r="K986" s="139"/>
      <c r="L986" s="139"/>
      <c r="M986" s="139"/>
      <c r="N986" s="139"/>
      <c r="O986" s="139"/>
      <c r="P986" s="98"/>
      <c r="Q986" s="171"/>
      <c r="R986" s="171"/>
      <c r="S986" s="172"/>
      <c r="T986" s="172"/>
      <c r="U986" s="172"/>
      <c r="V986" s="172"/>
      <c r="W986" s="172"/>
      <c r="X986" s="172"/>
      <c r="Y986" s="172"/>
      <c r="Z986" s="172"/>
    </row>
    <row r="987" spans="1:26" ht="81.75" customHeight="1">
      <c r="A987" s="925" t="s">
        <v>736</v>
      </c>
      <c r="B987" s="105" t="s">
        <v>487</v>
      </c>
      <c r="C987" s="899">
        <v>1</v>
      </c>
      <c r="D987" s="899">
        <v>1</v>
      </c>
      <c r="E987" s="899">
        <v>1</v>
      </c>
      <c r="F987" s="899">
        <v>1</v>
      </c>
      <c r="G987" s="899">
        <v>1</v>
      </c>
      <c r="H987" s="899">
        <v>1</v>
      </c>
      <c r="I987" s="919" t="s">
        <v>481</v>
      </c>
      <c r="J987" s="67" t="s">
        <v>2610</v>
      </c>
      <c r="K987" s="67" t="s">
        <v>811</v>
      </c>
      <c r="L987" s="67" t="s">
        <v>811</v>
      </c>
      <c r="M987" s="67" t="s">
        <v>2611</v>
      </c>
      <c r="N987" s="67" t="s">
        <v>2612</v>
      </c>
      <c r="O987" s="67" t="s">
        <v>2613</v>
      </c>
      <c r="P987" s="101"/>
      <c r="Q987" s="107"/>
      <c r="R987" s="107"/>
      <c r="S987" s="108"/>
      <c r="T987" s="108"/>
      <c r="U987" s="108"/>
      <c r="V987" s="108"/>
      <c r="W987" s="108"/>
      <c r="X987" s="108"/>
      <c r="Y987" s="108"/>
      <c r="Z987" s="108"/>
    </row>
    <row r="988" spans="1:26" ht="13.5" customHeight="1">
      <c r="A988" s="104"/>
      <c r="B988" s="105"/>
      <c r="C988" s="91"/>
      <c r="D988" s="91"/>
      <c r="E988" s="91"/>
      <c r="F988" s="91"/>
      <c r="G988" s="91"/>
      <c r="H988" s="91"/>
      <c r="I988" s="53"/>
      <c r="J988" s="106"/>
      <c r="K988" s="106"/>
      <c r="L988" s="67"/>
      <c r="M988" s="67"/>
      <c r="N988" s="67"/>
      <c r="O988" s="67"/>
      <c r="P988" s="101"/>
      <c r="Q988" s="107"/>
      <c r="R988" s="107"/>
      <c r="S988" s="108"/>
      <c r="T988" s="108"/>
      <c r="U988" s="108"/>
      <c r="V988" s="108"/>
      <c r="W988" s="108"/>
      <c r="X988" s="108"/>
      <c r="Y988" s="108"/>
      <c r="Z988" s="108"/>
    </row>
    <row r="989" spans="1:26" ht="77.25" customHeight="1">
      <c r="A989" s="104" t="s">
        <v>736</v>
      </c>
      <c r="B989" s="105" t="s">
        <v>488</v>
      </c>
      <c r="C989" s="91">
        <v>1</v>
      </c>
      <c r="D989" s="91">
        <v>0.5</v>
      </c>
      <c r="E989" s="91">
        <v>0</v>
      </c>
      <c r="F989" s="91">
        <v>1</v>
      </c>
      <c r="G989" s="91">
        <v>1</v>
      </c>
      <c r="H989" s="91">
        <v>1</v>
      </c>
      <c r="I989" s="53" t="s">
        <v>123</v>
      </c>
      <c r="J989" s="67" t="s">
        <v>2614</v>
      </c>
      <c r="K989" s="67" t="s">
        <v>2592</v>
      </c>
      <c r="L989" s="67" t="s">
        <v>748</v>
      </c>
      <c r="M989" s="67" t="s">
        <v>2615</v>
      </c>
      <c r="N989" s="147" t="s">
        <v>2616</v>
      </c>
      <c r="O989" s="67" t="s">
        <v>811</v>
      </c>
      <c r="P989" s="101"/>
      <c r="Q989" s="107"/>
      <c r="R989" s="107"/>
      <c r="S989" s="108"/>
      <c r="T989" s="108"/>
      <c r="U989" s="108"/>
      <c r="V989" s="108"/>
      <c r="W989" s="108"/>
      <c r="X989" s="108"/>
      <c r="Y989" s="108"/>
      <c r="Z989" s="108"/>
    </row>
    <row r="990" spans="1:26" ht="13.5" customHeight="1">
      <c r="A990" s="104"/>
      <c r="B990" s="105"/>
      <c r="C990" s="91"/>
      <c r="D990" s="91"/>
      <c r="E990" s="91"/>
      <c r="F990" s="91"/>
      <c r="G990" s="91"/>
      <c r="H990" s="91"/>
      <c r="I990" s="53"/>
      <c r="J990" s="106"/>
      <c r="K990" s="67"/>
      <c r="L990" s="67"/>
      <c r="M990" s="67"/>
      <c r="N990" s="67"/>
      <c r="O990" s="67"/>
      <c r="P990" s="101"/>
      <c r="Q990" s="107"/>
      <c r="R990" s="107"/>
      <c r="S990" s="108"/>
      <c r="T990" s="108"/>
      <c r="U990" s="108"/>
      <c r="V990" s="108"/>
      <c r="W990" s="108"/>
      <c r="X990" s="108"/>
      <c r="Y990" s="108"/>
      <c r="Z990" s="108"/>
    </row>
    <row r="991" spans="1:26" ht="144" customHeight="1">
      <c r="A991" s="104" t="s">
        <v>736</v>
      </c>
      <c r="B991" s="105" t="s">
        <v>489</v>
      </c>
      <c r="C991" s="91">
        <v>1</v>
      </c>
      <c r="D991" s="91">
        <v>1</v>
      </c>
      <c r="E991" s="899">
        <v>0.5</v>
      </c>
      <c r="F991" s="91">
        <v>0.5</v>
      </c>
      <c r="G991" s="91">
        <v>0.5</v>
      </c>
      <c r="H991" s="91">
        <v>1</v>
      </c>
      <c r="I991" s="53" t="s">
        <v>481</v>
      </c>
      <c r="J991" s="67" t="s">
        <v>2617</v>
      </c>
      <c r="K991" s="67" t="s">
        <v>811</v>
      </c>
      <c r="L991" s="147" t="s">
        <v>2592</v>
      </c>
      <c r="M991" s="67" t="s">
        <v>2618</v>
      </c>
      <c r="N991" s="147" t="s">
        <v>2619</v>
      </c>
      <c r="O991" s="67" t="s">
        <v>2620</v>
      </c>
      <c r="P991" s="101"/>
      <c r="Q991" s="107"/>
      <c r="R991" s="107"/>
      <c r="S991" s="108"/>
      <c r="T991" s="108"/>
      <c r="U991" s="108"/>
      <c r="V991" s="108"/>
      <c r="W991" s="108"/>
      <c r="X991" s="108"/>
      <c r="Y991" s="108"/>
      <c r="Z991" s="108"/>
    </row>
    <row r="992" spans="1:26" ht="13.5" customHeight="1">
      <c r="A992" s="104"/>
      <c r="B992" s="105"/>
      <c r="C992" s="91"/>
      <c r="D992" s="91"/>
      <c r="E992" s="91"/>
      <c r="F992" s="91"/>
      <c r="G992" s="91"/>
      <c r="H992" s="91"/>
      <c r="I992" s="53"/>
      <c r="J992" s="106"/>
      <c r="K992" s="67"/>
      <c r="L992" s="67"/>
      <c r="M992" s="67"/>
      <c r="N992" s="147"/>
      <c r="O992" s="67"/>
      <c r="P992" s="101"/>
      <c r="Q992" s="107"/>
      <c r="R992" s="107"/>
      <c r="S992" s="108"/>
      <c r="T992" s="108"/>
      <c r="U992" s="108"/>
      <c r="V992" s="108"/>
      <c r="W992" s="108"/>
      <c r="X992" s="108"/>
      <c r="Y992" s="108"/>
      <c r="Z992" s="108"/>
    </row>
    <row r="993" spans="1:26" ht="156" customHeight="1">
      <c r="A993" s="104" t="s">
        <v>736</v>
      </c>
      <c r="B993" s="105" t="s">
        <v>490</v>
      </c>
      <c r="C993" s="91">
        <v>1</v>
      </c>
      <c r="D993" s="91">
        <v>1</v>
      </c>
      <c r="E993" s="91">
        <v>1</v>
      </c>
      <c r="F993" s="91">
        <v>1</v>
      </c>
      <c r="G993" s="91">
        <v>1</v>
      </c>
      <c r="H993" s="91">
        <v>0.5</v>
      </c>
      <c r="I993" s="53" t="s">
        <v>123</v>
      </c>
      <c r="J993" s="67" t="s">
        <v>2621</v>
      </c>
      <c r="K993" s="67" t="s">
        <v>811</v>
      </c>
      <c r="L993" s="67" t="s">
        <v>811</v>
      </c>
      <c r="M993" s="67" t="s">
        <v>948</v>
      </c>
      <c r="N993" s="67" t="s">
        <v>2612</v>
      </c>
      <c r="O993" s="67" t="s">
        <v>2622</v>
      </c>
      <c r="P993" s="101"/>
      <c r="Q993" s="107"/>
      <c r="R993" s="107"/>
      <c r="S993" s="108"/>
      <c r="T993" s="108"/>
      <c r="U993" s="108"/>
      <c r="V993" s="108"/>
      <c r="W993" s="108"/>
      <c r="X993" s="108"/>
      <c r="Y993" s="108"/>
      <c r="Z993" s="108"/>
    </row>
    <row r="994" spans="1:26" ht="13.5" customHeight="1">
      <c r="A994" s="104"/>
      <c r="B994" s="105"/>
      <c r="C994" s="87"/>
      <c r="D994" s="87"/>
      <c r="E994" s="87"/>
      <c r="F994" s="87"/>
      <c r="G994" s="87"/>
      <c r="H994" s="87"/>
      <c r="I994" s="53"/>
      <c r="J994" s="67"/>
      <c r="K994" s="67"/>
      <c r="L994" s="67"/>
      <c r="M994" s="67"/>
      <c r="N994" s="67"/>
      <c r="O994" s="67"/>
      <c r="P994" s="101"/>
      <c r="Q994" s="107"/>
      <c r="R994" s="107"/>
      <c r="S994" s="108"/>
      <c r="T994" s="108"/>
      <c r="U994" s="108"/>
      <c r="V994" s="108"/>
      <c r="W994" s="108"/>
      <c r="X994" s="108"/>
      <c r="Y994" s="108"/>
      <c r="Z994" s="108"/>
    </row>
    <row r="995" spans="1:26" ht="27.75" customHeight="1">
      <c r="A995" s="301" t="s">
        <v>2623</v>
      </c>
      <c r="B995" s="121" t="s">
        <v>2624</v>
      </c>
      <c r="C995" s="299">
        <f t="shared" ref="C995:H995" si="173">AVERAGE(C996,C998)</f>
        <v>0.5</v>
      </c>
      <c r="D995" s="299">
        <f t="shared" si="173"/>
        <v>0.25</v>
      </c>
      <c r="E995" s="299">
        <f t="shared" si="173"/>
        <v>0</v>
      </c>
      <c r="F995" s="299">
        <f t="shared" si="173"/>
        <v>0</v>
      </c>
      <c r="G995" s="299">
        <f t="shared" si="173"/>
        <v>0.5</v>
      </c>
      <c r="H995" s="299">
        <f t="shared" si="173"/>
        <v>0.75</v>
      </c>
      <c r="I995" s="53"/>
      <c r="J995" s="56"/>
      <c r="K995" s="139"/>
      <c r="L995" s="139"/>
      <c r="M995" s="139"/>
      <c r="N995" s="139"/>
      <c r="O995" s="139"/>
      <c r="P995" s="98"/>
      <c r="Q995" s="171"/>
      <c r="R995" s="171"/>
      <c r="S995" s="172"/>
      <c r="T995" s="172"/>
      <c r="U995" s="172"/>
      <c r="V995" s="172"/>
      <c r="W995" s="172"/>
      <c r="X995" s="172"/>
      <c r="Y995" s="172"/>
      <c r="Z995" s="172"/>
    </row>
    <row r="996" spans="1:26" ht="72" customHeight="1">
      <c r="A996" s="104" t="s">
        <v>736</v>
      </c>
      <c r="B996" s="105" t="s">
        <v>2625</v>
      </c>
      <c r="C996" s="91">
        <v>0.5</v>
      </c>
      <c r="D996" s="91">
        <v>0</v>
      </c>
      <c r="E996" s="91">
        <v>0</v>
      </c>
      <c r="F996" s="91">
        <v>0</v>
      </c>
      <c r="G996" s="91">
        <v>0</v>
      </c>
      <c r="H996" s="91">
        <v>1</v>
      </c>
      <c r="I996" s="53" t="s">
        <v>123</v>
      </c>
      <c r="J996" s="67" t="s">
        <v>2626</v>
      </c>
      <c r="K996" s="106" t="s">
        <v>2627</v>
      </c>
      <c r="L996" s="67" t="s">
        <v>2627</v>
      </c>
      <c r="M996" s="67" t="s">
        <v>748</v>
      </c>
      <c r="N996" s="67" t="s">
        <v>2628</v>
      </c>
      <c r="O996" s="67" t="s">
        <v>2206</v>
      </c>
      <c r="P996" s="101"/>
      <c r="Q996" s="107"/>
      <c r="R996" s="107"/>
      <c r="S996" s="108"/>
      <c r="T996" s="108"/>
      <c r="U996" s="108"/>
      <c r="V996" s="108"/>
      <c r="W996" s="108"/>
      <c r="X996" s="108"/>
      <c r="Y996" s="108"/>
      <c r="Z996" s="108"/>
    </row>
    <row r="997" spans="1:26" ht="13.5" customHeight="1">
      <c r="A997" s="104"/>
      <c r="B997" s="105"/>
      <c r="C997" s="91"/>
      <c r="D997" s="91"/>
      <c r="E997" s="91"/>
      <c r="F997" s="91"/>
      <c r="G997" s="91"/>
      <c r="H997" s="91"/>
      <c r="I997" s="53"/>
      <c r="J997" s="67"/>
      <c r="K997" s="67"/>
      <c r="L997" s="67"/>
      <c r="M997" s="69"/>
      <c r="N997" s="106"/>
      <c r="O997" s="67"/>
      <c r="P997" s="101"/>
      <c r="Q997" s="107"/>
      <c r="R997" s="107"/>
      <c r="S997" s="108"/>
      <c r="T997" s="108"/>
      <c r="U997" s="108"/>
      <c r="V997" s="108"/>
      <c r="W997" s="108"/>
      <c r="X997" s="108"/>
      <c r="Y997" s="108"/>
      <c r="Z997" s="108"/>
    </row>
    <row r="998" spans="1:26" ht="96" customHeight="1">
      <c r="A998" s="104" t="s">
        <v>736</v>
      </c>
      <c r="B998" s="105" t="s">
        <v>199</v>
      </c>
      <c r="C998" s="91">
        <v>0.5</v>
      </c>
      <c r="D998" s="91">
        <v>0.5</v>
      </c>
      <c r="E998" s="91">
        <v>0</v>
      </c>
      <c r="F998" s="91">
        <v>0</v>
      </c>
      <c r="G998" s="91">
        <v>1</v>
      </c>
      <c r="H998" s="91">
        <v>0.5</v>
      </c>
      <c r="I998" s="53" t="s">
        <v>481</v>
      </c>
      <c r="J998" s="67" t="s">
        <v>2629</v>
      </c>
      <c r="K998" s="67" t="s">
        <v>2592</v>
      </c>
      <c r="L998" s="67" t="s">
        <v>748</v>
      </c>
      <c r="M998" s="315" t="s">
        <v>2425</v>
      </c>
      <c r="N998" s="67" t="s">
        <v>2630</v>
      </c>
      <c r="O998" s="67" t="s">
        <v>2592</v>
      </c>
      <c r="P998" s="101"/>
      <c r="Q998" s="107"/>
      <c r="R998" s="107"/>
      <c r="S998" s="108"/>
      <c r="T998" s="108"/>
      <c r="U998" s="108"/>
      <c r="V998" s="108"/>
      <c r="W998" s="108"/>
      <c r="X998" s="108"/>
      <c r="Y998" s="108"/>
      <c r="Z998" s="108"/>
    </row>
    <row r="999" spans="1:26" ht="13.5" customHeight="1">
      <c r="A999" s="763"/>
      <c r="B999" s="943"/>
      <c r="C999" s="764"/>
      <c r="D999" s="764"/>
      <c r="E999" s="765"/>
      <c r="F999" s="765"/>
      <c r="G999" s="765"/>
      <c r="H999" s="765"/>
      <c r="I999" s="53"/>
      <c r="J999" s="766"/>
      <c r="K999" s="766"/>
      <c r="L999" s="766"/>
      <c r="M999" s="766"/>
      <c r="N999" s="766"/>
      <c r="O999" s="766"/>
      <c r="P999" s="101"/>
      <c r="Q999" s="768"/>
      <c r="R999" s="768"/>
      <c r="S999" s="771"/>
      <c r="T999" s="771"/>
      <c r="U999" s="771"/>
      <c r="V999" s="771"/>
      <c r="W999" s="771"/>
      <c r="X999" s="771"/>
      <c r="Y999" s="771"/>
      <c r="Z999" s="771"/>
    </row>
    <row r="1000" spans="1:26" ht="13.5" customHeight="1">
      <c r="A1000" s="763"/>
      <c r="B1000" s="943"/>
      <c r="C1000" s="764"/>
      <c r="D1000" s="764"/>
      <c r="E1000" s="765"/>
      <c r="F1000" s="765"/>
      <c r="G1000" s="765"/>
      <c r="H1000" s="765"/>
      <c r="I1000" s="53"/>
      <c r="J1000" s="766"/>
      <c r="K1000" s="766"/>
      <c r="L1000" s="766"/>
      <c r="M1000" s="766"/>
      <c r="N1000" s="766"/>
      <c r="O1000" s="766"/>
      <c r="P1000" s="101"/>
      <c r="Q1000" s="768"/>
      <c r="R1000" s="768"/>
      <c r="S1000" s="771"/>
      <c r="T1000" s="771"/>
      <c r="U1000" s="771"/>
      <c r="V1000" s="771"/>
      <c r="W1000" s="771"/>
      <c r="X1000" s="771"/>
      <c r="Y1000" s="771"/>
      <c r="Z1000" s="771"/>
    </row>
    <row r="1001" spans="1:26" ht="13.5" customHeight="1">
      <c r="A1001" s="104"/>
      <c r="B1001" s="917"/>
      <c r="C1001" s="894"/>
      <c r="D1001" s="894"/>
      <c r="E1001" s="65"/>
      <c r="F1001" s="65"/>
      <c r="G1001" s="65"/>
      <c r="H1001" s="65"/>
      <c r="I1001" s="53"/>
      <c r="J1001" s="67"/>
      <c r="K1001" s="106"/>
      <c r="L1001" s="106"/>
      <c r="M1001" s="67"/>
      <c r="N1001" s="106"/>
      <c r="O1001" s="106"/>
      <c r="P1001" s="110"/>
      <c r="Q1001" s="108"/>
      <c r="R1001" s="108"/>
      <c r="S1001" s="108"/>
      <c r="T1001" s="108"/>
      <c r="U1001" s="108"/>
      <c r="V1001" s="108"/>
      <c r="W1001" s="108"/>
      <c r="X1001" s="108"/>
      <c r="Y1001" s="108"/>
      <c r="Z1001" s="108"/>
    </row>
    <row r="1002" spans="1:26" ht="13.5" customHeight="1">
      <c r="A1002" s="104"/>
      <c r="B1002" s="917"/>
      <c r="C1002" s="894"/>
      <c r="D1002" s="894"/>
      <c r="E1002" s="65"/>
      <c r="F1002" s="65"/>
      <c r="G1002" s="65"/>
      <c r="H1002" s="65"/>
      <c r="I1002" s="53"/>
      <c r="J1002" s="67"/>
      <c r="K1002" s="106"/>
      <c r="L1002" s="106"/>
      <c r="M1002" s="67"/>
      <c r="N1002" s="106"/>
      <c r="O1002" s="106"/>
      <c r="P1002" s="110"/>
      <c r="Q1002" s="108"/>
      <c r="R1002" s="108"/>
      <c r="S1002" s="108"/>
      <c r="T1002" s="108"/>
      <c r="U1002" s="108"/>
      <c r="V1002" s="108"/>
      <c r="W1002" s="108"/>
      <c r="X1002" s="108"/>
      <c r="Y1002" s="108"/>
      <c r="Z1002" s="108"/>
    </row>
    <row r="1003" spans="1:26" ht="13.5" customHeight="1">
      <c r="A1003" s="104"/>
      <c r="B1003" s="917"/>
      <c r="C1003" s="894"/>
      <c r="D1003" s="894"/>
      <c r="E1003" s="65"/>
      <c r="F1003" s="65"/>
      <c r="G1003" s="65"/>
      <c r="H1003" s="65"/>
      <c r="I1003" s="53"/>
      <c r="J1003" s="67"/>
      <c r="K1003" s="106"/>
      <c r="L1003" s="106"/>
      <c r="M1003" s="67"/>
      <c r="N1003" s="106"/>
      <c r="O1003" s="106"/>
      <c r="P1003" s="110"/>
      <c r="Q1003" s="108"/>
      <c r="R1003" s="108"/>
      <c r="S1003" s="108"/>
      <c r="T1003" s="108"/>
      <c r="U1003" s="108"/>
      <c r="V1003" s="108"/>
      <c r="W1003" s="108"/>
      <c r="X1003" s="108"/>
      <c r="Y1003" s="108"/>
      <c r="Z1003" s="108"/>
    </row>
    <row r="1004" spans="1:26" ht="13.5" customHeight="1">
      <c r="A1004" s="104"/>
      <c r="B1004" s="917"/>
      <c r="C1004" s="894"/>
      <c r="D1004" s="894"/>
      <c r="E1004" s="65"/>
      <c r="F1004" s="65"/>
      <c r="G1004" s="65"/>
      <c r="H1004" s="65"/>
      <c r="I1004" s="53"/>
      <c r="J1004" s="67"/>
      <c r="K1004" s="106"/>
      <c r="L1004" s="106"/>
      <c r="M1004" s="67"/>
      <c r="N1004" s="106"/>
      <c r="O1004" s="106"/>
      <c r="P1004" s="110"/>
      <c r="Q1004" s="108"/>
      <c r="R1004" s="108"/>
      <c r="S1004" s="108"/>
      <c r="T1004" s="108"/>
      <c r="U1004" s="108"/>
      <c r="V1004" s="108"/>
      <c r="W1004" s="108"/>
      <c r="X1004" s="108"/>
      <c r="Y1004" s="108"/>
      <c r="Z1004" s="108"/>
    </row>
    <row r="1005" spans="1:26" ht="13.5" customHeight="1">
      <c r="A1005" s="104"/>
      <c r="B1005" s="917"/>
      <c r="C1005" s="894"/>
      <c r="D1005" s="894"/>
      <c r="E1005" s="65"/>
      <c r="F1005" s="65"/>
      <c r="G1005" s="65"/>
      <c r="H1005" s="65"/>
      <c r="I1005" s="53"/>
      <c r="J1005" s="67"/>
      <c r="K1005" s="106"/>
      <c r="L1005" s="106"/>
      <c r="M1005" s="67"/>
      <c r="N1005" s="106"/>
      <c r="O1005" s="106"/>
      <c r="P1005" s="110"/>
      <c r="Q1005" s="108"/>
      <c r="R1005" s="108"/>
      <c r="S1005" s="108"/>
      <c r="T1005" s="108"/>
      <c r="U1005" s="108"/>
      <c r="V1005" s="108"/>
      <c r="W1005" s="108"/>
      <c r="X1005" s="108"/>
      <c r="Y1005" s="108"/>
      <c r="Z1005" s="108"/>
    </row>
    <row r="1006" spans="1:26" ht="13.5" customHeight="1">
      <c r="A1006" s="104"/>
      <c r="B1006" s="917"/>
      <c r="C1006" s="894"/>
      <c r="D1006" s="894"/>
      <c r="E1006" s="65"/>
      <c r="F1006" s="65"/>
      <c r="G1006" s="65"/>
      <c r="H1006" s="65"/>
      <c r="I1006" s="53"/>
      <c r="J1006" s="67"/>
      <c r="K1006" s="106"/>
      <c r="L1006" s="106"/>
      <c r="M1006" s="67"/>
      <c r="N1006" s="106"/>
      <c r="O1006" s="106"/>
      <c r="P1006" s="110"/>
      <c r="Q1006" s="108"/>
      <c r="R1006" s="108"/>
      <c r="S1006" s="108"/>
      <c r="T1006" s="108"/>
      <c r="U1006" s="108"/>
      <c r="V1006" s="108"/>
      <c r="W1006" s="108"/>
      <c r="X1006" s="108"/>
      <c r="Y1006" s="108"/>
      <c r="Z1006" s="108"/>
    </row>
    <row r="1007" spans="1:26" ht="13.5" customHeight="1">
      <c r="A1007" s="104"/>
      <c r="B1007" s="917"/>
      <c r="C1007" s="894"/>
      <c r="D1007" s="894"/>
      <c r="E1007" s="65"/>
      <c r="F1007" s="65"/>
      <c r="G1007" s="65"/>
      <c r="H1007" s="65"/>
      <c r="I1007" s="53"/>
      <c r="J1007" s="67"/>
      <c r="K1007" s="106"/>
      <c r="L1007" s="106"/>
      <c r="M1007" s="67"/>
      <c r="N1007" s="106"/>
      <c r="O1007" s="106"/>
      <c r="P1007" s="110"/>
      <c r="Q1007" s="108"/>
      <c r="R1007" s="108"/>
      <c r="S1007" s="108"/>
      <c r="T1007" s="108"/>
      <c r="U1007" s="108"/>
      <c r="V1007" s="108"/>
      <c r="W1007" s="108"/>
      <c r="X1007" s="108"/>
      <c r="Y1007" s="108"/>
      <c r="Z1007" s="108"/>
    </row>
    <row r="1008" spans="1:26" ht="13.5" customHeight="1">
      <c r="A1008" s="104"/>
      <c r="B1008" s="917"/>
      <c r="C1008" s="894"/>
      <c r="D1008" s="894"/>
      <c r="E1008" s="65"/>
      <c r="F1008" s="65"/>
      <c r="G1008" s="65"/>
      <c r="H1008" s="65"/>
      <c r="I1008" s="53"/>
      <c r="J1008" s="67"/>
      <c r="K1008" s="106"/>
      <c r="L1008" s="106"/>
      <c r="M1008" s="67"/>
      <c r="N1008" s="106"/>
      <c r="O1008" s="106"/>
      <c r="P1008" s="110"/>
      <c r="Q1008" s="108"/>
      <c r="R1008" s="108"/>
      <c r="S1008" s="108"/>
      <c r="T1008" s="108"/>
      <c r="U1008" s="108"/>
      <c r="V1008" s="108"/>
      <c r="W1008" s="108"/>
      <c r="X1008" s="108"/>
      <c r="Y1008" s="108"/>
      <c r="Z1008" s="108"/>
    </row>
    <row r="1009" spans="1:26" ht="13.5" customHeight="1">
      <c r="A1009" s="104"/>
      <c r="B1009" s="917"/>
      <c r="C1009" s="894"/>
      <c r="D1009" s="894"/>
      <c r="E1009" s="65"/>
      <c r="F1009" s="65"/>
      <c r="G1009" s="65"/>
      <c r="H1009" s="65"/>
      <c r="I1009" s="53"/>
      <c r="J1009" s="67"/>
      <c r="K1009" s="106"/>
      <c r="L1009" s="106"/>
      <c r="M1009" s="67"/>
      <c r="N1009" s="106"/>
      <c r="O1009" s="106"/>
      <c r="P1009" s="110"/>
      <c r="Q1009" s="108"/>
      <c r="R1009" s="108"/>
      <c r="S1009" s="108"/>
      <c r="T1009" s="108"/>
      <c r="U1009" s="108"/>
      <c r="V1009" s="108"/>
      <c r="W1009" s="108"/>
      <c r="X1009" s="108"/>
      <c r="Y1009" s="108"/>
      <c r="Z1009" s="108"/>
    </row>
    <row r="1010" spans="1:26" ht="13.5" customHeight="1">
      <c r="A1010" s="104"/>
      <c r="B1010" s="917"/>
      <c r="C1010" s="894"/>
      <c r="D1010" s="894"/>
      <c r="E1010" s="65"/>
      <c r="F1010" s="65"/>
      <c r="G1010" s="65"/>
      <c r="H1010" s="65"/>
      <c r="I1010" s="53"/>
      <c r="J1010" s="67"/>
      <c r="K1010" s="106"/>
      <c r="L1010" s="106"/>
      <c r="M1010" s="67"/>
      <c r="N1010" s="106"/>
      <c r="O1010" s="106"/>
      <c r="P1010" s="110"/>
      <c r="Q1010" s="108"/>
      <c r="R1010" s="108"/>
      <c r="S1010" s="108"/>
      <c r="T1010" s="108"/>
      <c r="U1010" s="108"/>
      <c r="V1010" s="108"/>
      <c r="W1010" s="108"/>
      <c r="X1010" s="108"/>
      <c r="Y1010" s="108"/>
      <c r="Z1010" s="108"/>
    </row>
    <row r="1011" spans="1:26" ht="13.5" customHeight="1">
      <c r="A1011" s="104"/>
      <c r="B1011" s="917"/>
      <c r="C1011" s="894"/>
      <c r="D1011" s="894"/>
      <c r="E1011" s="65"/>
      <c r="F1011" s="65"/>
      <c r="G1011" s="65"/>
      <c r="H1011" s="65"/>
      <c r="I1011" s="53"/>
      <c r="J1011" s="67"/>
      <c r="K1011" s="106"/>
      <c r="L1011" s="106"/>
      <c r="M1011" s="67"/>
      <c r="N1011" s="106"/>
      <c r="O1011" s="106"/>
      <c r="P1011" s="110"/>
      <c r="Q1011" s="108"/>
      <c r="R1011" s="108"/>
      <c r="S1011" s="108"/>
      <c r="T1011" s="108"/>
      <c r="U1011" s="108"/>
      <c r="V1011" s="108"/>
      <c r="W1011" s="108"/>
      <c r="X1011" s="108"/>
      <c r="Y1011" s="108"/>
      <c r="Z1011" s="108"/>
    </row>
    <row r="1012" spans="1:26" ht="13.5" customHeight="1">
      <c r="A1012" s="104"/>
      <c r="B1012" s="917"/>
      <c r="C1012" s="894"/>
      <c r="D1012" s="894"/>
      <c r="E1012" s="65"/>
      <c r="F1012" s="65"/>
      <c r="G1012" s="65"/>
      <c r="H1012" s="65"/>
      <c r="I1012" s="53"/>
      <c r="J1012" s="67"/>
      <c r="K1012" s="106"/>
      <c r="L1012" s="106"/>
      <c r="M1012" s="67"/>
      <c r="N1012" s="106"/>
      <c r="O1012" s="106"/>
      <c r="P1012" s="110"/>
      <c r="Q1012" s="108"/>
      <c r="R1012" s="108"/>
      <c r="S1012" s="108"/>
      <c r="T1012" s="108"/>
      <c r="U1012" s="108"/>
      <c r="V1012" s="108"/>
      <c r="W1012" s="108"/>
      <c r="X1012" s="108"/>
      <c r="Y1012" s="108"/>
      <c r="Z1012" s="108"/>
    </row>
    <row r="1013" spans="1:26" ht="13.5" customHeight="1">
      <c r="A1013" s="104"/>
      <c r="B1013" s="917"/>
      <c r="C1013" s="894"/>
      <c r="D1013" s="894"/>
      <c r="E1013" s="65"/>
      <c r="F1013" s="65"/>
      <c r="G1013" s="65"/>
      <c r="H1013" s="65"/>
      <c r="I1013" s="53"/>
      <c r="J1013" s="67"/>
      <c r="K1013" s="106"/>
      <c r="L1013" s="106"/>
      <c r="M1013" s="67"/>
      <c r="N1013" s="106"/>
      <c r="O1013" s="106"/>
      <c r="P1013" s="110"/>
      <c r="Q1013" s="108"/>
      <c r="R1013" s="108"/>
      <c r="S1013" s="108"/>
      <c r="T1013" s="108"/>
      <c r="U1013" s="108"/>
      <c r="V1013" s="108"/>
      <c r="W1013" s="108"/>
      <c r="X1013" s="108"/>
      <c r="Y1013" s="108"/>
      <c r="Z1013" s="108"/>
    </row>
    <row r="1014" spans="1:26" ht="13.5" customHeight="1">
      <c r="A1014" s="104"/>
      <c r="B1014" s="917"/>
      <c r="C1014" s="894"/>
      <c r="D1014" s="894"/>
      <c r="E1014" s="65"/>
      <c r="F1014" s="65"/>
      <c r="G1014" s="65"/>
      <c r="H1014" s="65"/>
      <c r="I1014" s="53"/>
      <c r="J1014" s="67"/>
      <c r="K1014" s="106"/>
      <c r="L1014" s="106"/>
      <c r="M1014" s="67"/>
      <c r="N1014" s="106"/>
      <c r="O1014" s="106"/>
      <c r="P1014" s="110"/>
      <c r="Q1014" s="108"/>
      <c r="R1014" s="108"/>
      <c r="S1014" s="108"/>
      <c r="T1014" s="108"/>
      <c r="U1014" s="108"/>
      <c r="V1014" s="108"/>
      <c r="W1014" s="108"/>
      <c r="X1014" s="108"/>
      <c r="Y1014" s="108"/>
      <c r="Z1014" s="108"/>
    </row>
    <row r="1015" spans="1:26" ht="13.5" customHeight="1">
      <c r="A1015" s="104"/>
      <c r="B1015" s="917"/>
      <c r="C1015" s="894"/>
      <c r="D1015" s="894"/>
      <c r="E1015" s="65"/>
      <c r="F1015" s="65"/>
      <c r="G1015" s="65"/>
      <c r="H1015" s="65"/>
      <c r="I1015" s="53"/>
      <c r="J1015" s="67"/>
      <c r="K1015" s="106"/>
      <c r="L1015" s="106"/>
      <c r="M1015" s="67"/>
      <c r="N1015" s="106"/>
      <c r="O1015" s="106"/>
      <c r="P1015" s="110"/>
      <c r="Q1015" s="108"/>
      <c r="R1015" s="108"/>
      <c r="S1015" s="108"/>
      <c r="T1015" s="108"/>
      <c r="U1015" s="108"/>
      <c r="V1015" s="108"/>
      <c r="W1015" s="108"/>
      <c r="X1015" s="108"/>
      <c r="Y1015" s="108"/>
      <c r="Z1015" s="108"/>
    </row>
    <row r="1016" spans="1:26" ht="13.5" customHeight="1">
      <c r="A1016" s="104"/>
      <c r="B1016" s="917"/>
      <c r="C1016" s="894"/>
      <c r="D1016" s="894"/>
      <c r="E1016" s="65"/>
      <c r="F1016" s="65"/>
      <c r="G1016" s="65"/>
      <c r="H1016" s="65"/>
      <c r="I1016" s="53"/>
      <c r="J1016" s="67"/>
      <c r="K1016" s="106"/>
      <c r="L1016" s="106"/>
      <c r="M1016" s="67"/>
      <c r="N1016" s="106"/>
      <c r="O1016" s="106"/>
      <c r="P1016" s="110"/>
      <c r="Q1016" s="108"/>
      <c r="R1016" s="108"/>
      <c r="S1016" s="108"/>
      <c r="T1016" s="108"/>
      <c r="U1016" s="108"/>
      <c r="V1016" s="108"/>
      <c r="W1016" s="108"/>
      <c r="X1016" s="108"/>
      <c r="Y1016" s="108"/>
      <c r="Z1016" s="108"/>
    </row>
    <row r="1017" spans="1:26" ht="13.5" customHeight="1">
      <c r="A1017" s="104"/>
      <c r="B1017" s="917"/>
      <c r="C1017" s="894"/>
      <c r="D1017" s="894"/>
      <c r="E1017" s="65"/>
      <c r="F1017" s="65"/>
      <c r="G1017" s="65"/>
      <c r="H1017" s="65"/>
      <c r="I1017" s="53"/>
      <c r="J1017" s="67"/>
      <c r="K1017" s="106"/>
      <c r="L1017" s="106"/>
      <c r="M1017" s="67"/>
      <c r="N1017" s="106"/>
      <c r="O1017" s="106"/>
      <c r="P1017" s="110"/>
      <c r="Q1017" s="108"/>
      <c r="R1017" s="108"/>
      <c r="S1017" s="108"/>
      <c r="T1017" s="108"/>
      <c r="U1017" s="108"/>
      <c r="V1017" s="108"/>
      <c r="W1017" s="108"/>
      <c r="X1017" s="108"/>
      <c r="Y1017" s="108"/>
      <c r="Z1017" s="108"/>
    </row>
    <row r="1018" spans="1:26" ht="13.5" customHeight="1">
      <c r="A1018" s="104"/>
      <c r="B1018" s="917"/>
      <c r="C1018" s="894"/>
      <c r="D1018" s="894"/>
      <c r="E1018" s="65"/>
      <c r="F1018" s="65"/>
      <c r="G1018" s="65"/>
      <c r="H1018" s="65"/>
      <c r="I1018" s="53"/>
      <c r="J1018" s="67"/>
      <c r="K1018" s="106"/>
      <c r="L1018" s="106"/>
      <c r="M1018" s="67"/>
      <c r="N1018" s="106"/>
      <c r="O1018" s="106"/>
      <c r="P1018" s="110"/>
      <c r="Q1018" s="108"/>
      <c r="R1018" s="108"/>
      <c r="S1018" s="108"/>
      <c r="T1018" s="108"/>
      <c r="U1018" s="108"/>
      <c r="V1018" s="108"/>
      <c r="W1018" s="108"/>
      <c r="X1018" s="108"/>
      <c r="Y1018" s="108"/>
      <c r="Z1018" s="108"/>
    </row>
    <row r="1019" spans="1:26" ht="13.5" customHeight="1">
      <c r="A1019" s="104"/>
      <c r="B1019" s="917"/>
      <c r="C1019" s="894"/>
      <c r="D1019" s="894"/>
      <c r="E1019" s="65"/>
      <c r="F1019" s="65"/>
      <c r="G1019" s="65"/>
      <c r="H1019" s="65"/>
      <c r="I1019" s="53"/>
      <c r="J1019" s="67"/>
      <c r="K1019" s="106"/>
      <c r="L1019" s="106"/>
      <c r="M1019" s="67"/>
      <c r="N1019" s="106"/>
      <c r="O1019" s="106"/>
      <c r="P1019" s="110"/>
      <c r="Q1019" s="108"/>
      <c r="R1019" s="108"/>
      <c r="S1019" s="108"/>
      <c r="T1019" s="108"/>
      <c r="U1019" s="108"/>
      <c r="V1019" s="108"/>
      <c r="W1019" s="108"/>
      <c r="X1019" s="108"/>
      <c r="Y1019" s="108"/>
      <c r="Z1019" s="108"/>
    </row>
    <row r="1020" spans="1:26" ht="13.5" customHeight="1">
      <c r="A1020" s="104"/>
      <c r="B1020" s="917"/>
      <c r="C1020" s="894"/>
      <c r="D1020" s="894"/>
      <c r="E1020" s="65"/>
      <c r="F1020" s="65"/>
      <c r="G1020" s="65"/>
      <c r="H1020" s="65"/>
      <c r="I1020" s="53"/>
      <c r="J1020" s="67"/>
      <c r="K1020" s="106"/>
      <c r="L1020" s="106"/>
      <c r="M1020" s="67"/>
      <c r="N1020" s="106"/>
      <c r="O1020" s="106"/>
      <c r="P1020" s="110"/>
      <c r="Q1020" s="108"/>
      <c r="R1020" s="108"/>
      <c r="S1020" s="108"/>
      <c r="T1020" s="108"/>
      <c r="U1020" s="108"/>
      <c r="V1020" s="108"/>
      <c r="W1020" s="108"/>
      <c r="X1020" s="108"/>
      <c r="Y1020" s="108"/>
      <c r="Z1020" s="108"/>
    </row>
    <row r="1021" spans="1:26" ht="13.5" customHeight="1">
      <c r="A1021" s="104"/>
      <c r="B1021" s="917"/>
      <c r="C1021" s="894"/>
      <c r="D1021" s="894"/>
      <c r="E1021" s="65"/>
      <c r="F1021" s="65"/>
      <c r="G1021" s="65"/>
      <c r="H1021" s="65"/>
      <c r="I1021" s="53"/>
      <c r="J1021" s="67"/>
      <c r="K1021" s="106"/>
      <c r="L1021" s="106"/>
      <c r="M1021" s="67"/>
      <c r="N1021" s="106"/>
      <c r="O1021" s="106"/>
      <c r="P1021" s="110"/>
      <c r="Q1021" s="108"/>
      <c r="R1021" s="108"/>
      <c r="S1021" s="108"/>
      <c r="T1021" s="108"/>
      <c r="U1021" s="108"/>
      <c r="V1021" s="108"/>
      <c r="W1021" s="108"/>
      <c r="X1021" s="108"/>
      <c r="Y1021" s="108"/>
      <c r="Z1021" s="108"/>
    </row>
    <row r="1022" spans="1:26" ht="13.5" customHeight="1">
      <c r="A1022" s="104"/>
      <c r="B1022" s="917"/>
      <c r="C1022" s="894"/>
      <c r="D1022" s="894"/>
      <c r="E1022" s="65"/>
      <c r="F1022" s="65"/>
      <c r="G1022" s="65"/>
      <c r="H1022" s="65"/>
      <c r="I1022" s="53"/>
      <c r="J1022" s="67"/>
      <c r="K1022" s="106"/>
      <c r="L1022" s="106"/>
      <c r="M1022" s="67"/>
      <c r="N1022" s="106"/>
      <c r="O1022" s="106"/>
      <c r="P1022" s="110"/>
      <c r="Q1022" s="108"/>
      <c r="R1022" s="108"/>
      <c r="S1022" s="108"/>
      <c r="T1022" s="108"/>
      <c r="U1022" s="108"/>
      <c r="V1022" s="108"/>
      <c r="W1022" s="108"/>
      <c r="X1022" s="108"/>
      <c r="Y1022" s="108"/>
      <c r="Z1022" s="108"/>
    </row>
    <row r="1023" spans="1:26" ht="13.5" customHeight="1">
      <c r="A1023" s="104"/>
      <c r="B1023" s="917"/>
      <c r="C1023" s="894"/>
      <c r="D1023" s="894"/>
      <c r="E1023" s="65"/>
      <c r="F1023" s="65"/>
      <c r="G1023" s="65"/>
      <c r="H1023" s="65"/>
      <c r="I1023" s="53"/>
      <c r="J1023" s="67"/>
      <c r="K1023" s="106"/>
      <c r="L1023" s="106"/>
      <c r="M1023" s="67"/>
      <c r="N1023" s="106"/>
      <c r="O1023" s="106"/>
      <c r="P1023" s="110"/>
      <c r="Q1023" s="108"/>
      <c r="R1023" s="108"/>
      <c r="S1023" s="108"/>
      <c r="T1023" s="108"/>
      <c r="U1023" s="108"/>
      <c r="V1023" s="108"/>
      <c r="W1023" s="108"/>
      <c r="X1023" s="108"/>
      <c r="Y1023" s="108"/>
      <c r="Z1023" s="108"/>
    </row>
    <row r="1024" spans="1:26" ht="13.5" customHeight="1">
      <c r="A1024" s="104"/>
      <c r="B1024" s="917"/>
      <c r="C1024" s="894"/>
      <c r="D1024" s="894"/>
      <c r="E1024" s="65"/>
      <c r="F1024" s="65"/>
      <c r="G1024" s="65"/>
      <c r="H1024" s="65"/>
      <c r="I1024" s="53"/>
      <c r="J1024" s="67"/>
      <c r="K1024" s="106"/>
      <c r="L1024" s="106"/>
      <c r="M1024" s="67"/>
      <c r="N1024" s="106"/>
      <c r="O1024" s="106"/>
      <c r="P1024" s="110"/>
      <c r="Q1024" s="108"/>
      <c r="R1024" s="108"/>
      <c r="S1024" s="108"/>
      <c r="T1024" s="108"/>
      <c r="U1024" s="108"/>
      <c r="V1024" s="108"/>
      <c r="W1024" s="108"/>
      <c r="X1024" s="108"/>
      <c r="Y1024" s="108"/>
      <c r="Z1024" s="108"/>
    </row>
    <row r="1025" spans="1:26" ht="13.5" customHeight="1">
      <c r="A1025" s="104"/>
      <c r="B1025" s="917"/>
      <c r="C1025" s="894"/>
      <c r="D1025" s="894"/>
      <c r="E1025" s="65"/>
      <c r="F1025" s="65"/>
      <c r="G1025" s="65"/>
      <c r="H1025" s="65"/>
      <c r="I1025" s="53"/>
      <c r="J1025" s="67"/>
      <c r="K1025" s="106"/>
      <c r="L1025" s="106"/>
      <c r="M1025" s="67"/>
      <c r="N1025" s="106"/>
      <c r="O1025" s="106"/>
      <c r="P1025" s="110"/>
      <c r="Q1025" s="108"/>
      <c r="R1025" s="108"/>
      <c r="S1025" s="108"/>
      <c r="T1025" s="108"/>
      <c r="U1025" s="108"/>
      <c r="V1025" s="108"/>
      <c r="W1025" s="108"/>
      <c r="X1025" s="108"/>
      <c r="Y1025" s="108"/>
      <c r="Z1025" s="108"/>
    </row>
    <row r="1026" spans="1:26" ht="13.5" customHeight="1">
      <c r="A1026" s="104"/>
      <c r="B1026" s="917"/>
      <c r="C1026" s="894"/>
      <c r="D1026" s="894"/>
      <c r="E1026" s="65"/>
      <c r="F1026" s="65"/>
      <c r="G1026" s="65"/>
      <c r="H1026" s="65"/>
      <c r="I1026" s="53"/>
      <c r="J1026" s="67"/>
      <c r="K1026" s="106"/>
      <c r="L1026" s="106"/>
      <c r="M1026" s="67"/>
      <c r="N1026" s="106"/>
      <c r="O1026" s="106"/>
      <c r="P1026" s="110"/>
      <c r="Q1026" s="108"/>
      <c r="R1026" s="108"/>
      <c r="S1026" s="108"/>
      <c r="T1026" s="108"/>
      <c r="U1026" s="108"/>
      <c r="V1026" s="108"/>
      <c r="W1026" s="108"/>
      <c r="X1026" s="108"/>
      <c r="Y1026" s="108"/>
      <c r="Z1026" s="108"/>
    </row>
    <row r="1027" spans="1:26" ht="13.5" customHeight="1">
      <c r="A1027" s="104"/>
      <c r="B1027" s="917"/>
      <c r="C1027" s="894"/>
      <c r="D1027" s="894"/>
      <c r="E1027" s="65"/>
      <c r="F1027" s="65"/>
      <c r="G1027" s="65"/>
      <c r="H1027" s="65"/>
      <c r="I1027" s="53"/>
      <c r="J1027" s="67"/>
      <c r="K1027" s="106"/>
      <c r="L1027" s="106"/>
      <c r="M1027" s="67"/>
      <c r="N1027" s="106"/>
      <c r="O1027" s="106"/>
      <c r="P1027" s="110"/>
      <c r="Q1027" s="108"/>
      <c r="R1027" s="108"/>
      <c r="S1027" s="108"/>
      <c r="T1027" s="108"/>
      <c r="U1027" s="108"/>
      <c r="V1027" s="108"/>
      <c r="W1027" s="108"/>
      <c r="X1027" s="108"/>
      <c r="Y1027" s="108"/>
      <c r="Z1027" s="108"/>
    </row>
    <row r="1028" spans="1:26" ht="13.5" customHeight="1">
      <c r="A1028" s="104"/>
      <c r="B1028" s="917"/>
      <c r="C1028" s="894"/>
      <c r="D1028" s="894"/>
      <c r="E1028" s="65"/>
      <c r="F1028" s="65"/>
      <c r="G1028" s="65"/>
      <c r="H1028" s="65"/>
      <c r="I1028" s="53"/>
      <c r="J1028" s="67"/>
      <c r="K1028" s="106"/>
      <c r="L1028" s="106"/>
      <c r="M1028" s="67"/>
      <c r="N1028" s="106"/>
      <c r="O1028" s="106"/>
      <c r="P1028" s="110"/>
      <c r="Q1028" s="108"/>
      <c r="R1028" s="108"/>
      <c r="S1028" s="108"/>
      <c r="T1028" s="108"/>
      <c r="U1028" s="108"/>
      <c r="V1028" s="108"/>
      <c r="W1028" s="108"/>
      <c r="X1028" s="108"/>
      <c r="Y1028" s="108"/>
      <c r="Z1028" s="108"/>
    </row>
    <row r="1029" spans="1:26" ht="13.5" customHeight="1">
      <c r="A1029" s="104"/>
      <c r="B1029" s="917"/>
      <c r="C1029" s="894"/>
      <c r="D1029" s="894"/>
      <c r="E1029" s="65"/>
      <c r="F1029" s="65"/>
      <c r="G1029" s="65"/>
      <c r="H1029" s="65"/>
      <c r="I1029" s="53"/>
      <c r="J1029" s="67"/>
      <c r="K1029" s="106"/>
      <c r="L1029" s="106"/>
      <c r="M1029" s="67"/>
      <c r="N1029" s="106"/>
      <c r="O1029" s="106"/>
      <c r="P1029" s="110"/>
      <c r="Q1029" s="108"/>
      <c r="R1029" s="108"/>
      <c r="S1029" s="108"/>
      <c r="T1029" s="108"/>
      <c r="U1029" s="108"/>
      <c r="V1029" s="108"/>
      <c r="W1029" s="108"/>
      <c r="X1029" s="108"/>
      <c r="Y1029" s="108"/>
      <c r="Z1029" s="108"/>
    </row>
    <row r="1030" spans="1:26" ht="13.5" customHeight="1">
      <c r="A1030" s="104"/>
      <c r="B1030" s="917"/>
      <c r="C1030" s="894"/>
      <c r="D1030" s="894"/>
      <c r="E1030" s="65"/>
      <c r="F1030" s="65"/>
      <c r="G1030" s="65"/>
      <c r="H1030" s="65"/>
      <c r="I1030" s="53"/>
      <c r="J1030" s="67"/>
      <c r="K1030" s="106"/>
      <c r="L1030" s="106"/>
      <c r="M1030" s="67"/>
      <c r="N1030" s="106"/>
      <c r="O1030" s="106"/>
      <c r="P1030" s="110"/>
      <c r="Q1030" s="108"/>
      <c r="R1030" s="108"/>
      <c r="S1030" s="108"/>
      <c r="T1030" s="108"/>
      <c r="U1030" s="108"/>
      <c r="V1030" s="108"/>
      <c r="W1030" s="108"/>
      <c r="X1030" s="108"/>
      <c r="Y1030" s="108"/>
      <c r="Z1030" s="108"/>
    </row>
    <row r="1031" spans="1:26" ht="13.5" customHeight="1">
      <c r="A1031" s="104"/>
      <c r="B1031" s="917"/>
      <c r="C1031" s="894"/>
      <c r="D1031" s="894"/>
      <c r="E1031" s="65"/>
      <c r="F1031" s="65"/>
      <c r="G1031" s="65"/>
      <c r="H1031" s="65"/>
      <c r="I1031" s="53"/>
      <c r="J1031" s="67"/>
      <c r="K1031" s="106"/>
      <c r="L1031" s="106"/>
      <c r="M1031" s="67"/>
      <c r="N1031" s="106"/>
      <c r="O1031" s="106"/>
      <c r="P1031" s="110"/>
      <c r="Q1031" s="108"/>
      <c r="R1031" s="108"/>
      <c r="S1031" s="108"/>
      <c r="T1031" s="108"/>
      <c r="U1031" s="108"/>
      <c r="V1031" s="108"/>
      <c r="W1031" s="108"/>
      <c r="X1031" s="108"/>
      <c r="Y1031" s="108"/>
      <c r="Z1031" s="108"/>
    </row>
    <row r="1032" spans="1:26" ht="13.5" customHeight="1">
      <c r="A1032" s="104"/>
      <c r="B1032" s="917"/>
      <c r="C1032" s="894"/>
      <c r="D1032" s="894"/>
      <c r="E1032" s="65"/>
      <c r="F1032" s="65"/>
      <c r="G1032" s="65"/>
      <c r="H1032" s="65"/>
      <c r="I1032" s="53"/>
      <c r="J1032" s="67"/>
      <c r="K1032" s="106"/>
      <c r="L1032" s="106"/>
      <c r="M1032" s="67"/>
      <c r="N1032" s="106"/>
      <c r="O1032" s="106"/>
      <c r="P1032" s="110"/>
      <c r="Q1032" s="108"/>
      <c r="R1032" s="108"/>
      <c r="S1032" s="108"/>
      <c r="T1032" s="108"/>
      <c r="U1032" s="108"/>
      <c r="V1032" s="108"/>
      <c r="W1032" s="108"/>
      <c r="X1032" s="108"/>
      <c r="Y1032" s="108"/>
      <c r="Z1032" s="108"/>
    </row>
    <row r="1033" spans="1:26" ht="13.5" customHeight="1">
      <c r="A1033" s="104"/>
      <c r="B1033" s="917"/>
      <c r="C1033" s="894"/>
      <c r="D1033" s="894"/>
      <c r="E1033" s="65"/>
      <c r="F1033" s="65"/>
      <c r="G1033" s="65"/>
      <c r="H1033" s="65"/>
      <c r="I1033" s="53"/>
      <c r="J1033" s="67"/>
      <c r="K1033" s="106"/>
      <c r="L1033" s="106"/>
      <c r="M1033" s="67"/>
      <c r="N1033" s="106"/>
      <c r="O1033" s="106"/>
      <c r="P1033" s="110"/>
      <c r="Q1033" s="108"/>
      <c r="R1033" s="108"/>
      <c r="S1033" s="108"/>
      <c r="T1033" s="108"/>
      <c r="U1033" s="108"/>
      <c r="V1033" s="108"/>
      <c r="W1033" s="108"/>
      <c r="X1033" s="108"/>
      <c r="Y1033" s="108"/>
      <c r="Z1033" s="108"/>
    </row>
    <row r="1034" spans="1:26" ht="13.5" customHeight="1">
      <c r="A1034" s="104"/>
      <c r="B1034" s="917"/>
      <c r="C1034" s="894"/>
      <c r="D1034" s="894"/>
      <c r="E1034" s="65"/>
      <c r="F1034" s="65"/>
      <c r="G1034" s="65"/>
      <c r="H1034" s="65"/>
      <c r="I1034" s="53"/>
      <c r="J1034" s="67"/>
      <c r="K1034" s="106"/>
      <c r="L1034" s="106"/>
      <c r="M1034" s="67"/>
      <c r="N1034" s="106"/>
      <c r="O1034" s="106"/>
      <c r="P1034" s="110"/>
      <c r="Q1034" s="108"/>
      <c r="R1034" s="108"/>
      <c r="S1034" s="108"/>
      <c r="T1034" s="108"/>
      <c r="U1034" s="108"/>
      <c r="V1034" s="108"/>
      <c r="W1034" s="108"/>
      <c r="X1034" s="108"/>
      <c r="Y1034" s="108"/>
      <c r="Z1034" s="108"/>
    </row>
    <row r="1035" spans="1:26" ht="13.5" customHeight="1">
      <c r="A1035" s="104"/>
      <c r="B1035" s="917"/>
      <c r="C1035" s="894"/>
      <c r="D1035" s="894"/>
      <c r="E1035" s="65"/>
      <c r="F1035" s="65"/>
      <c r="G1035" s="65"/>
      <c r="H1035" s="65"/>
      <c r="I1035" s="53"/>
      <c r="J1035" s="67"/>
      <c r="K1035" s="106"/>
      <c r="L1035" s="106"/>
      <c r="M1035" s="67"/>
      <c r="N1035" s="106"/>
      <c r="O1035" s="106"/>
      <c r="P1035" s="110"/>
      <c r="Q1035" s="108"/>
      <c r="R1035" s="108"/>
      <c r="S1035" s="108"/>
      <c r="T1035" s="108"/>
      <c r="U1035" s="108"/>
      <c r="V1035" s="108"/>
      <c r="W1035" s="108"/>
      <c r="X1035" s="108"/>
      <c r="Y1035" s="108"/>
      <c r="Z1035" s="108"/>
    </row>
    <row r="1036" spans="1:26" ht="13.5" customHeight="1">
      <c r="A1036" s="104"/>
      <c r="B1036" s="917"/>
      <c r="C1036" s="894"/>
      <c r="D1036" s="894"/>
      <c r="E1036" s="65"/>
      <c r="F1036" s="65"/>
      <c r="G1036" s="65"/>
      <c r="H1036" s="65"/>
      <c r="I1036" s="53"/>
      <c r="J1036" s="67"/>
      <c r="K1036" s="106"/>
      <c r="L1036" s="106"/>
      <c r="M1036" s="67"/>
      <c r="N1036" s="106"/>
      <c r="O1036" s="106"/>
      <c r="P1036" s="110"/>
      <c r="Q1036" s="108"/>
      <c r="R1036" s="108"/>
      <c r="S1036" s="108"/>
      <c r="T1036" s="108"/>
      <c r="U1036" s="108"/>
      <c r="V1036" s="108"/>
      <c r="W1036" s="108"/>
      <c r="X1036" s="108"/>
      <c r="Y1036" s="108"/>
      <c r="Z1036" s="108"/>
    </row>
    <row r="1037" spans="1:26" ht="13.5" customHeight="1">
      <c r="A1037" s="104"/>
      <c r="B1037" s="917"/>
      <c r="C1037" s="894"/>
      <c r="D1037" s="894"/>
      <c r="E1037" s="65"/>
      <c r="F1037" s="65"/>
      <c r="G1037" s="65"/>
      <c r="H1037" s="65"/>
      <c r="I1037" s="53"/>
      <c r="J1037" s="67"/>
      <c r="K1037" s="106"/>
      <c r="L1037" s="106"/>
      <c r="M1037" s="67"/>
      <c r="N1037" s="106"/>
      <c r="O1037" s="106"/>
      <c r="P1037" s="110"/>
      <c r="Q1037" s="108"/>
      <c r="R1037" s="108"/>
      <c r="S1037" s="108"/>
      <c r="T1037" s="108"/>
      <c r="U1037" s="108"/>
      <c r="V1037" s="108"/>
      <c r="W1037" s="108"/>
      <c r="X1037" s="108"/>
      <c r="Y1037" s="108"/>
      <c r="Z1037" s="108"/>
    </row>
    <row r="1038" spans="1:26" ht="13.5" customHeight="1">
      <c r="A1038" s="104"/>
      <c r="B1038" s="917"/>
      <c r="C1038" s="894"/>
      <c r="D1038" s="894"/>
      <c r="E1038" s="65"/>
      <c r="F1038" s="65"/>
      <c r="G1038" s="65"/>
      <c r="H1038" s="65"/>
      <c r="I1038" s="53"/>
      <c r="J1038" s="67"/>
      <c r="K1038" s="106"/>
      <c r="L1038" s="106"/>
      <c r="M1038" s="67"/>
      <c r="N1038" s="106"/>
      <c r="O1038" s="106"/>
      <c r="P1038" s="110"/>
      <c r="Q1038" s="108"/>
      <c r="R1038" s="108"/>
      <c r="S1038" s="108"/>
      <c r="T1038" s="108"/>
      <c r="U1038" s="108"/>
      <c r="V1038" s="108"/>
      <c r="W1038" s="108"/>
      <c r="X1038" s="108"/>
      <c r="Y1038" s="108"/>
      <c r="Z1038" s="108"/>
    </row>
    <row r="1039" spans="1:26" ht="13.5" customHeight="1">
      <c r="A1039" s="104"/>
      <c r="B1039" s="917"/>
      <c r="C1039" s="894"/>
      <c r="D1039" s="894"/>
      <c r="E1039" s="65"/>
      <c r="F1039" s="65"/>
      <c r="G1039" s="65"/>
      <c r="H1039" s="65"/>
      <c r="I1039" s="53"/>
      <c r="J1039" s="67"/>
      <c r="K1039" s="106"/>
      <c r="L1039" s="106"/>
      <c r="M1039" s="67"/>
      <c r="N1039" s="106"/>
      <c r="O1039" s="106"/>
      <c r="P1039" s="110"/>
      <c r="Q1039" s="108"/>
      <c r="R1039" s="108"/>
      <c r="S1039" s="108"/>
      <c r="T1039" s="108"/>
      <c r="U1039" s="108"/>
      <c r="V1039" s="108"/>
      <c r="W1039" s="108"/>
      <c r="X1039" s="108"/>
      <c r="Y1039" s="108"/>
      <c r="Z1039" s="108"/>
    </row>
    <row r="1040" spans="1:26" ht="13.5" customHeight="1">
      <c r="A1040" s="104"/>
      <c r="B1040" s="917"/>
      <c r="C1040" s="894"/>
      <c r="D1040" s="894"/>
      <c r="E1040" s="65"/>
      <c r="F1040" s="65"/>
      <c r="G1040" s="65"/>
      <c r="H1040" s="65"/>
      <c r="I1040" s="53"/>
      <c r="J1040" s="67"/>
      <c r="K1040" s="106"/>
      <c r="L1040" s="106"/>
      <c r="M1040" s="67"/>
      <c r="N1040" s="106"/>
      <c r="O1040" s="106"/>
      <c r="P1040" s="110"/>
      <c r="Q1040" s="108"/>
      <c r="R1040" s="108"/>
      <c r="S1040" s="108"/>
      <c r="T1040" s="108"/>
      <c r="U1040" s="108"/>
      <c r="V1040" s="108"/>
      <c r="W1040" s="108"/>
      <c r="X1040" s="108"/>
      <c r="Y1040" s="108"/>
      <c r="Z1040" s="108"/>
    </row>
    <row r="1041" spans="1:26" ht="13.5" customHeight="1">
      <c r="A1041" s="104"/>
      <c r="B1041" s="917"/>
      <c r="C1041" s="894"/>
      <c r="D1041" s="894"/>
      <c r="E1041" s="65"/>
      <c r="F1041" s="65"/>
      <c r="G1041" s="65"/>
      <c r="H1041" s="65"/>
      <c r="I1041" s="53"/>
      <c r="J1041" s="67"/>
      <c r="K1041" s="106"/>
      <c r="L1041" s="106"/>
      <c r="M1041" s="67"/>
      <c r="N1041" s="106"/>
      <c r="O1041" s="106"/>
      <c r="P1041" s="110"/>
      <c r="Q1041" s="108"/>
      <c r="R1041" s="108"/>
      <c r="S1041" s="108"/>
      <c r="T1041" s="108"/>
      <c r="U1041" s="108"/>
      <c r="V1041" s="108"/>
      <c r="W1041" s="108"/>
      <c r="X1041" s="108"/>
      <c r="Y1041" s="108"/>
      <c r="Z1041" s="108"/>
    </row>
    <row r="1042" spans="1:26" ht="13.5" customHeight="1">
      <c r="A1042" s="104"/>
      <c r="B1042" s="917"/>
      <c r="C1042" s="894"/>
      <c r="D1042" s="894"/>
      <c r="E1042" s="65"/>
      <c r="F1042" s="65"/>
      <c r="G1042" s="65"/>
      <c r="H1042" s="65"/>
      <c r="I1042" s="53"/>
      <c r="J1042" s="67"/>
      <c r="K1042" s="106"/>
      <c r="L1042" s="106"/>
      <c r="M1042" s="67"/>
      <c r="N1042" s="106"/>
      <c r="O1042" s="106"/>
      <c r="P1042" s="110"/>
      <c r="Q1042" s="108"/>
      <c r="R1042" s="108"/>
      <c r="S1042" s="108"/>
      <c r="T1042" s="108"/>
      <c r="U1042" s="108"/>
      <c r="V1042" s="108"/>
      <c r="W1042" s="108"/>
      <c r="X1042" s="108"/>
      <c r="Y1042" s="108"/>
      <c r="Z1042" s="108"/>
    </row>
    <row r="1043" spans="1:26" ht="13.5" customHeight="1">
      <c r="A1043" s="104"/>
      <c r="B1043" s="917"/>
      <c r="C1043" s="894"/>
      <c r="D1043" s="894"/>
      <c r="E1043" s="65"/>
      <c r="F1043" s="65"/>
      <c r="G1043" s="65"/>
      <c r="H1043" s="65"/>
      <c r="I1043" s="53"/>
      <c r="J1043" s="67"/>
      <c r="K1043" s="106"/>
      <c r="L1043" s="106"/>
      <c r="M1043" s="67"/>
      <c r="N1043" s="106"/>
      <c r="O1043" s="106"/>
      <c r="P1043" s="110"/>
      <c r="Q1043" s="108"/>
      <c r="R1043" s="108"/>
      <c r="S1043" s="108"/>
      <c r="T1043" s="108"/>
      <c r="U1043" s="108"/>
      <c r="V1043" s="108"/>
      <c r="W1043" s="108"/>
      <c r="X1043" s="108"/>
      <c r="Y1043" s="108"/>
      <c r="Z1043" s="108"/>
    </row>
    <row r="1044" spans="1:26" ht="13.5" customHeight="1">
      <c r="A1044" s="104"/>
      <c r="B1044" s="917"/>
      <c r="C1044" s="894"/>
      <c r="D1044" s="894"/>
      <c r="E1044" s="65"/>
      <c r="F1044" s="65"/>
      <c r="G1044" s="65"/>
      <c r="H1044" s="65"/>
      <c r="I1044" s="53"/>
      <c r="J1044" s="67"/>
      <c r="K1044" s="106"/>
      <c r="L1044" s="106"/>
      <c r="M1044" s="67"/>
      <c r="N1044" s="106"/>
      <c r="O1044" s="106"/>
      <c r="P1044" s="110"/>
      <c r="Q1044" s="108"/>
      <c r="R1044" s="108"/>
      <c r="S1044" s="108"/>
      <c r="T1044" s="108"/>
      <c r="U1044" s="108"/>
      <c r="V1044" s="108"/>
      <c r="W1044" s="108"/>
      <c r="X1044" s="108"/>
      <c r="Y1044" s="108"/>
      <c r="Z1044" s="108"/>
    </row>
    <row r="1045" spans="1:26" ht="13.5" customHeight="1">
      <c r="A1045" s="104"/>
      <c r="B1045" s="917"/>
      <c r="C1045" s="894"/>
      <c r="D1045" s="894"/>
      <c r="E1045" s="65"/>
      <c r="F1045" s="65"/>
      <c r="G1045" s="65"/>
      <c r="H1045" s="65"/>
      <c r="I1045" s="53"/>
      <c r="J1045" s="67"/>
      <c r="K1045" s="106"/>
      <c r="L1045" s="106"/>
      <c r="M1045" s="67"/>
      <c r="N1045" s="106"/>
      <c r="O1045" s="106"/>
      <c r="P1045" s="110"/>
      <c r="Q1045" s="108"/>
      <c r="R1045" s="108"/>
      <c r="S1045" s="108"/>
      <c r="T1045" s="108"/>
      <c r="U1045" s="108"/>
      <c r="V1045" s="108"/>
      <c r="W1045" s="108"/>
      <c r="X1045" s="108"/>
      <c r="Y1045" s="108"/>
      <c r="Z1045" s="108"/>
    </row>
    <row r="1046" spans="1:26" ht="13.5" customHeight="1">
      <c r="A1046" s="104"/>
      <c r="B1046" s="917"/>
      <c r="C1046" s="894"/>
      <c r="D1046" s="894"/>
      <c r="E1046" s="65"/>
      <c r="F1046" s="65"/>
      <c r="G1046" s="65"/>
      <c r="H1046" s="65"/>
      <c r="I1046" s="53"/>
      <c r="J1046" s="67"/>
      <c r="K1046" s="106"/>
      <c r="L1046" s="106"/>
      <c r="M1046" s="67"/>
      <c r="N1046" s="106"/>
      <c r="O1046" s="106"/>
      <c r="P1046" s="110"/>
      <c r="Q1046" s="108"/>
      <c r="R1046" s="108"/>
      <c r="S1046" s="108"/>
      <c r="T1046" s="108"/>
      <c r="U1046" s="108"/>
      <c r="V1046" s="108"/>
      <c r="W1046" s="108"/>
      <c r="X1046" s="108"/>
      <c r="Y1046" s="108"/>
      <c r="Z1046" s="108"/>
    </row>
    <row r="1047" spans="1:26" ht="13.5" customHeight="1">
      <c r="A1047" s="104"/>
      <c r="B1047" s="917"/>
      <c r="C1047" s="894"/>
      <c r="D1047" s="894"/>
      <c r="E1047" s="65"/>
      <c r="F1047" s="65"/>
      <c r="G1047" s="65"/>
      <c r="H1047" s="65"/>
      <c r="I1047" s="53"/>
      <c r="J1047" s="67"/>
      <c r="K1047" s="106"/>
      <c r="L1047" s="106"/>
      <c r="M1047" s="67"/>
      <c r="N1047" s="106"/>
      <c r="O1047" s="106"/>
      <c r="P1047" s="110"/>
      <c r="Q1047" s="108"/>
      <c r="R1047" s="108"/>
      <c r="S1047" s="108"/>
      <c r="T1047" s="108"/>
      <c r="U1047" s="108"/>
      <c r="V1047" s="108"/>
      <c r="W1047" s="108"/>
      <c r="X1047" s="108"/>
      <c r="Y1047" s="108"/>
      <c r="Z1047" s="108"/>
    </row>
    <row r="1048" spans="1:26" ht="13.5" customHeight="1">
      <c r="A1048" s="104"/>
      <c r="B1048" s="917"/>
      <c r="C1048" s="894"/>
      <c r="D1048" s="894"/>
      <c r="E1048" s="65"/>
      <c r="F1048" s="65"/>
      <c r="G1048" s="65"/>
      <c r="H1048" s="65"/>
      <c r="I1048" s="53"/>
      <c r="J1048" s="67"/>
      <c r="K1048" s="106"/>
      <c r="L1048" s="106"/>
      <c r="M1048" s="67"/>
      <c r="N1048" s="106"/>
      <c r="O1048" s="106"/>
      <c r="P1048" s="110"/>
      <c r="Q1048" s="108"/>
      <c r="R1048" s="108"/>
      <c r="S1048" s="108"/>
      <c r="T1048" s="108"/>
      <c r="U1048" s="108"/>
      <c r="V1048" s="108"/>
      <c r="W1048" s="108"/>
      <c r="X1048" s="108"/>
      <c r="Y1048" s="108"/>
      <c r="Z1048" s="108"/>
    </row>
    <row r="1049" spans="1:26" ht="13.5" customHeight="1">
      <c r="A1049" s="104"/>
      <c r="B1049" s="917"/>
      <c r="C1049" s="894"/>
      <c r="D1049" s="894"/>
      <c r="E1049" s="65"/>
      <c r="F1049" s="65"/>
      <c r="G1049" s="65"/>
      <c r="H1049" s="65"/>
      <c r="I1049" s="53"/>
      <c r="J1049" s="67"/>
      <c r="K1049" s="106"/>
      <c r="L1049" s="106"/>
      <c r="M1049" s="67"/>
      <c r="N1049" s="106"/>
      <c r="O1049" s="106"/>
      <c r="P1049" s="110"/>
      <c r="Q1049" s="108"/>
      <c r="R1049" s="108"/>
      <c r="S1049" s="108"/>
      <c r="T1049" s="108"/>
      <c r="U1049" s="108"/>
      <c r="V1049" s="108"/>
      <c r="W1049" s="108"/>
      <c r="X1049" s="108"/>
      <c r="Y1049" s="108"/>
      <c r="Z1049" s="108"/>
    </row>
    <row r="1050" spans="1:26" ht="13.5" customHeight="1">
      <c r="A1050" s="104"/>
      <c r="B1050" s="917"/>
      <c r="C1050" s="894"/>
      <c r="D1050" s="894"/>
      <c r="E1050" s="65"/>
      <c r="F1050" s="65"/>
      <c r="G1050" s="65"/>
      <c r="H1050" s="65"/>
      <c r="I1050" s="53"/>
      <c r="J1050" s="67"/>
      <c r="K1050" s="106"/>
      <c r="L1050" s="106"/>
      <c r="M1050" s="67"/>
      <c r="N1050" s="106"/>
      <c r="O1050" s="106"/>
      <c r="P1050" s="110"/>
      <c r="Q1050" s="108"/>
      <c r="R1050" s="108"/>
      <c r="S1050" s="108"/>
      <c r="T1050" s="108"/>
      <c r="U1050" s="108"/>
      <c r="V1050" s="108"/>
      <c r="W1050" s="108"/>
      <c r="X1050" s="108"/>
      <c r="Y1050" s="108"/>
      <c r="Z1050" s="108"/>
    </row>
    <row r="1051" spans="1:26" ht="13.5" customHeight="1">
      <c r="A1051" s="104"/>
      <c r="B1051" s="917"/>
      <c r="C1051" s="894"/>
      <c r="D1051" s="894"/>
      <c r="E1051" s="65"/>
      <c r="F1051" s="65"/>
      <c r="G1051" s="65"/>
      <c r="H1051" s="65"/>
      <c r="I1051" s="53"/>
      <c r="J1051" s="67"/>
      <c r="K1051" s="106"/>
      <c r="L1051" s="106"/>
      <c r="M1051" s="67"/>
      <c r="N1051" s="106"/>
      <c r="O1051" s="106"/>
      <c r="P1051" s="110"/>
      <c r="Q1051" s="108"/>
      <c r="R1051" s="108"/>
      <c r="S1051" s="108"/>
      <c r="T1051" s="108"/>
      <c r="U1051" s="108"/>
      <c r="V1051" s="108"/>
      <c r="W1051" s="108"/>
      <c r="X1051" s="108"/>
      <c r="Y1051" s="108"/>
      <c r="Z1051" s="108"/>
    </row>
    <row r="1052" spans="1:26" ht="13.5" customHeight="1">
      <c r="A1052" s="104"/>
      <c r="B1052" s="917"/>
      <c r="C1052" s="894"/>
      <c r="D1052" s="894"/>
      <c r="E1052" s="65"/>
      <c r="F1052" s="65"/>
      <c r="G1052" s="65"/>
      <c r="H1052" s="65"/>
      <c r="I1052" s="53"/>
      <c r="J1052" s="67"/>
      <c r="K1052" s="106"/>
      <c r="L1052" s="106"/>
      <c r="M1052" s="67"/>
      <c r="N1052" s="106"/>
      <c r="O1052" s="106"/>
      <c r="P1052" s="110"/>
      <c r="Q1052" s="108"/>
      <c r="R1052" s="108"/>
      <c r="S1052" s="108"/>
      <c r="T1052" s="108"/>
      <c r="U1052" s="108"/>
      <c r="V1052" s="108"/>
      <c r="W1052" s="108"/>
      <c r="X1052" s="108"/>
      <c r="Y1052" s="108"/>
      <c r="Z1052" s="108"/>
    </row>
    <row r="1053" spans="1:26" ht="13.5" customHeight="1">
      <c r="A1053" s="1"/>
      <c r="B1053" s="918"/>
      <c r="C1053" s="145"/>
      <c r="D1053" s="145"/>
      <c r="E1053" s="145"/>
      <c r="F1053" s="145"/>
      <c r="G1053" s="145"/>
      <c r="H1053" s="145"/>
      <c r="I1053" s="17"/>
      <c r="J1053" s="67"/>
      <c r="K1053" s="106"/>
      <c r="L1053" s="106"/>
      <c r="M1053" s="67"/>
      <c r="N1053" s="106"/>
      <c r="O1053" s="106"/>
      <c r="P1053" s="19"/>
      <c r="Q1053" s="12"/>
      <c r="R1053" s="12"/>
      <c r="S1053" s="12"/>
      <c r="T1053" s="12"/>
      <c r="U1053" s="12"/>
      <c r="V1053" s="12"/>
      <c r="W1053" s="12"/>
      <c r="X1053" s="12"/>
      <c r="Y1053" s="12"/>
      <c r="Z1053" s="12"/>
    </row>
    <row r="1054" spans="1:26" ht="13.5" customHeight="1">
      <c r="A1054" s="1"/>
      <c r="B1054" s="918"/>
      <c r="C1054" s="145"/>
      <c r="D1054" s="145"/>
      <c r="E1054" s="145"/>
      <c r="F1054" s="145"/>
      <c r="G1054" s="145"/>
      <c r="H1054" s="145"/>
      <c r="I1054" s="17"/>
      <c r="J1054" s="67"/>
      <c r="K1054" s="106"/>
      <c r="L1054" s="106"/>
      <c r="M1054" s="67"/>
      <c r="N1054" s="106"/>
      <c r="O1054" s="106"/>
      <c r="P1054" s="19"/>
      <c r="Q1054" s="12"/>
      <c r="R1054" s="12"/>
      <c r="S1054" s="12"/>
      <c r="T1054" s="12"/>
      <c r="U1054" s="12"/>
      <c r="V1054" s="12"/>
      <c r="W1054" s="12"/>
      <c r="X1054" s="12"/>
      <c r="Y1054" s="12"/>
      <c r="Z1054" s="12"/>
    </row>
    <row r="1055" spans="1:26" ht="13.5" customHeight="1">
      <c r="A1055" s="1"/>
      <c r="B1055" s="918"/>
      <c r="C1055" s="145"/>
      <c r="D1055" s="145"/>
      <c r="E1055" s="145"/>
      <c r="F1055" s="145"/>
      <c r="G1055" s="145"/>
      <c r="H1055" s="145"/>
      <c r="I1055" s="17"/>
      <c r="J1055" s="67"/>
      <c r="K1055" s="106"/>
      <c r="L1055" s="106"/>
      <c r="M1055" s="67"/>
      <c r="N1055" s="106"/>
      <c r="O1055" s="106"/>
      <c r="P1055" s="19"/>
      <c r="Q1055" s="12"/>
      <c r="R1055" s="12"/>
      <c r="S1055" s="12"/>
      <c r="T1055" s="12"/>
      <c r="U1055" s="12"/>
      <c r="V1055" s="12"/>
      <c r="W1055" s="12"/>
      <c r="X1055" s="12"/>
      <c r="Y1055" s="12"/>
      <c r="Z1055" s="12"/>
    </row>
    <row r="1056" spans="1:26" ht="13.5" customHeight="1">
      <c r="A1056" s="1"/>
      <c r="B1056" s="918"/>
      <c r="C1056" s="145"/>
      <c r="D1056" s="145"/>
      <c r="E1056" s="145"/>
      <c r="F1056" s="145"/>
      <c r="G1056" s="145"/>
      <c r="H1056" s="145"/>
      <c r="I1056" s="17"/>
      <c r="J1056" s="67"/>
      <c r="K1056" s="106"/>
      <c r="L1056" s="106"/>
      <c r="M1056" s="67"/>
      <c r="N1056" s="106"/>
      <c r="O1056" s="106"/>
      <c r="P1056" s="19"/>
      <c r="Q1056" s="12"/>
      <c r="R1056" s="12"/>
      <c r="S1056" s="12"/>
      <c r="T1056" s="12"/>
      <c r="U1056" s="12"/>
      <c r="V1056" s="12"/>
      <c r="W1056" s="12"/>
      <c r="X1056" s="12"/>
      <c r="Y1056" s="12"/>
      <c r="Z1056" s="12"/>
    </row>
    <row r="1057" spans="1:26" ht="13.5" customHeight="1">
      <c r="A1057" s="1"/>
      <c r="B1057" s="918"/>
      <c r="C1057" s="145"/>
      <c r="D1057" s="145"/>
      <c r="E1057" s="145"/>
      <c r="F1057" s="145"/>
      <c r="G1057" s="145"/>
      <c r="H1057" s="145"/>
      <c r="I1057" s="17"/>
      <c r="J1057" s="67"/>
      <c r="K1057" s="106"/>
      <c r="L1057" s="106"/>
      <c r="M1057" s="67"/>
      <c r="N1057" s="106"/>
      <c r="O1057" s="106"/>
      <c r="P1057" s="19"/>
      <c r="Q1057" s="12"/>
      <c r="R1057" s="12"/>
      <c r="S1057" s="12"/>
      <c r="T1057" s="12"/>
      <c r="U1057" s="12"/>
      <c r="V1057" s="12"/>
      <c r="W1057" s="12"/>
      <c r="X1057" s="12"/>
      <c r="Y1057" s="12"/>
      <c r="Z1057" s="12"/>
    </row>
    <row r="1058" spans="1:26" ht="13.5" customHeight="1">
      <c r="A1058" s="1"/>
      <c r="B1058" s="918"/>
      <c r="C1058" s="145"/>
      <c r="D1058" s="145"/>
      <c r="E1058" s="145"/>
      <c r="F1058" s="145"/>
      <c r="G1058" s="145"/>
      <c r="H1058" s="145"/>
      <c r="I1058" s="17"/>
      <c r="J1058" s="67"/>
      <c r="K1058" s="106"/>
      <c r="L1058" s="106"/>
      <c r="M1058" s="67"/>
      <c r="N1058" s="106"/>
      <c r="O1058" s="106"/>
      <c r="P1058" s="19"/>
      <c r="Q1058" s="12"/>
      <c r="R1058" s="12"/>
      <c r="S1058" s="12"/>
      <c r="T1058" s="12"/>
      <c r="U1058" s="12"/>
      <c r="V1058" s="12"/>
      <c r="W1058" s="12"/>
      <c r="X1058" s="12"/>
      <c r="Y1058" s="12"/>
      <c r="Z1058" s="12"/>
    </row>
    <row r="1059" spans="1:26" ht="13.5" customHeight="1">
      <c r="A1059" s="1"/>
      <c r="B1059" s="918"/>
      <c r="C1059" s="145"/>
      <c r="D1059" s="145"/>
      <c r="E1059" s="145"/>
      <c r="F1059" s="145"/>
      <c r="G1059" s="145"/>
      <c r="H1059" s="145"/>
      <c r="I1059" s="17"/>
      <c r="J1059" s="67"/>
      <c r="K1059" s="106"/>
      <c r="L1059" s="106"/>
      <c r="M1059" s="67"/>
      <c r="N1059" s="106"/>
      <c r="O1059" s="106"/>
      <c r="P1059" s="19"/>
      <c r="Q1059" s="12"/>
      <c r="R1059" s="12"/>
      <c r="S1059" s="12"/>
      <c r="T1059" s="12"/>
      <c r="U1059" s="12"/>
      <c r="V1059" s="12"/>
      <c r="W1059" s="12"/>
      <c r="X1059" s="12"/>
      <c r="Y1059" s="12"/>
      <c r="Z1059" s="12"/>
    </row>
    <row r="1060" spans="1:26" ht="13.5" customHeight="1">
      <c r="A1060" s="1"/>
      <c r="B1060" s="918"/>
      <c r="C1060" s="145"/>
      <c r="D1060" s="145"/>
      <c r="E1060" s="145"/>
      <c r="F1060" s="145"/>
      <c r="G1060" s="145"/>
      <c r="H1060" s="145"/>
      <c r="I1060" s="17"/>
      <c r="J1060" s="67"/>
      <c r="K1060" s="106"/>
      <c r="L1060" s="106"/>
      <c r="M1060" s="67"/>
      <c r="N1060" s="106"/>
      <c r="O1060" s="106"/>
      <c r="P1060" s="19"/>
      <c r="Q1060" s="12"/>
      <c r="R1060" s="12"/>
      <c r="S1060" s="12"/>
      <c r="T1060" s="12"/>
      <c r="U1060" s="12"/>
      <c r="V1060" s="12"/>
      <c r="W1060" s="12"/>
      <c r="X1060" s="12"/>
      <c r="Y1060" s="12"/>
      <c r="Z1060" s="12"/>
    </row>
    <row r="1061" spans="1:26" ht="13.5" customHeight="1">
      <c r="A1061" s="1"/>
      <c r="B1061" s="918"/>
      <c r="C1061" s="145"/>
      <c r="D1061" s="145"/>
      <c r="E1061" s="145"/>
      <c r="F1061" s="145"/>
      <c r="G1061" s="145"/>
      <c r="H1061" s="145"/>
      <c r="I1061" s="17"/>
      <c r="J1061" s="67"/>
      <c r="K1061" s="106"/>
      <c r="L1061" s="106"/>
      <c r="M1061" s="67"/>
      <c r="N1061" s="106"/>
      <c r="O1061" s="106"/>
      <c r="P1061" s="19"/>
      <c r="Q1061" s="12"/>
      <c r="R1061" s="12"/>
      <c r="S1061" s="12"/>
      <c r="T1061" s="12"/>
      <c r="U1061" s="12"/>
      <c r="V1061" s="12"/>
      <c r="W1061" s="12"/>
      <c r="X1061" s="12"/>
      <c r="Y1061" s="12"/>
      <c r="Z1061" s="12"/>
    </row>
    <row r="1062" spans="1:26" ht="13.5" customHeight="1">
      <c r="A1062" s="1"/>
      <c r="B1062" s="918"/>
      <c r="C1062" s="145"/>
      <c r="D1062" s="145"/>
      <c r="E1062" s="145"/>
      <c r="F1062" s="145"/>
      <c r="G1062" s="145"/>
      <c r="H1062" s="145"/>
      <c r="I1062" s="17"/>
      <c r="J1062" s="67"/>
      <c r="K1062" s="106"/>
      <c r="L1062" s="106"/>
      <c r="M1062" s="67"/>
      <c r="N1062" s="106"/>
      <c r="O1062" s="106"/>
      <c r="P1062" s="19"/>
      <c r="Q1062" s="12"/>
      <c r="R1062" s="12"/>
      <c r="S1062" s="12"/>
      <c r="T1062" s="12"/>
      <c r="U1062" s="12"/>
      <c r="V1062" s="12"/>
      <c r="W1062" s="12"/>
      <c r="X1062" s="12"/>
      <c r="Y1062" s="12"/>
      <c r="Z1062" s="12"/>
    </row>
    <row r="1063" spans="1:26" ht="13.5" customHeight="1">
      <c r="A1063" s="1"/>
      <c r="B1063" s="918"/>
      <c r="C1063" s="145"/>
      <c r="D1063" s="145"/>
      <c r="E1063" s="145"/>
      <c r="F1063" s="145"/>
      <c r="G1063" s="145"/>
      <c r="H1063" s="145"/>
      <c r="I1063" s="17"/>
      <c r="J1063" s="67"/>
      <c r="K1063" s="106"/>
      <c r="L1063" s="106"/>
      <c r="M1063" s="67"/>
      <c r="N1063" s="106"/>
      <c r="O1063" s="106"/>
      <c r="P1063" s="19"/>
      <c r="Q1063" s="12"/>
      <c r="R1063" s="12"/>
      <c r="S1063" s="12"/>
      <c r="T1063" s="12"/>
      <c r="U1063" s="12"/>
      <c r="V1063" s="12"/>
      <c r="W1063" s="12"/>
      <c r="X1063" s="12"/>
      <c r="Y1063" s="12"/>
      <c r="Z1063" s="12"/>
    </row>
    <row r="1064" spans="1:26" ht="13.5" customHeight="1">
      <c r="A1064" s="1"/>
      <c r="B1064" s="918"/>
      <c r="C1064" s="145"/>
      <c r="D1064" s="145"/>
      <c r="E1064" s="145"/>
      <c r="F1064" s="145"/>
      <c r="G1064" s="145"/>
      <c r="H1064" s="145"/>
      <c r="I1064" s="17"/>
      <c r="J1064" s="67"/>
      <c r="K1064" s="106"/>
      <c r="L1064" s="106"/>
      <c r="M1064" s="67"/>
      <c r="N1064" s="106"/>
      <c r="O1064" s="106"/>
      <c r="P1064" s="19"/>
      <c r="Q1064" s="12"/>
      <c r="R1064" s="12"/>
      <c r="S1064" s="12"/>
      <c r="T1064" s="12"/>
      <c r="U1064" s="12"/>
      <c r="V1064" s="12"/>
      <c r="W1064" s="12"/>
      <c r="X1064" s="12"/>
      <c r="Y1064" s="12"/>
      <c r="Z1064" s="12"/>
    </row>
    <row r="1065" spans="1:26" ht="13.5" customHeight="1">
      <c r="A1065" s="1"/>
      <c r="B1065" s="918"/>
      <c r="C1065" s="145"/>
      <c r="D1065" s="145"/>
      <c r="E1065" s="145"/>
      <c r="F1065" s="145"/>
      <c r="G1065" s="145"/>
      <c r="H1065" s="145"/>
      <c r="I1065" s="17"/>
      <c r="J1065" s="67"/>
      <c r="K1065" s="106"/>
      <c r="L1065" s="106"/>
      <c r="M1065" s="67"/>
      <c r="N1065" s="106"/>
      <c r="O1065" s="106"/>
      <c r="P1065" s="19"/>
      <c r="Q1065" s="12"/>
      <c r="R1065" s="12"/>
      <c r="S1065" s="12"/>
      <c r="T1065" s="12"/>
      <c r="U1065" s="12"/>
      <c r="V1065" s="12"/>
      <c r="W1065" s="12"/>
      <c r="X1065" s="12"/>
      <c r="Y1065" s="12"/>
      <c r="Z1065" s="12"/>
    </row>
    <row r="1066" spans="1:26" ht="13.5" customHeight="1">
      <c r="A1066" s="1"/>
      <c r="B1066" s="918"/>
      <c r="C1066" s="145"/>
      <c r="D1066" s="145"/>
      <c r="E1066" s="145"/>
      <c r="F1066" s="145"/>
      <c r="G1066" s="145"/>
      <c r="H1066" s="145"/>
      <c r="I1066" s="17"/>
      <c r="J1066" s="67"/>
      <c r="K1066" s="106"/>
      <c r="L1066" s="106"/>
      <c r="M1066" s="67"/>
      <c r="N1066" s="106"/>
      <c r="O1066" s="106"/>
      <c r="P1066" s="19"/>
      <c r="Q1066" s="12"/>
      <c r="R1066" s="12"/>
      <c r="S1066" s="12"/>
      <c r="T1066" s="12"/>
      <c r="U1066" s="12"/>
      <c r="V1066" s="12"/>
      <c r="W1066" s="12"/>
      <c r="X1066" s="12"/>
      <c r="Y1066" s="12"/>
      <c r="Z1066" s="12"/>
    </row>
    <row r="1067" spans="1:26" ht="13.5" customHeight="1">
      <c r="A1067" s="1"/>
      <c r="B1067" s="918"/>
      <c r="C1067" s="145"/>
      <c r="D1067" s="145"/>
      <c r="E1067" s="145"/>
      <c r="F1067" s="145"/>
      <c r="G1067" s="145"/>
      <c r="H1067" s="145"/>
      <c r="I1067" s="17"/>
      <c r="J1067" s="67"/>
      <c r="K1067" s="106"/>
      <c r="L1067" s="106"/>
      <c r="M1067" s="67"/>
      <c r="N1067" s="106"/>
      <c r="O1067" s="106"/>
      <c r="P1067" s="19"/>
      <c r="Q1067" s="12"/>
      <c r="R1067" s="12"/>
      <c r="S1067" s="12"/>
      <c r="T1067" s="903"/>
      <c r="U1067" s="903"/>
      <c r="V1067" s="903"/>
      <c r="W1067" s="903"/>
      <c r="X1067" s="903"/>
      <c r="Y1067" s="903"/>
      <c r="Z1067" s="903"/>
    </row>
  </sheetData>
  <mergeCells count="10">
    <mergeCell ref="A880:B880"/>
    <mergeCell ref="A922:B922"/>
    <mergeCell ref="B2:H2"/>
    <mergeCell ref="J2:O2"/>
    <mergeCell ref="B4:H4"/>
    <mergeCell ref="J4:O4"/>
    <mergeCell ref="B734:H734"/>
    <mergeCell ref="B550:H550"/>
    <mergeCell ref="J734:O734"/>
    <mergeCell ref="J550:O550"/>
  </mergeCells>
  <hyperlinks>
    <hyperlink ref="M112" r:id="rId1" display="https://matsne.gov.ge/index.php?option=com_ldmssearch&amp;view=docView&amp;id=1659419&amp;lang=ge"/>
  </hyperlinks>
  <pageMargins left="0.7" right="0.7" top="0.75" bottom="0.75" header="0.3" footer="0.3"/>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sheetPr>
  <dimension ref="A1:Z1058"/>
  <sheetViews>
    <sheetView topLeftCell="A7" workbookViewId="0">
      <selection activeCell="L7" sqref="L7"/>
    </sheetView>
  </sheetViews>
  <sheetFormatPr defaultColWidth="15.140625" defaultRowHeight="15" customHeight="1"/>
  <cols>
    <col min="1" max="1" width="6.42578125" customWidth="1"/>
    <col min="2" max="2" width="22.42578125" customWidth="1"/>
    <col min="3" max="3" width="12.7109375" customWidth="1"/>
    <col min="4" max="4" width="10" customWidth="1"/>
    <col min="5" max="5" width="11.42578125" customWidth="1"/>
    <col min="6" max="6" width="10.28515625" customWidth="1"/>
    <col min="7" max="7" width="12.42578125" customWidth="1"/>
    <col min="8" max="8" width="10.7109375" customWidth="1"/>
    <col min="9" max="9" width="12" customWidth="1"/>
    <col min="10" max="11" width="19" customWidth="1"/>
    <col min="12" max="12" width="18.42578125" customWidth="1"/>
    <col min="13" max="15" width="19" customWidth="1"/>
    <col min="16" max="26" width="8" customWidth="1"/>
  </cols>
  <sheetData>
    <row r="1" spans="1:26" ht="13.5" customHeight="1">
      <c r="A1" s="2" t="s">
        <v>0</v>
      </c>
      <c r="B1" s="3" t="s">
        <v>1</v>
      </c>
      <c r="C1" s="8" t="s">
        <v>2</v>
      </c>
      <c r="D1" s="8" t="s">
        <v>3</v>
      </c>
      <c r="E1" s="8" t="s">
        <v>4</v>
      </c>
      <c r="F1" s="8" t="s">
        <v>5</v>
      </c>
      <c r="G1" s="8" t="s">
        <v>6</v>
      </c>
      <c r="H1" s="8" t="s">
        <v>7</v>
      </c>
      <c r="I1" s="10" t="s">
        <v>2631</v>
      </c>
      <c r="J1" s="11" t="s">
        <v>2</v>
      </c>
      <c r="K1" s="11" t="s">
        <v>3</v>
      </c>
      <c r="L1" s="11" t="s">
        <v>4</v>
      </c>
      <c r="M1" s="11" t="s">
        <v>5</v>
      </c>
      <c r="N1" s="11" t="s">
        <v>6</v>
      </c>
      <c r="O1" s="11" t="s">
        <v>7</v>
      </c>
      <c r="P1" s="14"/>
      <c r="Q1" s="15"/>
      <c r="R1" s="15"/>
      <c r="S1" s="15"/>
      <c r="T1" s="15"/>
      <c r="U1" s="15"/>
      <c r="V1" s="15"/>
      <c r="W1" s="15"/>
      <c r="X1" s="15"/>
      <c r="Y1" s="15"/>
      <c r="Z1" s="15"/>
    </row>
    <row r="2" spans="1:26" ht="21" customHeight="1">
      <c r="A2" s="16"/>
      <c r="B2" s="2611" t="s">
        <v>728</v>
      </c>
      <c r="C2" s="2607"/>
      <c r="D2" s="2607"/>
      <c r="E2" s="2607"/>
      <c r="F2" s="2607"/>
      <c r="G2" s="2607"/>
      <c r="H2" s="2607"/>
      <c r="I2" s="18"/>
      <c r="J2" s="2612" t="s">
        <v>2632</v>
      </c>
      <c r="K2" s="2607"/>
      <c r="L2" s="2607"/>
      <c r="M2" s="2607"/>
      <c r="N2" s="2607"/>
      <c r="O2" s="2607"/>
      <c r="P2" s="23"/>
      <c r="Q2" s="23"/>
      <c r="R2" s="23"/>
      <c r="S2" s="23"/>
      <c r="T2" s="23"/>
      <c r="U2" s="23"/>
      <c r="V2" s="23"/>
      <c r="W2" s="23"/>
      <c r="X2" s="23"/>
      <c r="Y2" s="23"/>
      <c r="Z2" s="23"/>
    </row>
    <row r="3" spans="1:26" ht="39.75" customHeight="1">
      <c r="A3" s="27"/>
      <c r="B3" s="893" t="s">
        <v>12</v>
      </c>
      <c r="C3" s="30">
        <f t="shared" ref="C3:H3" si="0">AVERAGE(C5,C553,C737)</f>
        <v>0.58242190830055973</v>
      </c>
      <c r="D3" s="30">
        <f t="shared" si="0"/>
        <v>0.67190398850729649</v>
      </c>
      <c r="E3" s="30">
        <f t="shared" si="0"/>
        <v>0.33457045928876389</v>
      </c>
      <c r="F3" s="30">
        <f t="shared" si="0"/>
        <v>0.63094361973557</v>
      </c>
      <c r="G3" s="30">
        <f t="shared" si="0"/>
        <v>0.59290010113383285</v>
      </c>
      <c r="H3" s="30">
        <f t="shared" si="0"/>
        <v>0.42186891584225616</v>
      </c>
      <c r="I3" s="32"/>
      <c r="J3" s="33"/>
      <c r="K3" s="33"/>
      <c r="L3" s="33"/>
      <c r="M3" s="33"/>
      <c r="N3" s="33"/>
      <c r="O3" s="33"/>
      <c r="P3" s="34"/>
      <c r="Q3" s="34"/>
      <c r="R3" s="34"/>
      <c r="S3" s="34"/>
      <c r="T3" s="34"/>
      <c r="U3" s="34"/>
      <c r="V3" s="34"/>
      <c r="W3" s="34"/>
      <c r="X3" s="34"/>
      <c r="Y3" s="34"/>
      <c r="Z3" s="34"/>
    </row>
    <row r="4" spans="1:26" ht="18.75" customHeight="1">
      <c r="A4" s="36" t="s">
        <v>730</v>
      </c>
      <c r="B4" s="2613" t="s">
        <v>731</v>
      </c>
      <c r="C4" s="2600"/>
      <c r="D4" s="2600"/>
      <c r="E4" s="2600"/>
      <c r="F4" s="2600"/>
      <c r="G4" s="2600"/>
      <c r="H4" s="2600"/>
      <c r="I4" s="39"/>
      <c r="J4" s="2614"/>
      <c r="K4" s="2600"/>
      <c r="L4" s="2600"/>
      <c r="M4" s="2600"/>
      <c r="N4" s="2600"/>
      <c r="O4" s="2600"/>
      <c r="P4" s="43"/>
      <c r="Q4" s="43"/>
      <c r="R4" s="43"/>
      <c r="S4" s="43"/>
      <c r="T4" s="43"/>
      <c r="U4" s="43"/>
      <c r="V4" s="43"/>
      <c r="W4" s="43"/>
      <c r="X4" s="43"/>
      <c r="Y4" s="43"/>
      <c r="Z4" s="43"/>
    </row>
    <row r="5" spans="1:26" ht="18" customHeight="1">
      <c r="A5" s="45"/>
      <c r="B5" s="46" t="s">
        <v>732</v>
      </c>
      <c r="C5" s="48">
        <f t="shared" ref="C5:H5" si="1">AVERAGE(C6,C57,C70,C196,C241,C349,C397)</f>
        <v>0.59865019877762793</v>
      </c>
      <c r="D5" s="48">
        <f t="shared" si="1"/>
        <v>0.75455068740975284</v>
      </c>
      <c r="E5" s="48">
        <f t="shared" si="1"/>
        <v>0.27153798758377823</v>
      </c>
      <c r="F5" s="48">
        <f t="shared" si="1"/>
        <v>0.64007777949842615</v>
      </c>
      <c r="G5" s="48">
        <f t="shared" si="1"/>
        <v>0.58924167760389012</v>
      </c>
      <c r="H5" s="48">
        <f t="shared" si="1"/>
        <v>0.31024453508932393</v>
      </c>
      <c r="I5" s="32"/>
      <c r="J5" s="52"/>
      <c r="K5" s="52"/>
      <c r="L5" s="52"/>
      <c r="M5" s="52"/>
      <c r="N5" s="52"/>
      <c r="O5" s="52"/>
      <c r="P5" s="54"/>
      <c r="Q5" s="54"/>
      <c r="R5" s="54"/>
      <c r="S5" s="54"/>
      <c r="T5" s="54"/>
      <c r="U5" s="54"/>
      <c r="V5" s="54"/>
      <c r="W5" s="54"/>
      <c r="X5" s="54"/>
      <c r="Y5" s="54"/>
      <c r="Z5" s="54"/>
    </row>
    <row r="6" spans="1:26" ht="13.5" customHeight="1">
      <c r="A6" s="55" t="s">
        <v>733</v>
      </c>
      <c r="B6" s="59" t="s">
        <v>2633</v>
      </c>
      <c r="C6" s="61">
        <f t="shared" ref="C6:H6" si="2">AVERAGE(C7,C14,C21,C52)</f>
        <v>0.50734166666666669</v>
      </c>
      <c r="D6" s="61">
        <f t="shared" si="2"/>
        <v>0.75426666666666664</v>
      </c>
      <c r="E6" s="61">
        <f t="shared" si="2"/>
        <v>0.16178333333333333</v>
      </c>
      <c r="F6" s="61">
        <f t="shared" si="2"/>
        <v>0.56365416666666668</v>
      </c>
      <c r="G6" s="61">
        <f t="shared" si="2"/>
        <v>0.46359583333333332</v>
      </c>
      <c r="H6" s="61">
        <f t="shared" si="2"/>
        <v>5.0958333333333328E-2</v>
      </c>
      <c r="I6" s="62"/>
      <c r="J6" s="63"/>
      <c r="K6" s="63"/>
      <c r="L6" s="63"/>
      <c r="M6" s="63"/>
      <c r="N6" s="63"/>
      <c r="O6" s="63"/>
      <c r="P6" s="64"/>
      <c r="Q6" s="64"/>
      <c r="R6" s="64"/>
      <c r="S6" s="66"/>
      <c r="T6" s="66"/>
      <c r="U6" s="66"/>
      <c r="V6" s="66"/>
      <c r="W6" s="66"/>
      <c r="X6" s="66"/>
      <c r="Y6" s="66"/>
      <c r="Z6" s="66"/>
    </row>
    <row r="7" spans="1:26" ht="27.75" customHeight="1">
      <c r="A7" s="16" t="s">
        <v>15</v>
      </c>
      <c r="B7" s="70" t="s">
        <v>16</v>
      </c>
      <c r="C7" s="72">
        <f t="shared" ref="C7:H7" si="3">AVERAGE(C8,C10,C12)</f>
        <v>0.33333333333333331</v>
      </c>
      <c r="D7" s="72">
        <f t="shared" si="3"/>
        <v>0.66666666666666663</v>
      </c>
      <c r="E7" s="72">
        <f t="shared" si="3"/>
        <v>0.16666666666666666</v>
      </c>
      <c r="F7" s="72">
        <f t="shared" si="3"/>
        <v>0.5</v>
      </c>
      <c r="G7" s="72">
        <f t="shared" si="3"/>
        <v>0.16666666666666666</v>
      </c>
      <c r="H7" s="72">
        <f t="shared" si="3"/>
        <v>0</v>
      </c>
      <c r="I7" s="73"/>
      <c r="J7" s="74"/>
      <c r="K7" s="75" t="s">
        <v>2634</v>
      </c>
      <c r="L7" s="74"/>
      <c r="M7" s="74"/>
      <c r="N7" s="74"/>
      <c r="O7" s="74"/>
      <c r="P7" s="76"/>
      <c r="Q7" s="77"/>
      <c r="R7" s="77"/>
      <c r="S7" s="15"/>
      <c r="T7" s="15"/>
      <c r="U7" s="15"/>
      <c r="V7" s="15"/>
      <c r="W7" s="15"/>
      <c r="X7" s="15"/>
      <c r="Y7" s="15"/>
      <c r="Z7" s="15"/>
    </row>
    <row r="8" spans="1:26" ht="81.75" customHeight="1">
      <c r="A8" s="2" t="s">
        <v>736</v>
      </c>
      <c r="B8" s="79" t="s">
        <v>17</v>
      </c>
      <c r="C8" s="944">
        <v>0.5</v>
      </c>
      <c r="D8" s="80">
        <v>1</v>
      </c>
      <c r="E8" s="80">
        <v>0</v>
      </c>
      <c r="F8" s="80">
        <v>0.5</v>
      </c>
      <c r="G8" s="944">
        <v>0.5</v>
      </c>
      <c r="H8" s="80">
        <v>0</v>
      </c>
      <c r="I8" s="73" t="s">
        <v>2635</v>
      </c>
      <c r="J8" s="81" t="s">
        <v>2636</v>
      </c>
      <c r="K8" s="83" t="s">
        <v>2637</v>
      </c>
      <c r="L8" s="81" t="s">
        <v>2638</v>
      </c>
      <c r="M8" s="81" t="s">
        <v>2639</v>
      </c>
      <c r="N8" s="81" t="s">
        <v>2640</v>
      </c>
      <c r="O8" s="81" t="s">
        <v>2641</v>
      </c>
      <c r="P8" s="77"/>
      <c r="Q8" s="77"/>
      <c r="R8" s="77"/>
      <c r="S8" s="15"/>
      <c r="T8" s="15"/>
      <c r="U8" s="15"/>
      <c r="V8" s="15"/>
      <c r="W8" s="15"/>
      <c r="X8" s="15"/>
      <c r="Y8" s="15"/>
      <c r="Z8" s="15"/>
    </row>
    <row r="9" spans="1:26" ht="15" customHeight="1">
      <c r="A9" s="2"/>
      <c r="B9" s="3"/>
      <c r="C9" s="80"/>
      <c r="D9" s="80"/>
      <c r="E9" s="80"/>
      <c r="F9" s="80"/>
      <c r="G9" s="80"/>
      <c r="H9" s="80"/>
      <c r="I9" s="84"/>
      <c r="J9" s="81"/>
      <c r="K9" s="86"/>
      <c r="L9" s="81"/>
      <c r="M9" s="81"/>
      <c r="N9" s="81"/>
      <c r="O9" s="81"/>
      <c r="P9" s="77"/>
      <c r="Q9" s="77"/>
      <c r="R9" s="77"/>
      <c r="S9" s="15"/>
      <c r="T9" s="15"/>
      <c r="U9" s="15"/>
      <c r="V9" s="15"/>
      <c r="W9" s="15"/>
      <c r="X9" s="15"/>
      <c r="Y9" s="15"/>
      <c r="Z9" s="15"/>
    </row>
    <row r="10" spans="1:26" ht="104.25" customHeight="1">
      <c r="A10" s="2" t="s">
        <v>736</v>
      </c>
      <c r="B10" s="79" t="s">
        <v>19</v>
      </c>
      <c r="C10" s="80">
        <v>0.5</v>
      </c>
      <c r="D10" s="80">
        <v>0.5</v>
      </c>
      <c r="E10" s="944">
        <v>0.5</v>
      </c>
      <c r="F10" s="80">
        <v>1</v>
      </c>
      <c r="G10" s="80">
        <v>0</v>
      </c>
      <c r="H10" s="944">
        <v>0</v>
      </c>
      <c r="I10" s="73" t="s">
        <v>123</v>
      </c>
      <c r="J10" s="81" t="s">
        <v>2642</v>
      </c>
      <c r="K10" s="83" t="s">
        <v>2643</v>
      </c>
      <c r="L10" s="81" t="s">
        <v>2644</v>
      </c>
      <c r="M10" s="81" t="s">
        <v>2645</v>
      </c>
      <c r="N10" s="81" t="s">
        <v>748</v>
      </c>
      <c r="O10" s="81" t="s">
        <v>2646</v>
      </c>
      <c r="P10" s="77"/>
      <c r="Q10" s="77"/>
      <c r="R10" s="77"/>
      <c r="S10" s="15"/>
      <c r="T10" s="15"/>
      <c r="U10" s="15"/>
      <c r="V10" s="15"/>
      <c r="W10" s="15"/>
      <c r="X10" s="15"/>
      <c r="Y10" s="15"/>
      <c r="Z10" s="15"/>
    </row>
    <row r="11" spans="1:26" ht="15" customHeight="1">
      <c r="A11" s="2"/>
      <c r="B11" s="3"/>
      <c r="C11" s="80"/>
      <c r="D11" s="80"/>
      <c r="E11" s="80"/>
      <c r="F11" s="80"/>
      <c r="G11" s="80"/>
      <c r="H11" s="80"/>
      <c r="I11" s="84"/>
      <c r="J11" s="81"/>
      <c r="K11" s="81"/>
      <c r="L11" s="81"/>
      <c r="M11" s="81"/>
      <c r="N11" s="81"/>
      <c r="O11" s="81"/>
      <c r="P11" s="77"/>
      <c r="Q11" s="77"/>
      <c r="R11" s="77"/>
      <c r="S11" s="15"/>
      <c r="T11" s="15"/>
      <c r="U11" s="15"/>
      <c r="V11" s="15"/>
      <c r="W11" s="15"/>
      <c r="X11" s="15"/>
      <c r="Y11" s="15"/>
      <c r="Z11" s="15"/>
    </row>
    <row r="12" spans="1:26" ht="102" customHeight="1">
      <c r="A12" s="2" t="s">
        <v>736</v>
      </c>
      <c r="B12" s="79" t="s">
        <v>2647</v>
      </c>
      <c r="C12" s="80">
        <v>0</v>
      </c>
      <c r="D12" s="80">
        <v>0.5</v>
      </c>
      <c r="E12" s="80">
        <v>0</v>
      </c>
      <c r="F12" s="80">
        <v>0</v>
      </c>
      <c r="G12" s="80">
        <v>0</v>
      </c>
      <c r="H12" s="80">
        <v>0</v>
      </c>
      <c r="I12" s="73" t="s">
        <v>751</v>
      </c>
      <c r="J12" s="81" t="s">
        <v>2648</v>
      </c>
      <c r="K12" s="86" t="s">
        <v>2649</v>
      </c>
      <c r="L12" s="81" t="s">
        <v>748</v>
      </c>
      <c r="M12" s="81" t="s">
        <v>2650</v>
      </c>
      <c r="N12" s="81" t="s">
        <v>2651</v>
      </c>
      <c r="O12" s="81" t="s">
        <v>2652</v>
      </c>
      <c r="P12" s="77"/>
      <c r="Q12" s="77"/>
      <c r="R12" s="77"/>
      <c r="S12" s="15"/>
      <c r="T12" s="15"/>
      <c r="U12" s="15"/>
      <c r="V12" s="15"/>
      <c r="W12" s="15"/>
      <c r="X12" s="15"/>
      <c r="Y12" s="15"/>
      <c r="Z12" s="15"/>
    </row>
    <row r="13" spans="1:26" ht="15.75" hidden="1" customHeight="1">
      <c r="A13" s="2"/>
      <c r="B13" s="3"/>
      <c r="C13" s="87"/>
      <c r="D13" s="87"/>
      <c r="E13" s="87"/>
      <c r="F13" s="87"/>
      <c r="G13" s="87"/>
      <c r="H13" s="87"/>
      <c r="I13" s="84"/>
      <c r="J13" s="75"/>
      <c r="K13" s="88"/>
      <c r="L13" s="75"/>
      <c r="M13" s="75"/>
      <c r="N13" s="75"/>
      <c r="O13" s="75"/>
      <c r="P13" s="77"/>
      <c r="Q13" s="77"/>
      <c r="R13" s="77"/>
      <c r="S13" s="15"/>
      <c r="T13" s="15"/>
      <c r="U13" s="15"/>
      <c r="V13" s="15"/>
      <c r="W13" s="15"/>
      <c r="X13" s="15"/>
      <c r="Y13" s="15"/>
      <c r="Z13" s="15"/>
    </row>
    <row r="14" spans="1:26" ht="27.75" customHeight="1">
      <c r="A14" s="16" t="s">
        <v>23</v>
      </c>
      <c r="B14" s="70" t="s">
        <v>24</v>
      </c>
      <c r="C14" s="72">
        <f t="shared" ref="C14:H14" si="4">AVERAGE(C15,C17,C19)</f>
        <v>0.16666666666666666</v>
      </c>
      <c r="D14" s="72">
        <f t="shared" si="4"/>
        <v>1</v>
      </c>
      <c r="E14" s="72">
        <f t="shared" si="4"/>
        <v>0.16666666666666666</v>
      </c>
      <c r="F14" s="72">
        <f t="shared" si="4"/>
        <v>0.5</v>
      </c>
      <c r="G14" s="72">
        <f t="shared" si="4"/>
        <v>0.33333333333333331</v>
      </c>
      <c r="H14" s="72">
        <f t="shared" si="4"/>
        <v>0</v>
      </c>
      <c r="I14" s="73"/>
      <c r="J14" s="72"/>
      <c r="K14" s="72"/>
      <c r="L14" s="74"/>
      <c r="M14" s="74"/>
      <c r="N14" s="74"/>
      <c r="O14" s="72"/>
      <c r="P14" s="76"/>
      <c r="Q14" s="77"/>
      <c r="R14" s="77"/>
      <c r="S14" s="15"/>
      <c r="T14" s="15"/>
      <c r="U14" s="15"/>
      <c r="V14" s="15"/>
      <c r="W14" s="15"/>
      <c r="X14" s="15"/>
      <c r="Y14" s="15"/>
      <c r="Z14" s="15"/>
    </row>
    <row r="15" spans="1:26" ht="81.75" customHeight="1">
      <c r="A15" s="2" t="s">
        <v>736</v>
      </c>
      <c r="B15" s="79" t="s">
        <v>25</v>
      </c>
      <c r="C15" s="944">
        <v>0.5</v>
      </c>
      <c r="D15" s="80">
        <v>1</v>
      </c>
      <c r="E15" s="80">
        <v>0</v>
      </c>
      <c r="F15" s="80">
        <v>0.5</v>
      </c>
      <c r="G15" s="944">
        <v>0.5</v>
      </c>
      <c r="H15" s="80">
        <v>0</v>
      </c>
      <c r="I15" s="73" t="s">
        <v>2653</v>
      </c>
      <c r="J15" s="81" t="s">
        <v>2654</v>
      </c>
      <c r="K15" s="83" t="s">
        <v>2655</v>
      </c>
      <c r="L15" s="81" t="s">
        <v>2656</v>
      </c>
      <c r="M15" s="81" t="s">
        <v>2657</v>
      </c>
      <c r="N15" s="81" t="s">
        <v>2658</v>
      </c>
      <c r="O15" s="81" t="s">
        <v>2659</v>
      </c>
      <c r="P15" s="77"/>
      <c r="Q15" s="77"/>
      <c r="R15" s="77"/>
      <c r="S15" s="15"/>
      <c r="T15" s="15"/>
      <c r="U15" s="15"/>
      <c r="V15" s="15"/>
      <c r="W15" s="15"/>
      <c r="X15" s="15"/>
      <c r="Y15" s="15"/>
      <c r="Z15" s="15"/>
    </row>
    <row r="16" spans="1:26" ht="81.75" customHeight="1">
      <c r="A16" s="2"/>
      <c r="B16" s="79"/>
      <c r="C16" s="944"/>
      <c r="D16" s="80"/>
      <c r="E16" s="80"/>
      <c r="F16" s="80"/>
      <c r="G16" s="944"/>
      <c r="H16" s="80"/>
      <c r="I16" s="73"/>
      <c r="J16" s="81"/>
      <c r="K16" s="83"/>
      <c r="L16" s="81"/>
      <c r="M16" s="81"/>
      <c r="N16" s="81"/>
      <c r="O16" s="81"/>
      <c r="P16" s="77"/>
      <c r="Q16" s="77"/>
      <c r="R16" s="77"/>
      <c r="S16" s="15"/>
      <c r="T16" s="15"/>
      <c r="U16" s="15"/>
      <c r="V16" s="15"/>
      <c r="W16" s="15"/>
      <c r="X16" s="15"/>
      <c r="Y16" s="15"/>
      <c r="Z16" s="15"/>
    </row>
    <row r="17" spans="1:26" ht="81.75" customHeight="1">
      <c r="A17" s="2" t="s">
        <v>736</v>
      </c>
      <c r="B17" s="79" t="s">
        <v>27</v>
      </c>
      <c r="C17" s="944">
        <v>0</v>
      </c>
      <c r="D17" s="80">
        <v>1</v>
      </c>
      <c r="E17" s="80">
        <v>0.5</v>
      </c>
      <c r="F17" s="80">
        <v>1</v>
      </c>
      <c r="G17" s="944">
        <v>0</v>
      </c>
      <c r="H17" s="80">
        <v>0</v>
      </c>
      <c r="I17" s="73" t="s">
        <v>2660</v>
      </c>
      <c r="J17" s="81" t="s">
        <v>2661</v>
      </c>
      <c r="K17" s="83" t="s">
        <v>2662</v>
      </c>
      <c r="L17" s="81" t="s">
        <v>2663</v>
      </c>
      <c r="M17" s="81" t="s">
        <v>2664</v>
      </c>
      <c r="N17" s="81" t="s">
        <v>769</v>
      </c>
      <c r="O17" s="81" t="s">
        <v>2665</v>
      </c>
      <c r="P17" s="77"/>
      <c r="Q17" s="77"/>
      <c r="R17" s="77"/>
      <c r="S17" s="15"/>
      <c r="T17" s="15"/>
      <c r="U17" s="15"/>
      <c r="V17" s="15"/>
      <c r="W17" s="15"/>
      <c r="X17" s="15"/>
      <c r="Y17" s="15"/>
      <c r="Z17" s="15"/>
    </row>
    <row r="18" spans="1:26" ht="81.75" customHeight="1">
      <c r="A18" s="2"/>
      <c r="B18" s="79"/>
      <c r="C18" s="944"/>
      <c r="D18" s="80"/>
      <c r="E18" s="80"/>
      <c r="F18" s="80"/>
      <c r="G18" s="944"/>
      <c r="H18" s="80"/>
      <c r="I18" s="73"/>
      <c r="J18" s="81"/>
      <c r="K18" s="83"/>
      <c r="L18" s="81"/>
      <c r="M18" s="81"/>
      <c r="N18" s="81"/>
      <c r="O18" s="81"/>
      <c r="P18" s="77"/>
      <c r="Q18" s="77"/>
      <c r="R18" s="77"/>
      <c r="S18" s="15"/>
      <c r="T18" s="15"/>
      <c r="U18" s="15"/>
      <c r="V18" s="15"/>
      <c r="W18" s="15"/>
      <c r="X18" s="15"/>
      <c r="Y18" s="15"/>
      <c r="Z18" s="15"/>
    </row>
    <row r="19" spans="1:26" ht="81.75" customHeight="1">
      <c r="A19" s="2" t="s">
        <v>736</v>
      </c>
      <c r="B19" s="79" t="s">
        <v>29</v>
      </c>
      <c r="C19" s="944">
        <v>0</v>
      </c>
      <c r="D19" s="80">
        <v>1</v>
      </c>
      <c r="E19" s="80">
        <v>0</v>
      </c>
      <c r="F19" s="80">
        <v>0</v>
      </c>
      <c r="G19" s="944">
        <v>0.5</v>
      </c>
      <c r="H19" s="80">
        <v>0</v>
      </c>
      <c r="I19" s="73" t="s">
        <v>2666</v>
      </c>
      <c r="J19" s="81" t="s">
        <v>2667</v>
      </c>
      <c r="K19" s="83" t="s">
        <v>2668</v>
      </c>
      <c r="L19" s="81" t="s">
        <v>2669</v>
      </c>
      <c r="M19" s="81" t="s">
        <v>2670</v>
      </c>
      <c r="N19" s="81" t="s">
        <v>2671</v>
      </c>
      <c r="O19" s="81" t="s">
        <v>748</v>
      </c>
      <c r="P19" s="77"/>
      <c r="Q19" s="77"/>
      <c r="R19" s="77"/>
      <c r="S19" s="15"/>
      <c r="T19" s="15"/>
      <c r="U19" s="15"/>
      <c r="V19" s="15"/>
      <c r="W19" s="15"/>
      <c r="X19" s="15"/>
      <c r="Y19" s="15"/>
      <c r="Z19" s="15"/>
    </row>
    <row r="20" spans="1:26" ht="17.25" customHeight="1">
      <c r="A20" s="2"/>
      <c r="B20" s="3"/>
      <c r="C20" s="87"/>
      <c r="D20" s="87"/>
      <c r="E20" s="87"/>
      <c r="F20" s="87"/>
      <c r="G20" s="908"/>
      <c r="H20" s="87"/>
      <c r="I20" s="149"/>
      <c r="J20" s="75"/>
      <c r="K20" s="75"/>
      <c r="L20" s="75"/>
      <c r="M20" s="75"/>
      <c r="N20" s="75"/>
      <c r="O20" s="75"/>
      <c r="P20" s="77"/>
      <c r="Q20" s="77"/>
      <c r="R20" s="77"/>
      <c r="S20" s="15"/>
      <c r="T20" s="15"/>
      <c r="U20" s="15"/>
      <c r="V20" s="15"/>
      <c r="W20" s="15"/>
      <c r="X20" s="15"/>
      <c r="Y20" s="15"/>
      <c r="Z20" s="15"/>
    </row>
    <row r="21" spans="1:26" ht="13.5" customHeight="1">
      <c r="A21" s="16" t="s">
        <v>31</v>
      </c>
      <c r="B21" s="70" t="s">
        <v>2672</v>
      </c>
      <c r="C21" s="72">
        <f t="shared" ref="C21:H21" si="5">AVERAGE(C22,C24,C26,C28,C30,C32,C34,C36,C38,C40,C42,C44,C46,C48,C50)</f>
        <v>0.56666666666666665</v>
      </c>
      <c r="D21" s="72">
        <f t="shared" si="5"/>
        <v>0.9</v>
      </c>
      <c r="E21" s="72">
        <f t="shared" si="5"/>
        <v>0.2</v>
      </c>
      <c r="F21" s="72">
        <f t="shared" si="5"/>
        <v>0.46666666666666667</v>
      </c>
      <c r="G21" s="72">
        <f t="shared" si="5"/>
        <v>0.53333333333333333</v>
      </c>
      <c r="H21" s="72">
        <f t="shared" si="5"/>
        <v>0.13333333333333333</v>
      </c>
      <c r="I21" s="73"/>
      <c r="J21" s="72"/>
      <c r="K21" s="72"/>
      <c r="L21" s="74"/>
      <c r="M21" s="74"/>
      <c r="N21" s="74"/>
      <c r="O21" s="72"/>
      <c r="P21" s="76"/>
      <c r="Q21" s="76"/>
      <c r="R21" s="76"/>
      <c r="S21" s="23"/>
      <c r="T21" s="23"/>
      <c r="U21" s="23"/>
      <c r="V21" s="23"/>
      <c r="W21" s="23"/>
      <c r="X21" s="23"/>
      <c r="Y21" s="23"/>
      <c r="Z21" s="23"/>
    </row>
    <row r="22" spans="1:26" ht="81.75" customHeight="1">
      <c r="A22" s="2" t="s">
        <v>736</v>
      </c>
      <c r="B22" s="95" t="s">
        <v>33</v>
      </c>
      <c r="C22" s="944">
        <v>0.5</v>
      </c>
      <c r="D22" s="80">
        <v>0.5</v>
      </c>
      <c r="E22" s="80">
        <v>0</v>
      </c>
      <c r="F22" s="80">
        <v>0.5</v>
      </c>
      <c r="G22" s="944">
        <v>0.5</v>
      </c>
      <c r="H22" s="80">
        <v>0.5</v>
      </c>
      <c r="I22" s="73" t="s">
        <v>777</v>
      </c>
      <c r="J22" s="81" t="s">
        <v>2673</v>
      </c>
      <c r="K22" s="83" t="s">
        <v>2674</v>
      </c>
      <c r="L22" s="81" t="s">
        <v>2675</v>
      </c>
      <c r="M22" s="81" t="s">
        <v>2676</v>
      </c>
      <c r="N22" s="81" t="s">
        <v>2677</v>
      </c>
      <c r="O22" s="81" t="s">
        <v>2678</v>
      </c>
      <c r="P22" s="77"/>
      <c r="Q22" s="77"/>
      <c r="R22" s="77"/>
      <c r="S22" s="15"/>
      <c r="T22" s="15"/>
      <c r="U22" s="15"/>
      <c r="V22" s="15"/>
      <c r="W22" s="15"/>
      <c r="X22" s="15"/>
      <c r="Y22" s="15"/>
      <c r="Z22" s="15"/>
    </row>
    <row r="23" spans="1:26" ht="81.75" customHeight="1">
      <c r="A23" s="2"/>
      <c r="B23" s="95"/>
      <c r="C23" s="944"/>
      <c r="D23" s="80"/>
      <c r="E23" s="80"/>
      <c r="F23" s="80"/>
      <c r="G23" s="944"/>
      <c r="H23" s="80"/>
      <c r="I23" s="73"/>
      <c r="J23" s="81"/>
      <c r="K23" s="83"/>
      <c r="L23" s="81"/>
      <c r="M23" s="81"/>
      <c r="N23" s="81"/>
      <c r="O23" s="81"/>
      <c r="P23" s="77"/>
      <c r="Q23" s="77"/>
      <c r="R23" s="77"/>
      <c r="S23" s="15"/>
      <c r="T23" s="15"/>
      <c r="U23" s="15"/>
      <c r="V23" s="15"/>
      <c r="W23" s="15"/>
      <c r="X23" s="15"/>
      <c r="Y23" s="15"/>
      <c r="Z23" s="15"/>
    </row>
    <row r="24" spans="1:26" ht="81.75" customHeight="1">
      <c r="A24" s="2" t="s">
        <v>736</v>
      </c>
      <c r="B24" s="95" t="s">
        <v>2679</v>
      </c>
      <c r="C24" s="944">
        <v>0.5</v>
      </c>
      <c r="D24" s="80">
        <v>1</v>
      </c>
      <c r="E24" s="80">
        <v>0.5</v>
      </c>
      <c r="F24" s="80">
        <v>0.5</v>
      </c>
      <c r="G24" s="944">
        <v>1</v>
      </c>
      <c r="H24" s="80">
        <v>0</v>
      </c>
      <c r="I24" s="73" t="s">
        <v>784</v>
      </c>
      <c r="J24" s="81" t="s">
        <v>2680</v>
      </c>
      <c r="K24" s="83" t="s">
        <v>2681</v>
      </c>
      <c r="L24" s="81" t="s">
        <v>2682</v>
      </c>
      <c r="M24" s="81" t="s">
        <v>2683</v>
      </c>
      <c r="N24" s="81" t="s">
        <v>2684</v>
      </c>
      <c r="O24" s="81" t="s">
        <v>2685</v>
      </c>
      <c r="P24" s="77"/>
      <c r="Q24" s="77"/>
      <c r="R24" s="77"/>
      <c r="S24" s="15"/>
      <c r="T24" s="15"/>
      <c r="U24" s="15"/>
      <c r="V24" s="15"/>
      <c r="W24" s="15"/>
      <c r="X24" s="15"/>
      <c r="Y24" s="15"/>
      <c r="Z24" s="15"/>
    </row>
    <row r="25" spans="1:26" ht="81.75" customHeight="1">
      <c r="A25" s="2"/>
      <c r="B25" s="95"/>
      <c r="C25" s="944"/>
      <c r="D25" s="80"/>
      <c r="E25" s="80"/>
      <c r="F25" s="80"/>
      <c r="G25" s="944"/>
      <c r="H25" s="80"/>
      <c r="I25" s="73"/>
      <c r="J25" s="81"/>
      <c r="K25" s="83"/>
      <c r="L25" s="81"/>
      <c r="M25" s="81"/>
      <c r="N25" s="81"/>
      <c r="O25" s="81"/>
      <c r="P25" s="77"/>
      <c r="Q25" s="77"/>
      <c r="R25" s="77"/>
      <c r="S25" s="15"/>
      <c r="T25" s="15"/>
      <c r="U25" s="15"/>
      <c r="V25" s="15"/>
      <c r="W25" s="15"/>
      <c r="X25" s="15"/>
      <c r="Y25" s="15"/>
      <c r="Z25" s="15"/>
    </row>
    <row r="26" spans="1:26" ht="81.75" customHeight="1">
      <c r="A26" s="2" t="s">
        <v>736</v>
      </c>
      <c r="B26" s="95" t="s">
        <v>37</v>
      </c>
      <c r="C26" s="944">
        <v>1</v>
      </c>
      <c r="D26" s="80">
        <v>1</v>
      </c>
      <c r="E26" s="80">
        <v>0</v>
      </c>
      <c r="F26" s="80">
        <v>1</v>
      </c>
      <c r="G26" s="944">
        <v>1</v>
      </c>
      <c r="H26" s="80">
        <v>0</v>
      </c>
      <c r="I26" s="73" t="s">
        <v>38</v>
      </c>
      <c r="J26" s="81" t="s">
        <v>2686</v>
      </c>
      <c r="K26" s="83" t="s">
        <v>2687</v>
      </c>
      <c r="L26" s="81" t="s">
        <v>2688</v>
      </c>
      <c r="M26" s="81" t="s">
        <v>2689</v>
      </c>
      <c r="N26" s="81" t="s">
        <v>2690</v>
      </c>
      <c r="O26" s="81" t="s">
        <v>2691</v>
      </c>
      <c r="P26" s="77"/>
      <c r="Q26" s="77"/>
      <c r="R26" s="77"/>
      <c r="S26" s="15"/>
      <c r="T26" s="15"/>
      <c r="U26" s="15"/>
      <c r="V26" s="15"/>
      <c r="W26" s="15"/>
      <c r="X26" s="15"/>
      <c r="Y26" s="15"/>
      <c r="Z26" s="15"/>
    </row>
    <row r="27" spans="1:26" ht="81.75" customHeight="1">
      <c r="A27" s="2"/>
      <c r="B27" s="95"/>
      <c r="C27" s="944"/>
      <c r="D27" s="80"/>
      <c r="E27" s="80"/>
      <c r="F27" s="80"/>
      <c r="G27" s="944"/>
      <c r="H27" s="80"/>
      <c r="I27" s="73"/>
      <c r="J27" s="81"/>
      <c r="K27" s="83"/>
      <c r="L27" s="81"/>
      <c r="M27" s="81"/>
      <c r="N27" s="81"/>
      <c r="O27" s="81"/>
      <c r="P27" s="77"/>
      <c r="Q27" s="77"/>
      <c r="R27" s="77"/>
      <c r="S27" s="15"/>
      <c r="T27" s="15"/>
      <c r="U27" s="15"/>
      <c r="V27" s="15"/>
      <c r="W27" s="15"/>
      <c r="X27" s="15"/>
      <c r="Y27" s="15"/>
      <c r="Z27" s="15"/>
    </row>
    <row r="28" spans="1:26" ht="81.75" customHeight="1">
      <c r="A28" s="2" t="s">
        <v>736</v>
      </c>
      <c r="B28" s="95" t="s">
        <v>39</v>
      </c>
      <c r="C28" s="944">
        <v>1</v>
      </c>
      <c r="D28" s="80">
        <v>1</v>
      </c>
      <c r="E28" s="80">
        <v>0.5</v>
      </c>
      <c r="F28" s="80">
        <v>1</v>
      </c>
      <c r="G28" s="944">
        <v>1</v>
      </c>
      <c r="H28" s="80">
        <v>0</v>
      </c>
      <c r="I28" s="73" t="s">
        <v>797</v>
      </c>
      <c r="J28" s="81" t="s">
        <v>2692</v>
      </c>
      <c r="K28" s="83" t="s">
        <v>2693</v>
      </c>
      <c r="L28" s="81" t="s">
        <v>2694</v>
      </c>
      <c r="M28" s="81" t="s">
        <v>2695</v>
      </c>
      <c r="N28" s="81" t="s">
        <v>2696</v>
      </c>
      <c r="O28" s="81" t="s">
        <v>2697</v>
      </c>
      <c r="P28" s="77"/>
      <c r="Q28" s="77"/>
      <c r="R28" s="77"/>
      <c r="S28" s="15"/>
      <c r="T28" s="15"/>
      <c r="U28" s="15"/>
      <c r="V28" s="15"/>
      <c r="W28" s="15"/>
      <c r="X28" s="15"/>
      <c r="Y28" s="15"/>
      <c r="Z28" s="15"/>
    </row>
    <row r="29" spans="1:26" ht="81.75" customHeight="1">
      <c r="A29" s="2"/>
      <c r="B29" s="95"/>
      <c r="C29" s="944"/>
      <c r="D29" s="80"/>
      <c r="E29" s="80"/>
      <c r="F29" s="80"/>
      <c r="G29" s="944"/>
      <c r="H29" s="80"/>
      <c r="I29" s="73"/>
      <c r="J29" s="81"/>
      <c r="K29" s="83"/>
      <c r="L29" s="81"/>
      <c r="M29" s="81"/>
      <c r="N29" s="81"/>
      <c r="O29" s="81"/>
      <c r="P29" s="77"/>
      <c r="Q29" s="77"/>
      <c r="R29" s="77"/>
      <c r="S29" s="15"/>
      <c r="T29" s="15"/>
      <c r="U29" s="15"/>
      <c r="V29" s="15"/>
      <c r="W29" s="15"/>
      <c r="X29" s="15"/>
      <c r="Y29" s="15"/>
      <c r="Z29" s="15"/>
    </row>
    <row r="30" spans="1:26" ht="81.75" customHeight="1">
      <c r="A30" s="2" t="s">
        <v>736</v>
      </c>
      <c r="B30" s="95" t="s">
        <v>41</v>
      </c>
      <c r="C30" s="944">
        <v>0</v>
      </c>
      <c r="D30" s="80">
        <v>1</v>
      </c>
      <c r="E30" s="80">
        <v>0</v>
      </c>
      <c r="F30" s="80">
        <v>0</v>
      </c>
      <c r="G30" s="944">
        <v>0</v>
      </c>
      <c r="H30" s="80">
        <v>0</v>
      </c>
      <c r="I30" s="73" t="s">
        <v>38</v>
      </c>
      <c r="J30" s="81" t="s">
        <v>2698</v>
      </c>
      <c r="K30" s="83" t="s">
        <v>2699</v>
      </c>
      <c r="L30" s="81" t="s">
        <v>2700</v>
      </c>
      <c r="M30" s="81" t="s">
        <v>2701</v>
      </c>
      <c r="N30" s="81" t="s">
        <v>2702</v>
      </c>
      <c r="O30" s="81" t="s">
        <v>2703</v>
      </c>
      <c r="P30" s="77"/>
      <c r="Q30" s="77"/>
      <c r="R30" s="77"/>
      <c r="S30" s="15"/>
      <c r="T30" s="15"/>
      <c r="U30" s="15"/>
      <c r="V30" s="15"/>
      <c r="W30" s="15"/>
      <c r="X30" s="15"/>
      <c r="Y30" s="15"/>
      <c r="Z30" s="15"/>
    </row>
    <row r="31" spans="1:26" ht="81.75" customHeight="1">
      <c r="A31" s="2"/>
      <c r="B31" s="95"/>
      <c r="C31" s="944"/>
      <c r="D31" s="80"/>
      <c r="E31" s="80"/>
      <c r="F31" s="80"/>
      <c r="G31" s="944"/>
      <c r="H31" s="80"/>
      <c r="I31" s="73"/>
      <c r="J31" s="81"/>
      <c r="K31" s="83"/>
      <c r="L31" s="81"/>
      <c r="M31" s="81"/>
      <c r="N31" s="81"/>
      <c r="O31" s="81"/>
      <c r="P31" s="77"/>
      <c r="Q31" s="77"/>
      <c r="R31" s="77"/>
      <c r="S31" s="15"/>
      <c r="T31" s="15"/>
      <c r="U31" s="15"/>
      <c r="V31" s="15"/>
      <c r="W31" s="15"/>
      <c r="X31" s="15"/>
      <c r="Y31" s="15"/>
      <c r="Z31" s="15"/>
    </row>
    <row r="32" spans="1:26" ht="81.75" customHeight="1">
      <c r="A32" s="2" t="s">
        <v>736</v>
      </c>
      <c r="B32" s="95" t="s">
        <v>43</v>
      </c>
      <c r="C32" s="944">
        <v>1</v>
      </c>
      <c r="D32" s="80">
        <v>1</v>
      </c>
      <c r="E32" s="80">
        <v>1</v>
      </c>
      <c r="F32" s="80">
        <v>1</v>
      </c>
      <c r="G32" s="944">
        <v>1</v>
      </c>
      <c r="H32" s="80">
        <v>0.5</v>
      </c>
      <c r="I32" s="73" t="s">
        <v>38</v>
      </c>
      <c r="J32" s="81" t="s">
        <v>2704</v>
      </c>
      <c r="K32" s="83" t="s">
        <v>2705</v>
      </c>
      <c r="L32" s="81" t="s">
        <v>811</v>
      </c>
      <c r="M32" s="81" t="s">
        <v>2706</v>
      </c>
      <c r="N32" s="81" t="s">
        <v>1068</v>
      </c>
      <c r="O32" s="81" t="s">
        <v>2707</v>
      </c>
      <c r="P32" s="77"/>
      <c r="Q32" s="77"/>
      <c r="R32" s="77"/>
      <c r="S32" s="15"/>
      <c r="T32" s="15"/>
      <c r="U32" s="15"/>
      <c r="V32" s="15"/>
      <c r="W32" s="15"/>
      <c r="X32" s="15"/>
      <c r="Y32" s="15"/>
      <c r="Z32" s="15"/>
    </row>
    <row r="33" spans="1:26" ht="81.75" customHeight="1">
      <c r="A33" s="2"/>
      <c r="B33" s="95"/>
      <c r="C33" s="944"/>
      <c r="D33" s="80"/>
      <c r="E33" s="80"/>
      <c r="F33" s="80"/>
      <c r="G33" s="944"/>
      <c r="H33" s="80"/>
      <c r="I33" s="73"/>
      <c r="J33" s="81"/>
      <c r="K33" s="83"/>
      <c r="L33" s="81"/>
      <c r="M33" s="81"/>
      <c r="N33" s="81"/>
      <c r="O33" s="81"/>
      <c r="P33" s="77"/>
      <c r="Q33" s="77"/>
      <c r="R33" s="77"/>
      <c r="S33" s="15"/>
      <c r="T33" s="15"/>
      <c r="U33" s="15"/>
      <c r="V33" s="15"/>
      <c r="W33" s="15"/>
      <c r="X33" s="15"/>
      <c r="Y33" s="15"/>
      <c r="Z33" s="15"/>
    </row>
    <row r="34" spans="1:26" ht="81.75" customHeight="1">
      <c r="A34" s="2" t="s">
        <v>736</v>
      </c>
      <c r="B34" s="95" t="s">
        <v>44</v>
      </c>
      <c r="C34" s="944">
        <v>0.5</v>
      </c>
      <c r="D34" s="80">
        <v>0.5</v>
      </c>
      <c r="E34" s="80">
        <v>0.5</v>
      </c>
      <c r="F34" s="80">
        <v>0.5</v>
      </c>
      <c r="G34" s="944">
        <v>0.5</v>
      </c>
      <c r="H34" s="80">
        <v>0</v>
      </c>
      <c r="I34" s="73" t="s">
        <v>815</v>
      </c>
      <c r="J34" s="81" t="s">
        <v>2708</v>
      </c>
      <c r="K34" s="83" t="s">
        <v>2709</v>
      </c>
      <c r="L34" s="81" t="s">
        <v>811</v>
      </c>
      <c r="M34" s="81" t="s">
        <v>2710</v>
      </c>
      <c r="N34" s="81" t="s">
        <v>2711</v>
      </c>
      <c r="O34" s="81" t="s">
        <v>2712</v>
      </c>
      <c r="P34" s="77"/>
      <c r="Q34" s="77"/>
      <c r="R34" s="77"/>
      <c r="S34" s="15"/>
      <c r="T34" s="15"/>
      <c r="U34" s="15"/>
      <c r="V34" s="15"/>
      <c r="W34" s="15"/>
      <c r="X34" s="15"/>
      <c r="Y34" s="15"/>
      <c r="Z34" s="15"/>
    </row>
    <row r="35" spans="1:26" ht="81.75" customHeight="1">
      <c r="A35" s="2"/>
      <c r="B35" s="95"/>
      <c r="C35" s="944"/>
      <c r="D35" s="80"/>
      <c r="E35" s="80"/>
      <c r="F35" s="80"/>
      <c r="G35" s="944"/>
      <c r="H35" s="80"/>
      <c r="I35" s="73"/>
      <c r="J35" s="81"/>
      <c r="K35" s="83"/>
      <c r="L35" s="81"/>
      <c r="M35" s="81"/>
      <c r="N35" s="81"/>
      <c r="O35" s="81"/>
      <c r="P35" s="77"/>
      <c r="Q35" s="77"/>
      <c r="R35" s="77"/>
      <c r="S35" s="15"/>
      <c r="T35" s="15"/>
      <c r="U35" s="15"/>
      <c r="V35" s="15"/>
      <c r="W35" s="15"/>
      <c r="X35" s="15"/>
      <c r="Y35" s="15"/>
      <c r="Z35" s="15"/>
    </row>
    <row r="36" spans="1:26" ht="81.75" customHeight="1">
      <c r="A36" s="2" t="s">
        <v>736</v>
      </c>
      <c r="B36" s="95" t="s">
        <v>46</v>
      </c>
      <c r="C36" s="944">
        <v>0.5</v>
      </c>
      <c r="D36" s="80">
        <v>1</v>
      </c>
      <c r="E36" s="80">
        <v>0</v>
      </c>
      <c r="F36" s="80">
        <v>0</v>
      </c>
      <c r="G36" s="944">
        <v>0.5</v>
      </c>
      <c r="H36" s="80">
        <v>0</v>
      </c>
      <c r="I36" s="73" t="s">
        <v>822</v>
      </c>
      <c r="J36" s="81" t="s">
        <v>2713</v>
      </c>
      <c r="K36" s="83" t="s">
        <v>2714</v>
      </c>
      <c r="L36" s="81" t="s">
        <v>2715</v>
      </c>
      <c r="M36" s="81" t="s">
        <v>2716</v>
      </c>
      <c r="N36" s="81" t="s">
        <v>2717</v>
      </c>
      <c r="O36" s="81" t="s">
        <v>2718</v>
      </c>
      <c r="P36" s="77"/>
      <c r="Q36" s="77"/>
      <c r="R36" s="77"/>
      <c r="S36" s="15"/>
      <c r="T36" s="15"/>
      <c r="U36" s="15"/>
      <c r="V36" s="15"/>
      <c r="W36" s="15"/>
      <c r="X36" s="15"/>
      <c r="Y36" s="15"/>
      <c r="Z36" s="15"/>
    </row>
    <row r="37" spans="1:26" ht="81.75" customHeight="1">
      <c r="A37" s="2"/>
      <c r="B37" s="95"/>
      <c r="C37" s="944"/>
      <c r="D37" s="80"/>
      <c r="E37" s="80"/>
      <c r="F37" s="80"/>
      <c r="G37" s="944"/>
      <c r="H37" s="80"/>
      <c r="I37" s="73"/>
      <c r="J37" s="81"/>
      <c r="K37" s="83"/>
      <c r="L37" s="81"/>
      <c r="M37" s="81"/>
      <c r="N37" s="81"/>
      <c r="O37" s="81"/>
      <c r="P37" s="77"/>
      <c r="Q37" s="77"/>
      <c r="R37" s="77"/>
      <c r="S37" s="15"/>
      <c r="T37" s="15"/>
      <c r="U37" s="15"/>
      <c r="V37" s="15"/>
      <c r="W37" s="15"/>
      <c r="X37" s="15"/>
      <c r="Y37" s="15"/>
      <c r="Z37" s="15"/>
    </row>
    <row r="38" spans="1:26" ht="81.75" customHeight="1">
      <c r="A38" s="2" t="s">
        <v>736</v>
      </c>
      <c r="B38" s="95" t="s">
        <v>48</v>
      </c>
      <c r="C38" s="944">
        <v>0.5</v>
      </c>
      <c r="D38" s="80">
        <v>0.5</v>
      </c>
      <c r="E38" s="80">
        <v>0</v>
      </c>
      <c r="F38" s="80">
        <v>0.5</v>
      </c>
      <c r="G38" s="944">
        <v>0.5</v>
      </c>
      <c r="H38" s="80">
        <v>0</v>
      </c>
      <c r="I38" s="73" t="s">
        <v>828</v>
      </c>
      <c r="J38" s="81" t="s">
        <v>2719</v>
      </c>
      <c r="K38" s="83" t="s">
        <v>2720</v>
      </c>
      <c r="L38" s="81" t="s">
        <v>2721</v>
      </c>
      <c r="M38" s="81" t="s">
        <v>2722</v>
      </c>
      <c r="N38" s="81" t="s">
        <v>2723</v>
      </c>
      <c r="O38" s="81" t="s">
        <v>2724</v>
      </c>
      <c r="P38" s="77"/>
      <c r="Q38" s="77"/>
      <c r="R38" s="77"/>
      <c r="S38" s="15"/>
      <c r="T38" s="15"/>
      <c r="U38" s="15"/>
      <c r="V38" s="15"/>
      <c r="W38" s="15"/>
      <c r="X38" s="15"/>
      <c r="Y38" s="15"/>
      <c r="Z38" s="15"/>
    </row>
    <row r="39" spans="1:26" ht="81.75" customHeight="1">
      <c r="A39" s="2"/>
      <c r="B39" s="95"/>
      <c r="C39" s="944"/>
      <c r="D39" s="80"/>
      <c r="E39" s="80"/>
      <c r="F39" s="80"/>
      <c r="G39" s="944"/>
      <c r="H39" s="80"/>
      <c r="I39" s="73"/>
      <c r="J39" s="81"/>
      <c r="K39" s="83"/>
      <c r="L39" s="81"/>
      <c r="M39" s="81"/>
      <c r="N39" s="81"/>
      <c r="O39" s="81"/>
      <c r="P39" s="77"/>
      <c r="Q39" s="77"/>
      <c r="R39" s="77"/>
      <c r="S39" s="15"/>
      <c r="T39" s="15"/>
      <c r="U39" s="15"/>
      <c r="V39" s="15"/>
      <c r="W39" s="15"/>
      <c r="X39" s="15"/>
      <c r="Y39" s="15"/>
      <c r="Z39" s="15"/>
    </row>
    <row r="40" spans="1:26" ht="81.75" customHeight="1">
      <c r="A40" s="2" t="s">
        <v>736</v>
      </c>
      <c r="B40" s="95" t="s">
        <v>50</v>
      </c>
      <c r="C40" s="944">
        <v>0.5</v>
      </c>
      <c r="D40" s="80">
        <v>1</v>
      </c>
      <c r="E40" s="80">
        <v>0</v>
      </c>
      <c r="F40" s="80">
        <v>0.5</v>
      </c>
      <c r="G40" s="944">
        <v>0.5</v>
      </c>
      <c r="H40" s="80">
        <v>0</v>
      </c>
      <c r="I40" s="73" t="s">
        <v>835</v>
      </c>
      <c r="J40" s="81" t="s">
        <v>2725</v>
      </c>
      <c r="K40" s="83" t="s">
        <v>2726</v>
      </c>
      <c r="L40" s="81" t="s">
        <v>2727</v>
      </c>
      <c r="M40" s="81" t="s">
        <v>2728</v>
      </c>
      <c r="N40" s="81" t="s">
        <v>2729</v>
      </c>
      <c r="O40" s="81" t="s">
        <v>2730</v>
      </c>
      <c r="P40" s="77"/>
      <c r="Q40" s="77"/>
      <c r="R40" s="77"/>
      <c r="S40" s="15"/>
      <c r="T40" s="15"/>
      <c r="U40" s="15"/>
      <c r="V40" s="15"/>
      <c r="W40" s="15"/>
      <c r="X40" s="15"/>
      <c r="Y40" s="15"/>
      <c r="Z40" s="15"/>
    </row>
    <row r="41" spans="1:26" ht="81.75" customHeight="1">
      <c r="A41" s="2"/>
      <c r="B41" s="95"/>
      <c r="C41" s="944"/>
      <c r="D41" s="80"/>
      <c r="E41" s="80"/>
      <c r="F41" s="80"/>
      <c r="G41" s="944"/>
      <c r="H41" s="80"/>
      <c r="I41" s="73"/>
      <c r="J41" s="81"/>
      <c r="K41" s="83"/>
      <c r="L41" s="81"/>
      <c r="M41" s="81"/>
      <c r="N41" s="81"/>
      <c r="O41" s="81"/>
      <c r="P41" s="77"/>
      <c r="Q41" s="77"/>
      <c r="R41" s="77"/>
      <c r="S41" s="15"/>
      <c r="T41" s="15"/>
      <c r="U41" s="15"/>
      <c r="V41" s="15"/>
      <c r="W41" s="15"/>
      <c r="X41" s="15"/>
      <c r="Y41" s="15"/>
      <c r="Z41" s="15"/>
    </row>
    <row r="42" spans="1:26" ht="81.75" customHeight="1">
      <c r="A42" s="2" t="s">
        <v>736</v>
      </c>
      <c r="B42" s="95" t="s">
        <v>52</v>
      </c>
      <c r="C42" s="944">
        <v>1</v>
      </c>
      <c r="D42" s="80">
        <v>1</v>
      </c>
      <c r="E42" s="80">
        <v>0</v>
      </c>
      <c r="F42" s="80">
        <v>0.5</v>
      </c>
      <c r="G42" s="944">
        <v>0.5</v>
      </c>
      <c r="H42" s="80">
        <v>0</v>
      </c>
      <c r="I42" s="73" t="s">
        <v>53</v>
      </c>
      <c r="J42" s="81" t="s">
        <v>2731</v>
      </c>
      <c r="K42" s="83" t="s">
        <v>2732</v>
      </c>
      <c r="L42" s="81" t="s">
        <v>2733</v>
      </c>
      <c r="M42" s="81" t="s">
        <v>2734</v>
      </c>
      <c r="N42" s="81" t="s">
        <v>2735</v>
      </c>
      <c r="O42" s="81" t="s">
        <v>2736</v>
      </c>
      <c r="P42" s="77"/>
      <c r="Q42" s="77"/>
      <c r="R42" s="77"/>
      <c r="S42" s="15"/>
      <c r="T42" s="15"/>
      <c r="U42" s="15"/>
      <c r="V42" s="15"/>
      <c r="W42" s="15"/>
      <c r="X42" s="15"/>
      <c r="Y42" s="15"/>
      <c r="Z42" s="15"/>
    </row>
    <row r="43" spans="1:26" ht="81.75" customHeight="1">
      <c r="A43" s="2"/>
      <c r="B43" s="95"/>
      <c r="C43" s="944"/>
      <c r="D43" s="80"/>
      <c r="E43" s="80"/>
      <c r="F43" s="80"/>
      <c r="G43" s="944"/>
      <c r="H43" s="80"/>
      <c r="I43" s="73"/>
      <c r="J43" s="81"/>
      <c r="K43" s="83"/>
      <c r="L43" s="81"/>
      <c r="M43" s="81"/>
      <c r="N43" s="81"/>
      <c r="O43" s="81"/>
      <c r="P43" s="77"/>
      <c r="Q43" s="77"/>
      <c r="R43" s="77"/>
      <c r="S43" s="15"/>
      <c r="T43" s="15"/>
      <c r="U43" s="15"/>
      <c r="V43" s="15"/>
      <c r="W43" s="15"/>
      <c r="X43" s="15"/>
      <c r="Y43" s="15"/>
      <c r="Z43" s="15"/>
    </row>
    <row r="44" spans="1:26" ht="81.75" customHeight="1">
      <c r="A44" s="2" t="s">
        <v>736</v>
      </c>
      <c r="B44" s="95" t="s">
        <v>54</v>
      </c>
      <c r="C44" s="944">
        <v>0.5</v>
      </c>
      <c r="D44" s="80">
        <v>1</v>
      </c>
      <c r="E44" s="80">
        <v>0</v>
      </c>
      <c r="F44" s="80">
        <v>0</v>
      </c>
      <c r="G44" s="944">
        <v>0</v>
      </c>
      <c r="H44" s="80">
        <v>0</v>
      </c>
      <c r="I44" s="73" t="s">
        <v>848</v>
      </c>
      <c r="J44" s="81" t="s">
        <v>2737</v>
      </c>
      <c r="K44" s="83" t="s">
        <v>2738</v>
      </c>
      <c r="L44" s="81" t="s">
        <v>2739</v>
      </c>
      <c r="M44" s="81" t="s">
        <v>2740</v>
      </c>
      <c r="N44" s="81" t="s">
        <v>2741</v>
      </c>
      <c r="O44" s="81" t="s">
        <v>2742</v>
      </c>
      <c r="P44" s="77"/>
      <c r="Q44" s="77"/>
      <c r="R44" s="77"/>
      <c r="S44" s="15"/>
      <c r="T44" s="15"/>
      <c r="U44" s="15"/>
      <c r="V44" s="15"/>
      <c r="W44" s="15"/>
      <c r="X44" s="15"/>
      <c r="Y44" s="15"/>
      <c r="Z44" s="15"/>
    </row>
    <row r="45" spans="1:26" ht="81.75" customHeight="1">
      <c r="A45" s="2"/>
      <c r="B45" s="95"/>
      <c r="C45" s="944"/>
      <c r="D45" s="80"/>
      <c r="E45" s="80"/>
      <c r="F45" s="80"/>
      <c r="G45" s="944"/>
      <c r="H45" s="80"/>
      <c r="I45" s="73"/>
      <c r="J45" s="81"/>
      <c r="K45" s="83"/>
      <c r="L45" s="81"/>
      <c r="M45" s="81"/>
      <c r="N45" s="81"/>
      <c r="O45" s="81"/>
      <c r="P45" s="77"/>
      <c r="Q45" s="77"/>
      <c r="R45" s="77"/>
      <c r="S45" s="15"/>
      <c r="T45" s="15"/>
      <c r="U45" s="15"/>
      <c r="V45" s="15"/>
      <c r="W45" s="15"/>
      <c r="X45" s="15"/>
      <c r="Y45" s="15"/>
      <c r="Z45" s="15"/>
    </row>
    <row r="46" spans="1:26" ht="81.75" customHeight="1">
      <c r="A46" s="2" t="s">
        <v>736</v>
      </c>
      <c r="B46" s="95" t="s">
        <v>56</v>
      </c>
      <c r="C46" s="944">
        <v>1</v>
      </c>
      <c r="D46" s="80">
        <v>1</v>
      </c>
      <c r="E46" s="80">
        <v>0.5</v>
      </c>
      <c r="F46" s="80">
        <v>1</v>
      </c>
      <c r="G46" s="944">
        <v>1</v>
      </c>
      <c r="H46" s="80">
        <v>1</v>
      </c>
      <c r="I46" s="73" t="s">
        <v>2743</v>
      </c>
      <c r="J46" s="81" t="s">
        <v>2744</v>
      </c>
      <c r="K46" s="83" t="s">
        <v>2745</v>
      </c>
      <c r="L46" s="81" t="s">
        <v>2746</v>
      </c>
      <c r="M46" s="81" t="s">
        <v>2747</v>
      </c>
      <c r="N46" s="81" t="s">
        <v>2748</v>
      </c>
      <c r="O46" s="81" t="s">
        <v>2749</v>
      </c>
      <c r="P46" s="77"/>
      <c r="Q46" s="77"/>
      <c r="R46" s="77"/>
      <c r="S46" s="15"/>
      <c r="T46" s="15"/>
      <c r="U46" s="15"/>
      <c r="V46" s="15"/>
      <c r="W46" s="15"/>
      <c r="X46" s="15"/>
      <c r="Y46" s="15"/>
      <c r="Z46" s="15"/>
    </row>
    <row r="47" spans="1:26" ht="81.75" customHeight="1">
      <c r="A47" s="2"/>
      <c r="B47" s="95"/>
      <c r="C47" s="944"/>
      <c r="D47" s="80"/>
      <c r="E47" s="80"/>
      <c r="F47" s="80"/>
      <c r="G47" s="944"/>
      <c r="H47" s="80"/>
      <c r="I47" s="73"/>
      <c r="J47" s="81"/>
      <c r="K47" s="83"/>
      <c r="L47" s="81"/>
      <c r="M47" s="81"/>
      <c r="N47" s="81"/>
      <c r="O47" s="81"/>
      <c r="P47" s="77"/>
      <c r="Q47" s="77"/>
      <c r="R47" s="77"/>
      <c r="S47" s="15"/>
      <c r="T47" s="15"/>
      <c r="U47" s="15"/>
      <c r="V47" s="15"/>
      <c r="W47" s="15"/>
      <c r="X47" s="15"/>
      <c r="Y47" s="15"/>
      <c r="Z47" s="15"/>
    </row>
    <row r="48" spans="1:26" ht="81.75" customHeight="1">
      <c r="A48" s="2" t="s">
        <v>736</v>
      </c>
      <c r="B48" s="95" t="s">
        <v>58</v>
      </c>
      <c r="C48" s="944">
        <v>0</v>
      </c>
      <c r="D48" s="80">
        <v>1</v>
      </c>
      <c r="E48" s="80">
        <v>0</v>
      </c>
      <c r="F48" s="80">
        <v>0</v>
      </c>
      <c r="G48" s="944">
        <v>0</v>
      </c>
      <c r="H48" s="80">
        <v>0</v>
      </c>
      <c r="I48" s="73" t="s">
        <v>862</v>
      </c>
      <c r="J48" s="81" t="s">
        <v>2750</v>
      </c>
      <c r="K48" s="83" t="s">
        <v>2751</v>
      </c>
      <c r="L48" s="81" t="s">
        <v>2752</v>
      </c>
      <c r="M48" s="81" t="s">
        <v>2753</v>
      </c>
      <c r="N48" s="81" t="s">
        <v>2754</v>
      </c>
      <c r="O48" s="81" t="s">
        <v>2755</v>
      </c>
      <c r="P48" s="77"/>
      <c r="Q48" s="77"/>
      <c r="R48" s="77"/>
      <c r="S48" s="15"/>
      <c r="T48" s="15"/>
      <c r="U48" s="15"/>
      <c r="V48" s="15"/>
      <c r="W48" s="15"/>
      <c r="X48" s="15"/>
      <c r="Y48" s="15"/>
      <c r="Z48" s="15"/>
    </row>
    <row r="49" spans="1:26" ht="81.75" customHeight="1">
      <c r="A49" s="2"/>
      <c r="B49" s="95"/>
      <c r="C49" s="944"/>
      <c r="D49" s="80"/>
      <c r="E49" s="80"/>
      <c r="F49" s="80"/>
      <c r="G49" s="944"/>
      <c r="H49" s="80"/>
      <c r="I49" s="73"/>
      <c r="J49" s="81"/>
      <c r="K49" s="83"/>
      <c r="L49" s="81"/>
      <c r="M49" s="81"/>
      <c r="N49" s="81"/>
      <c r="O49" s="81"/>
      <c r="P49" s="77"/>
      <c r="Q49" s="77"/>
      <c r="R49" s="77"/>
      <c r="S49" s="15"/>
      <c r="T49" s="15"/>
      <c r="U49" s="15"/>
      <c r="V49" s="15"/>
      <c r="W49" s="15"/>
      <c r="X49" s="15"/>
      <c r="Y49" s="15"/>
      <c r="Z49" s="15"/>
    </row>
    <row r="50" spans="1:26" ht="81.75" customHeight="1">
      <c r="A50" s="2" t="s">
        <v>736</v>
      </c>
      <c r="B50" s="95" t="s">
        <v>2756</v>
      </c>
      <c r="C50" s="944">
        <v>0</v>
      </c>
      <c r="D50" s="80">
        <v>1</v>
      </c>
      <c r="E50" s="80">
        <v>0</v>
      </c>
      <c r="F50" s="80">
        <v>0</v>
      </c>
      <c r="G50" s="944">
        <v>0</v>
      </c>
      <c r="H50" s="80">
        <v>0</v>
      </c>
      <c r="I50" s="73" t="s">
        <v>38</v>
      </c>
      <c r="J50" s="81" t="s">
        <v>2757</v>
      </c>
      <c r="K50" s="83" t="s">
        <v>2758</v>
      </c>
      <c r="L50" s="81" t="s">
        <v>2759</v>
      </c>
      <c r="M50" s="81" t="s">
        <v>2760</v>
      </c>
      <c r="N50" s="81" t="s">
        <v>2761</v>
      </c>
      <c r="O50" s="81" t="s">
        <v>2762</v>
      </c>
      <c r="P50" s="77"/>
      <c r="Q50" s="77"/>
      <c r="R50" s="77"/>
      <c r="S50" s="15"/>
      <c r="T50" s="15"/>
      <c r="U50" s="15"/>
      <c r="V50" s="15"/>
      <c r="W50" s="15"/>
      <c r="X50" s="15"/>
      <c r="Y50" s="15"/>
      <c r="Z50" s="15"/>
    </row>
    <row r="51" spans="1:26" ht="81.75" customHeight="1">
      <c r="A51" s="2"/>
      <c r="B51" s="95"/>
      <c r="C51" s="944"/>
      <c r="D51" s="80"/>
      <c r="E51" s="80"/>
      <c r="F51" s="80"/>
      <c r="G51" s="944"/>
      <c r="H51" s="80"/>
      <c r="I51" s="73"/>
      <c r="J51" s="81"/>
      <c r="K51" s="83"/>
      <c r="L51" s="81"/>
      <c r="M51" s="81"/>
      <c r="N51" s="81"/>
      <c r="O51" s="81"/>
      <c r="P51" s="77"/>
      <c r="Q51" s="77"/>
      <c r="R51" s="77"/>
      <c r="S51" s="15"/>
      <c r="T51" s="15"/>
      <c r="U51" s="15"/>
      <c r="V51" s="15"/>
      <c r="W51" s="15"/>
      <c r="X51" s="15"/>
      <c r="Y51" s="15"/>
      <c r="Z51" s="15"/>
    </row>
    <row r="52" spans="1:26" ht="13.5" customHeight="1">
      <c r="A52" s="16" t="s">
        <v>875</v>
      </c>
      <c r="B52" s="113" t="s">
        <v>62</v>
      </c>
      <c r="C52" s="72">
        <f t="shared" ref="C52:H52" si="6">AVERAGE(C53,C55)</f>
        <v>0.9627</v>
      </c>
      <c r="D52" s="72">
        <f t="shared" si="6"/>
        <v>0.45039999999999997</v>
      </c>
      <c r="E52" s="72">
        <f t="shared" si="6"/>
        <v>0.11380000000000003</v>
      </c>
      <c r="F52" s="72">
        <f t="shared" si="6"/>
        <v>0.78794999999999993</v>
      </c>
      <c r="G52" s="72">
        <f t="shared" si="6"/>
        <v>0.82105000000000006</v>
      </c>
      <c r="H52" s="72">
        <f t="shared" si="6"/>
        <v>7.0499999999999965E-2</v>
      </c>
      <c r="I52" s="73"/>
      <c r="J52" s="72"/>
      <c r="K52" s="72"/>
      <c r="L52" s="74"/>
      <c r="M52" s="74"/>
      <c r="N52" s="72"/>
      <c r="O52" s="72"/>
      <c r="P52" s="76"/>
      <c r="Q52" s="77"/>
      <c r="R52" s="77"/>
      <c r="S52" s="15"/>
      <c r="T52" s="15"/>
      <c r="U52" s="15"/>
      <c r="V52" s="15"/>
      <c r="W52" s="15"/>
      <c r="X52" s="15"/>
      <c r="Y52" s="15"/>
      <c r="Z52" s="15"/>
    </row>
    <row r="53" spans="1:26" ht="81.75" customHeight="1">
      <c r="A53" s="2" t="s">
        <v>736</v>
      </c>
      <c r="B53" s="95" t="s">
        <v>876</v>
      </c>
      <c r="C53" s="944">
        <v>0.97</v>
      </c>
      <c r="D53" s="80">
        <v>0</v>
      </c>
      <c r="E53" s="80">
        <f>(77.24-100)/(0-100)</f>
        <v>0.22760000000000005</v>
      </c>
      <c r="F53" s="80">
        <f>(27.78-100)/(0-100)</f>
        <v>0.72219999999999995</v>
      </c>
      <c r="G53" s="944">
        <f>(21.89-100)/(0-100)</f>
        <v>0.78110000000000002</v>
      </c>
      <c r="H53" s="80">
        <f>(85.9-100)/(0-100)</f>
        <v>0.14099999999999993</v>
      </c>
      <c r="I53" s="73" t="s">
        <v>64</v>
      </c>
      <c r="J53" s="81" t="s">
        <v>2763</v>
      </c>
      <c r="K53" s="83" t="s">
        <v>2764</v>
      </c>
      <c r="L53" s="81" t="s">
        <v>2765</v>
      </c>
      <c r="M53" s="81" t="s">
        <v>2766</v>
      </c>
      <c r="N53" s="81" t="s">
        <v>2767</v>
      </c>
      <c r="O53" s="81" t="s">
        <v>2768</v>
      </c>
      <c r="P53" s="77"/>
      <c r="Q53" s="77"/>
      <c r="R53" s="77"/>
      <c r="S53" s="15"/>
      <c r="T53" s="15"/>
      <c r="U53" s="15"/>
      <c r="V53" s="15"/>
      <c r="W53" s="15"/>
      <c r="X53" s="15"/>
      <c r="Y53" s="15"/>
      <c r="Z53" s="15"/>
    </row>
    <row r="54" spans="1:26" ht="81.75" customHeight="1">
      <c r="A54" s="2"/>
      <c r="B54" s="95"/>
      <c r="C54" s="944"/>
      <c r="D54" s="80"/>
      <c r="E54" s="80"/>
      <c r="F54" s="80"/>
      <c r="G54" s="944"/>
      <c r="H54" s="80"/>
      <c r="I54" s="73"/>
      <c r="J54" s="81"/>
      <c r="K54" s="83"/>
      <c r="L54" s="81"/>
      <c r="M54" s="81"/>
      <c r="N54" s="81"/>
      <c r="O54" s="81"/>
      <c r="P54" s="77"/>
      <c r="Q54" s="77"/>
      <c r="R54" s="77"/>
      <c r="S54" s="15"/>
      <c r="T54" s="15"/>
      <c r="U54" s="15"/>
      <c r="V54" s="15"/>
      <c r="W54" s="15"/>
      <c r="X54" s="15"/>
      <c r="Y54" s="15"/>
      <c r="Z54" s="15"/>
    </row>
    <row r="55" spans="1:26" ht="81.75" customHeight="1">
      <c r="A55" s="2" t="s">
        <v>736</v>
      </c>
      <c r="B55" s="95" t="s">
        <v>63</v>
      </c>
      <c r="C55" s="944">
        <f>(4.46-100)/(0-100)</f>
        <v>0.95540000000000003</v>
      </c>
      <c r="D55" s="80">
        <f>(9.92-100)/(0-100)</f>
        <v>0.90079999999999993</v>
      </c>
      <c r="E55" s="80">
        <f>(100-100)/(0-100)</f>
        <v>0</v>
      </c>
      <c r="F55" s="80">
        <f>(14.63-100)/(0-100)</f>
        <v>0.85370000000000001</v>
      </c>
      <c r="G55" s="944">
        <f>(13.9-100)/(0-100)</f>
        <v>0.86099999999999999</v>
      </c>
      <c r="H55" s="80">
        <v>0</v>
      </c>
      <c r="I55" s="73" t="s">
        <v>64</v>
      </c>
      <c r="J55" s="81" t="s">
        <v>2769</v>
      </c>
      <c r="K55" s="83" t="s">
        <v>2770</v>
      </c>
      <c r="L55" s="81" t="s">
        <v>2771</v>
      </c>
      <c r="M55" s="81" t="s">
        <v>2772</v>
      </c>
      <c r="N55" s="81" t="s">
        <v>2773</v>
      </c>
      <c r="O55" s="81" t="s">
        <v>2774</v>
      </c>
      <c r="P55" s="77"/>
      <c r="Q55" s="77"/>
      <c r="R55" s="77"/>
      <c r="S55" s="15"/>
      <c r="T55" s="15"/>
      <c r="U55" s="15"/>
      <c r="V55" s="15"/>
      <c r="W55" s="15"/>
      <c r="X55" s="15"/>
      <c r="Y55" s="15"/>
      <c r="Z55" s="15"/>
    </row>
    <row r="56" spans="1:26" ht="30" customHeight="1">
      <c r="A56" s="2"/>
      <c r="B56" s="3"/>
      <c r="C56" s="87"/>
      <c r="D56" s="87"/>
      <c r="E56" s="87"/>
      <c r="F56" s="87"/>
      <c r="G56" s="87"/>
      <c r="H56" s="87"/>
      <c r="I56" s="149"/>
      <c r="J56" s="75"/>
      <c r="K56" s="75"/>
      <c r="L56" s="75"/>
      <c r="M56" s="75"/>
      <c r="N56" s="75"/>
      <c r="O56" s="75"/>
      <c r="P56" s="77"/>
      <c r="Q56" s="77"/>
      <c r="R56" s="77"/>
      <c r="S56" s="15"/>
      <c r="T56" s="15"/>
      <c r="U56" s="15"/>
      <c r="V56" s="15"/>
      <c r="W56" s="15"/>
      <c r="X56" s="15"/>
      <c r="Y56" s="15"/>
      <c r="Z56" s="15"/>
    </row>
    <row r="57" spans="1:26" ht="27.75" customHeight="1">
      <c r="A57" s="123" t="s">
        <v>891</v>
      </c>
      <c r="B57" s="124" t="s">
        <v>892</v>
      </c>
      <c r="C57" s="126">
        <f t="shared" ref="C57:H57" si="7">AVERAGE(C58,C63)</f>
        <v>0.5841155510731928</v>
      </c>
      <c r="D57" s="126">
        <f t="shared" si="7"/>
        <v>0.66572068557436326</v>
      </c>
      <c r="E57" s="126">
        <f t="shared" si="7"/>
        <v>0.18632706143259947</v>
      </c>
      <c r="F57" s="126">
        <f t="shared" si="7"/>
        <v>0.63386232975350032</v>
      </c>
      <c r="G57" s="126">
        <f t="shared" si="7"/>
        <v>0.55277040497239405</v>
      </c>
      <c r="H57" s="126">
        <f t="shared" si="7"/>
        <v>0.26326406492763105</v>
      </c>
      <c r="I57" s="124"/>
      <c r="J57" s="63"/>
      <c r="K57" s="63"/>
      <c r="L57" s="63"/>
      <c r="M57" s="63"/>
      <c r="N57" s="63"/>
      <c r="O57" s="63"/>
      <c r="P57" s="128"/>
      <c r="Q57" s="128"/>
      <c r="R57" s="128"/>
      <c r="S57" s="124"/>
      <c r="T57" s="124"/>
      <c r="U57" s="124"/>
      <c r="V57" s="124"/>
      <c r="W57" s="124"/>
      <c r="X57" s="124"/>
      <c r="Y57" s="124"/>
      <c r="Z57" s="124"/>
    </row>
    <row r="58" spans="1:26" ht="13.5" customHeight="1">
      <c r="A58" s="130" t="s">
        <v>893</v>
      </c>
      <c r="B58" s="133" t="s">
        <v>187</v>
      </c>
      <c r="C58" s="72">
        <f t="shared" ref="C58:H58" si="8">AVERAGE(C59,C61)</f>
        <v>0.52801946193474536</v>
      </c>
      <c r="D58" s="72">
        <f t="shared" si="8"/>
        <v>0.64890168860904407</v>
      </c>
      <c r="E58" s="72">
        <f t="shared" si="8"/>
        <v>0.2390562392673154</v>
      </c>
      <c r="F58" s="72">
        <f t="shared" si="8"/>
        <v>0.64470878649112762</v>
      </c>
      <c r="G58" s="72">
        <f t="shared" si="8"/>
        <v>0.58437678878076704</v>
      </c>
      <c r="H58" s="72">
        <f t="shared" si="8"/>
        <v>0.31224241556954779</v>
      </c>
      <c r="I58" s="135"/>
      <c r="J58" s="74"/>
      <c r="K58" s="74"/>
      <c r="L58" s="74"/>
      <c r="M58" s="74"/>
      <c r="N58" s="74"/>
      <c r="O58" s="74"/>
      <c r="P58" s="137"/>
      <c r="Q58" s="137"/>
      <c r="R58" s="137"/>
      <c r="S58" s="138"/>
      <c r="T58" s="138"/>
      <c r="U58" s="138"/>
      <c r="V58" s="138"/>
      <c r="W58" s="138"/>
      <c r="X58" s="138"/>
      <c r="Y58" s="138"/>
      <c r="Z58" s="138"/>
    </row>
    <row r="59" spans="1:26" ht="30" customHeight="1">
      <c r="A59" s="2" t="s">
        <v>736</v>
      </c>
      <c r="B59" s="95" t="s">
        <v>2775</v>
      </c>
      <c r="C59" s="944">
        <f t="shared" ref="C59:H59" si="9">(J59-96)/(16-96)</f>
        <v>0.45</v>
      </c>
      <c r="D59" s="80">
        <f t="shared" si="9"/>
        <v>0.53749999999999998</v>
      </c>
      <c r="E59" s="80">
        <f t="shared" si="9"/>
        <v>3.7499999999999999E-2</v>
      </c>
      <c r="F59" s="80">
        <f t="shared" si="9"/>
        <v>0.58750000000000002</v>
      </c>
      <c r="G59" s="944">
        <f t="shared" si="9"/>
        <v>0.4375</v>
      </c>
      <c r="H59" s="80">
        <f t="shared" si="9"/>
        <v>0.17499999999999999</v>
      </c>
      <c r="I59" s="73" t="s">
        <v>895</v>
      </c>
      <c r="J59" s="81">
        <v>60</v>
      </c>
      <c r="K59" s="83">
        <v>53</v>
      </c>
      <c r="L59" s="81">
        <v>93</v>
      </c>
      <c r="M59" s="81">
        <v>49</v>
      </c>
      <c r="N59" s="81">
        <v>61</v>
      </c>
      <c r="O59" s="81">
        <v>82</v>
      </c>
      <c r="P59" s="77">
        <v>2013</v>
      </c>
      <c r="Q59" s="77"/>
      <c r="R59" s="77"/>
      <c r="S59" s="15"/>
      <c r="T59" s="15"/>
      <c r="U59" s="15"/>
      <c r="V59" s="15"/>
      <c r="W59" s="15"/>
      <c r="X59" s="15"/>
      <c r="Y59" s="15"/>
      <c r="Z59" s="15"/>
    </row>
    <row r="60" spans="1:26" ht="30" customHeight="1">
      <c r="A60" s="2"/>
      <c r="B60" s="95"/>
      <c r="C60" s="944"/>
      <c r="D60" s="80"/>
      <c r="E60" s="80"/>
      <c r="F60" s="80"/>
      <c r="G60" s="944"/>
      <c r="H60" s="80"/>
      <c r="I60" s="73"/>
      <c r="J60" s="81"/>
      <c r="K60" s="83"/>
      <c r="L60" s="81"/>
      <c r="M60" s="81"/>
      <c r="N60" s="81"/>
      <c r="O60" s="81"/>
      <c r="P60" s="77"/>
      <c r="Q60" s="77"/>
      <c r="R60" s="77"/>
      <c r="S60" s="15"/>
      <c r="T60" s="15"/>
      <c r="U60" s="15"/>
      <c r="V60" s="15"/>
      <c r="W60" s="15"/>
      <c r="X60" s="15"/>
      <c r="Y60" s="15"/>
      <c r="Z60" s="15"/>
    </row>
    <row r="61" spans="1:26" ht="30" customHeight="1">
      <c r="A61" s="2" t="s">
        <v>736</v>
      </c>
      <c r="B61" s="95" t="s">
        <v>2776</v>
      </c>
      <c r="C61" s="944">
        <f t="shared" ref="C61:H61" si="10">(J61-79.14)/(9.26-79.14)</f>
        <v>0.60603892386949065</v>
      </c>
      <c r="D61" s="80">
        <f t="shared" si="10"/>
        <v>0.76030337721808816</v>
      </c>
      <c r="E61" s="80">
        <f t="shared" si="10"/>
        <v>0.44061247853463081</v>
      </c>
      <c r="F61" s="80">
        <f t="shared" si="10"/>
        <v>0.70191757298225532</v>
      </c>
      <c r="G61" s="944">
        <f t="shared" si="10"/>
        <v>0.73125357756153408</v>
      </c>
      <c r="H61" s="80">
        <f t="shared" si="10"/>
        <v>0.44948483113909565</v>
      </c>
      <c r="I61" s="73" t="s">
        <v>2777</v>
      </c>
      <c r="J61" s="81">
        <v>36.79</v>
      </c>
      <c r="K61" s="83">
        <v>26.01</v>
      </c>
      <c r="L61" s="81">
        <v>48.35</v>
      </c>
      <c r="M61" s="81">
        <v>30.09</v>
      </c>
      <c r="N61" s="81">
        <v>28.04</v>
      </c>
      <c r="O61" s="81">
        <v>47.73</v>
      </c>
      <c r="P61" s="77"/>
      <c r="Q61" s="77"/>
      <c r="R61" s="77"/>
      <c r="S61" s="15"/>
      <c r="T61" s="15"/>
      <c r="U61" s="15"/>
      <c r="V61" s="15"/>
      <c r="W61" s="15"/>
      <c r="X61" s="15"/>
      <c r="Y61" s="15"/>
      <c r="Z61" s="15"/>
    </row>
    <row r="62" spans="1:26" ht="13.5" customHeight="1">
      <c r="A62" s="143"/>
      <c r="B62" s="144"/>
      <c r="C62" s="87"/>
      <c r="D62" s="87"/>
      <c r="E62" s="87"/>
      <c r="F62" s="87"/>
      <c r="G62" s="87"/>
      <c r="H62" s="87"/>
      <c r="I62" s="149"/>
      <c r="J62" s="75"/>
      <c r="K62" s="75"/>
      <c r="L62" s="75"/>
      <c r="M62" s="75"/>
      <c r="N62" s="75"/>
      <c r="O62" s="75"/>
      <c r="P62" s="146"/>
      <c r="Q62" s="146"/>
      <c r="R62" s="146"/>
      <c r="S62" s="149"/>
      <c r="T62" s="149"/>
      <c r="U62" s="149"/>
      <c r="V62" s="149"/>
      <c r="W62" s="149"/>
      <c r="X62" s="149"/>
      <c r="Y62" s="149"/>
      <c r="Z62" s="149"/>
    </row>
    <row r="63" spans="1:26" ht="33" customHeight="1">
      <c r="A63" s="130" t="s">
        <v>898</v>
      </c>
      <c r="B63" s="133" t="s">
        <v>899</v>
      </c>
      <c r="C63" s="72">
        <f t="shared" ref="C63:H63" si="11">AVERAGE(C64,C66,C68)</f>
        <v>0.64021164021164012</v>
      </c>
      <c r="D63" s="72">
        <f t="shared" si="11"/>
        <v>0.68253968253968245</v>
      </c>
      <c r="E63" s="72">
        <f t="shared" si="11"/>
        <v>0.13359788359788358</v>
      </c>
      <c r="F63" s="72">
        <f t="shared" si="11"/>
        <v>0.62301587301587302</v>
      </c>
      <c r="G63" s="72">
        <f t="shared" si="11"/>
        <v>0.52116402116402116</v>
      </c>
      <c r="H63" s="72">
        <f t="shared" si="11"/>
        <v>0.21428571428571427</v>
      </c>
      <c r="I63" s="135"/>
      <c r="J63" s="74"/>
      <c r="K63" s="74"/>
      <c r="L63" s="74"/>
      <c r="M63" s="74"/>
      <c r="N63" s="74"/>
      <c r="O63" s="74"/>
      <c r="P63" s="146"/>
      <c r="Q63" s="146"/>
      <c r="R63" s="137"/>
      <c r="S63" s="138"/>
      <c r="T63" s="138"/>
      <c r="U63" s="138"/>
      <c r="V63" s="138"/>
      <c r="W63" s="138"/>
      <c r="X63" s="138"/>
      <c r="Y63" s="138"/>
      <c r="Z63" s="138"/>
    </row>
    <row r="64" spans="1:26" ht="69.75" customHeight="1">
      <c r="A64" s="143" t="s">
        <v>736</v>
      </c>
      <c r="B64" s="113" t="s">
        <v>2778</v>
      </c>
      <c r="C64" s="80">
        <f t="shared" ref="C64:H64" si="12">(J64-1)/(10-1)</f>
        <v>0.44444444444444442</v>
      </c>
      <c r="D64" s="80">
        <f t="shared" si="12"/>
        <v>0.66666666666666663</v>
      </c>
      <c r="E64" s="80">
        <f t="shared" si="12"/>
        <v>0.22222222222222221</v>
      </c>
      <c r="F64" s="80">
        <f t="shared" si="12"/>
        <v>0.66666666666666663</v>
      </c>
      <c r="G64" s="80">
        <f t="shared" si="12"/>
        <v>0.44444444444444442</v>
      </c>
      <c r="H64" s="80">
        <f t="shared" si="12"/>
        <v>0.33333333333333331</v>
      </c>
      <c r="I64" s="135" t="s">
        <v>901</v>
      </c>
      <c r="J64" s="81">
        <v>5</v>
      </c>
      <c r="K64" s="81">
        <v>7</v>
      </c>
      <c r="L64" s="81">
        <v>3</v>
      </c>
      <c r="M64" s="81">
        <v>7</v>
      </c>
      <c r="N64" s="81">
        <v>5</v>
      </c>
      <c r="O64" s="81">
        <v>4</v>
      </c>
      <c r="P64" s="146"/>
      <c r="Q64" s="146"/>
      <c r="R64" s="146"/>
      <c r="S64" s="149"/>
      <c r="T64" s="149"/>
      <c r="U64" s="149"/>
      <c r="V64" s="149"/>
      <c r="W64" s="149"/>
      <c r="X64" s="149"/>
      <c r="Y64" s="149"/>
      <c r="Z64" s="149"/>
    </row>
    <row r="65" spans="1:26" ht="13.5" customHeight="1">
      <c r="A65" s="143"/>
      <c r="B65" s="113"/>
      <c r="C65" s="80"/>
      <c r="D65" s="80"/>
      <c r="E65" s="80"/>
      <c r="F65" s="80"/>
      <c r="G65" s="80"/>
      <c r="H65" s="80"/>
      <c r="I65" s="135"/>
      <c r="J65" s="151"/>
      <c r="K65" s="81"/>
      <c r="L65" s="81"/>
      <c r="M65" s="81"/>
      <c r="N65" s="81"/>
      <c r="O65" s="81"/>
      <c r="P65" s="146"/>
      <c r="Q65" s="146"/>
      <c r="R65" s="146"/>
      <c r="S65" s="149"/>
      <c r="T65" s="149"/>
      <c r="U65" s="149"/>
      <c r="V65" s="149"/>
      <c r="W65" s="149"/>
      <c r="X65" s="149"/>
      <c r="Y65" s="149"/>
      <c r="Z65" s="149"/>
    </row>
    <row r="66" spans="1:26" ht="121.5" customHeight="1">
      <c r="A66" s="143" t="s">
        <v>736</v>
      </c>
      <c r="B66" s="113" t="s">
        <v>2779</v>
      </c>
      <c r="C66" s="80">
        <f t="shared" ref="C66:H66" si="13">(J66-7)/(1.75-7)</f>
        <v>0.80952380952380953</v>
      </c>
      <c r="D66" s="80">
        <f t="shared" si="13"/>
        <v>0.7142857142857143</v>
      </c>
      <c r="E66" s="80">
        <f t="shared" si="13"/>
        <v>9.5238095238095233E-2</v>
      </c>
      <c r="F66" s="80">
        <f t="shared" si="13"/>
        <v>0.61904761904761907</v>
      </c>
      <c r="G66" s="80">
        <f t="shared" si="13"/>
        <v>0.61904761904761907</v>
      </c>
      <c r="H66" s="80">
        <f t="shared" si="13"/>
        <v>0.14285714285714285</v>
      </c>
      <c r="I66" s="73" t="s">
        <v>2780</v>
      </c>
      <c r="J66" s="81">
        <v>2.75</v>
      </c>
      <c r="K66" s="81">
        <v>3.25</v>
      </c>
      <c r="L66" s="81">
        <v>6.5</v>
      </c>
      <c r="M66" s="81">
        <v>3.75</v>
      </c>
      <c r="N66" s="81">
        <v>3.75</v>
      </c>
      <c r="O66" s="81">
        <v>6.25</v>
      </c>
      <c r="P66" s="146">
        <v>2012</v>
      </c>
      <c r="Q66" s="146"/>
      <c r="R66" s="146"/>
      <c r="S66" s="149"/>
      <c r="T66" s="149"/>
      <c r="U66" s="149"/>
      <c r="V66" s="149"/>
      <c r="W66" s="149"/>
      <c r="X66" s="149"/>
      <c r="Y66" s="149"/>
      <c r="Z66" s="149"/>
    </row>
    <row r="67" spans="1:26" ht="13.5" customHeight="1">
      <c r="A67" s="143"/>
      <c r="B67" s="113"/>
      <c r="C67" s="80"/>
      <c r="D67" s="80"/>
      <c r="E67" s="80"/>
      <c r="F67" s="80"/>
      <c r="G67" s="80"/>
      <c r="H67" s="80"/>
      <c r="I67" s="149"/>
      <c r="J67" s="81"/>
      <c r="K67" s="81"/>
      <c r="L67" s="81"/>
      <c r="M67" s="81"/>
      <c r="N67" s="81"/>
      <c r="O67" s="81"/>
      <c r="P67" s="146"/>
      <c r="Q67" s="146"/>
      <c r="R67" s="146"/>
      <c r="S67" s="149"/>
      <c r="T67" s="149"/>
      <c r="U67" s="149"/>
      <c r="V67" s="149"/>
      <c r="W67" s="149"/>
      <c r="X67" s="149"/>
      <c r="Y67" s="149"/>
      <c r="Z67" s="149"/>
    </row>
    <row r="68" spans="1:26" ht="114" customHeight="1">
      <c r="A68" s="143" t="s">
        <v>736</v>
      </c>
      <c r="B68" s="113" t="s">
        <v>2781</v>
      </c>
      <c r="C68" s="80">
        <f t="shared" ref="C68:H68" si="14">(J68-0)/(12-0)</f>
        <v>0.66666666666666663</v>
      </c>
      <c r="D68" s="80">
        <f t="shared" si="14"/>
        <v>0.66666666666666663</v>
      </c>
      <c r="E68" s="80">
        <f t="shared" si="14"/>
        <v>8.3333333333333329E-2</v>
      </c>
      <c r="F68" s="80">
        <f t="shared" si="14"/>
        <v>0.58333333333333337</v>
      </c>
      <c r="G68" s="80">
        <f t="shared" si="14"/>
        <v>0.5</v>
      </c>
      <c r="H68" s="80">
        <f t="shared" si="14"/>
        <v>0.16666666666666666</v>
      </c>
      <c r="I68" s="135" t="s">
        <v>2782</v>
      </c>
      <c r="J68" s="156">
        <v>8</v>
      </c>
      <c r="K68" s="945">
        <v>8</v>
      </c>
      <c r="L68" s="945">
        <v>1</v>
      </c>
      <c r="M68" s="156">
        <v>7</v>
      </c>
      <c r="N68" s="945">
        <v>6</v>
      </c>
      <c r="O68" s="945">
        <v>2</v>
      </c>
      <c r="P68" s="146">
        <v>2013</v>
      </c>
      <c r="Q68" s="146"/>
      <c r="R68" s="146"/>
      <c r="S68" s="149"/>
      <c r="T68" s="149"/>
      <c r="U68" s="149"/>
      <c r="V68" s="149"/>
      <c r="W68" s="149"/>
      <c r="X68" s="149"/>
      <c r="Y68" s="149"/>
      <c r="Z68" s="149"/>
    </row>
    <row r="69" spans="1:26" ht="15.75" customHeight="1">
      <c r="A69" s="143"/>
      <c r="B69" s="144"/>
      <c r="C69" s="87"/>
      <c r="D69" s="87"/>
      <c r="E69" s="87"/>
      <c r="F69" s="87"/>
      <c r="G69" s="87"/>
      <c r="H69" s="87"/>
      <c r="I69" s="149"/>
      <c r="J69" s="75"/>
      <c r="K69" s="75"/>
      <c r="L69" s="75"/>
      <c r="M69" s="75"/>
      <c r="N69" s="75"/>
      <c r="O69" s="75"/>
      <c r="P69" s="146"/>
      <c r="Q69" s="146"/>
      <c r="R69" s="146"/>
      <c r="S69" s="149"/>
      <c r="T69" s="149"/>
      <c r="U69" s="149"/>
      <c r="V69" s="149"/>
      <c r="W69" s="149"/>
      <c r="X69" s="149"/>
      <c r="Y69" s="149"/>
      <c r="Z69" s="149"/>
    </row>
    <row r="70" spans="1:26" ht="13.5" customHeight="1">
      <c r="A70" s="123" t="s">
        <v>906</v>
      </c>
      <c r="B70" s="158" t="s">
        <v>907</v>
      </c>
      <c r="C70" s="160">
        <f t="shared" ref="C70:H70" si="15">AVERAGE(C71,C87)</f>
        <v>0.72380390143330464</v>
      </c>
      <c r="D70" s="160">
        <f t="shared" si="15"/>
        <v>0.75448149540544218</v>
      </c>
      <c r="E70" s="160">
        <f t="shared" si="15"/>
        <v>0.13269824345241962</v>
      </c>
      <c r="F70" s="160">
        <f t="shared" si="15"/>
        <v>0.58512897564639366</v>
      </c>
      <c r="G70" s="160">
        <f t="shared" si="15"/>
        <v>0.55213207879943715</v>
      </c>
      <c r="H70" s="160">
        <f t="shared" si="15"/>
        <v>0.47622078224949027</v>
      </c>
      <c r="I70" s="161"/>
      <c r="J70" s="63"/>
      <c r="K70" s="63"/>
      <c r="L70" s="163"/>
      <c r="M70" s="63"/>
      <c r="N70" s="63"/>
      <c r="O70" s="63"/>
      <c r="P70" s="165"/>
      <c r="Q70" s="165"/>
      <c r="R70" s="165"/>
      <c r="S70" s="161"/>
      <c r="T70" s="161"/>
      <c r="U70" s="161"/>
      <c r="V70" s="161"/>
      <c r="W70" s="161"/>
      <c r="X70" s="161"/>
      <c r="Y70" s="161"/>
      <c r="Z70" s="161"/>
    </row>
    <row r="71" spans="1:26" ht="13.5" customHeight="1">
      <c r="A71" s="166" t="s">
        <v>908</v>
      </c>
      <c r="B71" s="946" t="s">
        <v>909</v>
      </c>
      <c r="C71" s="72">
        <f t="shared" ref="C71:H71" si="16">AVERAGE(C72,C78)</f>
        <v>0.74130591630591636</v>
      </c>
      <c r="D71" s="72">
        <f t="shared" si="16"/>
        <v>0.79734848484848486</v>
      </c>
      <c r="E71" s="72">
        <f t="shared" si="16"/>
        <v>8.8997113997113991E-2</v>
      </c>
      <c r="F71" s="72">
        <f t="shared" si="16"/>
        <v>0.76148989898989905</v>
      </c>
      <c r="G71" s="72">
        <f t="shared" si="16"/>
        <v>0.68107864357864356</v>
      </c>
      <c r="H71" s="72">
        <f t="shared" si="16"/>
        <v>0.49009740259740264</v>
      </c>
      <c r="I71" s="135"/>
      <c r="J71" s="74"/>
      <c r="K71" s="74"/>
      <c r="L71" s="167"/>
      <c r="M71" s="74"/>
      <c r="N71" s="74"/>
      <c r="O71" s="74"/>
      <c r="P71" s="137"/>
      <c r="Q71" s="137"/>
      <c r="R71" s="137"/>
      <c r="S71" s="138"/>
      <c r="T71" s="138"/>
      <c r="U71" s="138"/>
      <c r="V71" s="138"/>
      <c r="W71" s="138"/>
      <c r="X71" s="138"/>
      <c r="Y71" s="138"/>
      <c r="Z71" s="138"/>
    </row>
    <row r="72" spans="1:26" ht="13.5" customHeight="1">
      <c r="A72" s="143" t="s">
        <v>736</v>
      </c>
      <c r="B72" s="168" t="s">
        <v>910</v>
      </c>
      <c r="C72" s="80">
        <f t="shared" ref="C72:H72" si="17">AVERAGE(C73:C76)</f>
        <v>0.554040404040404</v>
      </c>
      <c r="D72" s="80">
        <f t="shared" si="17"/>
        <v>0.59469696969696961</v>
      </c>
      <c r="E72" s="80">
        <f t="shared" si="17"/>
        <v>0.10656565656565657</v>
      </c>
      <c r="F72" s="80">
        <f t="shared" si="17"/>
        <v>0.52297979797979799</v>
      </c>
      <c r="G72" s="80">
        <f t="shared" si="17"/>
        <v>0.43358585858585863</v>
      </c>
      <c r="H72" s="80">
        <f t="shared" si="17"/>
        <v>0.26590909090909093</v>
      </c>
      <c r="I72" s="135"/>
      <c r="J72" s="81"/>
      <c r="K72" s="81"/>
      <c r="L72" s="170"/>
      <c r="M72" s="81"/>
      <c r="N72" s="81"/>
      <c r="O72" s="81"/>
      <c r="P72" s="146"/>
      <c r="Q72" s="146"/>
      <c r="R72" s="146"/>
      <c r="S72" s="149"/>
      <c r="T72" s="149"/>
      <c r="U72" s="149"/>
      <c r="V72" s="149"/>
      <c r="W72" s="149"/>
      <c r="X72" s="149"/>
      <c r="Y72" s="149"/>
      <c r="Z72" s="149"/>
    </row>
    <row r="73" spans="1:26" ht="139.5" customHeight="1">
      <c r="A73" s="143"/>
      <c r="B73" s="947" t="s">
        <v>2783</v>
      </c>
      <c r="C73" s="80">
        <f t="shared" ref="C73:H73" si="18">(J73-3)/(14-3)</f>
        <v>0.72727272727272729</v>
      </c>
      <c r="D73" s="80">
        <f t="shared" si="18"/>
        <v>0.54545454545454541</v>
      </c>
      <c r="E73" s="80">
        <f t="shared" si="18"/>
        <v>0.18181818181818182</v>
      </c>
      <c r="F73" s="80">
        <f t="shared" si="18"/>
        <v>0.63636363636363635</v>
      </c>
      <c r="G73" s="80">
        <f t="shared" si="18"/>
        <v>0.54545454545454541</v>
      </c>
      <c r="H73" s="80">
        <f t="shared" si="18"/>
        <v>0.36363636363636365</v>
      </c>
      <c r="I73" s="135" t="s">
        <v>2784</v>
      </c>
      <c r="J73" s="81">
        <v>11</v>
      </c>
      <c r="K73" s="81">
        <v>9</v>
      </c>
      <c r="L73" s="81">
        <v>5</v>
      </c>
      <c r="M73" s="81">
        <v>10</v>
      </c>
      <c r="N73" s="81">
        <v>9</v>
      </c>
      <c r="O73" s="81">
        <v>7</v>
      </c>
      <c r="P73" s="146"/>
      <c r="Q73" s="146"/>
      <c r="R73" s="146"/>
      <c r="S73" s="149"/>
      <c r="T73" s="149"/>
      <c r="U73" s="149"/>
      <c r="V73" s="149"/>
      <c r="W73" s="149"/>
      <c r="X73" s="149"/>
      <c r="Y73" s="149"/>
      <c r="Z73" s="149"/>
    </row>
    <row r="74" spans="1:26" ht="153.75" customHeight="1">
      <c r="A74" s="143"/>
      <c r="B74" s="947" t="s">
        <v>2785</v>
      </c>
      <c r="C74" s="80">
        <f t="shared" ref="C74:H74" si="19">(J74-1)/(16-1)</f>
        <v>0.6</v>
      </c>
      <c r="D74" s="80">
        <f t="shared" si="19"/>
        <v>0.66666666666666663</v>
      </c>
      <c r="E74" s="80">
        <f t="shared" si="19"/>
        <v>0.13333333333333333</v>
      </c>
      <c r="F74" s="80">
        <f t="shared" si="19"/>
        <v>0.73333333333333328</v>
      </c>
      <c r="G74" s="80">
        <f t="shared" si="19"/>
        <v>0.46666666666666667</v>
      </c>
      <c r="H74" s="80">
        <f t="shared" si="19"/>
        <v>0.2</v>
      </c>
      <c r="I74" s="135" t="s">
        <v>2786</v>
      </c>
      <c r="J74" s="81">
        <v>10</v>
      </c>
      <c r="K74" s="81">
        <v>11</v>
      </c>
      <c r="L74" s="81">
        <v>3</v>
      </c>
      <c r="M74" s="81">
        <v>12</v>
      </c>
      <c r="N74" s="81">
        <v>8</v>
      </c>
      <c r="O74" s="81">
        <v>4</v>
      </c>
      <c r="P74" s="146"/>
      <c r="Q74" s="146"/>
      <c r="R74" s="146"/>
      <c r="S74" s="149"/>
      <c r="T74" s="149"/>
      <c r="U74" s="149"/>
      <c r="V74" s="149"/>
      <c r="W74" s="149"/>
      <c r="X74" s="149"/>
      <c r="Y74" s="149"/>
      <c r="Z74" s="149"/>
    </row>
    <row r="75" spans="1:26" ht="84" customHeight="1">
      <c r="A75" s="143"/>
      <c r="B75" s="947" t="s">
        <v>2787</v>
      </c>
      <c r="C75" s="80">
        <f t="shared" ref="C75:H75" si="20">(J75-2)/(8-2)</f>
        <v>0.33333333333333331</v>
      </c>
      <c r="D75" s="80">
        <f t="shared" si="20"/>
        <v>0.5</v>
      </c>
      <c r="E75" s="80">
        <f t="shared" si="20"/>
        <v>0</v>
      </c>
      <c r="F75" s="80">
        <f t="shared" si="20"/>
        <v>0.16666666666666666</v>
      </c>
      <c r="G75" s="80">
        <f t="shared" si="20"/>
        <v>0.16666666666666666</v>
      </c>
      <c r="H75" s="80">
        <f t="shared" si="20"/>
        <v>0.16666666666666666</v>
      </c>
      <c r="I75" s="135" t="s">
        <v>2788</v>
      </c>
      <c r="J75" s="81">
        <v>4</v>
      </c>
      <c r="K75" s="81">
        <v>5</v>
      </c>
      <c r="L75" s="81">
        <v>2</v>
      </c>
      <c r="M75" s="81">
        <v>3</v>
      </c>
      <c r="N75" s="81">
        <v>3</v>
      </c>
      <c r="O75" s="81">
        <v>3</v>
      </c>
      <c r="P75" s="146"/>
      <c r="Q75" s="146"/>
      <c r="R75" s="146"/>
      <c r="S75" s="149"/>
      <c r="T75" s="149"/>
      <c r="U75" s="149"/>
      <c r="V75" s="149"/>
      <c r="W75" s="149"/>
      <c r="X75" s="149"/>
      <c r="Y75" s="149"/>
      <c r="Z75" s="149"/>
    </row>
    <row r="76" spans="1:26" ht="139.5" customHeight="1">
      <c r="A76" s="143"/>
      <c r="B76" s="947" t="s">
        <v>2789</v>
      </c>
      <c r="C76" s="80">
        <f t="shared" ref="C76:H76" si="21">(J76-1)/(10-1)</f>
        <v>0.55555555555555558</v>
      </c>
      <c r="D76" s="80">
        <f t="shared" si="21"/>
        <v>0.66666666666666663</v>
      </c>
      <c r="E76" s="80">
        <f t="shared" si="21"/>
        <v>0.1111111111111111</v>
      </c>
      <c r="F76" s="80">
        <f t="shared" si="21"/>
        <v>0.55555555555555558</v>
      </c>
      <c r="G76" s="80">
        <f t="shared" si="21"/>
        <v>0.55555555555555558</v>
      </c>
      <c r="H76" s="80">
        <f t="shared" si="21"/>
        <v>0.33333333333333331</v>
      </c>
      <c r="I76" s="135" t="s">
        <v>2790</v>
      </c>
      <c r="J76" s="81">
        <v>6</v>
      </c>
      <c r="K76" s="81">
        <v>7</v>
      </c>
      <c r="L76" s="81">
        <v>2</v>
      </c>
      <c r="M76" s="81">
        <v>6</v>
      </c>
      <c r="N76" s="81">
        <v>6</v>
      </c>
      <c r="O76" s="81">
        <v>4</v>
      </c>
      <c r="P76" s="146"/>
      <c r="Q76" s="146"/>
      <c r="R76" s="146"/>
      <c r="S76" s="149"/>
      <c r="T76" s="149"/>
      <c r="U76" s="149"/>
      <c r="V76" s="149"/>
      <c r="W76" s="149"/>
      <c r="X76" s="149"/>
      <c r="Y76" s="149"/>
      <c r="Z76" s="149"/>
    </row>
    <row r="77" spans="1:26" ht="13.5" customHeight="1">
      <c r="A77" s="143"/>
      <c r="B77" s="948"/>
      <c r="C77" s="80"/>
      <c r="D77" s="80"/>
      <c r="E77" s="80"/>
      <c r="F77" s="80"/>
      <c r="G77" s="80"/>
      <c r="H77" s="80"/>
      <c r="I77" s="135"/>
      <c r="J77" s="156"/>
      <c r="K77" s="945"/>
      <c r="L77" s="945"/>
      <c r="M77" s="156"/>
      <c r="N77" s="945"/>
      <c r="O77" s="945"/>
      <c r="P77" s="149"/>
      <c r="Q77" s="149"/>
      <c r="R77" s="149"/>
      <c r="S77" s="149"/>
      <c r="T77" s="149"/>
      <c r="U77" s="149"/>
      <c r="V77" s="149"/>
      <c r="W77" s="149"/>
      <c r="X77" s="149"/>
      <c r="Y77" s="149"/>
      <c r="Z77" s="149"/>
    </row>
    <row r="78" spans="1:26" ht="13.5" customHeight="1">
      <c r="A78" s="143" t="s">
        <v>736</v>
      </c>
      <c r="B78" s="168" t="s">
        <v>76</v>
      </c>
      <c r="C78" s="175">
        <f t="shared" ref="C78:H78" si="22">AVERAGE(C79:C85)</f>
        <v>0.9285714285714286</v>
      </c>
      <c r="D78" s="175">
        <f t="shared" si="22"/>
        <v>1</v>
      </c>
      <c r="E78" s="175">
        <f t="shared" si="22"/>
        <v>7.1428571428571425E-2</v>
      </c>
      <c r="F78" s="175">
        <f t="shared" si="22"/>
        <v>1</v>
      </c>
      <c r="G78" s="175">
        <f t="shared" si="22"/>
        <v>0.9285714285714286</v>
      </c>
      <c r="H78" s="175">
        <f t="shared" si="22"/>
        <v>0.7142857142857143</v>
      </c>
      <c r="I78" s="135"/>
      <c r="J78" s="81"/>
      <c r="K78" s="81"/>
      <c r="L78" s="81"/>
      <c r="M78" s="81"/>
      <c r="N78" s="81"/>
      <c r="O78" s="81"/>
      <c r="P78" s="146"/>
      <c r="Q78" s="146"/>
      <c r="R78" s="146"/>
      <c r="S78" s="149"/>
      <c r="T78" s="149"/>
      <c r="U78" s="149"/>
      <c r="V78" s="149"/>
      <c r="W78" s="149"/>
      <c r="X78" s="149"/>
      <c r="Y78" s="149"/>
      <c r="Z78" s="149"/>
    </row>
    <row r="79" spans="1:26" ht="55.5" customHeight="1">
      <c r="A79" s="143"/>
      <c r="B79" s="947" t="s">
        <v>919</v>
      </c>
      <c r="C79" s="80">
        <v>1</v>
      </c>
      <c r="D79" s="80">
        <v>1</v>
      </c>
      <c r="E79" s="80">
        <v>0</v>
      </c>
      <c r="F79" s="80">
        <v>1</v>
      </c>
      <c r="G79" s="80">
        <v>1</v>
      </c>
      <c r="H79" s="80">
        <v>1</v>
      </c>
      <c r="I79" s="135"/>
      <c r="J79" s="80" t="s">
        <v>920</v>
      </c>
      <c r="K79" s="80" t="s">
        <v>920</v>
      </c>
      <c r="L79" s="178" t="s">
        <v>748</v>
      </c>
      <c r="M79" s="81" t="s">
        <v>2791</v>
      </c>
      <c r="N79" s="81" t="s">
        <v>922</v>
      </c>
      <c r="O79" s="81" t="s">
        <v>922</v>
      </c>
      <c r="P79" s="146"/>
      <c r="Q79" s="146"/>
      <c r="R79" s="146"/>
      <c r="S79" s="149"/>
      <c r="T79" s="149"/>
      <c r="U79" s="149"/>
      <c r="V79" s="149"/>
      <c r="W79" s="149"/>
      <c r="X79" s="149"/>
      <c r="Y79" s="149"/>
      <c r="Z79" s="149"/>
    </row>
    <row r="80" spans="1:26" ht="87.75" customHeight="1">
      <c r="A80" s="143"/>
      <c r="B80" s="947" t="s">
        <v>78</v>
      </c>
      <c r="C80" s="944">
        <v>0.5</v>
      </c>
      <c r="D80" s="80">
        <v>1</v>
      </c>
      <c r="E80" s="944">
        <v>0.5</v>
      </c>
      <c r="F80" s="944">
        <v>1</v>
      </c>
      <c r="G80" s="944">
        <v>0.5</v>
      </c>
      <c r="H80" s="80">
        <v>0</v>
      </c>
      <c r="I80" s="135" t="s">
        <v>38</v>
      </c>
      <c r="J80" s="180" t="s">
        <v>2792</v>
      </c>
      <c r="K80" s="180" t="s">
        <v>2793</v>
      </c>
      <c r="L80" s="81" t="s">
        <v>2794</v>
      </c>
      <c r="M80" s="182" t="s">
        <v>2795</v>
      </c>
      <c r="N80" s="182" t="s">
        <v>2796</v>
      </c>
      <c r="O80" s="81" t="s">
        <v>2797</v>
      </c>
      <c r="P80" s="146"/>
      <c r="Q80" s="146"/>
      <c r="R80" s="146"/>
      <c r="S80" s="149"/>
      <c r="T80" s="149"/>
      <c r="U80" s="149"/>
      <c r="V80" s="149"/>
      <c r="W80" s="149"/>
      <c r="X80" s="149"/>
      <c r="Y80" s="149"/>
      <c r="Z80" s="149"/>
    </row>
    <row r="81" spans="1:26" ht="54.75" customHeight="1">
      <c r="A81" s="143"/>
      <c r="B81" s="947" t="s">
        <v>79</v>
      </c>
      <c r="C81" s="80">
        <v>1</v>
      </c>
      <c r="D81" s="80">
        <v>1</v>
      </c>
      <c r="E81" s="80">
        <v>0</v>
      </c>
      <c r="F81" s="944">
        <v>1</v>
      </c>
      <c r="G81" s="944">
        <v>1</v>
      </c>
      <c r="H81" s="944">
        <v>1</v>
      </c>
      <c r="I81" s="135" t="s">
        <v>38</v>
      </c>
      <c r="J81" s="170" t="s">
        <v>930</v>
      </c>
      <c r="K81" s="178" t="s">
        <v>931</v>
      </c>
      <c r="L81" s="178" t="s">
        <v>748</v>
      </c>
      <c r="M81" s="81" t="s">
        <v>920</v>
      </c>
      <c r="N81" s="81" t="s">
        <v>933</v>
      </c>
      <c r="O81" s="80" t="s">
        <v>930</v>
      </c>
      <c r="P81" s="146"/>
      <c r="Q81" s="146"/>
      <c r="R81" s="146"/>
      <c r="S81" s="149"/>
      <c r="T81" s="149"/>
      <c r="U81" s="149"/>
      <c r="V81" s="149"/>
      <c r="W81" s="149"/>
      <c r="X81" s="149"/>
      <c r="Y81" s="149"/>
      <c r="Z81" s="149"/>
    </row>
    <row r="82" spans="1:26" ht="96.75" customHeight="1">
      <c r="A82" s="143"/>
      <c r="B82" s="947" t="s">
        <v>2798</v>
      </c>
      <c r="C82" s="80">
        <v>1</v>
      </c>
      <c r="D82" s="80">
        <v>1</v>
      </c>
      <c r="E82" s="80">
        <v>0</v>
      </c>
      <c r="F82" s="80">
        <v>1</v>
      </c>
      <c r="G82" s="80">
        <v>1</v>
      </c>
      <c r="H82" s="80">
        <v>1</v>
      </c>
      <c r="I82" s="135" t="s">
        <v>38</v>
      </c>
      <c r="J82" s="81" t="s">
        <v>811</v>
      </c>
      <c r="K82" s="81" t="s">
        <v>811</v>
      </c>
      <c r="L82" s="178" t="s">
        <v>748</v>
      </c>
      <c r="M82" s="81" t="s">
        <v>935</v>
      </c>
      <c r="N82" s="949" t="s">
        <v>2799</v>
      </c>
      <c r="O82" s="80" t="s">
        <v>1068</v>
      </c>
      <c r="P82" s="146"/>
      <c r="Q82" s="146"/>
      <c r="R82" s="146"/>
      <c r="S82" s="149"/>
      <c r="T82" s="149"/>
      <c r="U82" s="149"/>
      <c r="V82" s="149"/>
      <c r="W82" s="149"/>
      <c r="X82" s="149"/>
      <c r="Y82" s="149"/>
      <c r="Z82" s="149"/>
    </row>
    <row r="83" spans="1:26" ht="135.75" customHeight="1">
      <c r="A83" s="143"/>
      <c r="B83" s="947" t="s">
        <v>2800</v>
      </c>
      <c r="C83" s="80">
        <v>1</v>
      </c>
      <c r="D83" s="80">
        <v>1</v>
      </c>
      <c r="E83" s="80">
        <v>0</v>
      </c>
      <c r="F83" s="80">
        <v>1</v>
      </c>
      <c r="G83" s="80">
        <v>1</v>
      </c>
      <c r="H83" s="80">
        <v>0</v>
      </c>
      <c r="I83" s="135" t="s">
        <v>38</v>
      </c>
      <c r="J83" s="178" t="s">
        <v>2801</v>
      </c>
      <c r="K83" s="178" t="s">
        <v>2802</v>
      </c>
      <c r="L83" s="178" t="s">
        <v>748</v>
      </c>
      <c r="M83" s="81" t="s">
        <v>2803</v>
      </c>
      <c r="N83" s="188" t="s">
        <v>2804</v>
      </c>
      <c r="O83" s="81" t="s">
        <v>2805</v>
      </c>
      <c r="P83" s="146"/>
      <c r="Q83" s="146"/>
      <c r="R83" s="146"/>
      <c r="S83" s="149"/>
      <c r="T83" s="149"/>
      <c r="U83" s="149"/>
      <c r="V83" s="149"/>
      <c r="W83" s="149"/>
      <c r="X83" s="149"/>
      <c r="Y83" s="149"/>
      <c r="Z83" s="149"/>
    </row>
    <row r="84" spans="1:26" ht="126.75" customHeight="1">
      <c r="A84" s="143"/>
      <c r="B84" s="947" t="s">
        <v>82</v>
      </c>
      <c r="C84" s="80">
        <v>1</v>
      </c>
      <c r="D84" s="80">
        <v>1</v>
      </c>
      <c r="E84" s="80">
        <v>0</v>
      </c>
      <c r="F84" s="80">
        <v>1</v>
      </c>
      <c r="G84" s="80">
        <v>1</v>
      </c>
      <c r="H84" s="80">
        <v>1</v>
      </c>
      <c r="I84" s="135" t="s">
        <v>38</v>
      </c>
      <c r="J84" s="81" t="s">
        <v>2806</v>
      </c>
      <c r="K84" s="178" t="s">
        <v>2807</v>
      </c>
      <c r="L84" s="81" t="s">
        <v>748</v>
      </c>
      <c r="M84" s="81" t="s">
        <v>2808</v>
      </c>
      <c r="N84" s="81" t="s">
        <v>2809</v>
      </c>
      <c r="O84" s="81" t="s">
        <v>2810</v>
      </c>
      <c r="P84" s="146"/>
      <c r="Q84" s="146"/>
      <c r="R84" s="146"/>
      <c r="S84" s="149"/>
      <c r="T84" s="149"/>
      <c r="U84" s="149"/>
      <c r="V84" s="149"/>
      <c r="W84" s="149"/>
      <c r="X84" s="149"/>
      <c r="Y84" s="149"/>
      <c r="Z84" s="149"/>
    </row>
    <row r="85" spans="1:26" ht="114.75" customHeight="1">
      <c r="A85" s="143"/>
      <c r="B85" s="947" t="s">
        <v>83</v>
      </c>
      <c r="C85" s="80">
        <v>1</v>
      </c>
      <c r="D85" s="80">
        <v>1</v>
      </c>
      <c r="E85" s="80">
        <v>0</v>
      </c>
      <c r="F85" s="80">
        <v>1</v>
      </c>
      <c r="G85" s="80">
        <v>1</v>
      </c>
      <c r="H85" s="80">
        <v>1</v>
      </c>
      <c r="I85" s="135" t="s">
        <v>38</v>
      </c>
      <c r="J85" s="81" t="s">
        <v>2811</v>
      </c>
      <c r="K85" s="191" t="s">
        <v>2812</v>
      </c>
      <c r="L85" s="178" t="s">
        <v>748</v>
      </c>
      <c r="M85" s="81" t="s">
        <v>2813</v>
      </c>
      <c r="N85" s="81" t="s">
        <v>2814</v>
      </c>
      <c r="O85" s="81" t="s">
        <v>2815</v>
      </c>
      <c r="P85" s="146"/>
      <c r="Q85" s="146"/>
      <c r="R85" s="146"/>
      <c r="S85" s="149"/>
      <c r="T85" s="149"/>
      <c r="U85" s="149"/>
      <c r="V85" s="149"/>
      <c r="W85" s="149"/>
      <c r="X85" s="149"/>
      <c r="Y85" s="149"/>
      <c r="Z85" s="149"/>
    </row>
    <row r="86" spans="1:26" ht="13.5" customHeight="1">
      <c r="A86" s="143"/>
      <c r="B86" s="144"/>
      <c r="C86" s="87"/>
      <c r="D86" s="87"/>
      <c r="E86" s="87"/>
      <c r="F86" s="87"/>
      <c r="G86" s="87"/>
      <c r="H86" s="87"/>
      <c r="I86" s="135"/>
      <c r="J86" s="75"/>
      <c r="K86" s="75"/>
      <c r="L86" s="75"/>
      <c r="M86" s="75"/>
      <c r="N86" s="75"/>
      <c r="O86" s="75"/>
      <c r="P86" s="146"/>
      <c r="Q86" s="146"/>
      <c r="R86" s="146"/>
      <c r="S86" s="149"/>
      <c r="T86" s="149"/>
      <c r="U86" s="149"/>
      <c r="V86" s="149"/>
      <c r="W86" s="149"/>
      <c r="X86" s="149"/>
      <c r="Y86" s="149"/>
      <c r="Z86" s="149"/>
    </row>
    <row r="87" spans="1:26" ht="36" customHeight="1">
      <c r="A87" s="130" t="s">
        <v>954</v>
      </c>
      <c r="B87" s="133" t="s">
        <v>243</v>
      </c>
      <c r="C87" s="72">
        <f t="shared" ref="C87:H87" si="23">AVERAGE(C88,C103,C165)</f>
        <v>0.70630188656069282</v>
      </c>
      <c r="D87" s="72">
        <f t="shared" si="23"/>
        <v>0.71161450596239961</v>
      </c>
      <c r="E87" s="72">
        <f t="shared" si="23"/>
        <v>0.17639937290772525</v>
      </c>
      <c r="F87" s="72">
        <f t="shared" si="23"/>
        <v>0.40876805230288832</v>
      </c>
      <c r="G87" s="72">
        <f t="shared" si="23"/>
        <v>0.42318551402023075</v>
      </c>
      <c r="H87" s="72">
        <f t="shared" si="23"/>
        <v>0.46234416190157784</v>
      </c>
      <c r="I87" s="138"/>
      <c r="J87" s="74"/>
      <c r="K87" s="74"/>
      <c r="L87" s="74"/>
      <c r="M87" s="74"/>
      <c r="N87" s="74"/>
      <c r="O87" s="74"/>
      <c r="P87" s="137"/>
      <c r="Q87" s="137"/>
      <c r="R87" s="137"/>
      <c r="S87" s="138"/>
      <c r="T87" s="138"/>
      <c r="U87" s="138"/>
      <c r="V87" s="138"/>
      <c r="W87" s="138"/>
      <c r="X87" s="138"/>
      <c r="Y87" s="138"/>
      <c r="Z87" s="138"/>
    </row>
    <row r="88" spans="1:26" ht="53.25" customHeight="1">
      <c r="A88" s="130" t="s">
        <v>955</v>
      </c>
      <c r="B88" s="133" t="s">
        <v>245</v>
      </c>
      <c r="C88" s="72">
        <f t="shared" ref="C88:H88" si="24">AVERAGE(C89,C91,C93,C95,C97,C99,C101)</f>
        <v>0.8571428571428571</v>
      </c>
      <c r="D88" s="72">
        <f t="shared" si="24"/>
        <v>0.5714285714285714</v>
      </c>
      <c r="E88" s="72">
        <f t="shared" si="24"/>
        <v>0</v>
      </c>
      <c r="F88" s="72">
        <f t="shared" si="24"/>
        <v>0.2857142857142857</v>
      </c>
      <c r="G88" s="72">
        <f t="shared" si="24"/>
        <v>0.5714285714285714</v>
      </c>
      <c r="H88" s="72">
        <f t="shared" si="24"/>
        <v>0.42857142857142855</v>
      </c>
      <c r="I88" s="135"/>
      <c r="J88" s="74"/>
      <c r="K88" s="74"/>
      <c r="L88" s="74"/>
      <c r="M88" s="74"/>
      <c r="N88" s="74"/>
      <c r="O88" s="74"/>
      <c r="P88" s="137"/>
      <c r="Q88" s="137"/>
      <c r="R88" s="137"/>
      <c r="S88" s="138"/>
      <c r="T88" s="149"/>
      <c r="U88" s="149"/>
      <c r="V88" s="149"/>
      <c r="W88" s="149"/>
      <c r="X88" s="149"/>
      <c r="Y88" s="149"/>
      <c r="Z88" s="149"/>
    </row>
    <row r="89" spans="1:26" ht="39.75" customHeight="1">
      <c r="A89" s="143" t="s">
        <v>736</v>
      </c>
      <c r="B89" s="194" t="s">
        <v>246</v>
      </c>
      <c r="C89" s="80">
        <v>1</v>
      </c>
      <c r="D89" s="80">
        <v>0</v>
      </c>
      <c r="E89" s="80">
        <v>0</v>
      </c>
      <c r="F89" s="80">
        <v>1</v>
      </c>
      <c r="G89" s="80">
        <v>1</v>
      </c>
      <c r="H89" s="80">
        <v>0</v>
      </c>
      <c r="I89" s="135" t="s">
        <v>38</v>
      </c>
      <c r="J89" s="81" t="s">
        <v>811</v>
      </c>
      <c r="K89" s="178" t="s">
        <v>956</v>
      </c>
      <c r="L89" s="81" t="s">
        <v>748</v>
      </c>
      <c r="M89" s="81" t="s">
        <v>2816</v>
      </c>
      <c r="N89" s="81" t="s">
        <v>2817</v>
      </c>
      <c r="O89" s="81" t="s">
        <v>2818</v>
      </c>
      <c r="P89" s="146"/>
      <c r="Q89" s="146"/>
      <c r="R89" s="146"/>
      <c r="S89" s="149"/>
      <c r="T89" s="149"/>
      <c r="U89" s="149"/>
      <c r="V89" s="149"/>
      <c r="W89" s="149"/>
      <c r="X89" s="149"/>
      <c r="Y89" s="149"/>
      <c r="Z89" s="149"/>
    </row>
    <row r="90" spans="1:26" ht="13.5" customHeight="1">
      <c r="A90" s="143"/>
      <c r="B90" s="194"/>
      <c r="C90" s="80"/>
      <c r="D90" s="80"/>
      <c r="E90" s="80"/>
      <c r="F90" s="80"/>
      <c r="G90" s="80"/>
      <c r="H90" s="80"/>
      <c r="I90" s="135"/>
      <c r="J90" s="81"/>
      <c r="K90" s="80"/>
      <c r="L90" s="81"/>
      <c r="M90" s="81"/>
      <c r="N90" s="195"/>
      <c r="O90" s="80"/>
      <c r="P90" s="146"/>
      <c r="Q90" s="146"/>
      <c r="R90" s="146"/>
      <c r="S90" s="149"/>
      <c r="T90" s="149"/>
      <c r="U90" s="149"/>
      <c r="V90" s="149"/>
      <c r="W90" s="149"/>
      <c r="X90" s="149"/>
      <c r="Y90" s="149"/>
      <c r="Z90" s="149"/>
    </row>
    <row r="91" spans="1:26" ht="48.75" customHeight="1">
      <c r="A91" s="143" t="s">
        <v>736</v>
      </c>
      <c r="B91" s="194" t="s">
        <v>247</v>
      </c>
      <c r="C91" s="80">
        <v>1</v>
      </c>
      <c r="D91" s="80">
        <v>1</v>
      </c>
      <c r="E91" s="80">
        <v>0</v>
      </c>
      <c r="F91" s="80">
        <v>0</v>
      </c>
      <c r="G91" s="80">
        <v>1</v>
      </c>
      <c r="H91" s="80">
        <v>1</v>
      </c>
      <c r="I91" s="135" t="s">
        <v>38</v>
      </c>
      <c r="J91" s="81" t="s">
        <v>2605</v>
      </c>
      <c r="K91" s="81" t="s">
        <v>811</v>
      </c>
      <c r="L91" s="81" t="s">
        <v>748</v>
      </c>
      <c r="M91" s="81" t="s">
        <v>2819</v>
      </c>
      <c r="N91" s="188" t="s">
        <v>2820</v>
      </c>
      <c r="O91" s="81" t="s">
        <v>2821</v>
      </c>
      <c r="P91" s="146"/>
      <c r="Q91" s="146"/>
      <c r="R91" s="146"/>
      <c r="S91" s="149"/>
      <c r="T91" s="149"/>
      <c r="U91" s="149"/>
      <c r="V91" s="149"/>
      <c r="W91" s="149"/>
      <c r="X91" s="149"/>
      <c r="Y91" s="149"/>
      <c r="Z91" s="149"/>
    </row>
    <row r="92" spans="1:26" ht="13.5" customHeight="1">
      <c r="A92" s="143"/>
      <c r="B92" s="194"/>
      <c r="C92" s="80"/>
      <c r="D92" s="80"/>
      <c r="E92" s="80"/>
      <c r="F92" s="80"/>
      <c r="G92" s="80"/>
      <c r="H92" s="80"/>
      <c r="I92" s="135"/>
      <c r="J92" s="81"/>
      <c r="K92" s="80"/>
      <c r="L92" s="81"/>
      <c r="M92" s="81"/>
      <c r="N92" s="170"/>
      <c r="O92" s="80"/>
      <c r="P92" s="146"/>
      <c r="Q92" s="146"/>
      <c r="R92" s="146"/>
      <c r="S92" s="149"/>
      <c r="T92" s="149"/>
      <c r="U92" s="149"/>
      <c r="V92" s="149"/>
      <c r="W92" s="149"/>
      <c r="X92" s="149"/>
      <c r="Y92" s="149"/>
      <c r="Z92" s="149"/>
    </row>
    <row r="93" spans="1:26" ht="87" customHeight="1">
      <c r="A93" s="143" t="s">
        <v>736</v>
      </c>
      <c r="B93" s="194" t="s">
        <v>248</v>
      </c>
      <c r="C93" s="80">
        <v>0</v>
      </c>
      <c r="D93" s="80">
        <v>0</v>
      </c>
      <c r="E93" s="80">
        <v>0</v>
      </c>
      <c r="F93" s="80">
        <v>0</v>
      </c>
      <c r="G93" s="80">
        <v>0</v>
      </c>
      <c r="H93" s="80">
        <v>1</v>
      </c>
      <c r="I93" s="135" t="s">
        <v>38</v>
      </c>
      <c r="J93" s="170" t="s">
        <v>748</v>
      </c>
      <c r="K93" s="170" t="s">
        <v>748</v>
      </c>
      <c r="L93" s="81" t="s">
        <v>748</v>
      </c>
      <c r="M93" s="81" t="s">
        <v>763</v>
      </c>
      <c r="N93" s="81" t="s">
        <v>748</v>
      </c>
      <c r="O93" s="81" t="s">
        <v>1068</v>
      </c>
      <c r="P93" s="146"/>
      <c r="Q93" s="146"/>
      <c r="R93" s="146"/>
      <c r="S93" s="149"/>
      <c r="T93" s="149"/>
      <c r="U93" s="149"/>
      <c r="V93" s="149"/>
      <c r="W93" s="149"/>
      <c r="X93" s="149"/>
      <c r="Y93" s="149"/>
      <c r="Z93" s="149"/>
    </row>
    <row r="94" spans="1:26" ht="13.5" customHeight="1">
      <c r="A94" s="143"/>
      <c r="B94" s="194"/>
      <c r="C94" s="80"/>
      <c r="D94" s="80"/>
      <c r="E94" s="80"/>
      <c r="F94" s="80"/>
      <c r="G94" s="80"/>
      <c r="H94" s="80"/>
      <c r="I94" s="135"/>
      <c r="J94" s="170"/>
      <c r="K94" s="80"/>
      <c r="L94" s="81"/>
      <c r="M94" s="81"/>
      <c r="N94" s="170"/>
      <c r="O94" s="80"/>
      <c r="P94" s="146"/>
      <c r="Q94" s="146"/>
      <c r="R94" s="146"/>
      <c r="S94" s="149"/>
      <c r="T94" s="149"/>
      <c r="U94" s="149"/>
      <c r="V94" s="149"/>
      <c r="W94" s="149"/>
      <c r="X94" s="149"/>
      <c r="Y94" s="149"/>
      <c r="Z94" s="149"/>
    </row>
    <row r="95" spans="1:26" ht="43.5" customHeight="1">
      <c r="A95" s="143" t="s">
        <v>736</v>
      </c>
      <c r="B95" s="194" t="s">
        <v>249</v>
      </c>
      <c r="C95" s="80">
        <v>1</v>
      </c>
      <c r="D95" s="944">
        <v>0</v>
      </c>
      <c r="E95" s="80">
        <v>0</v>
      </c>
      <c r="F95" s="80">
        <v>0</v>
      </c>
      <c r="G95" s="80">
        <v>1</v>
      </c>
      <c r="H95" s="80">
        <v>0</v>
      </c>
      <c r="I95" s="135" t="s">
        <v>38</v>
      </c>
      <c r="J95" s="81" t="s">
        <v>962</v>
      </c>
      <c r="K95" s="81" t="s">
        <v>2822</v>
      </c>
      <c r="L95" s="81" t="s">
        <v>748</v>
      </c>
      <c r="M95" s="81" t="s">
        <v>748</v>
      </c>
      <c r="N95" s="188" t="s">
        <v>2823</v>
      </c>
      <c r="O95" s="81" t="s">
        <v>2824</v>
      </c>
      <c r="P95" s="146"/>
      <c r="Q95" s="146"/>
      <c r="R95" s="146"/>
      <c r="S95" s="149"/>
      <c r="T95" s="149"/>
      <c r="U95" s="149"/>
      <c r="V95" s="149"/>
      <c r="W95" s="149"/>
      <c r="X95" s="149"/>
      <c r="Y95" s="149"/>
      <c r="Z95" s="149"/>
    </row>
    <row r="96" spans="1:26" ht="20.25" customHeight="1">
      <c r="A96" s="143"/>
      <c r="B96" s="194"/>
      <c r="C96" s="80"/>
      <c r="D96" s="944"/>
      <c r="E96" s="80"/>
      <c r="F96" s="80"/>
      <c r="G96" s="80"/>
      <c r="H96" s="80"/>
      <c r="I96" s="135"/>
      <c r="J96" s="81"/>
      <c r="K96" s="81"/>
      <c r="L96" s="81"/>
      <c r="M96" s="81"/>
      <c r="N96" s="188"/>
      <c r="O96" s="81"/>
      <c r="P96" s="146"/>
      <c r="Q96" s="146"/>
      <c r="R96" s="146"/>
      <c r="S96" s="149"/>
      <c r="T96" s="149"/>
      <c r="U96" s="149"/>
      <c r="V96" s="149"/>
      <c r="W96" s="149"/>
      <c r="X96" s="149"/>
      <c r="Y96" s="149"/>
      <c r="Z96" s="149"/>
    </row>
    <row r="97" spans="1:26" ht="55.5" customHeight="1">
      <c r="A97" s="143" t="s">
        <v>736</v>
      </c>
      <c r="B97" s="194" t="s">
        <v>250</v>
      </c>
      <c r="C97" s="80">
        <v>1</v>
      </c>
      <c r="D97" s="80">
        <v>1</v>
      </c>
      <c r="E97" s="80">
        <v>0</v>
      </c>
      <c r="F97" s="80">
        <v>1</v>
      </c>
      <c r="G97" s="80">
        <v>1</v>
      </c>
      <c r="H97" s="80">
        <v>1</v>
      </c>
      <c r="I97" s="135" t="s">
        <v>38</v>
      </c>
      <c r="J97" s="81" t="s">
        <v>965</v>
      </c>
      <c r="K97" s="170" t="s">
        <v>811</v>
      </c>
      <c r="L97" s="81" t="s">
        <v>748</v>
      </c>
      <c r="M97" s="81" t="s">
        <v>2825</v>
      </c>
      <c r="N97" s="188" t="s">
        <v>2826</v>
      </c>
      <c r="O97" s="81" t="s">
        <v>811</v>
      </c>
      <c r="P97" s="146"/>
      <c r="Q97" s="146"/>
      <c r="R97" s="146"/>
      <c r="S97" s="149"/>
      <c r="T97" s="149"/>
      <c r="U97" s="149"/>
      <c r="V97" s="149"/>
      <c r="W97" s="149"/>
      <c r="X97" s="149"/>
      <c r="Y97" s="149"/>
      <c r="Z97" s="149"/>
    </row>
    <row r="98" spans="1:26" ht="13.5" customHeight="1">
      <c r="A98" s="143"/>
      <c r="B98" s="194"/>
      <c r="C98" s="80"/>
      <c r="D98" s="80"/>
      <c r="E98" s="80"/>
      <c r="F98" s="80"/>
      <c r="G98" s="80"/>
      <c r="H98" s="80"/>
      <c r="I98" s="135"/>
      <c r="J98" s="170"/>
      <c r="K98" s="170"/>
      <c r="L98" s="81"/>
      <c r="M98" s="81"/>
      <c r="N98" s="195"/>
      <c r="O98" s="80"/>
      <c r="P98" s="146"/>
      <c r="Q98" s="146"/>
      <c r="R98" s="146"/>
      <c r="S98" s="149"/>
      <c r="T98" s="149"/>
      <c r="U98" s="149"/>
      <c r="V98" s="149"/>
      <c r="W98" s="149"/>
      <c r="X98" s="149"/>
      <c r="Y98" s="149"/>
      <c r="Z98" s="149"/>
    </row>
    <row r="99" spans="1:26" ht="42" customHeight="1">
      <c r="A99" s="143" t="s">
        <v>736</v>
      </c>
      <c r="B99" s="194" t="s">
        <v>251</v>
      </c>
      <c r="C99" s="80">
        <v>1</v>
      </c>
      <c r="D99" s="80">
        <v>1</v>
      </c>
      <c r="E99" s="80">
        <v>0</v>
      </c>
      <c r="F99" s="80">
        <v>0</v>
      </c>
      <c r="G99" s="80">
        <v>0</v>
      </c>
      <c r="H99" s="80">
        <v>0</v>
      </c>
      <c r="I99" s="135" t="s">
        <v>38</v>
      </c>
      <c r="J99" s="81" t="s">
        <v>967</v>
      </c>
      <c r="K99" s="170" t="s">
        <v>811</v>
      </c>
      <c r="L99" s="81" t="s">
        <v>748</v>
      </c>
      <c r="M99" s="81" t="s">
        <v>748</v>
      </c>
      <c r="N99" s="195" t="s">
        <v>748</v>
      </c>
      <c r="O99" s="80" t="s">
        <v>748</v>
      </c>
      <c r="P99" s="146"/>
      <c r="Q99" s="146"/>
      <c r="R99" s="146"/>
      <c r="S99" s="149"/>
      <c r="T99" s="149"/>
      <c r="U99" s="149"/>
      <c r="V99" s="149"/>
      <c r="W99" s="149"/>
      <c r="X99" s="149"/>
      <c r="Y99" s="149"/>
      <c r="Z99" s="149"/>
    </row>
    <row r="100" spans="1:26" ht="13.5" customHeight="1">
      <c r="A100" s="143"/>
      <c r="B100" s="194"/>
      <c r="C100" s="80"/>
      <c r="D100" s="80"/>
      <c r="E100" s="80"/>
      <c r="F100" s="80"/>
      <c r="G100" s="80"/>
      <c r="H100" s="80"/>
      <c r="I100" s="135"/>
      <c r="J100" s="170"/>
      <c r="K100" s="170"/>
      <c r="L100" s="81"/>
      <c r="M100" s="81"/>
      <c r="N100" s="195"/>
      <c r="O100" s="80"/>
      <c r="P100" s="146"/>
      <c r="Q100" s="146"/>
      <c r="R100" s="146"/>
      <c r="S100" s="149"/>
      <c r="T100" s="149"/>
      <c r="U100" s="149"/>
      <c r="V100" s="149"/>
      <c r="W100" s="149"/>
      <c r="X100" s="149"/>
      <c r="Y100" s="149"/>
      <c r="Z100" s="149"/>
    </row>
    <row r="101" spans="1:26" ht="27.75" customHeight="1">
      <c r="A101" s="143" t="s">
        <v>736</v>
      </c>
      <c r="B101" s="194" t="s">
        <v>252</v>
      </c>
      <c r="C101" s="80">
        <v>1</v>
      </c>
      <c r="D101" s="80">
        <v>1</v>
      </c>
      <c r="E101" s="80">
        <v>0</v>
      </c>
      <c r="F101" s="80">
        <v>0</v>
      </c>
      <c r="G101" s="80">
        <v>0</v>
      </c>
      <c r="H101" s="80">
        <v>0</v>
      </c>
      <c r="I101" s="135" t="s">
        <v>38</v>
      </c>
      <c r="J101" s="81" t="s">
        <v>969</v>
      </c>
      <c r="K101" s="170" t="s">
        <v>811</v>
      </c>
      <c r="L101" s="81" t="s">
        <v>748</v>
      </c>
      <c r="M101" s="81" t="s">
        <v>748</v>
      </c>
      <c r="N101" s="195" t="s">
        <v>748</v>
      </c>
      <c r="O101" s="80" t="s">
        <v>748</v>
      </c>
      <c r="P101" s="146"/>
      <c r="Q101" s="146"/>
      <c r="R101" s="146"/>
      <c r="S101" s="149"/>
      <c r="T101" s="149"/>
      <c r="U101" s="149"/>
      <c r="V101" s="149"/>
      <c r="W101" s="149"/>
      <c r="X101" s="149"/>
      <c r="Y101" s="149"/>
      <c r="Z101" s="149"/>
    </row>
    <row r="102" spans="1:26" ht="20.25" customHeight="1">
      <c r="A102" s="143"/>
      <c r="B102" s="197"/>
      <c r="C102" s="87"/>
      <c r="D102" s="87"/>
      <c r="E102" s="87"/>
      <c r="F102" s="87"/>
      <c r="G102" s="87"/>
      <c r="H102" s="87"/>
      <c r="I102" s="135"/>
      <c r="J102" s="75"/>
      <c r="K102" s="198"/>
      <c r="L102" s="198"/>
      <c r="M102" s="75"/>
      <c r="N102" s="198"/>
      <c r="O102" s="198"/>
      <c r="P102" s="146"/>
      <c r="Q102" s="146"/>
      <c r="R102" s="146"/>
      <c r="S102" s="149"/>
      <c r="T102" s="149"/>
      <c r="U102" s="149"/>
      <c r="V102" s="149"/>
      <c r="W102" s="149"/>
      <c r="X102" s="149"/>
      <c r="Y102" s="149"/>
      <c r="Z102" s="149"/>
    </row>
    <row r="103" spans="1:26" ht="35.25" customHeight="1">
      <c r="A103" s="199" t="s">
        <v>970</v>
      </c>
      <c r="B103" s="200" t="s">
        <v>254</v>
      </c>
      <c r="C103" s="72">
        <f t="shared" ref="C103:H103" si="25">AVERAGE(C104,C106,C115,C117,C137,C139,C147,C152,C156,C163)</f>
        <v>0.77698412698412711</v>
      </c>
      <c r="D103" s="72">
        <f t="shared" si="25"/>
        <v>0.93174603174603177</v>
      </c>
      <c r="E103" s="72">
        <f t="shared" si="25"/>
        <v>0.31103174603174605</v>
      </c>
      <c r="F103" s="72">
        <f t="shared" si="25"/>
        <v>0.53357142857142859</v>
      </c>
      <c r="G103" s="72">
        <f t="shared" si="25"/>
        <v>0.38261904761904758</v>
      </c>
      <c r="H103" s="72">
        <f t="shared" si="25"/>
        <v>0.49920634920634921</v>
      </c>
      <c r="I103" s="135"/>
      <c r="J103" s="74"/>
      <c r="K103" s="202"/>
      <c r="L103" s="202"/>
      <c r="M103" s="203"/>
      <c r="N103" s="203"/>
      <c r="O103" s="202"/>
      <c r="P103" s="205"/>
      <c r="Q103" s="205"/>
      <c r="R103" s="205"/>
      <c r="S103" s="206"/>
      <c r="T103" s="206"/>
      <c r="U103" s="206"/>
      <c r="V103" s="206"/>
      <c r="W103" s="206"/>
      <c r="X103" s="206"/>
      <c r="Y103" s="206"/>
      <c r="Z103" s="206"/>
    </row>
    <row r="104" spans="1:26" ht="111" customHeight="1">
      <c r="A104" s="143" t="s">
        <v>736</v>
      </c>
      <c r="B104" s="95" t="s">
        <v>255</v>
      </c>
      <c r="C104" s="80">
        <v>0.5</v>
      </c>
      <c r="D104" s="80">
        <v>1</v>
      </c>
      <c r="E104" s="80">
        <v>0</v>
      </c>
      <c r="F104" s="80">
        <v>0</v>
      </c>
      <c r="G104" s="80">
        <v>0</v>
      </c>
      <c r="H104" s="80">
        <v>0</v>
      </c>
      <c r="I104" s="135" t="s">
        <v>38</v>
      </c>
      <c r="J104" s="81" t="s">
        <v>2827</v>
      </c>
      <c r="K104" s="81" t="s">
        <v>2828</v>
      </c>
      <c r="L104" s="81" t="s">
        <v>973</v>
      </c>
      <c r="M104" s="81" t="s">
        <v>2829</v>
      </c>
      <c r="N104" s="81" t="s">
        <v>2830</v>
      </c>
      <c r="O104" s="170" t="s">
        <v>748</v>
      </c>
      <c r="P104" s="208"/>
      <c r="Q104" s="208"/>
      <c r="R104" s="208"/>
      <c r="S104" s="210"/>
      <c r="T104" s="210"/>
      <c r="U104" s="210"/>
      <c r="V104" s="210"/>
      <c r="W104" s="210"/>
      <c r="X104" s="210"/>
      <c r="Y104" s="210"/>
      <c r="Z104" s="210"/>
    </row>
    <row r="105" spans="1:26" ht="19.5" customHeight="1">
      <c r="A105" s="143"/>
      <c r="B105" s="95"/>
      <c r="C105" s="80"/>
      <c r="D105" s="80"/>
      <c r="E105" s="80"/>
      <c r="F105" s="80"/>
      <c r="G105" s="80"/>
      <c r="H105" s="80"/>
      <c r="I105" s="149"/>
      <c r="J105" s="81"/>
      <c r="K105" s="81"/>
      <c r="L105" s="81"/>
      <c r="M105" s="81"/>
      <c r="N105" s="81"/>
      <c r="O105" s="81"/>
      <c r="P105" s="208"/>
      <c r="Q105" s="208"/>
      <c r="R105" s="208"/>
      <c r="S105" s="210"/>
      <c r="T105" s="210"/>
      <c r="U105" s="210"/>
      <c r="V105" s="210"/>
      <c r="W105" s="210"/>
      <c r="X105" s="210"/>
      <c r="Y105" s="210"/>
      <c r="Z105" s="210"/>
    </row>
    <row r="106" spans="1:26" ht="93.75" customHeight="1">
      <c r="A106" s="143" t="s">
        <v>736</v>
      </c>
      <c r="B106" s="95" t="s">
        <v>975</v>
      </c>
      <c r="C106" s="80">
        <f t="shared" ref="C106:H106" si="26">AVERAGE(C107:C113)</f>
        <v>0.7142857142857143</v>
      </c>
      <c r="D106" s="80">
        <f t="shared" si="26"/>
        <v>0.9285714285714286</v>
      </c>
      <c r="E106" s="80">
        <f t="shared" si="26"/>
        <v>0.5714285714285714</v>
      </c>
      <c r="F106" s="80">
        <f t="shared" si="26"/>
        <v>0.7857142857142857</v>
      </c>
      <c r="G106" s="80">
        <f t="shared" si="26"/>
        <v>0.6428571428571429</v>
      </c>
      <c r="H106" s="80">
        <f t="shared" si="26"/>
        <v>0.7142857142857143</v>
      </c>
      <c r="I106" s="135"/>
      <c r="J106" s="81"/>
      <c r="K106" s="81"/>
      <c r="L106" s="178"/>
      <c r="M106" s="81" t="s">
        <v>2831</v>
      </c>
      <c r="N106" s="81"/>
      <c r="O106" s="170"/>
      <c r="P106" s="208"/>
      <c r="Q106" s="208"/>
      <c r="R106" s="208"/>
      <c r="S106" s="210"/>
      <c r="T106" s="210"/>
      <c r="U106" s="210"/>
      <c r="V106" s="210"/>
      <c r="W106" s="210"/>
      <c r="X106" s="210"/>
      <c r="Y106" s="210"/>
      <c r="Z106" s="210"/>
    </row>
    <row r="107" spans="1:26" ht="67.5" customHeight="1">
      <c r="A107" s="143"/>
      <c r="B107" s="212" t="s">
        <v>257</v>
      </c>
      <c r="C107" s="80">
        <v>1</v>
      </c>
      <c r="D107" s="80">
        <v>1</v>
      </c>
      <c r="E107" s="80">
        <v>1</v>
      </c>
      <c r="F107" s="944">
        <v>1</v>
      </c>
      <c r="G107" s="80">
        <v>1</v>
      </c>
      <c r="H107" s="80">
        <v>1</v>
      </c>
      <c r="I107" s="135" t="s">
        <v>2832</v>
      </c>
      <c r="J107" s="81" t="s">
        <v>976</v>
      </c>
      <c r="K107" s="170" t="s">
        <v>811</v>
      </c>
      <c r="L107" s="170" t="s">
        <v>811</v>
      </c>
      <c r="M107" s="81" t="s">
        <v>2833</v>
      </c>
      <c r="N107" s="81" t="s">
        <v>2834</v>
      </c>
      <c r="O107" s="170" t="s">
        <v>811</v>
      </c>
      <c r="P107" s="208"/>
      <c r="Q107" s="208"/>
      <c r="R107" s="208"/>
      <c r="S107" s="210"/>
      <c r="T107" s="210"/>
      <c r="U107" s="210"/>
      <c r="V107" s="210"/>
      <c r="W107" s="210"/>
      <c r="X107" s="210"/>
      <c r="Y107" s="210"/>
      <c r="Z107" s="210"/>
    </row>
    <row r="108" spans="1:26" ht="60" customHeight="1">
      <c r="A108" s="143"/>
      <c r="B108" s="212" t="s">
        <v>259</v>
      </c>
      <c r="C108" s="80">
        <v>1</v>
      </c>
      <c r="D108" s="80">
        <v>1</v>
      </c>
      <c r="E108" s="80">
        <v>1</v>
      </c>
      <c r="F108" s="80">
        <v>1</v>
      </c>
      <c r="G108" s="80">
        <v>1</v>
      </c>
      <c r="H108" s="80">
        <v>1</v>
      </c>
      <c r="I108" s="135" t="s">
        <v>123</v>
      </c>
      <c r="J108" s="81" t="s">
        <v>2835</v>
      </c>
      <c r="K108" s="178" t="s">
        <v>2836</v>
      </c>
      <c r="L108" s="170" t="s">
        <v>811</v>
      </c>
      <c r="M108" s="81" t="s">
        <v>2837</v>
      </c>
      <c r="N108" s="81" t="s">
        <v>2838</v>
      </c>
      <c r="O108" s="81" t="s">
        <v>2839</v>
      </c>
      <c r="P108" s="75"/>
      <c r="Q108" s="208"/>
      <c r="R108" s="208"/>
      <c r="S108" s="210"/>
      <c r="T108" s="210"/>
      <c r="U108" s="210"/>
      <c r="V108" s="210"/>
      <c r="W108" s="210"/>
      <c r="X108" s="210"/>
      <c r="Y108" s="210"/>
      <c r="Z108" s="210"/>
    </row>
    <row r="109" spans="1:26" ht="63.75" customHeight="1">
      <c r="A109" s="143"/>
      <c r="B109" s="212" t="s">
        <v>260</v>
      </c>
      <c r="C109" s="80">
        <v>0</v>
      </c>
      <c r="D109" s="80">
        <v>1</v>
      </c>
      <c r="E109" s="80">
        <v>0</v>
      </c>
      <c r="F109" s="80">
        <v>1</v>
      </c>
      <c r="G109" s="80">
        <v>0</v>
      </c>
      <c r="H109" s="80">
        <v>0</v>
      </c>
      <c r="I109" s="135" t="s">
        <v>123</v>
      </c>
      <c r="J109" s="81" t="s">
        <v>748</v>
      </c>
      <c r="K109" s="170" t="s">
        <v>811</v>
      </c>
      <c r="L109" s="81" t="s">
        <v>748</v>
      </c>
      <c r="M109" s="81" t="s">
        <v>2840</v>
      </c>
      <c r="N109" s="188" t="s">
        <v>748</v>
      </c>
      <c r="O109" s="81" t="s">
        <v>2841</v>
      </c>
      <c r="P109" s="208"/>
      <c r="Q109" s="208"/>
      <c r="R109" s="208"/>
      <c r="S109" s="210"/>
      <c r="T109" s="210"/>
      <c r="U109" s="210"/>
      <c r="V109" s="210"/>
      <c r="W109" s="210"/>
      <c r="X109" s="210"/>
      <c r="Y109" s="210"/>
      <c r="Z109" s="210"/>
    </row>
    <row r="110" spans="1:26" ht="58.5" customHeight="1">
      <c r="A110" s="143"/>
      <c r="B110" s="212" t="s">
        <v>261</v>
      </c>
      <c r="C110" s="80">
        <v>0</v>
      </c>
      <c r="D110" s="80">
        <v>0.5</v>
      </c>
      <c r="E110" s="80">
        <v>0</v>
      </c>
      <c r="F110" s="80">
        <v>0.5</v>
      </c>
      <c r="G110" s="80">
        <v>0</v>
      </c>
      <c r="H110" s="80">
        <v>0</v>
      </c>
      <c r="I110" s="135" t="s">
        <v>2842</v>
      </c>
      <c r="J110" s="81" t="s">
        <v>748</v>
      </c>
      <c r="K110" s="81" t="s">
        <v>2843</v>
      </c>
      <c r="L110" s="81" t="s">
        <v>748</v>
      </c>
      <c r="M110" s="81" t="s">
        <v>2844</v>
      </c>
      <c r="N110" s="195" t="s">
        <v>748</v>
      </c>
      <c r="O110" s="81" t="s">
        <v>748</v>
      </c>
      <c r="P110" s="208"/>
      <c r="Q110" s="208"/>
      <c r="R110" s="208"/>
      <c r="S110" s="210"/>
      <c r="T110" s="210"/>
      <c r="U110" s="210"/>
      <c r="V110" s="210"/>
      <c r="W110" s="210"/>
      <c r="X110" s="210"/>
      <c r="Y110" s="210"/>
      <c r="Z110" s="210"/>
    </row>
    <row r="111" spans="1:26" ht="64.5" customHeight="1">
      <c r="A111" s="143"/>
      <c r="B111" s="212" t="s">
        <v>263</v>
      </c>
      <c r="C111" s="80">
        <v>1</v>
      </c>
      <c r="D111" s="80">
        <v>1</v>
      </c>
      <c r="E111" s="80">
        <v>1</v>
      </c>
      <c r="F111" s="80">
        <v>1</v>
      </c>
      <c r="G111" s="80">
        <v>1</v>
      </c>
      <c r="H111" s="80">
        <v>1</v>
      </c>
      <c r="I111" s="135" t="s">
        <v>123</v>
      </c>
      <c r="J111" s="81" t="s">
        <v>988</v>
      </c>
      <c r="K111" s="170" t="s">
        <v>811</v>
      </c>
      <c r="L111" s="170" t="s">
        <v>811</v>
      </c>
      <c r="M111" s="81" t="s">
        <v>2845</v>
      </c>
      <c r="N111" s="195" t="s">
        <v>811</v>
      </c>
      <c r="O111" s="81" t="s">
        <v>2846</v>
      </c>
      <c r="P111" s="208"/>
      <c r="Q111" s="208"/>
      <c r="R111" s="208"/>
      <c r="S111" s="210"/>
      <c r="T111" s="210"/>
      <c r="U111" s="210"/>
      <c r="V111" s="210"/>
      <c r="W111" s="210"/>
      <c r="X111" s="210"/>
      <c r="Y111" s="210"/>
      <c r="Z111" s="210"/>
    </row>
    <row r="112" spans="1:26" ht="55.5" customHeight="1">
      <c r="A112" s="143"/>
      <c r="B112" s="212" t="s">
        <v>264</v>
      </c>
      <c r="C112" s="80">
        <v>1</v>
      </c>
      <c r="D112" s="80">
        <v>1</v>
      </c>
      <c r="E112" s="80">
        <v>1</v>
      </c>
      <c r="F112" s="80">
        <v>0</v>
      </c>
      <c r="G112" s="80">
        <v>0.5</v>
      </c>
      <c r="H112" s="80">
        <v>1</v>
      </c>
      <c r="I112" s="135" t="s">
        <v>123</v>
      </c>
      <c r="J112" s="81" t="s">
        <v>2847</v>
      </c>
      <c r="K112" s="170" t="s">
        <v>811</v>
      </c>
      <c r="L112" s="170" t="s">
        <v>811</v>
      </c>
      <c r="M112" s="81" t="s">
        <v>748</v>
      </c>
      <c r="N112" s="182" t="s">
        <v>2848</v>
      </c>
      <c r="O112" s="81" t="s">
        <v>811</v>
      </c>
      <c r="P112" s="208"/>
      <c r="Q112" s="208"/>
      <c r="R112" s="208"/>
      <c r="S112" s="210"/>
      <c r="T112" s="210"/>
      <c r="U112" s="210"/>
      <c r="V112" s="210"/>
      <c r="W112" s="210"/>
      <c r="X112" s="210"/>
      <c r="Y112" s="210"/>
      <c r="Z112" s="210"/>
    </row>
    <row r="113" spans="1:26" ht="45.75" customHeight="1">
      <c r="A113" s="143"/>
      <c r="B113" s="212" t="s">
        <v>265</v>
      </c>
      <c r="C113" s="80">
        <v>1</v>
      </c>
      <c r="D113" s="80">
        <v>1</v>
      </c>
      <c r="E113" s="80">
        <v>0</v>
      </c>
      <c r="F113" s="80">
        <v>1</v>
      </c>
      <c r="G113" s="80">
        <v>1</v>
      </c>
      <c r="H113" s="80">
        <v>1</v>
      </c>
      <c r="I113" s="135" t="s">
        <v>123</v>
      </c>
      <c r="J113" s="81" t="s">
        <v>2849</v>
      </c>
      <c r="K113" s="170" t="s">
        <v>811</v>
      </c>
      <c r="L113" s="81" t="s">
        <v>748</v>
      </c>
      <c r="M113" s="81" t="s">
        <v>2850</v>
      </c>
      <c r="N113" s="195" t="s">
        <v>811</v>
      </c>
      <c r="O113" s="81" t="s">
        <v>811</v>
      </c>
      <c r="P113" s="208"/>
      <c r="Q113" s="208"/>
      <c r="R113" s="208"/>
      <c r="S113" s="210"/>
      <c r="T113" s="210"/>
      <c r="U113" s="210"/>
      <c r="V113" s="210"/>
      <c r="W113" s="210"/>
      <c r="X113" s="210"/>
      <c r="Y113" s="210"/>
      <c r="Z113" s="210"/>
    </row>
    <row r="114" spans="1:26" ht="13.5" customHeight="1">
      <c r="A114" s="143"/>
      <c r="B114" s="217"/>
      <c r="C114" s="80"/>
      <c r="D114" s="80"/>
      <c r="E114" s="80"/>
      <c r="F114" s="80"/>
      <c r="G114" s="80"/>
      <c r="H114" s="80"/>
      <c r="I114" s="135"/>
      <c r="J114" s="81"/>
      <c r="K114" s="81"/>
      <c r="L114" s="81"/>
      <c r="M114" s="81"/>
      <c r="N114" s="81"/>
      <c r="O114" s="81"/>
      <c r="P114" s="208"/>
      <c r="Q114" s="208"/>
      <c r="R114" s="208"/>
      <c r="S114" s="210"/>
      <c r="T114" s="210"/>
      <c r="U114" s="210"/>
      <c r="V114" s="210"/>
      <c r="W114" s="210"/>
      <c r="X114" s="210"/>
      <c r="Y114" s="210"/>
      <c r="Z114" s="210"/>
    </row>
    <row r="115" spans="1:26" ht="208.5" customHeight="1">
      <c r="A115" s="143" t="s">
        <v>736</v>
      </c>
      <c r="B115" s="168" t="s">
        <v>2851</v>
      </c>
      <c r="C115" s="80">
        <v>1</v>
      </c>
      <c r="D115" s="80">
        <v>0.5</v>
      </c>
      <c r="E115" s="80">
        <v>0.5</v>
      </c>
      <c r="F115" s="80">
        <v>0.5</v>
      </c>
      <c r="G115" s="80">
        <v>0.5</v>
      </c>
      <c r="H115" s="80">
        <v>0.5</v>
      </c>
      <c r="I115" s="135" t="s">
        <v>267</v>
      </c>
      <c r="J115" s="81" t="s">
        <v>2852</v>
      </c>
      <c r="K115" s="81" t="s">
        <v>2853</v>
      </c>
      <c r="L115" s="81" t="s">
        <v>2854</v>
      </c>
      <c r="M115" s="81" t="s">
        <v>2855</v>
      </c>
      <c r="N115" s="188" t="s">
        <v>2856</v>
      </c>
      <c r="O115" s="219" t="s">
        <v>2857</v>
      </c>
      <c r="P115" s="146"/>
      <c r="Q115" s="146"/>
      <c r="R115" s="146"/>
      <c r="S115" s="149"/>
      <c r="T115" s="149"/>
      <c r="U115" s="149"/>
      <c r="V115" s="149"/>
      <c r="W115" s="149"/>
      <c r="X115" s="149"/>
      <c r="Y115" s="149"/>
      <c r="Z115" s="149"/>
    </row>
    <row r="116" spans="1:26" ht="20.25" customHeight="1">
      <c r="A116" s="143"/>
      <c r="B116" s="168"/>
      <c r="C116" s="80"/>
      <c r="D116" s="80"/>
      <c r="E116" s="80"/>
      <c r="F116" s="80"/>
      <c r="G116" s="80"/>
      <c r="H116" s="80"/>
      <c r="I116" s="149"/>
      <c r="J116" s="81"/>
      <c r="K116" s="81"/>
      <c r="L116" s="81"/>
      <c r="M116" s="81"/>
      <c r="N116" s="81"/>
      <c r="O116" s="81"/>
      <c r="P116" s="146"/>
      <c r="Q116" s="146"/>
      <c r="R116" s="146"/>
      <c r="S116" s="149"/>
      <c r="T116" s="149"/>
      <c r="U116" s="149"/>
      <c r="V116" s="149"/>
      <c r="W116" s="149"/>
      <c r="X116" s="149"/>
      <c r="Y116" s="149"/>
      <c r="Z116" s="149"/>
    </row>
    <row r="117" spans="1:26" ht="61.5" customHeight="1">
      <c r="A117" s="143" t="s">
        <v>736</v>
      </c>
      <c r="B117" s="168" t="s">
        <v>268</v>
      </c>
      <c r="C117" s="80">
        <f t="shared" ref="C117:H117" si="27">AVERAGE(C118:C135)</f>
        <v>0.72222222222222221</v>
      </c>
      <c r="D117" s="80">
        <f t="shared" si="27"/>
        <v>0.88888888888888884</v>
      </c>
      <c r="E117" s="80">
        <f t="shared" si="27"/>
        <v>0.55555555555555558</v>
      </c>
      <c r="F117" s="80">
        <f t="shared" si="27"/>
        <v>0.83333333333333337</v>
      </c>
      <c r="G117" s="80">
        <f t="shared" si="27"/>
        <v>0.66666666666666663</v>
      </c>
      <c r="H117" s="80">
        <f t="shared" si="27"/>
        <v>0.61111111111111116</v>
      </c>
      <c r="I117" s="135"/>
      <c r="J117" s="81"/>
      <c r="K117" s="81"/>
      <c r="L117" s="170"/>
      <c r="M117" s="81"/>
      <c r="N117" s="221"/>
      <c r="O117" s="170"/>
      <c r="P117" s="146"/>
      <c r="Q117" s="146"/>
      <c r="R117" s="146"/>
      <c r="S117" s="149"/>
      <c r="T117" s="149"/>
      <c r="U117" s="149"/>
      <c r="V117" s="149"/>
      <c r="W117" s="149"/>
      <c r="X117" s="149"/>
      <c r="Y117" s="149"/>
      <c r="Z117" s="149"/>
    </row>
    <row r="118" spans="1:26" ht="27.75" customHeight="1">
      <c r="A118" s="223"/>
      <c r="B118" s="212" t="s">
        <v>269</v>
      </c>
      <c r="C118" s="80">
        <v>1</v>
      </c>
      <c r="D118" s="80">
        <v>1</v>
      </c>
      <c r="E118" s="80">
        <v>1</v>
      </c>
      <c r="F118" s="80">
        <v>1</v>
      </c>
      <c r="G118" s="80">
        <v>1</v>
      </c>
      <c r="H118" s="80">
        <v>1</v>
      </c>
      <c r="I118" s="135" t="s">
        <v>123</v>
      </c>
      <c r="J118" s="170" t="s">
        <v>811</v>
      </c>
      <c r="K118" s="170" t="s">
        <v>811</v>
      </c>
      <c r="L118" s="170" t="s">
        <v>811</v>
      </c>
      <c r="M118" s="81" t="s">
        <v>2858</v>
      </c>
      <c r="N118" s="195" t="s">
        <v>811</v>
      </c>
      <c r="O118" s="170" t="s">
        <v>811</v>
      </c>
      <c r="P118" s="146"/>
      <c r="Q118" s="146"/>
      <c r="R118" s="146"/>
      <c r="S118" s="149"/>
      <c r="T118" s="149"/>
      <c r="U118" s="149"/>
      <c r="V118" s="149"/>
      <c r="W118" s="149"/>
      <c r="X118" s="149"/>
      <c r="Y118" s="149"/>
      <c r="Z118" s="149"/>
    </row>
    <row r="119" spans="1:26" ht="24" customHeight="1">
      <c r="A119" s="223"/>
      <c r="B119" s="212" t="s">
        <v>270</v>
      </c>
      <c r="C119" s="80">
        <v>1</v>
      </c>
      <c r="D119" s="80">
        <v>1</v>
      </c>
      <c r="E119" s="80">
        <v>1</v>
      </c>
      <c r="F119" s="80">
        <v>1</v>
      </c>
      <c r="G119" s="80">
        <v>1</v>
      </c>
      <c r="H119" s="80">
        <v>1</v>
      </c>
      <c r="I119" s="135" t="s">
        <v>123</v>
      </c>
      <c r="J119" s="170" t="s">
        <v>811</v>
      </c>
      <c r="K119" s="170" t="s">
        <v>811</v>
      </c>
      <c r="L119" s="170" t="s">
        <v>811</v>
      </c>
      <c r="M119" s="81" t="s">
        <v>2859</v>
      </c>
      <c r="N119" s="195" t="s">
        <v>811</v>
      </c>
      <c r="O119" s="170" t="s">
        <v>811</v>
      </c>
      <c r="P119" s="146"/>
      <c r="Q119" s="146"/>
      <c r="R119" s="146"/>
      <c r="S119" s="149"/>
      <c r="T119" s="149"/>
      <c r="U119" s="149"/>
      <c r="V119" s="149"/>
      <c r="W119" s="149"/>
      <c r="X119" s="149"/>
      <c r="Y119" s="149"/>
      <c r="Z119" s="149"/>
    </row>
    <row r="120" spans="1:26" ht="29.25" customHeight="1">
      <c r="A120" s="223"/>
      <c r="B120" s="212" t="s">
        <v>271</v>
      </c>
      <c r="C120" s="80">
        <v>0</v>
      </c>
      <c r="D120" s="80">
        <v>1</v>
      </c>
      <c r="E120" s="80">
        <v>1</v>
      </c>
      <c r="F120" s="80">
        <v>1</v>
      </c>
      <c r="G120" s="80">
        <v>1</v>
      </c>
      <c r="H120" s="80">
        <v>1</v>
      </c>
      <c r="I120" s="135" t="s">
        <v>123</v>
      </c>
      <c r="J120" s="170" t="s">
        <v>748</v>
      </c>
      <c r="K120" s="170" t="s">
        <v>811</v>
      </c>
      <c r="L120" s="170" t="s">
        <v>811</v>
      </c>
      <c r="M120" s="81" t="s">
        <v>2860</v>
      </c>
      <c r="N120" s="81" t="s">
        <v>2861</v>
      </c>
      <c r="O120" s="170" t="s">
        <v>811</v>
      </c>
      <c r="P120" s="146"/>
      <c r="Q120" s="146"/>
      <c r="R120" s="146"/>
      <c r="S120" s="149"/>
      <c r="T120" s="149"/>
      <c r="U120" s="149"/>
      <c r="V120" s="149"/>
      <c r="W120" s="149"/>
      <c r="X120" s="149"/>
      <c r="Y120" s="149"/>
      <c r="Z120" s="149"/>
    </row>
    <row r="121" spans="1:26" ht="24" customHeight="1">
      <c r="A121" s="223"/>
      <c r="B121" s="212" t="s">
        <v>272</v>
      </c>
      <c r="C121" s="80">
        <v>1</v>
      </c>
      <c r="D121" s="80">
        <v>1</v>
      </c>
      <c r="E121" s="80">
        <v>1</v>
      </c>
      <c r="F121" s="80">
        <v>1</v>
      </c>
      <c r="G121" s="80">
        <v>1</v>
      </c>
      <c r="H121" s="80">
        <v>1</v>
      </c>
      <c r="I121" s="135" t="s">
        <v>123</v>
      </c>
      <c r="J121" s="170" t="s">
        <v>811</v>
      </c>
      <c r="K121" s="170" t="s">
        <v>811</v>
      </c>
      <c r="L121" s="170" t="s">
        <v>811</v>
      </c>
      <c r="M121" s="81" t="s">
        <v>2862</v>
      </c>
      <c r="N121" s="229" t="s">
        <v>811</v>
      </c>
      <c r="O121" s="170" t="s">
        <v>811</v>
      </c>
      <c r="P121" s="146"/>
      <c r="Q121" s="146"/>
      <c r="R121" s="146"/>
      <c r="S121" s="149"/>
      <c r="T121" s="149"/>
      <c r="U121" s="149"/>
      <c r="V121" s="149"/>
      <c r="W121" s="149"/>
      <c r="X121" s="149"/>
      <c r="Y121" s="149"/>
      <c r="Z121" s="149"/>
    </row>
    <row r="122" spans="1:26" ht="24" customHeight="1">
      <c r="A122" s="223"/>
      <c r="B122" s="212" t="s">
        <v>273</v>
      </c>
      <c r="C122" s="80">
        <v>1</v>
      </c>
      <c r="D122" s="80">
        <v>1</v>
      </c>
      <c r="E122" s="80">
        <v>0</v>
      </c>
      <c r="F122" s="80">
        <v>1</v>
      </c>
      <c r="G122" s="80">
        <v>1</v>
      </c>
      <c r="H122" s="80">
        <v>0</v>
      </c>
      <c r="I122" s="135" t="s">
        <v>123</v>
      </c>
      <c r="J122" s="170" t="s">
        <v>811</v>
      </c>
      <c r="K122" s="170" t="s">
        <v>811</v>
      </c>
      <c r="L122" s="170" t="s">
        <v>748</v>
      </c>
      <c r="M122" s="81" t="s">
        <v>2863</v>
      </c>
      <c r="N122" s="195" t="s">
        <v>811</v>
      </c>
      <c r="O122" s="170" t="s">
        <v>748</v>
      </c>
      <c r="P122" s="146"/>
      <c r="Q122" s="146"/>
      <c r="R122" s="146"/>
      <c r="S122" s="149"/>
      <c r="T122" s="149"/>
      <c r="U122" s="149"/>
      <c r="V122" s="149"/>
      <c r="W122" s="149"/>
      <c r="X122" s="149"/>
      <c r="Y122" s="149"/>
      <c r="Z122" s="149"/>
    </row>
    <row r="123" spans="1:26" ht="36" customHeight="1">
      <c r="A123" s="223"/>
      <c r="B123" s="212" t="s">
        <v>274</v>
      </c>
      <c r="C123" s="80">
        <v>0</v>
      </c>
      <c r="D123" s="80">
        <v>1</v>
      </c>
      <c r="E123" s="80">
        <v>0</v>
      </c>
      <c r="F123" s="80">
        <v>1</v>
      </c>
      <c r="G123" s="80">
        <v>0</v>
      </c>
      <c r="H123" s="80">
        <v>0</v>
      </c>
      <c r="I123" s="135" t="s">
        <v>123</v>
      </c>
      <c r="J123" s="170" t="s">
        <v>748</v>
      </c>
      <c r="K123" s="233" t="s">
        <v>2864</v>
      </c>
      <c r="L123" s="170" t="s">
        <v>748</v>
      </c>
      <c r="M123" s="81" t="s">
        <v>2865</v>
      </c>
      <c r="N123" s="195" t="s">
        <v>748</v>
      </c>
      <c r="O123" s="170" t="s">
        <v>748</v>
      </c>
      <c r="P123" s="146"/>
      <c r="Q123" s="146"/>
      <c r="R123" s="146"/>
      <c r="S123" s="149"/>
      <c r="T123" s="149"/>
      <c r="U123" s="149"/>
      <c r="V123" s="149"/>
      <c r="W123" s="149"/>
      <c r="X123" s="149"/>
      <c r="Y123" s="149"/>
      <c r="Z123" s="149"/>
    </row>
    <row r="124" spans="1:26" ht="13.5" customHeight="1">
      <c r="A124" s="223"/>
      <c r="B124" s="212" t="s">
        <v>275</v>
      </c>
      <c r="C124" s="80">
        <v>0</v>
      </c>
      <c r="D124" s="80">
        <v>0</v>
      </c>
      <c r="E124" s="80">
        <v>0</v>
      </c>
      <c r="F124" s="80">
        <v>0</v>
      </c>
      <c r="G124" s="80">
        <v>0</v>
      </c>
      <c r="H124" s="80">
        <v>0</v>
      </c>
      <c r="I124" s="135" t="s">
        <v>123</v>
      </c>
      <c r="J124" s="170" t="s">
        <v>748</v>
      </c>
      <c r="K124" s="233" t="s">
        <v>748</v>
      </c>
      <c r="L124" s="170" t="s">
        <v>748</v>
      </c>
      <c r="M124" s="81" t="s">
        <v>748</v>
      </c>
      <c r="N124" s="81" t="s">
        <v>748</v>
      </c>
      <c r="O124" s="170" t="s">
        <v>748</v>
      </c>
      <c r="P124" s="146"/>
      <c r="Q124" s="146"/>
      <c r="R124" s="146"/>
      <c r="S124" s="149"/>
      <c r="T124" s="149"/>
      <c r="U124" s="149"/>
      <c r="V124" s="149"/>
      <c r="W124" s="149"/>
      <c r="X124" s="149"/>
      <c r="Y124" s="149"/>
      <c r="Z124" s="149"/>
    </row>
    <row r="125" spans="1:26" ht="24" customHeight="1">
      <c r="A125" s="223"/>
      <c r="B125" s="212" t="s">
        <v>276</v>
      </c>
      <c r="C125" s="80">
        <v>1</v>
      </c>
      <c r="D125" s="80">
        <v>1</v>
      </c>
      <c r="E125" s="80">
        <v>1</v>
      </c>
      <c r="F125" s="80">
        <v>1</v>
      </c>
      <c r="G125" s="80">
        <v>1</v>
      </c>
      <c r="H125" s="80">
        <v>1</v>
      </c>
      <c r="I125" s="135" t="s">
        <v>123</v>
      </c>
      <c r="J125" s="170" t="s">
        <v>811</v>
      </c>
      <c r="K125" s="170" t="s">
        <v>811</v>
      </c>
      <c r="L125" s="170" t="s">
        <v>811</v>
      </c>
      <c r="M125" s="81" t="s">
        <v>2866</v>
      </c>
      <c r="N125" s="195" t="s">
        <v>811</v>
      </c>
      <c r="O125" s="170" t="s">
        <v>811</v>
      </c>
      <c r="P125" s="146"/>
      <c r="Q125" s="146"/>
      <c r="R125" s="146"/>
      <c r="S125" s="149"/>
      <c r="T125" s="149"/>
      <c r="U125" s="149"/>
      <c r="V125" s="149"/>
      <c r="W125" s="149"/>
      <c r="X125" s="149"/>
      <c r="Y125" s="149"/>
      <c r="Z125" s="149"/>
    </row>
    <row r="126" spans="1:26" ht="36" customHeight="1">
      <c r="A126" s="223"/>
      <c r="B126" s="212" t="s">
        <v>277</v>
      </c>
      <c r="C126" s="80">
        <v>1</v>
      </c>
      <c r="D126" s="80">
        <v>1</v>
      </c>
      <c r="E126" s="80">
        <v>1</v>
      </c>
      <c r="F126" s="80">
        <v>1</v>
      </c>
      <c r="G126" s="80">
        <v>1</v>
      </c>
      <c r="H126" s="80">
        <v>1</v>
      </c>
      <c r="I126" s="135" t="s">
        <v>123</v>
      </c>
      <c r="J126" s="170" t="s">
        <v>811</v>
      </c>
      <c r="K126" s="170" t="s">
        <v>811</v>
      </c>
      <c r="L126" s="170" t="s">
        <v>811</v>
      </c>
      <c r="M126" s="81" t="s">
        <v>2867</v>
      </c>
      <c r="N126" s="195" t="s">
        <v>811</v>
      </c>
      <c r="O126" s="170" t="s">
        <v>811</v>
      </c>
      <c r="P126" s="146"/>
      <c r="Q126" s="146"/>
      <c r="R126" s="146"/>
      <c r="S126" s="149"/>
      <c r="T126" s="149"/>
      <c r="U126" s="149"/>
      <c r="V126" s="149"/>
      <c r="W126" s="149"/>
      <c r="X126" s="149"/>
      <c r="Y126" s="149"/>
      <c r="Z126" s="149"/>
    </row>
    <row r="127" spans="1:26" ht="27.75" customHeight="1">
      <c r="A127" s="223"/>
      <c r="B127" s="212" t="s">
        <v>278</v>
      </c>
      <c r="C127" s="80">
        <v>1</v>
      </c>
      <c r="D127" s="80">
        <v>1</v>
      </c>
      <c r="E127" s="80">
        <v>1</v>
      </c>
      <c r="F127" s="80">
        <v>1</v>
      </c>
      <c r="G127" s="80">
        <v>1</v>
      </c>
      <c r="H127" s="80">
        <v>1</v>
      </c>
      <c r="I127" s="135" t="s">
        <v>123</v>
      </c>
      <c r="J127" s="170" t="s">
        <v>811</v>
      </c>
      <c r="K127" s="170" t="s">
        <v>811</v>
      </c>
      <c r="L127" s="170" t="s">
        <v>811</v>
      </c>
      <c r="M127" s="81" t="s">
        <v>2868</v>
      </c>
      <c r="N127" s="195" t="s">
        <v>811</v>
      </c>
      <c r="O127" s="170" t="s">
        <v>811</v>
      </c>
      <c r="P127" s="146"/>
      <c r="Q127" s="146"/>
      <c r="R127" s="146"/>
      <c r="S127" s="149"/>
      <c r="T127" s="149"/>
      <c r="U127" s="149"/>
      <c r="V127" s="149"/>
      <c r="W127" s="149"/>
      <c r="X127" s="149"/>
      <c r="Y127" s="149"/>
      <c r="Z127" s="149"/>
    </row>
    <row r="128" spans="1:26" ht="24" customHeight="1">
      <c r="A128" s="223"/>
      <c r="B128" s="212" t="s">
        <v>279</v>
      </c>
      <c r="C128" s="80">
        <v>1</v>
      </c>
      <c r="D128" s="80">
        <v>1</v>
      </c>
      <c r="E128" s="80">
        <v>1</v>
      </c>
      <c r="F128" s="80">
        <v>1</v>
      </c>
      <c r="G128" s="80">
        <v>1</v>
      </c>
      <c r="H128" s="80">
        <v>1</v>
      </c>
      <c r="I128" s="135" t="s">
        <v>123</v>
      </c>
      <c r="J128" s="170" t="s">
        <v>811</v>
      </c>
      <c r="K128" s="170" t="s">
        <v>811</v>
      </c>
      <c r="L128" s="170" t="s">
        <v>811</v>
      </c>
      <c r="M128" s="81" t="s">
        <v>2869</v>
      </c>
      <c r="N128" s="195" t="s">
        <v>811</v>
      </c>
      <c r="O128" s="170" t="s">
        <v>811</v>
      </c>
      <c r="P128" s="146"/>
      <c r="Q128" s="146"/>
      <c r="R128" s="146"/>
      <c r="S128" s="149"/>
      <c r="T128" s="149"/>
      <c r="U128" s="149"/>
      <c r="V128" s="149"/>
      <c r="W128" s="149"/>
      <c r="X128" s="149"/>
      <c r="Y128" s="149"/>
      <c r="Z128" s="149"/>
    </row>
    <row r="129" spans="1:26" ht="24" customHeight="1">
      <c r="A129" s="223"/>
      <c r="B129" s="212" t="s">
        <v>280</v>
      </c>
      <c r="C129" s="80">
        <v>1</v>
      </c>
      <c r="D129" s="80">
        <v>1</v>
      </c>
      <c r="E129" s="80">
        <v>1</v>
      </c>
      <c r="F129" s="80">
        <v>1</v>
      </c>
      <c r="G129" s="80">
        <v>1</v>
      </c>
      <c r="H129" s="80">
        <v>1</v>
      </c>
      <c r="I129" s="135" t="s">
        <v>123</v>
      </c>
      <c r="J129" s="170" t="s">
        <v>811</v>
      </c>
      <c r="K129" s="170" t="s">
        <v>811</v>
      </c>
      <c r="L129" s="170" t="s">
        <v>811</v>
      </c>
      <c r="M129" s="81" t="s">
        <v>2870</v>
      </c>
      <c r="N129" s="195" t="s">
        <v>811</v>
      </c>
      <c r="O129" s="170" t="s">
        <v>811</v>
      </c>
      <c r="P129" s="146"/>
      <c r="Q129" s="146"/>
      <c r="R129" s="146"/>
      <c r="S129" s="149"/>
      <c r="T129" s="149"/>
      <c r="U129" s="149"/>
      <c r="V129" s="149"/>
      <c r="W129" s="149"/>
      <c r="X129" s="149"/>
      <c r="Y129" s="149"/>
      <c r="Z129" s="149"/>
    </row>
    <row r="130" spans="1:26" ht="32.25" customHeight="1">
      <c r="A130" s="223"/>
      <c r="B130" s="212" t="s">
        <v>281</v>
      </c>
      <c r="C130" s="80">
        <v>1</v>
      </c>
      <c r="D130" s="80">
        <v>1</v>
      </c>
      <c r="E130" s="80">
        <v>0</v>
      </c>
      <c r="F130" s="80">
        <v>1</v>
      </c>
      <c r="G130" s="80">
        <v>1</v>
      </c>
      <c r="H130" s="80">
        <v>0</v>
      </c>
      <c r="I130" s="135" t="s">
        <v>123</v>
      </c>
      <c r="J130" s="170" t="s">
        <v>811</v>
      </c>
      <c r="K130" s="170" t="s">
        <v>811</v>
      </c>
      <c r="L130" s="170" t="s">
        <v>748</v>
      </c>
      <c r="M130" s="81" t="s">
        <v>2871</v>
      </c>
      <c r="N130" s="81" t="s">
        <v>2872</v>
      </c>
      <c r="O130" s="170" t="s">
        <v>748</v>
      </c>
      <c r="P130" s="146"/>
      <c r="Q130" s="146"/>
      <c r="R130" s="146"/>
      <c r="S130" s="149"/>
      <c r="T130" s="149"/>
      <c r="U130" s="149"/>
      <c r="V130" s="149"/>
      <c r="W130" s="149"/>
      <c r="X130" s="149"/>
      <c r="Y130" s="149"/>
      <c r="Z130" s="149"/>
    </row>
    <row r="131" spans="1:26" ht="24" customHeight="1">
      <c r="A131" s="223"/>
      <c r="B131" s="212" t="s">
        <v>282</v>
      </c>
      <c r="C131" s="80">
        <v>1</v>
      </c>
      <c r="D131" s="80">
        <v>1</v>
      </c>
      <c r="E131" s="80">
        <v>0</v>
      </c>
      <c r="F131" s="80">
        <v>1</v>
      </c>
      <c r="G131" s="80">
        <v>0</v>
      </c>
      <c r="H131" s="80">
        <v>0</v>
      </c>
      <c r="I131" s="135" t="s">
        <v>123</v>
      </c>
      <c r="J131" s="170" t="s">
        <v>811</v>
      </c>
      <c r="K131" s="170" t="s">
        <v>811</v>
      </c>
      <c r="L131" s="170" t="s">
        <v>748</v>
      </c>
      <c r="M131" s="81" t="s">
        <v>2873</v>
      </c>
      <c r="N131" s="195" t="s">
        <v>748</v>
      </c>
      <c r="O131" s="170" t="s">
        <v>748</v>
      </c>
      <c r="P131" s="146"/>
      <c r="Q131" s="146"/>
      <c r="R131" s="146"/>
      <c r="S131" s="149"/>
      <c r="T131" s="149"/>
      <c r="U131" s="149"/>
      <c r="V131" s="149"/>
      <c r="W131" s="149"/>
      <c r="X131" s="149"/>
      <c r="Y131" s="149"/>
      <c r="Z131" s="149"/>
    </row>
    <row r="132" spans="1:26" ht="24" customHeight="1">
      <c r="A132" s="223"/>
      <c r="B132" s="212" t="s">
        <v>283</v>
      </c>
      <c r="C132" s="80">
        <v>1</v>
      </c>
      <c r="D132" s="80">
        <v>1</v>
      </c>
      <c r="E132" s="80">
        <v>0</v>
      </c>
      <c r="F132" s="80">
        <v>0</v>
      </c>
      <c r="G132" s="80">
        <v>0</v>
      </c>
      <c r="H132" s="80">
        <v>0</v>
      </c>
      <c r="I132" s="135" t="s">
        <v>123</v>
      </c>
      <c r="J132" s="170" t="s">
        <v>811</v>
      </c>
      <c r="K132" s="170" t="s">
        <v>811</v>
      </c>
      <c r="L132" s="170" t="s">
        <v>748</v>
      </c>
      <c r="M132" s="81" t="s">
        <v>2874</v>
      </c>
      <c r="N132" s="195" t="s">
        <v>748</v>
      </c>
      <c r="O132" s="170" t="s">
        <v>748</v>
      </c>
      <c r="P132" s="146"/>
      <c r="Q132" s="146"/>
      <c r="R132" s="146"/>
      <c r="S132" s="149"/>
      <c r="T132" s="149"/>
      <c r="U132" s="149"/>
      <c r="V132" s="149"/>
      <c r="W132" s="149"/>
      <c r="X132" s="149"/>
      <c r="Y132" s="149"/>
      <c r="Z132" s="149"/>
    </row>
    <row r="133" spans="1:26" ht="66" customHeight="1">
      <c r="A133" s="223"/>
      <c r="B133" s="212" t="s">
        <v>284</v>
      </c>
      <c r="C133" s="80">
        <v>1</v>
      </c>
      <c r="D133" s="80">
        <v>1</v>
      </c>
      <c r="E133" s="80">
        <v>1</v>
      </c>
      <c r="F133" s="80">
        <v>1</v>
      </c>
      <c r="G133" s="80">
        <v>1</v>
      </c>
      <c r="H133" s="80">
        <v>1</v>
      </c>
      <c r="I133" s="135" t="s">
        <v>123</v>
      </c>
      <c r="J133" s="81" t="s">
        <v>1008</v>
      </c>
      <c r="K133" s="170" t="s">
        <v>811</v>
      </c>
      <c r="L133" s="170" t="s">
        <v>811</v>
      </c>
      <c r="M133" s="81" t="s">
        <v>2875</v>
      </c>
      <c r="N133" s="81" t="s">
        <v>2876</v>
      </c>
      <c r="O133" s="170" t="s">
        <v>811</v>
      </c>
      <c r="P133" s="146"/>
      <c r="Q133" s="146"/>
      <c r="R133" s="146"/>
      <c r="S133" s="149"/>
      <c r="T133" s="149"/>
      <c r="U133" s="149"/>
      <c r="V133" s="149"/>
      <c r="W133" s="149"/>
      <c r="X133" s="149"/>
      <c r="Y133" s="149"/>
      <c r="Z133" s="149"/>
    </row>
    <row r="134" spans="1:26" ht="24" customHeight="1">
      <c r="A134" s="223"/>
      <c r="B134" s="212" t="s">
        <v>285</v>
      </c>
      <c r="C134" s="80">
        <v>0</v>
      </c>
      <c r="D134" s="80">
        <v>0</v>
      </c>
      <c r="E134" s="80">
        <v>0</v>
      </c>
      <c r="F134" s="80">
        <v>0</v>
      </c>
      <c r="G134" s="80">
        <v>0</v>
      </c>
      <c r="H134" s="80">
        <v>0</v>
      </c>
      <c r="I134" s="135" t="s">
        <v>123</v>
      </c>
      <c r="J134" s="170" t="s">
        <v>748</v>
      </c>
      <c r="K134" s="170" t="s">
        <v>748</v>
      </c>
      <c r="L134" s="170" t="s">
        <v>748</v>
      </c>
      <c r="M134" s="81" t="s">
        <v>2877</v>
      </c>
      <c r="N134" s="195" t="s">
        <v>748</v>
      </c>
      <c r="O134" s="170" t="s">
        <v>748</v>
      </c>
      <c r="P134" s="146"/>
      <c r="Q134" s="146"/>
      <c r="R134" s="146"/>
      <c r="S134" s="149"/>
      <c r="T134" s="149"/>
      <c r="U134" s="149"/>
      <c r="V134" s="149"/>
      <c r="W134" s="149"/>
      <c r="X134" s="149"/>
      <c r="Y134" s="149"/>
      <c r="Z134" s="149"/>
    </row>
    <row r="135" spans="1:26" ht="29.25" customHeight="1">
      <c r="A135" s="223"/>
      <c r="B135" s="212" t="s">
        <v>286</v>
      </c>
      <c r="C135" s="80">
        <v>0</v>
      </c>
      <c r="D135" s="80">
        <v>1</v>
      </c>
      <c r="E135" s="80">
        <v>0</v>
      </c>
      <c r="F135" s="80">
        <v>1</v>
      </c>
      <c r="G135" s="80">
        <v>0</v>
      </c>
      <c r="H135" s="80">
        <v>1</v>
      </c>
      <c r="I135" s="135"/>
      <c r="J135" s="170" t="s">
        <v>748</v>
      </c>
      <c r="K135" s="170" t="s">
        <v>811</v>
      </c>
      <c r="L135" s="170" t="s">
        <v>748</v>
      </c>
      <c r="M135" s="178" t="s">
        <v>2878</v>
      </c>
      <c r="N135" s="195" t="s">
        <v>748</v>
      </c>
      <c r="O135" s="170" t="s">
        <v>811</v>
      </c>
      <c r="P135" s="146"/>
      <c r="Q135" s="146"/>
      <c r="R135" s="146"/>
      <c r="S135" s="149"/>
      <c r="T135" s="149"/>
      <c r="U135" s="149"/>
      <c r="V135" s="149"/>
      <c r="W135" s="149"/>
      <c r="X135" s="149"/>
      <c r="Y135" s="149"/>
      <c r="Z135" s="149"/>
    </row>
    <row r="136" spans="1:26" ht="13.5" customHeight="1">
      <c r="A136" s="223"/>
      <c r="B136" s="217"/>
      <c r="C136" s="80"/>
      <c r="D136" s="80"/>
      <c r="E136" s="80"/>
      <c r="F136" s="80"/>
      <c r="G136" s="80"/>
      <c r="H136" s="80"/>
      <c r="I136" s="135"/>
      <c r="J136" s="238"/>
      <c r="K136" s="239"/>
      <c r="L136" s="238"/>
      <c r="M136" s="80"/>
      <c r="N136" s="195"/>
      <c r="O136" s="170"/>
      <c r="P136" s="146"/>
      <c r="Q136" s="146"/>
      <c r="R136" s="146"/>
      <c r="S136" s="149"/>
      <c r="T136" s="149"/>
      <c r="U136" s="149"/>
      <c r="V136" s="149"/>
      <c r="W136" s="149"/>
      <c r="X136" s="149"/>
      <c r="Y136" s="149"/>
      <c r="Z136" s="149"/>
    </row>
    <row r="137" spans="1:26" ht="87.75" customHeight="1">
      <c r="A137" s="143" t="s">
        <v>736</v>
      </c>
      <c r="B137" s="95" t="s">
        <v>287</v>
      </c>
      <c r="C137" s="80">
        <v>1</v>
      </c>
      <c r="D137" s="80">
        <v>1</v>
      </c>
      <c r="E137" s="80">
        <v>0</v>
      </c>
      <c r="F137" s="944">
        <v>0.5</v>
      </c>
      <c r="G137" s="80">
        <v>0</v>
      </c>
      <c r="H137" s="80">
        <v>0</v>
      </c>
      <c r="I137" s="241" t="s">
        <v>2879</v>
      </c>
      <c r="J137" s="245" t="s">
        <v>1012</v>
      </c>
      <c r="K137" s="180" t="s">
        <v>1013</v>
      </c>
      <c r="L137" s="170" t="s">
        <v>748</v>
      </c>
      <c r="M137" s="170" t="s">
        <v>2880</v>
      </c>
      <c r="N137" s="195" t="s">
        <v>748</v>
      </c>
      <c r="O137" s="195" t="s">
        <v>748</v>
      </c>
      <c r="P137" s="146"/>
      <c r="Q137" s="146"/>
      <c r="R137" s="146"/>
      <c r="S137" s="149"/>
      <c r="T137" s="149"/>
      <c r="U137" s="149"/>
      <c r="V137" s="149"/>
      <c r="W137" s="149"/>
      <c r="X137" s="149"/>
      <c r="Y137" s="149"/>
      <c r="Z137" s="149"/>
    </row>
    <row r="138" spans="1:26" ht="13.5" customHeight="1">
      <c r="A138" s="223"/>
      <c r="B138" s="217"/>
      <c r="C138" s="80"/>
      <c r="D138" s="80"/>
      <c r="E138" s="80"/>
      <c r="F138" s="80"/>
      <c r="G138" s="80"/>
      <c r="H138" s="80"/>
      <c r="I138" s="135"/>
      <c r="J138" s="238"/>
      <c r="K138" s="239"/>
      <c r="L138" s="178"/>
      <c r="M138" s="81"/>
      <c r="N138" s="81"/>
      <c r="O138" s="170"/>
      <c r="P138" s="146"/>
      <c r="Q138" s="146"/>
      <c r="R138" s="146"/>
      <c r="S138" s="149"/>
      <c r="T138" s="149"/>
      <c r="U138" s="149"/>
      <c r="V138" s="149"/>
      <c r="W138" s="149"/>
      <c r="X138" s="149"/>
      <c r="Y138" s="149"/>
      <c r="Z138" s="149"/>
    </row>
    <row r="139" spans="1:26" ht="42" customHeight="1">
      <c r="A139" s="143" t="s">
        <v>736</v>
      </c>
      <c r="B139" s="95" t="s">
        <v>289</v>
      </c>
      <c r="C139" s="80">
        <f t="shared" ref="C139:H139" si="28">AVERAGE(C140:C145)</f>
        <v>0.66666666666666663</v>
      </c>
      <c r="D139" s="80">
        <f t="shared" si="28"/>
        <v>1</v>
      </c>
      <c r="E139" s="80">
        <f t="shared" si="28"/>
        <v>8.3333333333333329E-2</v>
      </c>
      <c r="F139" s="80">
        <f t="shared" si="28"/>
        <v>0.25</v>
      </c>
      <c r="G139" s="80">
        <f t="shared" si="28"/>
        <v>0.41666666666666669</v>
      </c>
      <c r="H139" s="80">
        <f t="shared" si="28"/>
        <v>0.16666666666666666</v>
      </c>
      <c r="I139" s="135"/>
      <c r="J139" s="81"/>
      <c r="K139" s="170"/>
      <c r="L139" s="178"/>
      <c r="M139" s="178" t="s">
        <v>2881</v>
      </c>
      <c r="N139" s="81"/>
      <c r="O139" s="170"/>
      <c r="P139" s="146"/>
      <c r="Q139" s="146"/>
      <c r="R139" s="146"/>
      <c r="S139" s="149"/>
      <c r="T139" s="149"/>
      <c r="U139" s="149"/>
      <c r="V139" s="149"/>
      <c r="W139" s="149"/>
      <c r="X139" s="149"/>
      <c r="Y139" s="149"/>
      <c r="Z139" s="149"/>
    </row>
    <row r="140" spans="1:26" ht="43.5" customHeight="1">
      <c r="A140" s="223"/>
      <c r="B140" s="212" t="s">
        <v>290</v>
      </c>
      <c r="C140" s="80">
        <v>1</v>
      </c>
      <c r="D140" s="944">
        <v>1</v>
      </c>
      <c r="E140" s="944">
        <v>0.5</v>
      </c>
      <c r="F140" s="944">
        <v>0.5</v>
      </c>
      <c r="G140" s="944">
        <v>0.5</v>
      </c>
      <c r="H140" s="944">
        <v>0.5</v>
      </c>
      <c r="I140" s="241" t="s">
        <v>2882</v>
      </c>
      <c r="J140" s="178" t="s">
        <v>2883</v>
      </c>
      <c r="K140" s="81" t="s">
        <v>811</v>
      </c>
      <c r="L140" s="81" t="s">
        <v>2884</v>
      </c>
      <c r="M140" s="178" t="s">
        <v>2885</v>
      </c>
      <c r="N140" s="178" t="s">
        <v>2886</v>
      </c>
      <c r="O140" s="81" t="s">
        <v>2887</v>
      </c>
      <c r="P140" s="146"/>
      <c r="Q140" s="146"/>
      <c r="R140" s="146"/>
      <c r="S140" s="149"/>
      <c r="T140" s="149"/>
      <c r="U140" s="149"/>
      <c r="V140" s="149"/>
      <c r="W140" s="149"/>
      <c r="X140" s="149"/>
      <c r="Y140" s="149"/>
      <c r="Z140" s="149"/>
    </row>
    <row r="141" spans="1:26" ht="52.5" customHeight="1">
      <c r="A141" s="223"/>
      <c r="B141" s="212" t="s">
        <v>292</v>
      </c>
      <c r="C141" s="80">
        <v>1</v>
      </c>
      <c r="D141" s="80">
        <v>1</v>
      </c>
      <c r="E141" s="80">
        <v>0</v>
      </c>
      <c r="F141" s="80">
        <v>0.5</v>
      </c>
      <c r="G141" s="80">
        <v>0</v>
      </c>
      <c r="H141" s="80">
        <v>0</v>
      </c>
      <c r="I141" s="241" t="s">
        <v>293</v>
      </c>
      <c r="J141" s="178" t="s">
        <v>2883</v>
      </c>
      <c r="K141" s="80" t="s">
        <v>811</v>
      </c>
      <c r="L141" s="81" t="s">
        <v>2888</v>
      </c>
      <c r="M141" s="178" t="s">
        <v>2889</v>
      </c>
      <c r="N141" s="178" t="s">
        <v>2890</v>
      </c>
      <c r="O141" s="81" t="s">
        <v>2891</v>
      </c>
      <c r="P141" s="146"/>
      <c r="Q141" s="146"/>
      <c r="R141" s="146"/>
      <c r="S141" s="149"/>
      <c r="T141" s="149"/>
      <c r="U141" s="149"/>
      <c r="V141" s="149"/>
      <c r="W141" s="149"/>
      <c r="X141" s="149"/>
      <c r="Y141" s="149"/>
      <c r="Z141" s="149"/>
    </row>
    <row r="142" spans="1:26" ht="40.5" customHeight="1">
      <c r="A142" s="223"/>
      <c r="B142" s="212" t="s">
        <v>294</v>
      </c>
      <c r="C142" s="80">
        <v>1</v>
      </c>
      <c r="D142" s="80">
        <v>1</v>
      </c>
      <c r="E142" s="80">
        <v>0</v>
      </c>
      <c r="F142" s="80">
        <v>0</v>
      </c>
      <c r="G142" s="80">
        <v>1</v>
      </c>
      <c r="H142" s="80">
        <v>0</v>
      </c>
      <c r="I142" s="135" t="s">
        <v>2892</v>
      </c>
      <c r="J142" s="178" t="s">
        <v>1022</v>
      </c>
      <c r="K142" s="80" t="s">
        <v>811</v>
      </c>
      <c r="L142" s="81" t="s">
        <v>748</v>
      </c>
      <c r="M142" s="80" t="s">
        <v>748</v>
      </c>
      <c r="N142" s="195" t="s">
        <v>2893</v>
      </c>
      <c r="O142" s="80" t="s">
        <v>748</v>
      </c>
      <c r="P142" s="146"/>
      <c r="Q142" s="146"/>
      <c r="R142" s="146"/>
      <c r="S142" s="149"/>
      <c r="T142" s="149"/>
      <c r="U142" s="149"/>
      <c r="V142" s="149"/>
      <c r="W142" s="149"/>
      <c r="X142" s="149"/>
      <c r="Y142" s="149"/>
      <c r="Z142" s="149"/>
    </row>
    <row r="143" spans="1:26" ht="30" customHeight="1">
      <c r="A143" s="223"/>
      <c r="B143" s="212" t="s">
        <v>2894</v>
      </c>
      <c r="C143" s="80">
        <v>0</v>
      </c>
      <c r="D143" s="80">
        <v>1</v>
      </c>
      <c r="E143" s="80">
        <v>0</v>
      </c>
      <c r="F143" s="80">
        <v>0</v>
      </c>
      <c r="G143" s="80">
        <v>0</v>
      </c>
      <c r="H143" s="80">
        <v>0</v>
      </c>
      <c r="I143" s="135" t="s">
        <v>123</v>
      </c>
      <c r="J143" s="170" t="s">
        <v>748</v>
      </c>
      <c r="K143" s="178" t="s">
        <v>2895</v>
      </c>
      <c r="L143" s="81" t="s">
        <v>748</v>
      </c>
      <c r="M143" s="80" t="s">
        <v>748</v>
      </c>
      <c r="N143" s="195" t="s">
        <v>748</v>
      </c>
      <c r="O143" s="80" t="s">
        <v>748</v>
      </c>
      <c r="P143" s="146"/>
      <c r="Q143" s="146"/>
      <c r="R143" s="146"/>
      <c r="S143" s="149"/>
      <c r="T143" s="149"/>
      <c r="U143" s="149"/>
      <c r="V143" s="149"/>
      <c r="W143" s="149"/>
      <c r="X143" s="149"/>
      <c r="Y143" s="149"/>
      <c r="Z143" s="149"/>
    </row>
    <row r="144" spans="1:26" ht="65.25" customHeight="1">
      <c r="A144" s="223"/>
      <c r="B144" s="212" t="s">
        <v>296</v>
      </c>
      <c r="C144" s="80">
        <v>1</v>
      </c>
      <c r="D144" s="80">
        <v>1</v>
      </c>
      <c r="E144" s="80">
        <v>0</v>
      </c>
      <c r="F144" s="80">
        <v>0.5</v>
      </c>
      <c r="G144" s="80">
        <v>1</v>
      </c>
      <c r="H144" s="80">
        <v>0.5</v>
      </c>
      <c r="I144" s="135" t="s">
        <v>2892</v>
      </c>
      <c r="J144" s="81" t="s">
        <v>2896</v>
      </c>
      <c r="K144" s="80" t="s">
        <v>811</v>
      </c>
      <c r="L144" s="81" t="s">
        <v>748</v>
      </c>
      <c r="M144" s="178" t="s">
        <v>2897</v>
      </c>
      <c r="N144" s="195" t="s">
        <v>811</v>
      </c>
      <c r="O144" s="170" t="s">
        <v>2898</v>
      </c>
      <c r="P144" s="146"/>
      <c r="Q144" s="146"/>
      <c r="R144" s="146"/>
      <c r="S144" s="149"/>
      <c r="T144" s="149"/>
      <c r="U144" s="149"/>
      <c r="V144" s="149"/>
      <c r="W144" s="149"/>
      <c r="X144" s="149"/>
      <c r="Y144" s="149"/>
      <c r="Z144" s="149"/>
    </row>
    <row r="145" spans="1:26" ht="42" customHeight="1">
      <c r="A145" s="223"/>
      <c r="B145" s="212" t="s">
        <v>297</v>
      </c>
      <c r="C145" s="80">
        <v>0</v>
      </c>
      <c r="D145" s="80">
        <v>1</v>
      </c>
      <c r="E145" s="80">
        <v>0</v>
      </c>
      <c r="F145" s="80">
        <v>0</v>
      </c>
      <c r="G145" s="80">
        <v>0</v>
      </c>
      <c r="H145" s="80">
        <v>0</v>
      </c>
      <c r="I145" s="135" t="s">
        <v>123</v>
      </c>
      <c r="J145" s="170" t="s">
        <v>748</v>
      </c>
      <c r="K145" s="80" t="s">
        <v>811</v>
      </c>
      <c r="L145" s="81" t="s">
        <v>748</v>
      </c>
      <c r="M145" s="80" t="s">
        <v>748</v>
      </c>
      <c r="N145" s="195" t="s">
        <v>748</v>
      </c>
      <c r="O145" s="80" t="s">
        <v>748</v>
      </c>
      <c r="P145" s="146"/>
      <c r="Q145" s="146"/>
      <c r="R145" s="146"/>
      <c r="S145" s="149"/>
      <c r="T145" s="149"/>
      <c r="U145" s="149"/>
      <c r="V145" s="149"/>
      <c r="W145" s="149"/>
      <c r="X145" s="149"/>
      <c r="Y145" s="149"/>
      <c r="Z145" s="149"/>
    </row>
    <row r="146" spans="1:26" ht="27" customHeight="1">
      <c r="A146" s="223"/>
      <c r="B146" s="212"/>
      <c r="C146" s="80"/>
      <c r="D146" s="80"/>
      <c r="E146" s="80"/>
      <c r="F146" s="80"/>
      <c r="G146" s="80"/>
      <c r="H146" s="80"/>
      <c r="I146" s="135"/>
      <c r="J146" s="170"/>
      <c r="K146" s="80"/>
      <c r="L146" s="81"/>
      <c r="M146" s="80"/>
      <c r="N146" s="195"/>
      <c r="O146" s="80"/>
      <c r="P146" s="146"/>
      <c r="Q146" s="146"/>
      <c r="R146" s="146"/>
      <c r="S146" s="149"/>
      <c r="T146" s="149"/>
      <c r="U146" s="149"/>
      <c r="V146" s="149"/>
      <c r="W146" s="149"/>
      <c r="X146" s="149"/>
      <c r="Y146" s="149"/>
      <c r="Z146" s="149"/>
    </row>
    <row r="147" spans="1:26" ht="48.75" customHeight="1">
      <c r="A147" s="143" t="s">
        <v>736</v>
      </c>
      <c r="B147" s="95" t="s">
        <v>298</v>
      </c>
      <c r="C147" s="80">
        <f t="shared" ref="C147:H147" si="29">AVERAGE(C148:C150)</f>
        <v>0.16666666666666666</v>
      </c>
      <c r="D147" s="80">
        <f t="shared" si="29"/>
        <v>1</v>
      </c>
      <c r="E147" s="80">
        <f t="shared" si="29"/>
        <v>0</v>
      </c>
      <c r="F147" s="80">
        <f t="shared" si="29"/>
        <v>0.16666666666666666</v>
      </c>
      <c r="G147" s="80">
        <f t="shared" si="29"/>
        <v>0</v>
      </c>
      <c r="H147" s="80">
        <f t="shared" si="29"/>
        <v>0</v>
      </c>
      <c r="I147" s="135"/>
      <c r="J147" s="81"/>
      <c r="K147" s="170"/>
      <c r="L147" s="170"/>
      <c r="M147" s="81"/>
      <c r="N147" s="81"/>
      <c r="O147" s="170"/>
      <c r="P147" s="146"/>
      <c r="Q147" s="146"/>
      <c r="R147" s="146"/>
      <c r="S147" s="149"/>
      <c r="T147" s="149"/>
      <c r="U147" s="149"/>
      <c r="V147" s="149"/>
      <c r="W147" s="149"/>
      <c r="X147" s="149"/>
      <c r="Y147" s="149"/>
      <c r="Z147" s="149"/>
    </row>
    <row r="148" spans="1:26" ht="48.75" customHeight="1">
      <c r="A148" s="223"/>
      <c r="B148" s="212" t="s">
        <v>299</v>
      </c>
      <c r="C148" s="80">
        <v>0.5</v>
      </c>
      <c r="D148" s="80">
        <v>1</v>
      </c>
      <c r="E148" s="80">
        <v>0</v>
      </c>
      <c r="F148" s="80">
        <v>0.5</v>
      </c>
      <c r="G148" s="80">
        <v>0</v>
      </c>
      <c r="H148" s="80">
        <v>0</v>
      </c>
      <c r="I148" s="241" t="s">
        <v>293</v>
      </c>
      <c r="J148" s="81" t="s">
        <v>2899</v>
      </c>
      <c r="K148" s="170" t="s">
        <v>811</v>
      </c>
      <c r="L148" s="178" t="s">
        <v>748</v>
      </c>
      <c r="M148" s="178" t="s">
        <v>2900</v>
      </c>
      <c r="N148" s="195" t="s">
        <v>748</v>
      </c>
      <c r="O148" s="195" t="s">
        <v>748</v>
      </c>
      <c r="P148" s="146"/>
      <c r="Q148" s="146"/>
      <c r="R148" s="146"/>
      <c r="S148" s="149"/>
      <c r="T148" s="149"/>
      <c r="U148" s="149"/>
      <c r="V148" s="149"/>
      <c r="W148" s="149"/>
      <c r="X148" s="149"/>
      <c r="Y148" s="149"/>
      <c r="Z148" s="149"/>
    </row>
    <row r="149" spans="1:26" ht="48.75" customHeight="1">
      <c r="A149" s="143"/>
      <c r="B149" s="212" t="s">
        <v>300</v>
      </c>
      <c r="C149" s="80">
        <v>0</v>
      </c>
      <c r="D149" s="80">
        <v>1</v>
      </c>
      <c r="E149" s="80">
        <v>0</v>
      </c>
      <c r="F149" s="80">
        <v>0</v>
      </c>
      <c r="G149" s="80">
        <v>0</v>
      </c>
      <c r="H149" s="80">
        <v>0</v>
      </c>
      <c r="I149" s="135" t="s">
        <v>123</v>
      </c>
      <c r="J149" s="170" t="s">
        <v>748</v>
      </c>
      <c r="K149" s="170" t="s">
        <v>811</v>
      </c>
      <c r="L149" s="170" t="s">
        <v>748</v>
      </c>
      <c r="M149" s="170" t="s">
        <v>748</v>
      </c>
      <c r="N149" s="195" t="s">
        <v>748</v>
      </c>
      <c r="O149" s="195" t="s">
        <v>748</v>
      </c>
      <c r="P149" s="146"/>
      <c r="Q149" s="146"/>
      <c r="R149" s="146"/>
      <c r="S149" s="149"/>
      <c r="T149" s="149"/>
      <c r="U149" s="149"/>
      <c r="V149" s="149"/>
      <c r="W149" s="149"/>
      <c r="X149" s="149"/>
      <c r="Y149" s="149"/>
      <c r="Z149" s="149"/>
    </row>
    <row r="150" spans="1:26" ht="48.75" customHeight="1">
      <c r="A150" s="143"/>
      <c r="B150" s="212" t="s">
        <v>301</v>
      </c>
      <c r="C150" s="80">
        <v>0</v>
      </c>
      <c r="D150" s="80">
        <v>1</v>
      </c>
      <c r="E150" s="80">
        <v>0</v>
      </c>
      <c r="F150" s="80">
        <v>0</v>
      </c>
      <c r="G150" s="80">
        <v>0</v>
      </c>
      <c r="H150" s="80">
        <v>0</v>
      </c>
      <c r="I150" s="135" t="s">
        <v>123</v>
      </c>
      <c r="J150" s="81" t="s">
        <v>2901</v>
      </c>
      <c r="K150" s="170" t="s">
        <v>811</v>
      </c>
      <c r="L150" s="170" t="s">
        <v>748</v>
      </c>
      <c r="M150" s="170" t="s">
        <v>748</v>
      </c>
      <c r="N150" s="195" t="s">
        <v>748</v>
      </c>
      <c r="O150" s="195" t="s">
        <v>748</v>
      </c>
      <c r="P150" s="146"/>
      <c r="Q150" s="146"/>
      <c r="R150" s="146"/>
      <c r="S150" s="149"/>
      <c r="T150" s="149"/>
      <c r="U150" s="149"/>
      <c r="V150" s="149"/>
      <c r="W150" s="149"/>
      <c r="X150" s="149"/>
      <c r="Y150" s="149"/>
      <c r="Z150" s="149"/>
    </row>
    <row r="151" spans="1:26" ht="30.75" customHeight="1">
      <c r="A151" s="143"/>
      <c r="B151" s="217"/>
      <c r="C151" s="80"/>
      <c r="D151" s="80"/>
      <c r="E151" s="80"/>
      <c r="F151" s="80"/>
      <c r="G151" s="80"/>
      <c r="H151" s="80"/>
      <c r="I151" s="135"/>
      <c r="J151" s="81"/>
      <c r="K151" s="81"/>
      <c r="L151" s="178"/>
      <c r="M151" s="80"/>
      <c r="N151" s="81"/>
      <c r="O151" s="80"/>
      <c r="P151" s="146"/>
      <c r="Q151" s="146"/>
      <c r="R151" s="146"/>
      <c r="S151" s="149"/>
      <c r="T151" s="149"/>
      <c r="U151" s="149"/>
      <c r="V151" s="149"/>
      <c r="W151" s="149"/>
      <c r="X151" s="149"/>
      <c r="Y151" s="149"/>
      <c r="Z151" s="149"/>
    </row>
    <row r="152" spans="1:26" ht="30.75" customHeight="1">
      <c r="A152" s="143" t="s">
        <v>736</v>
      </c>
      <c r="B152" s="249" t="s">
        <v>302</v>
      </c>
      <c r="C152" s="80">
        <f t="shared" ref="C152:H152" si="30">AVERAGE(C153:C154)</f>
        <v>1</v>
      </c>
      <c r="D152" s="80">
        <f t="shared" si="30"/>
        <v>1</v>
      </c>
      <c r="E152" s="80">
        <f t="shared" si="30"/>
        <v>1</v>
      </c>
      <c r="F152" s="80">
        <f t="shared" si="30"/>
        <v>0.5</v>
      </c>
      <c r="G152" s="80">
        <f t="shared" si="30"/>
        <v>1</v>
      </c>
      <c r="H152" s="80">
        <f t="shared" si="30"/>
        <v>1</v>
      </c>
      <c r="I152" s="135"/>
      <c r="J152" s="81"/>
      <c r="K152" s="170"/>
      <c r="L152" s="178"/>
      <c r="M152" s="80"/>
      <c r="N152" s="81"/>
      <c r="O152" s="80"/>
      <c r="P152" s="146"/>
      <c r="Q152" s="146"/>
      <c r="R152" s="146"/>
      <c r="S152" s="149"/>
      <c r="T152" s="149"/>
      <c r="U152" s="149"/>
      <c r="V152" s="149"/>
      <c r="W152" s="149"/>
      <c r="X152" s="149"/>
      <c r="Y152" s="149"/>
      <c r="Z152" s="149"/>
    </row>
    <row r="153" spans="1:26" ht="30.75" customHeight="1">
      <c r="A153" s="143"/>
      <c r="B153" s="212" t="s">
        <v>303</v>
      </c>
      <c r="C153" s="80">
        <v>1</v>
      </c>
      <c r="D153" s="80">
        <v>1</v>
      </c>
      <c r="E153" s="80">
        <v>1</v>
      </c>
      <c r="F153" s="80">
        <v>1</v>
      </c>
      <c r="G153" s="80">
        <v>1</v>
      </c>
      <c r="H153" s="80">
        <v>1</v>
      </c>
      <c r="I153" s="135"/>
      <c r="J153" s="170" t="s">
        <v>811</v>
      </c>
      <c r="K153" s="170" t="s">
        <v>811</v>
      </c>
      <c r="L153" s="170" t="s">
        <v>811</v>
      </c>
      <c r="M153" s="81" t="s">
        <v>2902</v>
      </c>
      <c r="N153" s="195" t="s">
        <v>811</v>
      </c>
      <c r="O153" s="80" t="s">
        <v>811</v>
      </c>
      <c r="P153" s="146"/>
      <c r="Q153" s="146"/>
      <c r="R153" s="146"/>
      <c r="S153" s="149"/>
      <c r="T153" s="149"/>
      <c r="U153" s="149"/>
      <c r="V153" s="149"/>
      <c r="W153" s="149"/>
      <c r="X153" s="149"/>
      <c r="Y153" s="149"/>
      <c r="Z153" s="149"/>
    </row>
    <row r="154" spans="1:26" ht="30.75" customHeight="1">
      <c r="A154" s="143"/>
      <c r="B154" s="212" t="s">
        <v>304</v>
      </c>
      <c r="C154" s="80">
        <v>1</v>
      </c>
      <c r="D154" s="80">
        <v>1</v>
      </c>
      <c r="E154" s="80">
        <v>1</v>
      </c>
      <c r="F154" s="80">
        <v>0</v>
      </c>
      <c r="G154" s="80">
        <v>1</v>
      </c>
      <c r="H154" s="80">
        <v>1</v>
      </c>
      <c r="I154" s="135"/>
      <c r="J154" s="170" t="s">
        <v>811</v>
      </c>
      <c r="K154" s="170" t="s">
        <v>811</v>
      </c>
      <c r="L154" s="170" t="s">
        <v>811</v>
      </c>
      <c r="M154" s="81" t="s">
        <v>2903</v>
      </c>
      <c r="N154" s="195" t="s">
        <v>811</v>
      </c>
      <c r="O154" s="80" t="s">
        <v>811</v>
      </c>
      <c r="P154" s="146"/>
      <c r="Q154" s="146"/>
      <c r="R154" s="146"/>
      <c r="S154" s="149"/>
      <c r="T154" s="149"/>
      <c r="U154" s="149"/>
      <c r="V154" s="149"/>
      <c r="W154" s="149"/>
      <c r="X154" s="149"/>
      <c r="Y154" s="149"/>
      <c r="Z154" s="149"/>
    </row>
    <row r="155" spans="1:26" ht="13.5" customHeight="1">
      <c r="A155" s="143"/>
      <c r="B155" s="217"/>
      <c r="C155" s="80"/>
      <c r="D155" s="80"/>
      <c r="E155" s="80"/>
      <c r="F155" s="80"/>
      <c r="G155" s="80"/>
      <c r="H155" s="80"/>
      <c r="I155" s="135"/>
      <c r="J155" s="170"/>
      <c r="K155" s="81"/>
      <c r="L155" s="170"/>
      <c r="M155" s="81"/>
      <c r="N155" s="81"/>
      <c r="O155" s="170"/>
      <c r="P155" s="146"/>
      <c r="Q155" s="146"/>
      <c r="R155" s="146"/>
      <c r="S155" s="149"/>
      <c r="T155" s="149"/>
      <c r="U155" s="149"/>
      <c r="V155" s="149"/>
      <c r="W155" s="149"/>
      <c r="X155" s="149"/>
      <c r="Y155" s="149"/>
      <c r="Z155" s="149"/>
    </row>
    <row r="156" spans="1:26" ht="66.75" customHeight="1">
      <c r="A156" s="143" t="s">
        <v>736</v>
      </c>
      <c r="B156" s="249" t="s">
        <v>305</v>
      </c>
      <c r="C156" s="80">
        <f t="shared" ref="C156:H156" si="31">AVERAGE(C157:C161)</f>
        <v>1</v>
      </c>
      <c r="D156" s="80">
        <f t="shared" si="31"/>
        <v>1</v>
      </c>
      <c r="E156" s="80">
        <f t="shared" si="31"/>
        <v>0.4</v>
      </c>
      <c r="F156" s="80">
        <f t="shared" si="31"/>
        <v>0.8</v>
      </c>
      <c r="G156" s="80">
        <f t="shared" si="31"/>
        <v>0.6</v>
      </c>
      <c r="H156" s="80">
        <f t="shared" si="31"/>
        <v>1</v>
      </c>
      <c r="I156" s="135"/>
      <c r="J156" s="81"/>
      <c r="K156" s="170"/>
      <c r="L156" s="170"/>
      <c r="M156" s="81"/>
      <c r="N156" s="81"/>
      <c r="O156" s="170"/>
      <c r="P156" s="146"/>
      <c r="Q156" s="146"/>
      <c r="R156" s="146"/>
      <c r="S156" s="149"/>
      <c r="T156" s="149"/>
      <c r="U156" s="149"/>
      <c r="V156" s="149"/>
      <c r="W156" s="149"/>
      <c r="X156" s="149"/>
      <c r="Y156" s="149"/>
      <c r="Z156" s="149"/>
    </row>
    <row r="157" spans="1:26" ht="33.75" customHeight="1">
      <c r="A157" s="143"/>
      <c r="B157" s="212" t="s">
        <v>306</v>
      </c>
      <c r="C157" s="80">
        <v>1</v>
      </c>
      <c r="D157" s="80">
        <v>1</v>
      </c>
      <c r="E157" s="80">
        <v>1</v>
      </c>
      <c r="F157" s="944">
        <v>1</v>
      </c>
      <c r="G157" s="80">
        <v>1</v>
      </c>
      <c r="H157" s="80">
        <v>1</v>
      </c>
      <c r="I157" s="135" t="s">
        <v>123</v>
      </c>
      <c r="J157" s="170" t="s">
        <v>811</v>
      </c>
      <c r="K157" s="180" t="s">
        <v>2904</v>
      </c>
      <c r="L157" s="170" t="s">
        <v>811</v>
      </c>
      <c r="M157" s="81" t="s">
        <v>2905</v>
      </c>
      <c r="N157" s="195" t="s">
        <v>811</v>
      </c>
      <c r="O157" s="170" t="s">
        <v>811</v>
      </c>
      <c r="P157" s="146"/>
      <c r="Q157" s="146"/>
      <c r="R157" s="146"/>
      <c r="S157" s="149"/>
      <c r="T157" s="149"/>
      <c r="U157" s="149"/>
      <c r="V157" s="149"/>
      <c r="W157" s="149"/>
      <c r="X157" s="149"/>
      <c r="Y157" s="149"/>
      <c r="Z157" s="149"/>
    </row>
    <row r="158" spans="1:26" ht="24" customHeight="1">
      <c r="A158" s="143"/>
      <c r="B158" s="212" t="s">
        <v>307</v>
      </c>
      <c r="C158" s="80">
        <v>1</v>
      </c>
      <c r="D158" s="80">
        <v>1</v>
      </c>
      <c r="E158" s="80">
        <v>0</v>
      </c>
      <c r="F158" s="80">
        <v>1</v>
      </c>
      <c r="G158" s="80">
        <v>1</v>
      </c>
      <c r="H158" s="80">
        <v>1</v>
      </c>
      <c r="I158" s="135" t="s">
        <v>123</v>
      </c>
      <c r="J158" s="170" t="s">
        <v>811</v>
      </c>
      <c r="K158" s="170" t="s">
        <v>811</v>
      </c>
      <c r="L158" s="170" t="s">
        <v>748</v>
      </c>
      <c r="M158" s="81" t="s">
        <v>2906</v>
      </c>
      <c r="N158" s="195" t="s">
        <v>811</v>
      </c>
      <c r="O158" s="170" t="s">
        <v>811</v>
      </c>
      <c r="P158" s="146"/>
      <c r="Q158" s="146"/>
      <c r="R158" s="146"/>
      <c r="S158" s="149"/>
      <c r="T158" s="149"/>
      <c r="U158" s="149"/>
      <c r="V158" s="149"/>
      <c r="W158" s="149"/>
      <c r="X158" s="149"/>
      <c r="Y158" s="149"/>
      <c r="Z158" s="149"/>
    </row>
    <row r="159" spans="1:26" ht="27.75" customHeight="1">
      <c r="A159" s="143"/>
      <c r="B159" s="212" t="s">
        <v>308</v>
      </c>
      <c r="C159" s="80">
        <v>1</v>
      </c>
      <c r="D159" s="80">
        <v>1</v>
      </c>
      <c r="E159" s="80">
        <v>1</v>
      </c>
      <c r="F159" s="80">
        <v>0</v>
      </c>
      <c r="G159" s="80">
        <v>0</v>
      </c>
      <c r="H159" s="80">
        <v>1</v>
      </c>
      <c r="I159" s="135" t="s">
        <v>123</v>
      </c>
      <c r="J159" s="170" t="s">
        <v>811</v>
      </c>
      <c r="K159" s="81" t="s">
        <v>2907</v>
      </c>
      <c r="L159" s="170" t="s">
        <v>811</v>
      </c>
      <c r="M159" s="81" t="s">
        <v>2908</v>
      </c>
      <c r="N159" s="195" t="s">
        <v>748</v>
      </c>
      <c r="O159" s="170" t="s">
        <v>811</v>
      </c>
      <c r="P159" s="146"/>
      <c r="Q159" s="146"/>
      <c r="R159" s="146"/>
      <c r="S159" s="149"/>
      <c r="T159" s="149"/>
      <c r="U159" s="149"/>
      <c r="V159" s="149"/>
      <c r="W159" s="149"/>
      <c r="X159" s="149"/>
      <c r="Y159" s="149"/>
      <c r="Z159" s="149"/>
    </row>
    <row r="160" spans="1:26" ht="33" customHeight="1">
      <c r="A160" s="143"/>
      <c r="B160" s="212" t="s">
        <v>309</v>
      </c>
      <c r="C160" s="80">
        <v>1</v>
      </c>
      <c r="D160" s="80">
        <v>1</v>
      </c>
      <c r="E160" s="80">
        <v>0</v>
      </c>
      <c r="F160" s="80">
        <v>1</v>
      </c>
      <c r="G160" s="80">
        <v>1</v>
      </c>
      <c r="H160" s="80">
        <v>1</v>
      </c>
      <c r="I160" s="135" t="s">
        <v>2909</v>
      </c>
      <c r="J160" s="170" t="s">
        <v>811</v>
      </c>
      <c r="K160" s="81" t="s">
        <v>2910</v>
      </c>
      <c r="L160" s="170" t="s">
        <v>748</v>
      </c>
      <c r="M160" s="81" t="s">
        <v>2911</v>
      </c>
      <c r="N160" s="195" t="s">
        <v>811</v>
      </c>
      <c r="O160" s="170" t="s">
        <v>811</v>
      </c>
      <c r="P160" s="146"/>
      <c r="Q160" s="146"/>
      <c r="R160" s="146"/>
      <c r="S160" s="149"/>
      <c r="T160" s="149"/>
      <c r="U160" s="149"/>
      <c r="V160" s="149"/>
      <c r="W160" s="149"/>
      <c r="X160" s="149"/>
      <c r="Y160" s="149"/>
      <c r="Z160" s="149"/>
    </row>
    <row r="161" spans="1:26" ht="24.75" customHeight="1">
      <c r="A161" s="143"/>
      <c r="B161" s="212" t="s">
        <v>311</v>
      </c>
      <c r="C161" s="80">
        <v>1</v>
      </c>
      <c r="D161" s="80">
        <v>1</v>
      </c>
      <c r="E161" s="80">
        <v>0</v>
      </c>
      <c r="F161" s="80">
        <v>1</v>
      </c>
      <c r="G161" s="80">
        <v>0</v>
      </c>
      <c r="H161" s="80">
        <v>1</v>
      </c>
      <c r="I161" s="241" t="s">
        <v>123</v>
      </c>
      <c r="J161" s="170" t="s">
        <v>811</v>
      </c>
      <c r="K161" s="170" t="s">
        <v>811</v>
      </c>
      <c r="L161" s="170" t="s">
        <v>748</v>
      </c>
      <c r="M161" s="81" t="s">
        <v>2912</v>
      </c>
      <c r="N161" s="195" t="s">
        <v>748</v>
      </c>
      <c r="O161" s="170" t="s">
        <v>811</v>
      </c>
      <c r="P161" s="146"/>
      <c r="Q161" s="146"/>
      <c r="R161" s="146"/>
      <c r="S161" s="149"/>
      <c r="T161" s="149"/>
      <c r="U161" s="149"/>
      <c r="V161" s="149"/>
      <c r="W161" s="149"/>
      <c r="X161" s="149"/>
      <c r="Y161" s="149"/>
      <c r="Z161" s="149"/>
    </row>
    <row r="162" spans="1:26" ht="29.25" customHeight="1">
      <c r="A162" s="143"/>
      <c r="B162" s="217"/>
      <c r="C162" s="80"/>
      <c r="D162" s="80"/>
      <c r="E162" s="80"/>
      <c r="F162" s="80"/>
      <c r="G162" s="80"/>
      <c r="H162" s="80"/>
      <c r="I162" s="135"/>
      <c r="J162" s="81"/>
      <c r="K162" s="170"/>
      <c r="L162" s="170"/>
      <c r="M162" s="81"/>
      <c r="N162" s="81"/>
      <c r="O162" s="170"/>
      <c r="P162" s="146"/>
      <c r="Q162" s="146"/>
      <c r="R162" s="146"/>
      <c r="S162" s="149"/>
      <c r="T162" s="149"/>
      <c r="U162" s="149"/>
      <c r="V162" s="149"/>
      <c r="W162" s="149"/>
      <c r="X162" s="149"/>
      <c r="Y162" s="149"/>
      <c r="Z162" s="149"/>
    </row>
    <row r="163" spans="1:26" ht="90" customHeight="1">
      <c r="A163" s="253" t="s">
        <v>736</v>
      </c>
      <c r="B163" s="249" t="s">
        <v>312</v>
      </c>
      <c r="C163" s="80">
        <v>1</v>
      </c>
      <c r="D163" s="80">
        <v>1</v>
      </c>
      <c r="E163" s="80">
        <v>0</v>
      </c>
      <c r="F163" s="80">
        <v>1</v>
      </c>
      <c r="G163" s="944">
        <v>0</v>
      </c>
      <c r="H163" s="80">
        <v>1</v>
      </c>
      <c r="I163" s="135" t="s">
        <v>123</v>
      </c>
      <c r="J163" s="81" t="s">
        <v>1044</v>
      </c>
      <c r="K163" s="81" t="s">
        <v>1045</v>
      </c>
      <c r="L163" s="170" t="s">
        <v>748</v>
      </c>
      <c r="M163" s="81" t="s">
        <v>2913</v>
      </c>
      <c r="N163" s="170" t="s">
        <v>748</v>
      </c>
      <c r="O163" s="81" t="s">
        <v>2914</v>
      </c>
      <c r="P163" s="146"/>
      <c r="Q163" s="146"/>
      <c r="R163" s="146"/>
      <c r="S163" s="149"/>
      <c r="T163" s="149"/>
      <c r="U163" s="149"/>
      <c r="V163" s="149"/>
      <c r="W163" s="149"/>
      <c r="X163" s="149"/>
      <c r="Y163" s="149"/>
      <c r="Z163" s="149"/>
    </row>
    <row r="164" spans="1:26" ht="13.5" customHeight="1">
      <c r="A164" s="143"/>
      <c r="B164" s="254"/>
      <c r="C164" s="87"/>
      <c r="D164" s="87"/>
      <c r="E164" s="87"/>
      <c r="F164" s="87"/>
      <c r="G164" s="87"/>
      <c r="H164" s="87"/>
      <c r="I164" s="135"/>
      <c r="J164" s="198"/>
      <c r="K164" s="87"/>
      <c r="L164" s="198"/>
      <c r="M164" s="75"/>
      <c r="N164" s="75"/>
      <c r="O164" s="198"/>
      <c r="P164" s="146"/>
      <c r="Q164" s="146"/>
      <c r="R164" s="146"/>
      <c r="S164" s="149"/>
      <c r="T164" s="149"/>
      <c r="U164" s="149"/>
      <c r="V164" s="149"/>
      <c r="W164" s="149"/>
      <c r="X164" s="149"/>
      <c r="Y164" s="149"/>
      <c r="Z164" s="149"/>
    </row>
    <row r="165" spans="1:26" ht="13.5" customHeight="1">
      <c r="A165" s="199" t="s">
        <v>1049</v>
      </c>
      <c r="B165" s="200" t="s">
        <v>314</v>
      </c>
      <c r="C165" s="72">
        <f t="shared" ref="C165:H165" si="32">AVERAGE(C166,C168,C174,C184,C186,C190,C192,C194)</f>
        <v>0.48477867555509446</v>
      </c>
      <c r="D165" s="72">
        <f t="shared" si="32"/>
        <v>0.6316689147125959</v>
      </c>
      <c r="E165" s="72">
        <f t="shared" si="32"/>
        <v>0.21816637269142974</v>
      </c>
      <c r="F165" s="72">
        <f t="shared" si="32"/>
        <v>0.40701844262295084</v>
      </c>
      <c r="G165" s="72">
        <f t="shared" si="32"/>
        <v>0.31550892301307321</v>
      </c>
      <c r="H165" s="72">
        <f t="shared" si="32"/>
        <v>0.45925470792695577</v>
      </c>
      <c r="I165" s="138"/>
      <c r="J165" s="167"/>
      <c r="K165" s="72"/>
      <c r="L165" s="167"/>
      <c r="M165" s="74"/>
      <c r="N165" s="74"/>
      <c r="O165" s="167"/>
      <c r="P165" s="137"/>
      <c r="Q165" s="137"/>
      <c r="R165" s="137"/>
      <c r="S165" s="138"/>
      <c r="T165" s="138"/>
      <c r="U165" s="138"/>
      <c r="V165" s="138"/>
      <c r="W165" s="138"/>
      <c r="X165" s="138"/>
      <c r="Y165" s="138"/>
      <c r="Z165" s="138"/>
    </row>
    <row r="166" spans="1:26" ht="108.75" customHeight="1">
      <c r="A166" s="253" t="s">
        <v>736</v>
      </c>
      <c r="B166" s="249" t="s">
        <v>315</v>
      </c>
      <c r="C166" s="944">
        <v>0.5</v>
      </c>
      <c r="D166" s="944">
        <v>0.5</v>
      </c>
      <c r="E166" s="944">
        <v>0</v>
      </c>
      <c r="F166" s="944">
        <v>0</v>
      </c>
      <c r="G166" s="944">
        <v>0.5</v>
      </c>
      <c r="H166" s="944">
        <v>0</v>
      </c>
      <c r="I166" s="241" t="s">
        <v>316</v>
      </c>
      <c r="J166" s="81" t="s">
        <v>2915</v>
      </c>
      <c r="K166" s="182" t="s">
        <v>2916</v>
      </c>
      <c r="L166" s="81" t="s">
        <v>763</v>
      </c>
      <c r="M166" s="81" t="s">
        <v>763</v>
      </c>
      <c r="N166" s="81" t="s">
        <v>748</v>
      </c>
      <c r="O166" s="81" t="s">
        <v>748</v>
      </c>
      <c r="P166" s="146"/>
      <c r="Q166" s="146"/>
      <c r="R166" s="146"/>
      <c r="S166" s="149"/>
      <c r="T166" s="149"/>
      <c r="U166" s="149"/>
      <c r="V166" s="149"/>
      <c r="W166" s="149"/>
      <c r="X166" s="149"/>
      <c r="Y166" s="149"/>
      <c r="Z166" s="149"/>
    </row>
    <row r="167" spans="1:26" ht="20.25" customHeight="1">
      <c r="A167" s="2"/>
      <c r="B167" s="950"/>
      <c r="C167" s="195"/>
      <c r="D167" s="195"/>
      <c r="E167" s="195"/>
      <c r="F167" s="195"/>
      <c r="G167" s="195"/>
      <c r="H167" s="195"/>
      <c r="I167" s="18"/>
      <c r="J167" s="156"/>
      <c r="K167" s="945"/>
      <c r="L167" s="945"/>
      <c r="M167" s="156"/>
      <c r="N167" s="945"/>
      <c r="O167" s="945"/>
      <c r="P167" s="15"/>
      <c r="Q167" s="15"/>
      <c r="R167" s="15"/>
      <c r="S167" s="15"/>
      <c r="T167" s="15"/>
      <c r="U167" s="15"/>
      <c r="V167" s="15"/>
      <c r="W167" s="15"/>
      <c r="X167" s="15"/>
      <c r="Y167" s="15"/>
      <c r="Z167" s="15"/>
    </row>
    <row r="168" spans="1:26" ht="63" customHeight="1">
      <c r="A168" s="253" t="s">
        <v>736</v>
      </c>
      <c r="B168" s="249" t="s">
        <v>317</v>
      </c>
      <c r="C168" s="80">
        <f t="shared" ref="C168:H168" si="33">AVERAGE(C169:C172)</f>
        <v>0.25</v>
      </c>
      <c r="D168" s="80">
        <f t="shared" si="33"/>
        <v>0.5</v>
      </c>
      <c r="E168" s="80">
        <f t="shared" si="33"/>
        <v>0</v>
      </c>
      <c r="F168" s="80">
        <f t="shared" si="33"/>
        <v>0.75</v>
      </c>
      <c r="G168" s="80">
        <f t="shared" si="33"/>
        <v>0</v>
      </c>
      <c r="H168" s="80">
        <f t="shared" si="33"/>
        <v>0.5</v>
      </c>
      <c r="I168" s="135"/>
      <c r="J168" s="81"/>
      <c r="K168" s="170"/>
      <c r="L168" s="178"/>
      <c r="M168" s="81"/>
      <c r="N168" s="81"/>
      <c r="O168" s="80"/>
      <c r="P168" s="146"/>
      <c r="Q168" s="146"/>
      <c r="R168" s="146"/>
      <c r="S168" s="149"/>
      <c r="T168" s="149"/>
      <c r="U168" s="149"/>
      <c r="V168" s="149"/>
      <c r="W168" s="149"/>
      <c r="X168" s="149"/>
      <c r="Y168" s="149"/>
      <c r="Z168" s="149"/>
    </row>
    <row r="169" spans="1:26" ht="27.75" customHeight="1">
      <c r="A169" s="143"/>
      <c r="B169" s="212" t="s">
        <v>2917</v>
      </c>
      <c r="C169" s="80">
        <v>0</v>
      </c>
      <c r="D169" s="944">
        <v>1</v>
      </c>
      <c r="E169" s="80">
        <v>0</v>
      </c>
      <c r="F169" s="80">
        <v>0</v>
      </c>
      <c r="G169" s="80">
        <v>0</v>
      </c>
      <c r="H169" s="80">
        <v>0</v>
      </c>
      <c r="I169" s="135" t="s">
        <v>38</v>
      </c>
      <c r="J169" s="170" t="s">
        <v>748</v>
      </c>
      <c r="K169" s="81" t="s">
        <v>2918</v>
      </c>
      <c r="L169" s="170" t="s">
        <v>748</v>
      </c>
      <c r="M169" s="170" t="s">
        <v>748</v>
      </c>
      <c r="N169" s="195" t="s">
        <v>748</v>
      </c>
      <c r="O169" s="80" t="s">
        <v>748</v>
      </c>
      <c r="P169" s="146"/>
      <c r="Q169" s="146"/>
      <c r="R169" s="146"/>
      <c r="S169" s="149"/>
      <c r="T169" s="149"/>
      <c r="U169" s="149"/>
      <c r="V169" s="149"/>
      <c r="W169" s="149"/>
      <c r="X169" s="149"/>
      <c r="Y169" s="149"/>
      <c r="Z169" s="149"/>
    </row>
    <row r="170" spans="1:26" ht="44.25" customHeight="1">
      <c r="A170" s="143"/>
      <c r="B170" s="212" t="s">
        <v>2919</v>
      </c>
      <c r="C170" s="80">
        <v>0</v>
      </c>
      <c r="D170" s="80">
        <v>0</v>
      </c>
      <c r="E170" s="80">
        <v>0</v>
      </c>
      <c r="F170" s="80">
        <v>1</v>
      </c>
      <c r="G170" s="80">
        <v>0</v>
      </c>
      <c r="H170" s="80">
        <v>1</v>
      </c>
      <c r="I170" s="135" t="s">
        <v>38</v>
      </c>
      <c r="J170" s="170" t="s">
        <v>748</v>
      </c>
      <c r="K170" s="170" t="s">
        <v>748</v>
      </c>
      <c r="L170" s="170" t="s">
        <v>748</v>
      </c>
      <c r="M170" s="81" t="s">
        <v>2920</v>
      </c>
      <c r="N170" s="195" t="s">
        <v>748</v>
      </c>
      <c r="O170" s="80" t="s">
        <v>811</v>
      </c>
      <c r="P170" s="146"/>
      <c r="Q170" s="146"/>
      <c r="R170" s="146"/>
      <c r="S170" s="149"/>
      <c r="T170" s="149"/>
      <c r="U170" s="149"/>
      <c r="V170" s="149"/>
      <c r="W170" s="149"/>
      <c r="X170" s="149"/>
      <c r="Y170" s="149"/>
      <c r="Z170" s="149"/>
    </row>
    <row r="171" spans="1:26" ht="55.5" customHeight="1">
      <c r="A171" s="143"/>
      <c r="B171" s="212" t="s">
        <v>2921</v>
      </c>
      <c r="C171" s="80">
        <v>1</v>
      </c>
      <c r="D171" s="80">
        <v>1</v>
      </c>
      <c r="E171" s="80">
        <v>0</v>
      </c>
      <c r="F171" s="80">
        <v>1</v>
      </c>
      <c r="G171" s="80">
        <v>0</v>
      </c>
      <c r="H171" s="80">
        <v>1</v>
      </c>
      <c r="I171" s="135" t="s">
        <v>38</v>
      </c>
      <c r="J171" s="170" t="s">
        <v>811</v>
      </c>
      <c r="K171" s="180" t="s">
        <v>2922</v>
      </c>
      <c r="L171" s="170" t="s">
        <v>748</v>
      </c>
      <c r="M171" s="81" t="s">
        <v>2923</v>
      </c>
      <c r="N171" s="195" t="s">
        <v>748</v>
      </c>
      <c r="O171" s="178" t="s">
        <v>2924</v>
      </c>
      <c r="P171" s="146"/>
      <c r="Q171" s="146"/>
      <c r="R171" s="146"/>
      <c r="S171" s="149"/>
      <c r="T171" s="149"/>
      <c r="U171" s="149"/>
      <c r="V171" s="149"/>
      <c r="W171" s="149"/>
      <c r="X171" s="149"/>
      <c r="Y171" s="149"/>
      <c r="Z171" s="149"/>
    </row>
    <row r="172" spans="1:26" ht="27.75" customHeight="1">
      <c r="A172" s="143"/>
      <c r="B172" s="212" t="s">
        <v>321</v>
      </c>
      <c r="C172" s="80">
        <v>0</v>
      </c>
      <c r="D172" s="80">
        <v>0</v>
      </c>
      <c r="E172" s="80">
        <v>0</v>
      </c>
      <c r="F172" s="80">
        <v>1</v>
      </c>
      <c r="G172" s="80">
        <v>0</v>
      </c>
      <c r="H172" s="80">
        <v>0</v>
      </c>
      <c r="I172" s="135" t="s">
        <v>38</v>
      </c>
      <c r="J172" s="170" t="s">
        <v>748</v>
      </c>
      <c r="K172" s="170" t="s">
        <v>748</v>
      </c>
      <c r="L172" s="170" t="s">
        <v>748</v>
      </c>
      <c r="M172" s="81" t="s">
        <v>2925</v>
      </c>
      <c r="N172" s="195" t="s">
        <v>748</v>
      </c>
      <c r="O172" s="81" t="s">
        <v>748</v>
      </c>
      <c r="P172" s="146"/>
      <c r="Q172" s="146"/>
      <c r="R172" s="146"/>
      <c r="S172" s="149"/>
      <c r="T172" s="149"/>
      <c r="U172" s="149"/>
      <c r="V172" s="149"/>
      <c r="W172" s="149"/>
      <c r="X172" s="149"/>
      <c r="Y172" s="149"/>
      <c r="Z172" s="149"/>
    </row>
    <row r="173" spans="1:26" ht="24" customHeight="1">
      <c r="A173" s="143"/>
      <c r="B173" s="212"/>
      <c r="C173" s="80"/>
      <c r="D173" s="80"/>
      <c r="E173" s="80"/>
      <c r="F173" s="80"/>
      <c r="G173" s="80"/>
      <c r="H173" s="80"/>
      <c r="I173" s="149"/>
      <c r="J173" s="170"/>
      <c r="K173" s="170"/>
      <c r="L173" s="170"/>
      <c r="M173" s="81"/>
      <c r="N173" s="170"/>
      <c r="O173" s="81"/>
      <c r="P173" s="146"/>
      <c r="Q173" s="146"/>
      <c r="R173" s="146"/>
      <c r="S173" s="149"/>
      <c r="T173" s="149"/>
      <c r="U173" s="149"/>
      <c r="V173" s="149"/>
      <c r="W173" s="149"/>
      <c r="X173" s="149"/>
      <c r="Y173" s="149"/>
      <c r="Z173" s="149"/>
    </row>
    <row r="174" spans="1:26" ht="42" customHeight="1">
      <c r="A174" s="253" t="s">
        <v>736</v>
      </c>
      <c r="B174" s="249" t="s">
        <v>2926</v>
      </c>
      <c r="C174" s="80">
        <f t="shared" ref="C174:H174" si="34">AVERAGE(C175:C182)</f>
        <v>0.5625</v>
      </c>
      <c r="D174" s="80">
        <f t="shared" si="34"/>
        <v>0.75</v>
      </c>
      <c r="E174" s="80">
        <f t="shared" si="34"/>
        <v>0</v>
      </c>
      <c r="F174" s="80">
        <f t="shared" si="34"/>
        <v>0.375</v>
      </c>
      <c r="G174" s="80">
        <f t="shared" si="34"/>
        <v>0</v>
      </c>
      <c r="H174" s="80">
        <f t="shared" si="34"/>
        <v>0.8125</v>
      </c>
      <c r="I174" s="261" t="s">
        <v>323</v>
      </c>
      <c r="J174" s="81"/>
      <c r="K174" s="80"/>
      <c r="L174" s="170"/>
      <c r="M174" s="81"/>
      <c r="N174" s="81"/>
      <c r="O174" s="170"/>
      <c r="P174" s="146"/>
      <c r="Q174" s="146"/>
      <c r="R174" s="146"/>
      <c r="S174" s="149"/>
      <c r="T174" s="149"/>
      <c r="U174" s="149"/>
      <c r="V174" s="149"/>
      <c r="W174" s="149"/>
      <c r="X174" s="149"/>
      <c r="Y174" s="149"/>
      <c r="Z174" s="149"/>
    </row>
    <row r="175" spans="1:26" ht="42" customHeight="1">
      <c r="A175" s="143"/>
      <c r="B175" s="212" t="s">
        <v>324</v>
      </c>
      <c r="C175" s="944">
        <v>0</v>
      </c>
      <c r="D175" s="80">
        <v>0</v>
      </c>
      <c r="E175" s="80">
        <v>0</v>
      </c>
      <c r="F175" s="80">
        <v>0</v>
      </c>
      <c r="G175" s="80">
        <v>0</v>
      </c>
      <c r="H175" s="80">
        <v>0</v>
      </c>
      <c r="I175" s="135"/>
      <c r="J175" s="81" t="s">
        <v>748</v>
      </c>
      <c r="K175" s="170" t="s">
        <v>748</v>
      </c>
      <c r="L175" s="170" t="s">
        <v>748</v>
      </c>
      <c r="M175" s="81" t="s">
        <v>748</v>
      </c>
      <c r="N175" s="170" t="s">
        <v>748</v>
      </c>
      <c r="O175" s="170" t="s">
        <v>748</v>
      </c>
      <c r="P175" s="146"/>
      <c r="Q175" s="146"/>
      <c r="R175" s="146"/>
      <c r="S175" s="149"/>
      <c r="T175" s="149"/>
      <c r="U175" s="149"/>
      <c r="V175" s="149"/>
      <c r="W175" s="149"/>
      <c r="X175" s="149"/>
      <c r="Y175" s="149"/>
      <c r="Z175" s="149"/>
    </row>
    <row r="176" spans="1:26" ht="55.5" customHeight="1">
      <c r="A176" s="143"/>
      <c r="B176" s="212" t="s">
        <v>325</v>
      </c>
      <c r="C176" s="80">
        <v>1</v>
      </c>
      <c r="D176" s="80">
        <v>1</v>
      </c>
      <c r="E176" s="80">
        <v>0</v>
      </c>
      <c r="F176" s="80">
        <v>1</v>
      </c>
      <c r="G176" s="80">
        <v>0</v>
      </c>
      <c r="H176" s="80">
        <v>1</v>
      </c>
      <c r="I176" s="135"/>
      <c r="J176" s="81" t="s">
        <v>811</v>
      </c>
      <c r="K176" s="170" t="s">
        <v>811</v>
      </c>
      <c r="L176" s="170" t="s">
        <v>748</v>
      </c>
      <c r="M176" s="81" t="s">
        <v>2927</v>
      </c>
      <c r="N176" s="170" t="s">
        <v>748</v>
      </c>
      <c r="O176" s="170" t="s">
        <v>811</v>
      </c>
      <c r="P176" s="146"/>
      <c r="Q176" s="146"/>
      <c r="R176" s="146"/>
      <c r="S176" s="149"/>
      <c r="T176" s="149"/>
      <c r="U176" s="149"/>
      <c r="V176" s="149"/>
      <c r="W176" s="149"/>
      <c r="X176" s="149"/>
      <c r="Y176" s="149"/>
      <c r="Z176" s="149"/>
    </row>
    <row r="177" spans="1:26" ht="55.5" customHeight="1">
      <c r="A177" s="143"/>
      <c r="B177" s="212" t="s">
        <v>326</v>
      </c>
      <c r="C177" s="944">
        <v>0.5</v>
      </c>
      <c r="D177" s="80">
        <v>1</v>
      </c>
      <c r="E177" s="80">
        <v>0</v>
      </c>
      <c r="F177" s="80">
        <v>0</v>
      </c>
      <c r="G177" s="80">
        <v>0</v>
      </c>
      <c r="H177" s="80">
        <v>1</v>
      </c>
      <c r="I177" s="135"/>
      <c r="J177" s="81" t="s">
        <v>2928</v>
      </c>
      <c r="K177" s="170" t="s">
        <v>811</v>
      </c>
      <c r="L177" s="170" t="s">
        <v>748</v>
      </c>
      <c r="M177" s="81" t="s">
        <v>748</v>
      </c>
      <c r="N177" s="170" t="s">
        <v>748</v>
      </c>
      <c r="O177" s="170" t="s">
        <v>811</v>
      </c>
      <c r="P177" s="146"/>
      <c r="Q177" s="146"/>
      <c r="R177" s="146"/>
      <c r="S177" s="149"/>
      <c r="T177" s="149"/>
      <c r="U177" s="149"/>
      <c r="V177" s="149"/>
      <c r="W177" s="149"/>
      <c r="X177" s="149"/>
      <c r="Y177" s="149"/>
      <c r="Z177" s="149"/>
    </row>
    <row r="178" spans="1:26" ht="42" customHeight="1">
      <c r="A178" s="143"/>
      <c r="B178" s="212" t="s">
        <v>327</v>
      </c>
      <c r="C178" s="80">
        <v>0</v>
      </c>
      <c r="D178" s="80">
        <v>1</v>
      </c>
      <c r="E178" s="80">
        <v>0</v>
      </c>
      <c r="F178" s="944">
        <v>0.5</v>
      </c>
      <c r="G178" s="80">
        <v>0</v>
      </c>
      <c r="H178" s="80">
        <v>1</v>
      </c>
      <c r="I178" s="135"/>
      <c r="J178" s="170" t="s">
        <v>748</v>
      </c>
      <c r="K178" s="170" t="s">
        <v>811</v>
      </c>
      <c r="L178" s="170" t="s">
        <v>748</v>
      </c>
      <c r="M178" s="81" t="s">
        <v>2929</v>
      </c>
      <c r="N178" s="170" t="s">
        <v>748</v>
      </c>
      <c r="O178" s="170" t="s">
        <v>811</v>
      </c>
      <c r="P178" s="146"/>
      <c r="Q178" s="146"/>
      <c r="R178" s="146"/>
      <c r="S178" s="149"/>
      <c r="T178" s="149"/>
      <c r="U178" s="149"/>
      <c r="V178" s="149"/>
      <c r="W178" s="149"/>
      <c r="X178" s="149"/>
      <c r="Y178" s="149"/>
      <c r="Z178" s="149"/>
    </row>
    <row r="179" spans="1:26" ht="55.5" customHeight="1">
      <c r="A179" s="143"/>
      <c r="B179" s="212" t="s">
        <v>328</v>
      </c>
      <c r="C179" s="80">
        <v>1</v>
      </c>
      <c r="D179" s="80">
        <v>0</v>
      </c>
      <c r="E179" s="80">
        <v>0</v>
      </c>
      <c r="F179" s="80">
        <v>0.5</v>
      </c>
      <c r="G179" s="80">
        <v>0</v>
      </c>
      <c r="H179" s="80">
        <v>1</v>
      </c>
      <c r="I179" s="135"/>
      <c r="J179" s="170" t="s">
        <v>811</v>
      </c>
      <c r="K179" s="178" t="s">
        <v>2930</v>
      </c>
      <c r="L179" s="170" t="s">
        <v>748</v>
      </c>
      <c r="M179" s="81" t="s">
        <v>2931</v>
      </c>
      <c r="N179" s="170" t="s">
        <v>748</v>
      </c>
      <c r="O179" s="170" t="s">
        <v>811</v>
      </c>
      <c r="P179" s="146"/>
      <c r="Q179" s="146"/>
      <c r="R179" s="146"/>
      <c r="S179" s="149"/>
      <c r="T179" s="149"/>
      <c r="U179" s="149"/>
      <c r="V179" s="149"/>
      <c r="W179" s="149"/>
      <c r="X179" s="149"/>
      <c r="Y179" s="149"/>
      <c r="Z179" s="149"/>
    </row>
    <row r="180" spans="1:26" ht="57" customHeight="1">
      <c r="A180" s="143"/>
      <c r="B180" s="212" t="s">
        <v>329</v>
      </c>
      <c r="C180" s="80">
        <v>1</v>
      </c>
      <c r="D180" s="80">
        <v>1</v>
      </c>
      <c r="E180" s="80">
        <v>0</v>
      </c>
      <c r="F180" s="80">
        <v>0</v>
      </c>
      <c r="G180" s="80">
        <v>0</v>
      </c>
      <c r="H180" s="944">
        <v>0.5</v>
      </c>
      <c r="I180" s="135"/>
      <c r="J180" s="81" t="s">
        <v>811</v>
      </c>
      <c r="K180" s="81" t="s">
        <v>811</v>
      </c>
      <c r="L180" s="170" t="s">
        <v>748</v>
      </c>
      <c r="M180" s="81" t="s">
        <v>2932</v>
      </c>
      <c r="N180" s="170" t="s">
        <v>748</v>
      </c>
      <c r="O180" s="81" t="s">
        <v>2933</v>
      </c>
      <c r="P180" s="146"/>
      <c r="Q180" s="146"/>
      <c r="R180" s="146"/>
      <c r="S180" s="149"/>
      <c r="T180" s="149"/>
      <c r="U180" s="149"/>
      <c r="V180" s="149"/>
      <c r="W180" s="149"/>
      <c r="X180" s="149"/>
      <c r="Y180" s="149"/>
      <c r="Z180" s="149"/>
    </row>
    <row r="181" spans="1:26" ht="55.5" customHeight="1">
      <c r="A181" s="143"/>
      <c r="B181" s="212" t="s">
        <v>330</v>
      </c>
      <c r="C181" s="80">
        <v>1</v>
      </c>
      <c r="D181" s="80">
        <v>1</v>
      </c>
      <c r="E181" s="80">
        <v>0</v>
      </c>
      <c r="F181" s="80">
        <v>1</v>
      </c>
      <c r="G181" s="80">
        <v>0</v>
      </c>
      <c r="H181" s="80">
        <v>1</v>
      </c>
      <c r="I181" s="135"/>
      <c r="J181" s="81" t="s">
        <v>811</v>
      </c>
      <c r="K181" s="81" t="s">
        <v>811</v>
      </c>
      <c r="L181" s="170" t="s">
        <v>748</v>
      </c>
      <c r="M181" s="81" t="s">
        <v>2934</v>
      </c>
      <c r="N181" s="170" t="s">
        <v>748</v>
      </c>
      <c r="O181" s="170" t="s">
        <v>811</v>
      </c>
      <c r="P181" s="146"/>
      <c r="Q181" s="146"/>
      <c r="R181" s="146"/>
      <c r="S181" s="149"/>
      <c r="T181" s="149"/>
      <c r="U181" s="149"/>
      <c r="V181" s="149"/>
      <c r="W181" s="149"/>
      <c r="X181" s="149"/>
      <c r="Y181" s="149"/>
      <c r="Z181" s="149"/>
    </row>
    <row r="182" spans="1:26" ht="30.75" customHeight="1">
      <c r="A182" s="143"/>
      <c r="B182" s="212" t="s">
        <v>331</v>
      </c>
      <c r="C182" s="80">
        <v>0</v>
      </c>
      <c r="D182" s="80">
        <v>1</v>
      </c>
      <c r="E182" s="80">
        <v>0</v>
      </c>
      <c r="F182" s="944">
        <v>0</v>
      </c>
      <c r="G182" s="80">
        <v>0</v>
      </c>
      <c r="H182" s="80">
        <v>1</v>
      </c>
      <c r="I182" s="135"/>
      <c r="J182" s="81" t="s">
        <v>748</v>
      </c>
      <c r="K182" s="81" t="s">
        <v>2935</v>
      </c>
      <c r="L182" s="170" t="s">
        <v>748</v>
      </c>
      <c r="M182" s="81" t="s">
        <v>2936</v>
      </c>
      <c r="N182" s="170" t="s">
        <v>748</v>
      </c>
      <c r="O182" s="170" t="s">
        <v>811</v>
      </c>
      <c r="P182" s="146"/>
      <c r="Q182" s="146"/>
      <c r="R182" s="146"/>
      <c r="S182" s="149"/>
      <c r="T182" s="149"/>
      <c r="U182" s="149"/>
      <c r="V182" s="149"/>
      <c r="W182" s="149"/>
      <c r="X182" s="149"/>
      <c r="Y182" s="149"/>
      <c r="Z182" s="149"/>
    </row>
    <row r="183" spans="1:26" ht="26.25" customHeight="1">
      <c r="A183" s="143"/>
      <c r="B183" s="212"/>
      <c r="C183" s="80"/>
      <c r="D183" s="80"/>
      <c r="E183" s="80"/>
      <c r="F183" s="80"/>
      <c r="G183" s="80"/>
      <c r="H183" s="80"/>
      <c r="I183" s="135"/>
      <c r="J183" s="81"/>
      <c r="K183" s="81"/>
      <c r="L183" s="81"/>
      <c r="M183" s="80"/>
      <c r="N183" s="170"/>
      <c r="O183" s="170"/>
      <c r="P183" s="146"/>
      <c r="Q183" s="146"/>
      <c r="R183" s="146"/>
      <c r="S183" s="149"/>
      <c r="T183" s="149"/>
      <c r="U183" s="149"/>
      <c r="V183" s="149"/>
      <c r="W183" s="149"/>
      <c r="X183" s="149"/>
      <c r="Y183" s="149"/>
      <c r="Z183" s="149"/>
    </row>
    <row r="184" spans="1:26" ht="87" customHeight="1">
      <c r="A184" s="253" t="s">
        <v>736</v>
      </c>
      <c r="B184" s="249" t="s">
        <v>2937</v>
      </c>
      <c r="C184" s="80">
        <v>1</v>
      </c>
      <c r="D184" s="80">
        <v>1</v>
      </c>
      <c r="E184" s="80">
        <v>0</v>
      </c>
      <c r="F184" s="80">
        <v>0</v>
      </c>
      <c r="G184" s="80">
        <v>1</v>
      </c>
      <c r="H184" s="80">
        <v>1</v>
      </c>
      <c r="I184" s="135"/>
      <c r="J184" s="81" t="s">
        <v>1068</v>
      </c>
      <c r="K184" s="81" t="s">
        <v>1068</v>
      </c>
      <c r="L184" s="170" t="s">
        <v>748</v>
      </c>
      <c r="M184" s="178" t="s">
        <v>2938</v>
      </c>
      <c r="N184" s="188" t="s">
        <v>2939</v>
      </c>
      <c r="O184" s="188" t="s">
        <v>1134</v>
      </c>
      <c r="P184" s="146"/>
      <c r="Q184" s="146"/>
      <c r="R184" s="146"/>
      <c r="S184" s="149"/>
      <c r="T184" s="149"/>
      <c r="U184" s="149"/>
      <c r="V184" s="149"/>
      <c r="W184" s="149"/>
      <c r="X184" s="149"/>
      <c r="Y184" s="149"/>
      <c r="Z184" s="149"/>
    </row>
    <row r="185" spans="1:26" ht="13.5" customHeight="1">
      <c r="A185" s="143"/>
      <c r="B185" s="217"/>
      <c r="C185" s="80"/>
      <c r="D185" s="80"/>
      <c r="E185" s="80"/>
      <c r="F185" s="80"/>
      <c r="G185" s="80"/>
      <c r="H185" s="80"/>
      <c r="I185" s="135"/>
      <c r="J185" s="81"/>
      <c r="K185" s="170"/>
      <c r="L185" s="170"/>
      <c r="M185" s="81"/>
      <c r="N185" s="81"/>
      <c r="O185" s="170"/>
      <c r="P185" s="146"/>
      <c r="Q185" s="146"/>
      <c r="R185" s="146"/>
      <c r="S185" s="149"/>
      <c r="T185" s="149"/>
      <c r="U185" s="149"/>
      <c r="V185" s="149"/>
      <c r="W185" s="149"/>
      <c r="X185" s="149"/>
      <c r="Y185" s="149"/>
      <c r="Z185" s="149"/>
    </row>
    <row r="186" spans="1:26" ht="62.25" customHeight="1">
      <c r="A186" s="253" t="s">
        <v>736</v>
      </c>
      <c r="B186" s="249" t="s">
        <v>333</v>
      </c>
      <c r="C186" s="80">
        <f t="shared" ref="C186:H186" si="35">AVERAGE(C187:C188)</f>
        <v>0.5</v>
      </c>
      <c r="D186" s="80">
        <f t="shared" si="35"/>
        <v>1</v>
      </c>
      <c r="E186" s="80">
        <f t="shared" si="35"/>
        <v>0</v>
      </c>
      <c r="F186" s="80">
        <f t="shared" si="35"/>
        <v>0.75</v>
      </c>
      <c r="G186" s="80">
        <f t="shared" si="35"/>
        <v>0</v>
      </c>
      <c r="H186" s="80">
        <f t="shared" si="35"/>
        <v>0</v>
      </c>
      <c r="I186" s="241" t="s">
        <v>334</v>
      </c>
      <c r="J186" s="81"/>
      <c r="K186" s="170"/>
      <c r="L186" s="170"/>
      <c r="M186" s="81"/>
      <c r="N186" s="81"/>
      <c r="O186" s="170"/>
      <c r="P186" s="146"/>
      <c r="Q186" s="146"/>
      <c r="R186" s="146"/>
      <c r="S186" s="149"/>
      <c r="T186" s="149"/>
      <c r="U186" s="149"/>
      <c r="V186" s="149"/>
      <c r="W186" s="149"/>
      <c r="X186" s="149"/>
      <c r="Y186" s="149"/>
      <c r="Z186" s="149"/>
    </row>
    <row r="187" spans="1:26" ht="58.5" customHeight="1">
      <c r="A187" s="143"/>
      <c r="B187" s="212" t="s">
        <v>335</v>
      </c>
      <c r="C187" s="80">
        <v>1</v>
      </c>
      <c r="D187" s="80">
        <v>1</v>
      </c>
      <c r="E187" s="80">
        <v>0</v>
      </c>
      <c r="F187" s="944">
        <v>0.5</v>
      </c>
      <c r="G187" s="80">
        <v>0</v>
      </c>
      <c r="H187" s="80">
        <v>0</v>
      </c>
      <c r="I187" s="135"/>
      <c r="J187" s="81" t="s">
        <v>811</v>
      </c>
      <c r="K187" s="81" t="s">
        <v>1068</v>
      </c>
      <c r="L187" s="170" t="s">
        <v>748</v>
      </c>
      <c r="M187" s="81" t="s">
        <v>2940</v>
      </c>
      <c r="N187" s="188" t="s">
        <v>763</v>
      </c>
      <c r="O187" s="170" t="s">
        <v>748</v>
      </c>
      <c r="P187" s="146"/>
      <c r="Q187" s="146"/>
      <c r="R187" s="146"/>
      <c r="S187" s="149"/>
      <c r="T187" s="149"/>
      <c r="U187" s="149"/>
      <c r="V187" s="149"/>
      <c r="W187" s="149"/>
      <c r="X187" s="149"/>
      <c r="Y187" s="149"/>
      <c r="Z187" s="149"/>
    </row>
    <row r="188" spans="1:26" ht="34.5" customHeight="1">
      <c r="A188" s="143"/>
      <c r="B188" s="212" t="s">
        <v>336</v>
      </c>
      <c r="C188" s="80">
        <v>0</v>
      </c>
      <c r="D188" s="80">
        <v>1</v>
      </c>
      <c r="E188" s="80">
        <v>0</v>
      </c>
      <c r="F188" s="80">
        <v>1</v>
      </c>
      <c r="G188" s="80">
        <v>0</v>
      </c>
      <c r="H188" s="80">
        <v>0</v>
      </c>
      <c r="I188" s="135"/>
      <c r="J188" s="81" t="s">
        <v>748</v>
      </c>
      <c r="K188" s="81" t="s">
        <v>1068</v>
      </c>
      <c r="L188" s="170" t="s">
        <v>748</v>
      </c>
      <c r="M188" s="81" t="s">
        <v>2941</v>
      </c>
      <c r="N188" s="188" t="s">
        <v>763</v>
      </c>
      <c r="O188" s="170" t="s">
        <v>748</v>
      </c>
      <c r="P188" s="146"/>
      <c r="Q188" s="146"/>
      <c r="R188" s="146"/>
      <c r="S188" s="149"/>
      <c r="T188" s="149"/>
      <c r="U188" s="149"/>
      <c r="V188" s="149"/>
      <c r="W188" s="149"/>
      <c r="X188" s="149"/>
      <c r="Y188" s="149"/>
      <c r="Z188" s="149"/>
    </row>
    <row r="189" spans="1:26" ht="13.5" customHeight="1">
      <c r="A189" s="143"/>
      <c r="B189" s="217"/>
      <c r="C189" s="80"/>
      <c r="D189" s="80"/>
      <c r="E189" s="80"/>
      <c r="F189" s="80"/>
      <c r="G189" s="80"/>
      <c r="H189" s="80"/>
      <c r="I189" s="135"/>
      <c r="J189" s="81"/>
      <c r="K189" s="170"/>
      <c r="L189" s="170"/>
      <c r="M189" s="81"/>
      <c r="N189" s="170"/>
      <c r="O189" s="170"/>
      <c r="P189" s="146"/>
      <c r="Q189" s="146"/>
      <c r="R189" s="146"/>
      <c r="S189" s="149"/>
      <c r="T189" s="149"/>
      <c r="U189" s="149"/>
      <c r="V189" s="149"/>
      <c r="W189" s="149"/>
      <c r="X189" s="149"/>
      <c r="Y189" s="149"/>
      <c r="Z189" s="149"/>
    </row>
    <row r="190" spans="1:26" ht="110.25" customHeight="1">
      <c r="A190" s="143" t="s">
        <v>736</v>
      </c>
      <c r="B190" s="168" t="s">
        <v>2942</v>
      </c>
      <c r="C190" s="80">
        <f>(9.4-8.8)/(33.2-8.8)</f>
        <v>2.4590163934426212E-2</v>
      </c>
      <c r="D190" s="80">
        <f>(19.8-8.8)/(33.2-8.8)</f>
        <v>0.45081967213114749</v>
      </c>
      <c r="E190" s="80">
        <f>(26.6-8.8)/(33.2-8.8)</f>
        <v>0.7295081967213114</v>
      </c>
      <c r="F190" s="80">
        <f>(12-8.8)/(33.2-8.8)</f>
        <v>0.13114754098360651</v>
      </c>
      <c r="G190" s="80">
        <f>(10.7-8.8)/(33.2-8.8)</f>
        <v>7.7868852459016327E-2</v>
      </c>
      <c r="H190" s="80">
        <f>(16-8.8)/(33.2-8.8)</f>
        <v>0.29508196721311469</v>
      </c>
      <c r="I190" s="267" t="s">
        <v>2943</v>
      </c>
      <c r="J190" s="81" t="s">
        <v>2944</v>
      </c>
      <c r="K190" s="81" t="s">
        <v>2945</v>
      </c>
      <c r="L190" s="81" t="s">
        <v>2946</v>
      </c>
      <c r="M190" s="81" t="s">
        <v>2947</v>
      </c>
      <c r="N190" s="81" t="s">
        <v>2948</v>
      </c>
      <c r="O190" s="81" t="s">
        <v>1082</v>
      </c>
      <c r="P190" s="146"/>
      <c r="Q190" s="146"/>
      <c r="R190" s="146"/>
      <c r="S190" s="149"/>
      <c r="T190" s="149"/>
      <c r="U190" s="149"/>
      <c r="V190" s="149"/>
      <c r="W190" s="149"/>
      <c r="X190" s="149"/>
      <c r="Y190" s="149"/>
      <c r="Z190" s="149"/>
    </row>
    <row r="191" spans="1:26" ht="13.5" customHeight="1">
      <c r="A191" s="143"/>
      <c r="B191" s="168"/>
      <c r="C191" s="80"/>
      <c r="D191" s="80"/>
      <c r="E191" s="80"/>
      <c r="F191" s="80"/>
      <c r="G191" s="80"/>
      <c r="H191" s="80"/>
      <c r="I191" s="267"/>
      <c r="J191" s="81"/>
      <c r="K191" s="81"/>
      <c r="L191" s="81"/>
      <c r="M191" s="83"/>
      <c r="N191" s="81"/>
      <c r="O191" s="81"/>
      <c r="P191" s="146"/>
      <c r="Q191" s="146"/>
      <c r="R191" s="146"/>
      <c r="S191" s="149"/>
      <c r="T191" s="149"/>
      <c r="U191" s="149"/>
      <c r="V191" s="149"/>
      <c r="W191" s="149"/>
      <c r="X191" s="149"/>
      <c r="Y191" s="149"/>
      <c r="Z191" s="149"/>
    </row>
    <row r="192" spans="1:26" ht="63.75" customHeight="1">
      <c r="A192" s="143" t="s">
        <v>736</v>
      </c>
      <c r="B192" s="168" t="s">
        <v>2949</v>
      </c>
      <c r="C192" s="80">
        <f>(12.5-0)/(15.8-0)</f>
        <v>0.79113924050632911</v>
      </c>
      <c r="D192" s="80">
        <f>(9.52-0)/(15.8-0)</f>
        <v>0.60253164556962024</v>
      </c>
      <c r="E192" s="80">
        <f>(4.2-0)/(15.8-0)</f>
        <v>0.26582278481012656</v>
      </c>
      <c r="F192" s="80">
        <f>(15.8-0)/(15.8-0)</f>
        <v>1</v>
      </c>
      <c r="G192" s="80">
        <f>(11-0)/(15.8-0)</f>
        <v>0.69620253164556956</v>
      </c>
      <c r="H192" s="80">
        <f>(5-0)/(15.8-0)</f>
        <v>0.31645569620253161</v>
      </c>
      <c r="I192" s="267" t="s">
        <v>1084</v>
      </c>
      <c r="J192" s="81" t="s">
        <v>2950</v>
      </c>
      <c r="K192" s="81" t="s">
        <v>2951</v>
      </c>
      <c r="L192" s="81" t="s">
        <v>2952</v>
      </c>
      <c r="M192" s="81" t="s">
        <v>2953</v>
      </c>
      <c r="N192" s="81" t="s">
        <v>2954</v>
      </c>
      <c r="O192" s="81" t="s">
        <v>1090</v>
      </c>
      <c r="P192" s="146"/>
      <c r="Q192" s="146"/>
      <c r="R192" s="146"/>
      <c r="S192" s="149"/>
      <c r="T192" s="149"/>
      <c r="U192" s="149"/>
      <c r="V192" s="149"/>
      <c r="W192" s="149"/>
      <c r="X192" s="149"/>
      <c r="Y192" s="149"/>
      <c r="Z192" s="149"/>
    </row>
    <row r="193" spans="1:26" ht="13.5" customHeight="1">
      <c r="A193" s="143"/>
      <c r="B193" s="217"/>
      <c r="C193" s="80"/>
      <c r="D193" s="80"/>
      <c r="E193" s="80"/>
      <c r="F193" s="80"/>
      <c r="G193" s="80"/>
      <c r="H193" s="80"/>
      <c r="I193" s="135"/>
      <c r="J193" s="81"/>
      <c r="K193" s="170"/>
      <c r="L193" s="170"/>
      <c r="M193" s="80"/>
      <c r="N193" s="81"/>
      <c r="O193" s="170"/>
      <c r="P193" s="146"/>
      <c r="Q193" s="146"/>
      <c r="R193" s="146"/>
      <c r="S193" s="149"/>
      <c r="T193" s="149"/>
      <c r="U193" s="149"/>
      <c r="V193" s="149"/>
      <c r="W193" s="149"/>
      <c r="X193" s="149"/>
      <c r="Y193" s="149"/>
      <c r="Z193" s="149"/>
    </row>
    <row r="194" spans="1:26" ht="84" customHeight="1">
      <c r="A194" s="143" t="s">
        <v>736</v>
      </c>
      <c r="B194" s="168" t="s">
        <v>2955</v>
      </c>
      <c r="C194" s="80">
        <v>0.25</v>
      </c>
      <c r="D194" s="80">
        <v>0.25</v>
      </c>
      <c r="E194" s="80">
        <v>0.75</v>
      </c>
      <c r="F194" s="80">
        <v>0.25</v>
      </c>
      <c r="G194" s="80">
        <v>0.25</v>
      </c>
      <c r="H194" s="80">
        <v>0.75</v>
      </c>
      <c r="I194" s="261" t="s">
        <v>2956</v>
      </c>
      <c r="J194" s="81" t="s">
        <v>2957</v>
      </c>
      <c r="K194" s="81" t="s">
        <v>2958</v>
      </c>
      <c r="L194" s="81" t="s">
        <v>2959</v>
      </c>
      <c r="M194" s="81" t="s">
        <v>2960</v>
      </c>
      <c r="N194" s="81" t="s">
        <v>2961</v>
      </c>
      <c r="O194" s="81" t="s">
        <v>2962</v>
      </c>
      <c r="P194" s="146"/>
      <c r="Q194" s="146"/>
      <c r="R194" s="146"/>
      <c r="S194" s="149"/>
      <c r="T194" s="149"/>
      <c r="U194" s="149"/>
      <c r="V194" s="149"/>
      <c r="W194" s="149"/>
      <c r="X194" s="149"/>
      <c r="Y194" s="149"/>
      <c r="Z194" s="149"/>
    </row>
    <row r="195" spans="1:26" ht="13.5" customHeight="1">
      <c r="A195" s="2"/>
      <c r="B195" s="3"/>
      <c r="C195" s="271"/>
      <c r="D195" s="271"/>
      <c r="E195" s="271"/>
      <c r="F195" s="271"/>
      <c r="G195" s="271"/>
      <c r="H195" s="271"/>
      <c r="I195" s="18"/>
      <c r="J195" s="75"/>
      <c r="K195" s="75"/>
      <c r="L195" s="198"/>
      <c r="M195" s="75"/>
      <c r="N195" s="75"/>
      <c r="O195" s="75"/>
      <c r="P195" s="77"/>
      <c r="Q195" s="77"/>
      <c r="R195" s="77"/>
      <c r="S195" s="15"/>
      <c r="T195" s="15"/>
      <c r="U195" s="15"/>
      <c r="V195" s="15"/>
      <c r="W195" s="15"/>
      <c r="X195" s="15"/>
      <c r="Y195" s="15"/>
      <c r="Z195" s="15"/>
    </row>
    <row r="196" spans="1:26" ht="13.5" customHeight="1">
      <c r="A196" s="55" t="s">
        <v>184</v>
      </c>
      <c r="B196" s="59" t="s">
        <v>207</v>
      </c>
      <c r="C196" s="272">
        <f t="shared" ref="C196:H196" si="36">AVERAGE(C197,C204,C217,C228)</f>
        <v>0.47083333333333333</v>
      </c>
      <c r="D196" s="272">
        <f t="shared" si="36"/>
        <v>0.74583333333333324</v>
      </c>
      <c r="E196" s="272">
        <f t="shared" si="36"/>
        <v>0.19166666666666665</v>
      </c>
      <c r="F196" s="272">
        <f t="shared" si="36"/>
        <v>0.80833333333333335</v>
      </c>
      <c r="G196" s="272">
        <f t="shared" si="36"/>
        <v>0.6166666666666667</v>
      </c>
      <c r="H196" s="272">
        <f t="shared" si="36"/>
        <v>0.22083333333333333</v>
      </c>
      <c r="I196" s="62"/>
      <c r="J196" s="273"/>
      <c r="K196" s="273"/>
      <c r="L196" s="273"/>
      <c r="M196" s="273"/>
      <c r="N196" s="273"/>
      <c r="O196" s="273"/>
      <c r="P196" s="66"/>
      <c r="Q196" s="66"/>
      <c r="R196" s="66"/>
      <c r="S196" s="66"/>
      <c r="T196" s="66"/>
      <c r="U196" s="66"/>
      <c r="V196" s="66"/>
      <c r="W196" s="66"/>
      <c r="X196" s="66"/>
      <c r="Y196" s="66"/>
      <c r="Z196" s="66"/>
    </row>
    <row r="197" spans="1:26" ht="27.75" customHeight="1">
      <c r="A197" s="16" t="s">
        <v>186</v>
      </c>
      <c r="B197" s="70" t="s">
        <v>2963</v>
      </c>
      <c r="C197" s="275">
        <f t="shared" ref="C197:H197" si="37">AVERAGE(C198,C200,C202)</f>
        <v>0.16666666666666666</v>
      </c>
      <c r="D197" s="275">
        <f t="shared" si="37"/>
        <v>0.66666666666666663</v>
      </c>
      <c r="E197" s="275">
        <f t="shared" si="37"/>
        <v>0</v>
      </c>
      <c r="F197" s="275">
        <f t="shared" si="37"/>
        <v>0.66666666666666663</v>
      </c>
      <c r="G197" s="275">
        <f t="shared" si="37"/>
        <v>0.5</v>
      </c>
      <c r="H197" s="275">
        <f t="shared" si="37"/>
        <v>0</v>
      </c>
      <c r="I197" s="276"/>
      <c r="J197" s="74"/>
      <c r="K197" s="74"/>
      <c r="L197" s="74"/>
      <c r="M197" s="74"/>
      <c r="N197" s="74"/>
      <c r="O197" s="74"/>
      <c r="P197" s="76"/>
      <c r="Q197" s="76"/>
      <c r="R197" s="76"/>
      <c r="S197" s="23"/>
      <c r="T197" s="23"/>
      <c r="U197" s="23"/>
      <c r="V197" s="23"/>
      <c r="W197" s="23"/>
      <c r="X197" s="23"/>
      <c r="Y197" s="23"/>
      <c r="Z197" s="23"/>
    </row>
    <row r="198" spans="1:26" ht="157.5" customHeight="1">
      <c r="A198" s="2" t="s">
        <v>736</v>
      </c>
      <c r="B198" s="113" t="s">
        <v>2964</v>
      </c>
      <c r="C198" s="195">
        <v>0.5</v>
      </c>
      <c r="D198" s="195">
        <v>0.5</v>
      </c>
      <c r="E198" s="195">
        <v>0</v>
      </c>
      <c r="F198" s="195">
        <v>1</v>
      </c>
      <c r="G198" s="951">
        <v>0.5</v>
      </c>
      <c r="H198" s="195">
        <v>0</v>
      </c>
      <c r="I198" s="18" t="s">
        <v>211</v>
      </c>
      <c r="J198" s="81" t="s">
        <v>2965</v>
      </c>
      <c r="K198" s="81" t="s">
        <v>2966</v>
      </c>
      <c r="L198" s="81" t="s">
        <v>2967</v>
      </c>
      <c r="M198" s="182" t="s">
        <v>2968</v>
      </c>
      <c r="N198" s="81" t="s">
        <v>2969</v>
      </c>
      <c r="O198" s="182" t="s">
        <v>2970</v>
      </c>
      <c r="P198" s="77"/>
      <c r="Q198" s="77"/>
      <c r="R198" s="77"/>
      <c r="S198" s="15"/>
      <c r="T198" s="15"/>
      <c r="U198" s="15"/>
      <c r="V198" s="15"/>
      <c r="W198" s="15"/>
      <c r="X198" s="15"/>
      <c r="Y198" s="15"/>
      <c r="Z198" s="15"/>
    </row>
    <row r="199" spans="1:26" ht="20.25" customHeight="1">
      <c r="A199" s="2"/>
      <c r="B199" s="113"/>
      <c r="C199" s="80"/>
      <c r="D199" s="80"/>
      <c r="E199" s="80"/>
      <c r="F199" s="80"/>
      <c r="G199" s="80"/>
      <c r="H199" s="80"/>
      <c r="I199" s="149"/>
      <c r="J199" s="81"/>
      <c r="K199" s="81"/>
      <c r="L199" s="81"/>
      <c r="M199" s="81"/>
      <c r="N199" s="81"/>
      <c r="O199" s="81"/>
      <c r="P199" s="77"/>
      <c r="Q199" s="77"/>
      <c r="R199" s="77"/>
      <c r="S199" s="15"/>
      <c r="T199" s="15"/>
      <c r="U199" s="15"/>
      <c r="V199" s="15"/>
      <c r="W199" s="15"/>
      <c r="X199" s="15"/>
      <c r="Y199" s="15"/>
      <c r="Z199" s="15"/>
    </row>
    <row r="200" spans="1:26" ht="145.5" customHeight="1">
      <c r="A200" s="2" t="s">
        <v>736</v>
      </c>
      <c r="B200" s="113" t="s">
        <v>212</v>
      </c>
      <c r="C200" s="195">
        <v>0</v>
      </c>
      <c r="D200" s="195">
        <v>0.5</v>
      </c>
      <c r="E200" s="195">
        <v>0</v>
      </c>
      <c r="F200" s="195">
        <v>0</v>
      </c>
      <c r="G200" s="195">
        <v>0</v>
      </c>
      <c r="H200" s="195">
        <v>0</v>
      </c>
      <c r="I200" s="18" t="s">
        <v>2971</v>
      </c>
      <c r="J200" s="81" t="s">
        <v>2972</v>
      </c>
      <c r="K200" s="182" t="s">
        <v>2973</v>
      </c>
      <c r="L200" s="81" t="s">
        <v>2974</v>
      </c>
      <c r="M200" s="81" t="s">
        <v>2975</v>
      </c>
      <c r="N200" s="81" t="s">
        <v>2976</v>
      </c>
      <c r="O200" s="182" t="s">
        <v>2977</v>
      </c>
      <c r="P200" s="77"/>
      <c r="Q200" s="77"/>
      <c r="R200" s="77"/>
      <c r="S200" s="15"/>
      <c r="T200" s="15"/>
      <c r="U200" s="15"/>
      <c r="V200" s="15"/>
      <c r="W200" s="15"/>
      <c r="X200" s="15"/>
      <c r="Y200" s="15"/>
      <c r="Z200" s="15"/>
    </row>
    <row r="201" spans="1:26" ht="24" customHeight="1">
      <c r="A201" s="2"/>
      <c r="B201" s="113"/>
      <c r="C201" s="80"/>
      <c r="D201" s="80"/>
      <c r="E201" s="80"/>
      <c r="F201" s="80"/>
      <c r="G201" s="80"/>
      <c r="H201" s="80"/>
      <c r="I201" s="149"/>
      <c r="J201" s="81"/>
      <c r="K201" s="81"/>
      <c r="L201" s="81"/>
      <c r="M201" s="81"/>
      <c r="N201" s="81"/>
      <c r="O201" s="81"/>
      <c r="P201" s="77"/>
      <c r="Q201" s="77"/>
      <c r="R201" s="77"/>
      <c r="S201" s="15"/>
      <c r="T201" s="15"/>
      <c r="U201" s="15"/>
      <c r="V201" s="15"/>
      <c r="W201" s="15"/>
      <c r="X201" s="15"/>
      <c r="Y201" s="15"/>
      <c r="Z201" s="15"/>
    </row>
    <row r="202" spans="1:26" ht="141.75" customHeight="1">
      <c r="A202" s="2" t="s">
        <v>736</v>
      </c>
      <c r="B202" s="113" t="s">
        <v>214</v>
      </c>
      <c r="C202" s="195">
        <v>0</v>
      </c>
      <c r="D202" s="951">
        <v>1</v>
      </c>
      <c r="E202" s="951">
        <v>0</v>
      </c>
      <c r="F202" s="951">
        <v>1</v>
      </c>
      <c r="G202" s="951">
        <v>1</v>
      </c>
      <c r="H202" s="195">
        <v>0</v>
      </c>
      <c r="I202" s="18" t="s">
        <v>2978</v>
      </c>
      <c r="J202" s="81" t="s">
        <v>2979</v>
      </c>
      <c r="K202" s="182" t="s">
        <v>2980</v>
      </c>
      <c r="L202" s="182" t="s">
        <v>2981</v>
      </c>
      <c r="M202" s="182" t="s">
        <v>2982</v>
      </c>
      <c r="N202" s="81" t="s">
        <v>2983</v>
      </c>
      <c r="O202" s="81" t="s">
        <v>2984</v>
      </c>
      <c r="P202" s="77"/>
      <c r="Q202" s="77"/>
      <c r="R202" s="77"/>
      <c r="S202" s="15"/>
      <c r="T202" s="15"/>
      <c r="U202" s="15"/>
      <c r="V202" s="15"/>
      <c r="W202" s="15"/>
      <c r="X202" s="15"/>
      <c r="Y202" s="15"/>
      <c r="Z202" s="15"/>
    </row>
    <row r="203" spans="1:26" ht="25.5" customHeight="1">
      <c r="A203" s="2"/>
      <c r="B203" s="3"/>
      <c r="C203" s="87"/>
      <c r="D203" s="87"/>
      <c r="E203" s="87"/>
      <c r="F203" s="87"/>
      <c r="G203" s="87"/>
      <c r="H203" s="87"/>
      <c r="I203" s="149"/>
      <c r="J203" s="75"/>
      <c r="K203" s="75"/>
      <c r="L203" s="75"/>
      <c r="M203" s="75"/>
      <c r="N203" s="75"/>
      <c r="O203" s="75"/>
      <c r="P203" s="77"/>
      <c r="Q203" s="77"/>
      <c r="R203" s="77"/>
      <c r="S203" s="15"/>
      <c r="T203" s="15"/>
      <c r="U203" s="15"/>
      <c r="V203" s="15"/>
      <c r="W203" s="15"/>
      <c r="X203" s="15"/>
      <c r="Y203" s="15"/>
      <c r="Z203" s="15"/>
    </row>
    <row r="204" spans="1:26" ht="13.5" customHeight="1">
      <c r="A204" s="16" t="s">
        <v>1109</v>
      </c>
      <c r="B204" s="70" t="s">
        <v>217</v>
      </c>
      <c r="C204" s="275">
        <f t="shared" ref="C204:H204" si="38">AVERAGE(C205,C207,C209,C211,C213,C215)</f>
        <v>0.41666666666666669</v>
      </c>
      <c r="D204" s="275">
        <f t="shared" si="38"/>
        <v>0.75</v>
      </c>
      <c r="E204" s="275">
        <f t="shared" si="38"/>
        <v>0.25</v>
      </c>
      <c r="F204" s="275">
        <f t="shared" si="38"/>
        <v>0.91666666666666663</v>
      </c>
      <c r="G204" s="275">
        <f t="shared" si="38"/>
        <v>0.58333333333333337</v>
      </c>
      <c r="H204" s="275">
        <f t="shared" si="38"/>
        <v>0.41666666666666669</v>
      </c>
      <c r="I204" s="276"/>
      <c r="J204" s="74"/>
      <c r="K204" s="275"/>
      <c r="L204" s="279"/>
      <c r="M204" s="275"/>
      <c r="N204" s="275"/>
      <c r="O204" s="74"/>
      <c r="P204" s="76"/>
      <c r="Q204" s="76"/>
      <c r="R204" s="76"/>
      <c r="S204" s="23"/>
      <c r="T204" s="23"/>
      <c r="U204" s="23"/>
      <c r="V204" s="23"/>
      <c r="W204" s="23"/>
      <c r="X204" s="23"/>
      <c r="Y204" s="23"/>
      <c r="Z204" s="23"/>
    </row>
    <row r="205" spans="1:26" ht="215.25" customHeight="1">
      <c r="A205" s="2" t="s">
        <v>736</v>
      </c>
      <c r="B205" s="113" t="s">
        <v>218</v>
      </c>
      <c r="C205" s="195">
        <v>0</v>
      </c>
      <c r="D205" s="195">
        <v>0.5</v>
      </c>
      <c r="E205" s="195">
        <v>0</v>
      </c>
      <c r="F205" s="951">
        <v>0.5</v>
      </c>
      <c r="G205" s="195">
        <v>0</v>
      </c>
      <c r="H205" s="195">
        <v>0</v>
      </c>
      <c r="I205" s="18" t="s">
        <v>219</v>
      </c>
      <c r="J205" s="81" t="s">
        <v>2985</v>
      </c>
      <c r="K205" s="182" t="s">
        <v>2986</v>
      </c>
      <c r="L205" s="81" t="s">
        <v>2987</v>
      </c>
      <c r="M205" s="81" t="s">
        <v>2988</v>
      </c>
      <c r="N205" s="81" t="s">
        <v>2989</v>
      </c>
      <c r="O205" s="81" t="s">
        <v>2990</v>
      </c>
      <c r="P205" s="77"/>
      <c r="Q205" s="77"/>
      <c r="R205" s="77"/>
      <c r="S205" s="15"/>
      <c r="T205" s="15"/>
      <c r="U205" s="15"/>
      <c r="V205" s="15"/>
      <c r="W205" s="15"/>
      <c r="X205" s="15"/>
      <c r="Y205" s="15"/>
      <c r="Z205" s="15"/>
    </row>
    <row r="206" spans="1:26" ht="24.75" customHeight="1">
      <c r="A206" s="2"/>
      <c r="B206" s="113"/>
      <c r="C206" s="80"/>
      <c r="D206" s="80"/>
      <c r="E206" s="80"/>
      <c r="F206" s="80"/>
      <c r="G206" s="80"/>
      <c r="H206" s="80"/>
      <c r="I206" s="149"/>
      <c r="J206" s="81"/>
      <c r="K206" s="81"/>
      <c r="L206" s="81"/>
      <c r="M206" s="81"/>
      <c r="N206" s="81"/>
      <c r="O206" s="81"/>
      <c r="P206" s="77"/>
      <c r="Q206" s="77"/>
      <c r="R206" s="77"/>
      <c r="S206" s="15"/>
      <c r="T206" s="15"/>
      <c r="U206" s="15"/>
      <c r="V206" s="15"/>
      <c r="W206" s="15"/>
      <c r="X206" s="15"/>
      <c r="Y206" s="15"/>
      <c r="Z206" s="15"/>
    </row>
    <row r="207" spans="1:26" ht="169.5" customHeight="1">
      <c r="A207" s="2" t="s">
        <v>736</v>
      </c>
      <c r="B207" s="113" t="s">
        <v>220</v>
      </c>
      <c r="C207" s="195">
        <v>0.5</v>
      </c>
      <c r="D207" s="195">
        <v>0.5</v>
      </c>
      <c r="E207" s="195">
        <v>0</v>
      </c>
      <c r="F207" s="195">
        <v>1</v>
      </c>
      <c r="G207" s="951">
        <v>1</v>
      </c>
      <c r="H207" s="195">
        <v>0</v>
      </c>
      <c r="I207" s="18" t="s">
        <v>123</v>
      </c>
      <c r="J207" s="81" t="s">
        <v>2991</v>
      </c>
      <c r="K207" s="180" t="s">
        <v>2992</v>
      </c>
      <c r="L207" s="81" t="s">
        <v>2993</v>
      </c>
      <c r="M207" s="182" t="s">
        <v>2994</v>
      </c>
      <c r="N207" s="182" t="s">
        <v>2995</v>
      </c>
      <c r="O207" s="81" t="s">
        <v>2996</v>
      </c>
      <c r="P207" s="77"/>
      <c r="Q207" s="77"/>
      <c r="R207" s="77"/>
      <c r="S207" s="15"/>
      <c r="T207" s="15"/>
      <c r="U207" s="15"/>
      <c r="V207" s="15"/>
      <c r="W207" s="15"/>
      <c r="X207" s="15"/>
      <c r="Y207" s="15"/>
      <c r="Z207" s="15"/>
    </row>
    <row r="208" spans="1:26" ht="23.25" customHeight="1">
      <c r="A208" s="2"/>
      <c r="B208" s="113"/>
      <c r="C208" s="80"/>
      <c r="D208" s="80"/>
      <c r="E208" s="80"/>
      <c r="F208" s="80"/>
      <c r="G208" s="80"/>
      <c r="H208" s="80"/>
      <c r="I208" s="149"/>
      <c r="J208" s="81"/>
      <c r="K208" s="81"/>
      <c r="L208" s="81"/>
      <c r="M208" s="81"/>
      <c r="N208" s="81"/>
      <c r="O208" s="81"/>
      <c r="P208" s="77"/>
      <c r="Q208" s="77"/>
      <c r="R208" s="77"/>
      <c r="S208" s="15"/>
      <c r="T208" s="15"/>
      <c r="U208" s="15"/>
      <c r="V208" s="15"/>
      <c r="W208" s="15"/>
      <c r="X208" s="15"/>
      <c r="Y208" s="15"/>
      <c r="Z208" s="15"/>
    </row>
    <row r="209" spans="1:26" ht="153.75" customHeight="1">
      <c r="A209" s="2" t="s">
        <v>736</v>
      </c>
      <c r="B209" s="113" t="s">
        <v>222</v>
      </c>
      <c r="C209" s="195">
        <v>0</v>
      </c>
      <c r="D209" s="951">
        <v>0.5</v>
      </c>
      <c r="E209" s="195">
        <v>0</v>
      </c>
      <c r="F209" s="195">
        <v>1</v>
      </c>
      <c r="G209" s="195">
        <v>0.5</v>
      </c>
      <c r="H209" s="951">
        <v>0.5</v>
      </c>
      <c r="I209" s="18" t="s">
        <v>38</v>
      </c>
      <c r="J209" s="81" t="s">
        <v>2997</v>
      </c>
      <c r="K209" s="81" t="s">
        <v>2998</v>
      </c>
      <c r="L209" s="81" t="s">
        <v>748</v>
      </c>
      <c r="M209" s="81" t="s">
        <v>2999</v>
      </c>
      <c r="N209" s="182" t="s">
        <v>3000</v>
      </c>
      <c r="O209" s="182" t="s">
        <v>3001</v>
      </c>
      <c r="P209" s="77"/>
      <c r="Q209" s="77"/>
      <c r="R209" s="77"/>
      <c r="S209" s="15"/>
      <c r="T209" s="15"/>
      <c r="U209" s="15"/>
      <c r="V209" s="15"/>
      <c r="W209" s="15"/>
      <c r="X209" s="15"/>
      <c r="Y209" s="15"/>
      <c r="Z209" s="15"/>
    </row>
    <row r="210" spans="1:26" ht="20.25" customHeight="1">
      <c r="A210" s="2"/>
      <c r="B210" s="113"/>
      <c r="C210" s="80"/>
      <c r="D210" s="80"/>
      <c r="E210" s="80"/>
      <c r="F210" s="80"/>
      <c r="G210" s="80"/>
      <c r="H210" s="80"/>
      <c r="I210" s="149"/>
      <c r="J210" s="81"/>
      <c r="K210" s="81"/>
      <c r="L210" s="81"/>
      <c r="M210" s="81"/>
      <c r="N210" s="81"/>
      <c r="O210" s="81"/>
      <c r="P210" s="77"/>
      <c r="Q210" s="77"/>
      <c r="R210" s="77"/>
      <c r="S210" s="15"/>
      <c r="T210" s="15"/>
      <c r="U210" s="15"/>
      <c r="V210" s="15"/>
      <c r="W210" s="15"/>
      <c r="X210" s="15"/>
      <c r="Y210" s="15"/>
      <c r="Z210" s="15"/>
    </row>
    <row r="211" spans="1:26" ht="123.75" customHeight="1">
      <c r="A211" s="2" t="s">
        <v>736</v>
      </c>
      <c r="B211" s="113" t="s">
        <v>223</v>
      </c>
      <c r="C211" s="195">
        <v>1</v>
      </c>
      <c r="D211" s="951">
        <v>1</v>
      </c>
      <c r="E211" s="951">
        <v>0.5</v>
      </c>
      <c r="F211" s="951">
        <v>1</v>
      </c>
      <c r="G211" s="951">
        <v>1</v>
      </c>
      <c r="H211" s="951">
        <v>1</v>
      </c>
      <c r="I211" s="18" t="s">
        <v>147</v>
      </c>
      <c r="J211" s="81" t="s">
        <v>3002</v>
      </c>
      <c r="K211" s="81" t="s">
        <v>3003</v>
      </c>
      <c r="L211" s="81" t="s">
        <v>3004</v>
      </c>
      <c r="M211" s="81" t="s">
        <v>3005</v>
      </c>
      <c r="N211" s="81" t="s">
        <v>3006</v>
      </c>
      <c r="O211" s="81" t="s">
        <v>3007</v>
      </c>
      <c r="P211" s="77"/>
      <c r="Q211" s="77"/>
      <c r="R211" s="77"/>
      <c r="S211" s="15"/>
      <c r="T211" s="15"/>
      <c r="U211" s="15"/>
      <c r="V211" s="15"/>
      <c r="W211" s="15"/>
      <c r="X211" s="15"/>
      <c r="Y211" s="15"/>
      <c r="Z211" s="15"/>
    </row>
    <row r="212" spans="1:26" ht="22.5" customHeight="1">
      <c r="A212" s="2"/>
      <c r="B212" s="113"/>
      <c r="C212" s="80"/>
      <c r="D212" s="80"/>
      <c r="E212" s="80"/>
      <c r="F212" s="80"/>
      <c r="G212" s="80"/>
      <c r="H212" s="80"/>
      <c r="I212" s="149"/>
      <c r="J212" s="81"/>
      <c r="K212" s="170"/>
      <c r="L212" s="81"/>
      <c r="M212" s="81"/>
      <c r="N212" s="81"/>
      <c r="O212" s="81"/>
      <c r="P212" s="77"/>
      <c r="Q212" s="77"/>
      <c r="R212" s="77"/>
      <c r="S212" s="15"/>
      <c r="T212" s="15"/>
      <c r="U212" s="15"/>
      <c r="V212" s="15"/>
      <c r="W212" s="15"/>
      <c r="X212" s="15"/>
      <c r="Y212" s="15"/>
      <c r="Z212" s="15"/>
    </row>
    <row r="213" spans="1:26" ht="153" customHeight="1">
      <c r="A213" s="2" t="s">
        <v>736</v>
      </c>
      <c r="B213" s="113" t="s">
        <v>224</v>
      </c>
      <c r="C213" s="195">
        <v>1</v>
      </c>
      <c r="D213" s="195">
        <v>1</v>
      </c>
      <c r="E213" s="195">
        <v>1</v>
      </c>
      <c r="F213" s="195">
        <v>1</v>
      </c>
      <c r="G213" s="195">
        <v>1</v>
      </c>
      <c r="H213" s="195">
        <v>1</v>
      </c>
      <c r="I213" s="18" t="s">
        <v>38</v>
      </c>
      <c r="J213" s="81" t="s">
        <v>1132</v>
      </c>
      <c r="K213" s="81" t="s">
        <v>3008</v>
      </c>
      <c r="L213" s="81" t="s">
        <v>3009</v>
      </c>
      <c r="M213" s="81" t="s">
        <v>3010</v>
      </c>
      <c r="N213" s="81" t="s">
        <v>3011</v>
      </c>
      <c r="O213" s="81" t="s">
        <v>3012</v>
      </c>
      <c r="P213" s="77"/>
      <c r="Q213" s="77"/>
      <c r="R213" s="77"/>
      <c r="S213" s="15"/>
      <c r="T213" s="15"/>
      <c r="U213" s="15"/>
      <c r="V213" s="15"/>
      <c r="W213" s="15"/>
      <c r="X213" s="15"/>
      <c r="Y213" s="15"/>
      <c r="Z213" s="15"/>
    </row>
    <row r="214" spans="1:26" ht="30.75" customHeight="1">
      <c r="A214" s="2"/>
      <c r="B214" s="113"/>
      <c r="C214" s="80"/>
      <c r="D214" s="80"/>
      <c r="E214" s="80"/>
      <c r="F214" s="80"/>
      <c r="G214" s="80"/>
      <c r="H214" s="80"/>
      <c r="I214" s="149"/>
      <c r="J214" s="81"/>
      <c r="K214" s="81"/>
      <c r="L214" s="81"/>
      <c r="M214" s="81"/>
      <c r="N214" s="81"/>
      <c r="O214" s="81"/>
      <c r="P214" s="77"/>
      <c r="Q214" s="77"/>
      <c r="R214" s="77"/>
      <c r="S214" s="15"/>
      <c r="T214" s="15"/>
      <c r="U214" s="15"/>
      <c r="V214" s="15"/>
      <c r="W214" s="15"/>
      <c r="X214" s="15"/>
      <c r="Y214" s="15"/>
      <c r="Z214" s="15"/>
    </row>
    <row r="215" spans="1:26" ht="198.75" customHeight="1">
      <c r="A215" s="2" t="s">
        <v>736</v>
      </c>
      <c r="B215" s="113" t="s">
        <v>225</v>
      </c>
      <c r="C215" s="951">
        <v>0</v>
      </c>
      <c r="D215" s="195">
        <v>1</v>
      </c>
      <c r="E215" s="195">
        <v>0</v>
      </c>
      <c r="F215" s="195">
        <v>1</v>
      </c>
      <c r="G215" s="951">
        <v>0</v>
      </c>
      <c r="H215" s="195">
        <v>0</v>
      </c>
      <c r="I215" s="18" t="s">
        <v>147</v>
      </c>
      <c r="J215" s="182" t="s">
        <v>3013</v>
      </c>
      <c r="K215" s="191" t="s">
        <v>3014</v>
      </c>
      <c r="L215" s="81" t="s">
        <v>3015</v>
      </c>
      <c r="M215" s="81" t="s">
        <v>3016</v>
      </c>
      <c r="N215" s="81" t="s">
        <v>3017</v>
      </c>
      <c r="O215" s="81" t="s">
        <v>3018</v>
      </c>
      <c r="P215" s="77"/>
      <c r="Q215" s="77"/>
      <c r="R215" s="77"/>
      <c r="S215" s="15"/>
      <c r="T215" s="15"/>
      <c r="U215" s="15"/>
      <c r="V215" s="15"/>
      <c r="W215" s="15"/>
      <c r="X215" s="15"/>
      <c r="Y215" s="15"/>
      <c r="Z215" s="15"/>
    </row>
    <row r="216" spans="1:26" ht="20.25" customHeight="1">
      <c r="A216" s="2"/>
      <c r="B216" s="3"/>
      <c r="C216" s="87"/>
      <c r="D216" s="87"/>
      <c r="E216" s="87"/>
      <c r="F216" s="87"/>
      <c r="G216" s="87"/>
      <c r="H216" s="87"/>
      <c r="I216" s="149"/>
      <c r="J216" s="75"/>
      <c r="K216" s="75"/>
      <c r="L216" s="75"/>
      <c r="M216" s="75"/>
      <c r="N216" s="75"/>
      <c r="O216" s="75"/>
      <c r="P216" s="77"/>
      <c r="Q216" s="77"/>
      <c r="R216" s="77"/>
      <c r="S216" s="15"/>
      <c r="T216" s="15"/>
      <c r="U216" s="15"/>
      <c r="V216" s="15"/>
      <c r="W216" s="15"/>
      <c r="X216" s="15"/>
      <c r="Y216" s="15"/>
      <c r="Z216" s="15"/>
    </row>
    <row r="217" spans="1:26" ht="13.5" customHeight="1">
      <c r="A217" s="283" t="s">
        <v>1143</v>
      </c>
      <c r="B217" s="70" t="s">
        <v>227</v>
      </c>
      <c r="C217" s="275">
        <f t="shared" ref="C217:H217" si="39">AVERAGE(C218,C220,C222,C224,C226)</f>
        <v>0.8</v>
      </c>
      <c r="D217" s="275">
        <f t="shared" si="39"/>
        <v>0.9</v>
      </c>
      <c r="E217" s="275">
        <f t="shared" si="39"/>
        <v>0.1</v>
      </c>
      <c r="F217" s="275">
        <f t="shared" si="39"/>
        <v>0.9</v>
      </c>
      <c r="G217" s="275">
        <f t="shared" si="39"/>
        <v>0.8</v>
      </c>
      <c r="H217" s="275">
        <f t="shared" si="39"/>
        <v>0.3</v>
      </c>
      <c r="I217" s="276"/>
      <c r="J217" s="74"/>
      <c r="K217" s="275"/>
      <c r="L217" s="279"/>
      <c r="M217" s="275"/>
      <c r="N217" s="275"/>
      <c r="O217" s="74"/>
      <c r="P217" s="76"/>
      <c r="Q217" s="76"/>
      <c r="R217" s="76"/>
      <c r="S217" s="23"/>
      <c r="T217" s="23"/>
      <c r="U217" s="23"/>
      <c r="V217" s="23"/>
      <c r="W217" s="23"/>
      <c r="X217" s="23"/>
      <c r="Y217" s="23"/>
      <c r="Z217" s="23"/>
    </row>
    <row r="218" spans="1:26" ht="196.5" customHeight="1">
      <c r="A218" s="2" t="s">
        <v>736</v>
      </c>
      <c r="B218" s="113" t="s">
        <v>228</v>
      </c>
      <c r="C218" s="195">
        <v>0.5</v>
      </c>
      <c r="D218" s="195">
        <v>0.5</v>
      </c>
      <c r="E218" s="951">
        <v>0.5</v>
      </c>
      <c r="F218" s="195">
        <v>0.5</v>
      </c>
      <c r="G218" s="951">
        <v>0.5</v>
      </c>
      <c r="H218" s="195">
        <v>0.5</v>
      </c>
      <c r="I218" s="18" t="s">
        <v>147</v>
      </c>
      <c r="J218" s="81" t="s">
        <v>3019</v>
      </c>
      <c r="K218" s="81" t="s">
        <v>3020</v>
      </c>
      <c r="L218" s="81" t="s">
        <v>3021</v>
      </c>
      <c r="M218" s="81" t="s">
        <v>3022</v>
      </c>
      <c r="N218" s="81" t="s">
        <v>3023</v>
      </c>
      <c r="O218" s="81" t="s">
        <v>3024</v>
      </c>
      <c r="P218" s="77"/>
      <c r="Q218" s="77"/>
      <c r="R218" s="77"/>
      <c r="S218" s="15"/>
      <c r="T218" s="15"/>
      <c r="U218" s="15"/>
      <c r="V218" s="15"/>
      <c r="W218" s="15"/>
      <c r="X218" s="15"/>
      <c r="Y218" s="15"/>
      <c r="Z218" s="15"/>
    </row>
    <row r="219" spans="1:26" ht="23.25" customHeight="1">
      <c r="A219" s="2"/>
      <c r="B219" s="3"/>
      <c r="C219" s="87"/>
      <c r="D219" s="87"/>
      <c r="E219" s="87"/>
      <c r="F219" s="87"/>
      <c r="G219" s="87"/>
      <c r="H219" s="87"/>
      <c r="I219" s="149"/>
      <c r="J219" s="81"/>
      <c r="K219" s="81"/>
      <c r="L219" s="81"/>
      <c r="M219" s="81"/>
      <c r="N219" s="81"/>
      <c r="O219" s="81"/>
      <c r="P219" s="77"/>
      <c r="Q219" s="77"/>
      <c r="R219" s="77"/>
      <c r="S219" s="15"/>
      <c r="T219" s="15"/>
      <c r="U219" s="15"/>
      <c r="V219" s="15"/>
      <c r="W219" s="15"/>
      <c r="X219" s="15"/>
      <c r="Y219" s="15"/>
      <c r="Z219" s="15"/>
    </row>
    <row r="220" spans="1:26" ht="279.75" customHeight="1">
      <c r="A220" s="2" t="s">
        <v>736</v>
      </c>
      <c r="B220" s="113" t="s">
        <v>229</v>
      </c>
      <c r="C220" s="195">
        <v>1</v>
      </c>
      <c r="D220" s="195">
        <v>1</v>
      </c>
      <c r="E220" s="195">
        <v>0</v>
      </c>
      <c r="F220" s="195">
        <v>1</v>
      </c>
      <c r="G220" s="195">
        <v>1</v>
      </c>
      <c r="H220" s="951">
        <v>0.5</v>
      </c>
      <c r="I220" s="18" t="s">
        <v>38</v>
      </c>
      <c r="J220" s="81" t="s">
        <v>3025</v>
      </c>
      <c r="K220" s="81" t="s">
        <v>3026</v>
      </c>
      <c r="L220" s="81" t="s">
        <v>748</v>
      </c>
      <c r="M220" s="81" t="s">
        <v>3027</v>
      </c>
      <c r="N220" s="81" t="s">
        <v>3028</v>
      </c>
      <c r="O220" s="182" t="s">
        <v>3029</v>
      </c>
      <c r="P220" s="77"/>
      <c r="Q220" s="77"/>
      <c r="R220" s="77"/>
      <c r="S220" s="15"/>
      <c r="T220" s="15"/>
      <c r="U220" s="15"/>
      <c r="V220" s="15"/>
      <c r="W220" s="15"/>
      <c r="X220" s="15"/>
      <c r="Y220" s="15"/>
      <c r="Z220" s="15"/>
    </row>
    <row r="221" spans="1:26" ht="17.25" customHeight="1">
      <c r="A221" s="2"/>
      <c r="B221" s="113"/>
      <c r="C221" s="80"/>
      <c r="D221" s="80"/>
      <c r="E221" s="80"/>
      <c r="F221" s="80"/>
      <c r="G221" s="80"/>
      <c r="H221" s="80"/>
      <c r="I221" s="149"/>
      <c r="J221" s="81"/>
      <c r="K221" s="170"/>
      <c r="L221" s="81"/>
      <c r="M221" s="81"/>
      <c r="N221" s="81"/>
      <c r="O221" s="81"/>
      <c r="P221" s="77"/>
      <c r="Q221" s="77"/>
      <c r="R221" s="77"/>
      <c r="S221" s="15"/>
      <c r="T221" s="15"/>
      <c r="U221" s="15"/>
      <c r="V221" s="15"/>
      <c r="W221" s="15"/>
      <c r="X221" s="15"/>
      <c r="Y221" s="15"/>
      <c r="Z221" s="15"/>
    </row>
    <row r="222" spans="1:26" ht="201.75" customHeight="1">
      <c r="A222" s="2" t="s">
        <v>736</v>
      </c>
      <c r="B222" s="113" t="s">
        <v>230</v>
      </c>
      <c r="C222" s="195">
        <v>0.5</v>
      </c>
      <c r="D222" s="195">
        <v>1</v>
      </c>
      <c r="E222" s="195">
        <v>0</v>
      </c>
      <c r="F222" s="195">
        <v>1</v>
      </c>
      <c r="G222" s="195">
        <v>1</v>
      </c>
      <c r="H222" s="195">
        <v>0</v>
      </c>
      <c r="I222" s="18" t="s">
        <v>38</v>
      </c>
      <c r="J222" s="81" t="s">
        <v>3030</v>
      </c>
      <c r="K222" s="170" t="s">
        <v>811</v>
      </c>
      <c r="L222" s="81" t="s">
        <v>3031</v>
      </c>
      <c r="M222" s="81" t="s">
        <v>3032</v>
      </c>
      <c r="N222" s="81" t="s">
        <v>3033</v>
      </c>
      <c r="O222" s="288" t="s">
        <v>3034</v>
      </c>
      <c r="P222" s="77"/>
      <c r="Q222" s="77"/>
      <c r="R222" s="77"/>
      <c r="S222" s="15"/>
      <c r="T222" s="15"/>
      <c r="U222" s="15"/>
      <c r="V222" s="15"/>
      <c r="W222" s="15"/>
      <c r="X222" s="15"/>
      <c r="Y222" s="15"/>
      <c r="Z222" s="15"/>
    </row>
    <row r="223" spans="1:26" ht="24.75" customHeight="1">
      <c r="A223" s="2"/>
      <c r="B223" s="113"/>
      <c r="C223" s="80"/>
      <c r="D223" s="80"/>
      <c r="E223" s="80"/>
      <c r="F223" s="80"/>
      <c r="G223" s="80"/>
      <c r="H223" s="80"/>
      <c r="I223" s="149"/>
      <c r="J223" s="81"/>
      <c r="K223" s="170"/>
      <c r="L223" s="81"/>
      <c r="M223" s="81"/>
      <c r="N223" s="81"/>
      <c r="O223" s="81"/>
      <c r="P223" s="77"/>
      <c r="Q223" s="77"/>
      <c r="R223" s="77"/>
      <c r="S223" s="15"/>
      <c r="T223" s="15"/>
      <c r="U223" s="15"/>
      <c r="V223" s="15"/>
      <c r="W223" s="15"/>
      <c r="X223" s="15"/>
      <c r="Y223" s="15"/>
      <c r="Z223" s="15"/>
    </row>
    <row r="224" spans="1:26" ht="208.5" customHeight="1">
      <c r="A224" s="2" t="s">
        <v>736</v>
      </c>
      <c r="B224" s="113" t="s">
        <v>3035</v>
      </c>
      <c r="C224" s="951">
        <v>1</v>
      </c>
      <c r="D224" s="195">
        <v>1</v>
      </c>
      <c r="E224" s="195">
        <v>0</v>
      </c>
      <c r="F224" s="951">
        <v>1</v>
      </c>
      <c r="G224" s="951">
        <v>0.5</v>
      </c>
      <c r="H224" s="195">
        <v>0.5</v>
      </c>
      <c r="I224" s="18" t="s">
        <v>123</v>
      </c>
      <c r="J224" s="81" t="s">
        <v>3036</v>
      </c>
      <c r="K224" s="81" t="s">
        <v>3037</v>
      </c>
      <c r="L224" s="81" t="s">
        <v>3038</v>
      </c>
      <c r="M224" s="81" t="s">
        <v>3039</v>
      </c>
      <c r="N224" s="81" t="s">
        <v>3040</v>
      </c>
      <c r="O224" s="182" t="s">
        <v>3041</v>
      </c>
      <c r="P224" s="77"/>
      <c r="Q224" s="77"/>
      <c r="R224" s="77"/>
      <c r="S224" s="15"/>
      <c r="T224" s="15"/>
      <c r="U224" s="15"/>
      <c r="V224" s="15"/>
      <c r="W224" s="15"/>
      <c r="X224" s="15"/>
      <c r="Y224" s="15"/>
      <c r="Z224" s="15"/>
    </row>
    <row r="225" spans="1:26" ht="23.25" customHeight="1">
      <c r="A225" s="2"/>
      <c r="B225" s="113"/>
      <c r="C225" s="80"/>
      <c r="D225" s="80"/>
      <c r="E225" s="80"/>
      <c r="F225" s="80"/>
      <c r="G225" s="80"/>
      <c r="H225" s="80"/>
      <c r="I225" s="149"/>
      <c r="J225" s="81"/>
      <c r="K225" s="81"/>
      <c r="L225" s="81"/>
      <c r="M225" s="81"/>
      <c r="N225" s="81"/>
      <c r="O225" s="81"/>
      <c r="P225" s="77"/>
      <c r="Q225" s="77"/>
      <c r="R225" s="77"/>
      <c r="S225" s="15"/>
      <c r="T225" s="15"/>
      <c r="U225" s="15"/>
      <c r="V225" s="15"/>
      <c r="W225" s="15"/>
      <c r="X225" s="15"/>
      <c r="Y225" s="15"/>
      <c r="Z225" s="15"/>
    </row>
    <row r="226" spans="1:26" ht="228" customHeight="1">
      <c r="A226" s="2" t="s">
        <v>736</v>
      </c>
      <c r="B226" s="113" t="s">
        <v>232</v>
      </c>
      <c r="C226" s="195">
        <v>1</v>
      </c>
      <c r="D226" s="195">
        <v>1</v>
      </c>
      <c r="E226" s="195">
        <v>0</v>
      </c>
      <c r="F226" s="195">
        <v>1</v>
      </c>
      <c r="G226" s="195">
        <v>1</v>
      </c>
      <c r="H226" s="195">
        <v>0</v>
      </c>
      <c r="I226" s="18" t="s">
        <v>38</v>
      </c>
      <c r="J226" s="81" t="s">
        <v>3042</v>
      </c>
      <c r="K226" s="81" t="s">
        <v>3043</v>
      </c>
      <c r="L226" s="81" t="s">
        <v>3044</v>
      </c>
      <c r="M226" s="81" t="s">
        <v>3032</v>
      </c>
      <c r="N226" s="81" t="s">
        <v>3045</v>
      </c>
      <c r="O226" s="182" t="s">
        <v>3046</v>
      </c>
      <c r="P226" s="77"/>
      <c r="Q226" s="77"/>
      <c r="R226" s="77"/>
      <c r="S226" s="15"/>
      <c r="T226" s="15"/>
      <c r="U226" s="15"/>
      <c r="V226" s="15"/>
      <c r="W226" s="15"/>
      <c r="X226" s="15"/>
      <c r="Y226" s="15"/>
      <c r="Z226" s="15"/>
    </row>
    <row r="227" spans="1:26" ht="13.5" customHeight="1">
      <c r="A227" s="2"/>
      <c r="B227" s="952"/>
      <c r="C227" s="271"/>
      <c r="D227" s="271"/>
      <c r="E227" s="271"/>
      <c r="F227" s="271"/>
      <c r="G227" s="271"/>
      <c r="H227" s="271"/>
      <c r="I227" s="18"/>
      <c r="J227" s="291"/>
      <c r="K227" s="953"/>
      <c r="L227" s="953"/>
      <c r="M227" s="291"/>
      <c r="N227" s="953"/>
      <c r="O227" s="953"/>
      <c r="P227" s="15"/>
      <c r="Q227" s="15"/>
      <c r="R227" s="15"/>
      <c r="S227" s="15"/>
      <c r="T227" s="15"/>
      <c r="U227" s="15"/>
      <c r="V227" s="15"/>
      <c r="W227" s="15"/>
      <c r="X227" s="15"/>
      <c r="Y227" s="15"/>
      <c r="Z227" s="15"/>
    </row>
    <row r="228" spans="1:26" ht="29.25" customHeight="1">
      <c r="A228" s="16" t="s">
        <v>1171</v>
      </c>
      <c r="B228" s="70" t="s">
        <v>234</v>
      </c>
      <c r="C228" s="275">
        <f t="shared" ref="C228:H228" si="40">AVERAGE(C229, C231,C233,C235,C237,C239)</f>
        <v>0.5</v>
      </c>
      <c r="D228" s="275">
        <f t="shared" si="40"/>
        <v>0.66666666666666663</v>
      </c>
      <c r="E228" s="275">
        <f t="shared" si="40"/>
        <v>0.41666666666666669</v>
      </c>
      <c r="F228" s="275">
        <f t="shared" si="40"/>
        <v>0.75</v>
      </c>
      <c r="G228" s="275">
        <f t="shared" si="40"/>
        <v>0.58333333333333337</v>
      </c>
      <c r="H228" s="275">
        <f t="shared" si="40"/>
        <v>0.16666666666666666</v>
      </c>
      <c r="I228" s="276"/>
      <c r="J228" s="74"/>
      <c r="K228" s="275"/>
      <c r="L228" s="279"/>
      <c r="M228" s="279"/>
      <c r="N228" s="275"/>
      <c r="O228" s="74"/>
      <c r="P228" s="76"/>
      <c r="Q228" s="76"/>
      <c r="R228" s="76"/>
      <c r="S228" s="23"/>
      <c r="T228" s="23"/>
      <c r="U228" s="23"/>
      <c r="V228" s="23"/>
      <c r="W228" s="23"/>
      <c r="X228" s="23"/>
      <c r="Y228" s="23"/>
      <c r="Z228" s="23"/>
    </row>
    <row r="229" spans="1:26" ht="291" customHeight="1">
      <c r="A229" s="2" t="s">
        <v>736</v>
      </c>
      <c r="B229" s="954" t="s">
        <v>3047</v>
      </c>
      <c r="C229" s="195">
        <v>0.5</v>
      </c>
      <c r="D229" s="195">
        <v>0.5</v>
      </c>
      <c r="E229" s="195">
        <v>0</v>
      </c>
      <c r="F229" s="195">
        <v>0.5</v>
      </c>
      <c r="G229" s="195">
        <v>0</v>
      </c>
      <c r="H229" s="195">
        <v>0</v>
      </c>
      <c r="I229" s="18" t="s">
        <v>147</v>
      </c>
      <c r="J229" s="81" t="s">
        <v>3048</v>
      </c>
      <c r="K229" s="180" t="s">
        <v>3049</v>
      </c>
      <c r="L229" s="81" t="s">
        <v>3050</v>
      </c>
      <c r="M229" s="81" t="s">
        <v>3051</v>
      </c>
      <c r="N229" s="81" t="s">
        <v>3052</v>
      </c>
      <c r="O229" s="81" t="s">
        <v>3053</v>
      </c>
      <c r="P229" s="77"/>
      <c r="Q229" s="77"/>
      <c r="R229" s="77"/>
      <c r="S229" s="15"/>
      <c r="T229" s="15"/>
      <c r="U229" s="15"/>
      <c r="V229" s="15"/>
      <c r="W229" s="15"/>
      <c r="X229" s="15"/>
      <c r="Y229" s="15"/>
      <c r="Z229" s="15"/>
    </row>
    <row r="230" spans="1:26" ht="21" customHeight="1">
      <c r="A230" s="2"/>
      <c r="B230" s="113"/>
      <c r="C230" s="80"/>
      <c r="D230" s="80"/>
      <c r="E230" s="80"/>
      <c r="F230" s="80"/>
      <c r="G230" s="80"/>
      <c r="H230" s="80"/>
      <c r="I230" s="149"/>
      <c r="J230" s="81"/>
      <c r="K230" s="81"/>
      <c r="L230" s="81"/>
      <c r="M230" s="81"/>
      <c r="N230" s="81"/>
      <c r="O230" s="81"/>
      <c r="P230" s="77"/>
      <c r="Q230" s="77"/>
      <c r="R230" s="77"/>
      <c r="S230" s="15"/>
      <c r="T230" s="15"/>
      <c r="U230" s="15"/>
      <c r="V230" s="15"/>
      <c r="W230" s="15"/>
      <c r="X230" s="15"/>
      <c r="Y230" s="15"/>
      <c r="Z230" s="15"/>
    </row>
    <row r="231" spans="1:26" ht="239.25" customHeight="1">
      <c r="A231" s="2" t="s">
        <v>736</v>
      </c>
      <c r="B231" s="113" t="s">
        <v>237</v>
      </c>
      <c r="C231" s="195">
        <v>0.5</v>
      </c>
      <c r="D231" s="195">
        <v>1</v>
      </c>
      <c r="E231" s="195">
        <v>0.5</v>
      </c>
      <c r="F231" s="195">
        <v>1</v>
      </c>
      <c r="G231" s="195">
        <v>1</v>
      </c>
      <c r="H231" s="195">
        <v>0.5</v>
      </c>
      <c r="I231" s="18" t="s">
        <v>147</v>
      </c>
      <c r="J231" s="182" t="s">
        <v>3054</v>
      </c>
      <c r="K231" s="81" t="s">
        <v>3055</v>
      </c>
      <c r="L231" s="81" t="s">
        <v>3056</v>
      </c>
      <c r="M231" s="81" t="s">
        <v>3057</v>
      </c>
      <c r="N231" s="81" t="s">
        <v>3058</v>
      </c>
      <c r="O231" s="81" t="s">
        <v>3059</v>
      </c>
      <c r="P231" s="77"/>
      <c r="Q231" s="77"/>
      <c r="R231" s="77"/>
      <c r="S231" s="15"/>
      <c r="T231" s="15"/>
      <c r="U231" s="15"/>
      <c r="V231" s="15"/>
      <c r="W231" s="15"/>
      <c r="X231" s="15"/>
      <c r="Y231" s="15"/>
      <c r="Z231" s="15"/>
    </row>
    <row r="232" spans="1:26" ht="27.75" customHeight="1">
      <c r="A232" s="2"/>
      <c r="B232" s="113"/>
      <c r="C232" s="80"/>
      <c r="D232" s="80"/>
      <c r="E232" s="80"/>
      <c r="F232" s="80"/>
      <c r="G232" s="80"/>
      <c r="H232" s="80"/>
      <c r="I232" s="149"/>
      <c r="J232" s="81"/>
      <c r="K232" s="81"/>
      <c r="L232" s="81"/>
      <c r="M232" s="81"/>
      <c r="N232" s="81"/>
      <c r="O232" s="81"/>
      <c r="P232" s="77"/>
      <c r="Q232" s="77"/>
      <c r="R232" s="77"/>
      <c r="S232" s="15"/>
      <c r="T232" s="15"/>
      <c r="U232" s="15"/>
      <c r="V232" s="15"/>
      <c r="W232" s="15"/>
      <c r="X232" s="15"/>
      <c r="Y232" s="15"/>
      <c r="Z232" s="15"/>
    </row>
    <row r="233" spans="1:26" ht="270.75" customHeight="1">
      <c r="A233" s="2" t="s">
        <v>736</v>
      </c>
      <c r="B233" s="113" t="s">
        <v>238</v>
      </c>
      <c r="C233" s="195">
        <v>1</v>
      </c>
      <c r="D233" s="195">
        <v>1</v>
      </c>
      <c r="E233" s="195">
        <v>1</v>
      </c>
      <c r="F233" s="195">
        <v>1</v>
      </c>
      <c r="G233" s="951">
        <v>1</v>
      </c>
      <c r="H233" s="195">
        <v>0</v>
      </c>
      <c r="I233" s="18" t="s">
        <v>38</v>
      </c>
      <c r="J233" s="81" t="s">
        <v>3060</v>
      </c>
      <c r="K233" s="81" t="s">
        <v>3061</v>
      </c>
      <c r="L233" s="81" t="s">
        <v>3062</v>
      </c>
      <c r="M233" s="81" t="s">
        <v>3063</v>
      </c>
      <c r="N233" s="81" t="s">
        <v>3064</v>
      </c>
      <c r="O233" s="81" t="s">
        <v>3065</v>
      </c>
      <c r="P233" s="77"/>
      <c r="Q233" s="77"/>
      <c r="R233" s="77"/>
      <c r="S233" s="15"/>
      <c r="T233" s="15"/>
      <c r="U233" s="15"/>
      <c r="V233" s="15"/>
      <c r="W233" s="15"/>
      <c r="X233" s="15"/>
      <c r="Y233" s="15"/>
      <c r="Z233" s="15"/>
    </row>
    <row r="234" spans="1:26" ht="13.5" customHeight="1">
      <c r="A234" s="2"/>
      <c r="B234" s="950"/>
      <c r="C234" s="195"/>
      <c r="D234" s="195"/>
      <c r="E234" s="195"/>
      <c r="F234" s="195"/>
      <c r="G234" s="195"/>
      <c r="H234" s="195"/>
      <c r="I234" s="18"/>
      <c r="J234" s="156"/>
      <c r="K234" s="945"/>
      <c r="L234" s="945"/>
      <c r="M234" s="156"/>
      <c r="N234" s="945"/>
      <c r="O234" s="945"/>
      <c r="P234" s="15"/>
      <c r="Q234" s="15"/>
      <c r="R234" s="15"/>
      <c r="S234" s="15"/>
      <c r="T234" s="15"/>
      <c r="U234" s="15"/>
      <c r="V234" s="15"/>
      <c r="W234" s="15"/>
      <c r="X234" s="15"/>
      <c r="Y234" s="15"/>
      <c r="Z234" s="15"/>
    </row>
    <row r="235" spans="1:26" ht="124.5" customHeight="1">
      <c r="A235" s="2" t="s">
        <v>736</v>
      </c>
      <c r="B235" s="113" t="s">
        <v>239</v>
      </c>
      <c r="C235" s="195">
        <v>0.5</v>
      </c>
      <c r="D235" s="195">
        <v>0.5</v>
      </c>
      <c r="E235" s="195">
        <v>0.5</v>
      </c>
      <c r="F235" s="195">
        <v>0.5</v>
      </c>
      <c r="G235" s="195">
        <v>0.5</v>
      </c>
      <c r="H235" s="195">
        <v>0</v>
      </c>
      <c r="I235" s="18" t="s">
        <v>240</v>
      </c>
      <c r="J235" s="81" t="s">
        <v>3066</v>
      </c>
      <c r="K235" s="81" t="s">
        <v>3067</v>
      </c>
      <c r="L235" s="81" t="s">
        <v>3068</v>
      </c>
      <c r="M235" s="191" t="s">
        <v>3069</v>
      </c>
      <c r="N235" s="81" t="s">
        <v>3070</v>
      </c>
      <c r="O235" s="297" t="s">
        <v>3071</v>
      </c>
      <c r="P235" s="77"/>
      <c r="Q235" s="77"/>
      <c r="R235" s="77"/>
      <c r="S235" s="15"/>
      <c r="T235" s="15"/>
      <c r="U235" s="15"/>
      <c r="V235" s="15"/>
      <c r="W235" s="15"/>
      <c r="X235" s="15"/>
      <c r="Y235" s="15"/>
      <c r="Z235" s="15"/>
    </row>
    <row r="236" spans="1:26" ht="20.25" customHeight="1">
      <c r="A236" s="2"/>
      <c r="B236" s="113"/>
      <c r="C236" s="80"/>
      <c r="D236" s="80"/>
      <c r="E236" s="80"/>
      <c r="F236" s="80"/>
      <c r="G236" s="80"/>
      <c r="H236" s="80"/>
      <c r="I236" s="149"/>
      <c r="J236" s="81"/>
      <c r="K236" s="81"/>
      <c r="L236" s="81"/>
      <c r="M236" s="81"/>
      <c r="N236" s="81"/>
      <c r="O236" s="81"/>
      <c r="P236" s="77"/>
      <c r="Q236" s="77"/>
      <c r="R236" s="77"/>
      <c r="S236" s="15"/>
      <c r="T236" s="15"/>
      <c r="U236" s="15"/>
      <c r="V236" s="15"/>
      <c r="W236" s="15"/>
      <c r="X236" s="15"/>
      <c r="Y236" s="15"/>
      <c r="Z236" s="15"/>
    </row>
    <row r="237" spans="1:26" ht="126" customHeight="1">
      <c r="A237" s="2" t="s">
        <v>736</v>
      </c>
      <c r="B237" s="113" t="s">
        <v>3072</v>
      </c>
      <c r="C237" s="195">
        <v>0.5</v>
      </c>
      <c r="D237" s="195">
        <v>0.5</v>
      </c>
      <c r="E237" s="195">
        <v>0.5</v>
      </c>
      <c r="F237" s="195">
        <v>0.5</v>
      </c>
      <c r="G237" s="195">
        <v>0.5</v>
      </c>
      <c r="H237" s="195">
        <v>0</v>
      </c>
      <c r="I237" s="18" t="s">
        <v>240</v>
      </c>
      <c r="J237" s="81" t="s">
        <v>3073</v>
      </c>
      <c r="K237" s="180" t="s">
        <v>3074</v>
      </c>
      <c r="L237" s="81" t="s">
        <v>3075</v>
      </c>
      <c r="M237" s="81" t="s">
        <v>3076</v>
      </c>
      <c r="N237" s="81" t="s">
        <v>3077</v>
      </c>
      <c r="O237" s="297" t="s">
        <v>3078</v>
      </c>
      <c r="P237" s="77"/>
      <c r="Q237" s="77"/>
      <c r="R237" s="77"/>
      <c r="S237" s="15"/>
      <c r="T237" s="15"/>
      <c r="U237" s="15"/>
      <c r="V237" s="15"/>
      <c r="W237" s="15"/>
      <c r="X237" s="15"/>
      <c r="Y237" s="15"/>
      <c r="Z237" s="15"/>
    </row>
    <row r="238" spans="1:26" ht="13.5" customHeight="1">
      <c r="A238" s="2"/>
      <c r="B238" s="950"/>
      <c r="C238" s="195"/>
      <c r="D238" s="195"/>
      <c r="E238" s="195"/>
      <c r="F238" s="195"/>
      <c r="G238" s="195"/>
      <c r="H238" s="195"/>
      <c r="I238" s="18"/>
      <c r="J238" s="156"/>
      <c r="K238" s="945"/>
      <c r="L238" s="945"/>
      <c r="M238" s="156"/>
      <c r="N238" s="945"/>
      <c r="O238" s="945"/>
      <c r="P238" s="15"/>
      <c r="Q238" s="15"/>
      <c r="R238" s="15"/>
      <c r="S238" s="15"/>
      <c r="T238" s="15"/>
      <c r="U238" s="15"/>
      <c r="V238" s="15"/>
      <c r="W238" s="15"/>
      <c r="X238" s="15"/>
      <c r="Y238" s="15"/>
      <c r="Z238" s="15"/>
    </row>
    <row r="239" spans="1:26" ht="118.5" customHeight="1">
      <c r="A239" s="2" t="s">
        <v>736</v>
      </c>
      <c r="B239" s="113" t="s">
        <v>242</v>
      </c>
      <c r="C239" s="195">
        <v>0</v>
      </c>
      <c r="D239" s="300">
        <v>0.5</v>
      </c>
      <c r="E239" s="195">
        <v>0</v>
      </c>
      <c r="F239" s="195">
        <v>1</v>
      </c>
      <c r="G239" s="300">
        <v>0.5</v>
      </c>
      <c r="H239" s="951">
        <v>0.5</v>
      </c>
      <c r="I239" s="18" t="s">
        <v>38</v>
      </c>
      <c r="J239" s="81" t="s">
        <v>1203</v>
      </c>
      <c r="K239" s="182" t="s">
        <v>3079</v>
      </c>
      <c r="L239" s="81" t="s">
        <v>3080</v>
      </c>
      <c r="M239" s="81" t="s">
        <v>3081</v>
      </c>
      <c r="N239" s="182" t="s">
        <v>3082</v>
      </c>
      <c r="O239" s="81" t="s">
        <v>3083</v>
      </c>
      <c r="P239" s="77"/>
      <c r="Q239" s="77"/>
      <c r="R239" s="77"/>
      <c r="S239" s="15"/>
      <c r="T239" s="15"/>
      <c r="U239" s="15"/>
      <c r="V239" s="15"/>
      <c r="W239" s="15"/>
      <c r="X239" s="15"/>
      <c r="Y239" s="15"/>
      <c r="Z239" s="15"/>
    </row>
    <row r="240" spans="1:26" ht="13.5" customHeight="1">
      <c r="A240" s="2"/>
      <c r="B240" s="952"/>
      <c r="C240" s="271"/>
      <c r="D240" s="271"/>
      <c r="E240" s="271"/>
      <c r="F240" s="271"/>
      <c r="G240" s="271"/>
      <c r="H240" s="271"/>
      <c r="I240" s="18"/>
      <c r="J240" s="291"/>
      <c r="K240" s="953"/>
      <c r="L240" s="953"/>
      <c r="M240" s="291"/>
      <c r="N240" s="953"/>
      <c r="O240" s="953"/>
      <c r="P240" s="15"/>
      <c r="Q240" s="15"/>
      <c r="R240" s="15"/>
      <c r="S240" s="15"/>
      <c r="T240" s="15"/>
      <c r="U240" s="15"/>
      <c r="V240" s="15"/>
      <c r="W240" s="15"/>
      <c r="X240" s="15"/>
      <c r="Y240" s="15"/>
      <c r="Z240" s="15"/>
    </row>
    <row r="241" spans="1:26" ht="32.25" customHeight="1">
      <c r="A241" s="303" t="s">
        <v>1209</v>
      </c>
      <c r="B241" s="304" t="s">
        <v>1210</v>
      </c>
      <c r="C241" s="305">
        <f t="shared" ref="C241:H241" si="41">AVERAGE(C242,C267)</f>
        <v>0.59338680926916221</v>
      </c>
      <c r="D241" s="305">
        <f t="shared" si="41"/>
        <v>0.77506238859180043</v>
      </c>
      <c r="E241" s="305">
        <f t="shared" si="41"/>
        <v>0.34352049910873439</v>
      </c>
      <c r="F241" s="305">
        <f t="shared" si="41"/>
        <v>0.51662210338680925</v>
      </c>
      <c r="G241" s="305">
        <f t="shared" si="41"/>
        <v>0.63224598930481279</v>
      </c>
      <c r="H241" s="305">
        <f t="shared" si="41"/>
        <v>0.48864973262032085</v>
      </c>
      <c r="I241" s="307"/>
      <c r="J241" s="63"/>
      <c r="K241" s="63"/>
      <c r="L241" s="163"/>
      <c r="M241" s="63"/>
      <c r="N241" s="63"/>
      <c r="O241" s="63"/>
      <c r="P241" s="64"/>
      <c r="Q241" s="64"/>
      <c r="R241" s="64"/>
      <c r="S241" s="64"/>
      <c r="T241" s="64"/>
      <c r="U241" s="64"/>
      <c r="V241" s="64"/>
      <c r="W241" s="64"/>
      <c r="X241" s="64"/>
      <c r="Y241" s="64"/>
      <c r="Z241" s="64"/>
    </row>
    <row r="242" spans="1:26" ht="23.25" customHeight="1">
      <c r="A242" s="309" t="s">
        <v>1211</v>
      </c>
      <c r="B242" s="310" t="s">
        <v>3084</v>
      </c>
      <c r="C242" s="313">
        <f t="shared" ref="C242:H242" si="42">AVERAGE(C243,C245,C247,C249,C251,C253,C255,C257,C259,C261,C263,C265)</f>
        <v>0.66666666666666663</v>
      </c>
      <c r="D242" s="313">
        <f t="shared" si="42"/>
        <v>0.83333333333333337</v>
      </c>
      <c r="E242" s="313">
        <f t="shared" si="42"/>
        <v>0.41666666666666669</v>
      </c>
      <c r="F242" s="313">
        <f t="shared" si="42"/>
        <v>0.5</v>
      </c>
      <c r="G242" s="313">
        <f t="shared" si="42"/>
        <v>0.66666666666666663</v>
      </c>
      <c r="H242" s="313">
        <f t="shared" si="42"/>
        <v>0.45833333333333331</v>
      </c>
      <c r="I242" s="314"/>
      <c r="J242" s="74"/>
      <c r="K242" s="74"/>
      <c r="L242" s="74"/>
      <c r="M242" s="74"/>
      <c r="N242" s="74"/>
      <c r="O242" s="74"/>
      <c r="P242" s="76"/>
      <c r="Q242" s="77"/>
      <c r="R242" s="77"/>
      <c r="S242" s="77"/>
      <c r="T242" s="77"/>
      <c r="U242" s="77"/>
      <c r="V242" s="77"/>
      <c r="W242" s="77"/>
      <c r="X242" s="77"/>
      <c r="Y242" s="77"/>
      <c r="Z242" s="77"/>
    </row>
    <row r="243" spans="1:26" ht="163.5" customHeight="1">
      <c r="A243" s="317" t="s">
        <v>736</v>
      </c>
      <c r="B243" s="319" t="s">
        <v>3085</v>
      </c>
      <c r="C243" s="80">
        <v>0.5</v>
      </c>
      <c r="D243" s="80">
        <v>0.5</v>
      </c>
      <c r="E243" s="80">
        <v>0</v>
      </c>
      <c r="F243" s="80">
        <v>0</v>
      </c>
      <c r="G243" s="944">
        <v>0</v>
      </c>
      <c r="H243" s="944">
        <v>0</v>
      </c>
      <c r="I243" s="314" t="s">
        <v>240</v>
      </c>
      <c r="J243" s="81" t="s">
        <v>3086</v>
      </c>
      <c r="K243" s="81" t="s">
        <v>3087</v>
      </c>
      <c r="L243" s="81" t="s">
        <v>3088</v>
      </c>
      <c r="M243" s="81" t="s">
        <v>3089</v>
      </c>
      <c r="N243" s="182" t="s">
        <v>3090</v>
      </c>
      <c r="O243" s="182" t="s">
        <v>3091</v>
      </c>
      <c r="P243" s="77"/>
      <c r="Q243" s="77"/>
      <c r="R243" s="77"/>
      <c r="S243" s="77"/>
      <c r="T243" s="77"/>
      <c r="U243" s="77"/>
      <c r="V243" s="77"/>
      <c r="W243" s="77"/>
      <c r="X243" s="77"/>
      <c r="Y243" s="77"/>
      <c r="Z243" s="77"/>
    </row>
    <row r="244" spans="1:26" ht="13.5" customHeight="1">
      <c r="A244" s="317"/>
      <c r="B244" s="319"/>
      <c r="C244" s="80"/>
      <c r="D244" s="80"/>
      <c r="E244" s="80"/>
      <c r="F244" s="80"/>
      <c r="G244" s="944"/>
      <c r="H244" s="944"/>
      <c r="I244" s="314"/>
      <c r="J244" s="81"/>
      <c r="K244" s="81"/>
      <c r="L244" s="81"/>
      <c r="M244" s="81"/>
      <c r="N244" s="182"/>
      <c r="O244" s="182"/>
      <c r="P244" s="77"/>
      <c r="Q244" s="77"/>
      <c r="R244" s="77"/>
      <c r="S244" s="77"/>
      <c r="T244" s="77"/>
      <c r="U244" s="77"/>
      <c r="V244" s="77"/>
      <c r="W244" s="77"/>
      <c r="X244" s="77"/>
      <c r="Y244" s="77"/>
      <c r="Z244" s="77"/>
    </row>
    <row r="245" spans="1:26" ht="206.25" customHeight="1">
      <c r="A245" s="317" t="s">
        <v>736</v>
      </c>
      <c r="B245" s="319" t="s">
        <v>3092</v>
      </c>
      <c r="C245" s="80">
        <v>0</v>
      </c>
      <c r="D245" s="80">
        <v>0.5</v>
      </c>
      <c r="E245" s="80">
        <v>0</v>
      </c>
      <c r="F245" s="322">
        <v>0.5</v>
      </c>
      <c r="G245" s="80">
        <v>0</v>
      </c>
      <c r="H245" s="80">
        <v>0</v>
      </c>
      <c r="I245" s="314" t="s">
        <v>240</v>
      </c>
      <c r="J245" s="81" t="s">
        <v>3093</v>
      </c>
      <c r="K245" s="81" t="s">
        <v>3094</v>
      </c>
      <c r="L245" s="81" t="s">
        <v>3095</v>
      </c>
      <c r="M245" s="81" t="s">
        <v>3096</v>
      </c>
      <c r="N245" s="182" t="s">
        <v>3097</v>
      </c>
      <c r="O245" s="182" t="s">
        <v>3098</v>
      </c>
      <c r="P245" s="77"/>
      <c r="Q245" s="77"/>
      <c r="R245" s="77"/>
      <c r="S245" s="77"/>
      <c r="T245" s="77"/>
      <c r="U245" s="77"/>
      <c r="V245" s="77"/>
      <c r="W245" s="77"/>
      <c r="X245" s="77"/>
      <c r="Y245" s="77"/>
      <c r="Z245" s="77"/>
    </row>
    <row r="246" spans="1:26" ht="13.5" customHeight="1">
      <c r="A246" s="317"/>
      <c r="B246" s="319"/>
      <c r="C246" s="80"/>
      <c r="D246" s="80"/>
      <c r="E246" s="80"/>
      <c r="F246" s="323"/>
      <c r="G246" s="80"/>
      <c r="H246" s="80"/>
      <c r="I246" s="314"/>
      <c r="J246" s="81"/>
      <c r="K246" s="81"/>
      <c r="L246" s="81"/>
      <c r="M246" s="81"/>
      <c r="N246" s="182"/>
      <c r="O246" s="182"/>
      <c r="P246" s="77"/>
      <c r="Q246" s="77"/>
      <c r="R246" s="77"/>
      <c r="S246" s="77"/>
      <c r="T246" s="77"/>
      <c r="U246" s="77"/>
      <c r="V246" s="77"/>
      <c r="W246" s="77"/>
      <c r="X246" s="77"/>
      <c r="Y246" s="77"/>
      <c r="Z246" s="77"/>
    </row>
    <row r="247" spans="1:26" ht="129" customHeight="1">
      <c r="A247" s="317" t="s">
        <v>736</v>
      </c>
      <c r="B247" s="319" t="s">
        <v>3099</v>
      </c>
      <c r="C247" s="80">
        <v>0.5</v>
      </c>
      <c r="D247" s="80">
        <v>1</v>
      </c>
      <c r="E247" s="80">
        <v>0</v>
      </c>
      <c r="F247" s="944">
        <v>1</v>
      </c>
      <c r="G247" s="80">
        <v>0.5</v>
      </c>
      <c r="H247" s="80">
        <v>0</v>
      </c>
      <c r="I247" s="314" t="s">
        <v>240</v>
      </c>
      <c r="J247" s="81" t="s">
        <v>3100</v>
      </c>
      <c r="K247" s="81" t="s">
        <v>3101</v>
      </c>
      <c r="L247" s="81" t="s">
        <v>748</v>
      </c>
      <c r="M247" s="81" t="s">
        <v>3102</v>
      </c>
      <c r="N247" s="81" t="s">
        <v>3103</v>
      </c>
      <c r="O247" s="182" t="s">
        <v>3104</v>
      </c>
      <c r="P247" s="77"/>
      <c r="Q247" s="77"/>
      <c r="R247" s="77"/>
      <c r="S247" s="77"/>
      <c r="T247" s="77"/>
      <c r="U247" s="77"/>
      <c r="V247" s="77"/>
      <c r="W247" s="77"/>
      <c r="X247" s="77"/>
      <c r="Y247" s="77"/>
      <c r="Z247" s="77"/>
    </row>
    <row r="248" spans="1:26" ht="27.75" customHeight="1">
      <c r="A248" s="317"/>
      <c r="B248" s="319"/>
      <c r="C248" s="238"/>
      <c r="D248" s="238"/>
      <c r="E248" s="238"/>
      <c r="F248" s="238"/>
      <c r="G248" s="238"/>
      <c r="H248" s="238"/>
      <c r="I248" s="324"/>
      <c r="J248" s="80"/>
      <c r="K248" s="81"/>
      <c r="L248" s="178"/>
      <c r="M248" s="81"/>
      <c r="N248" s="325"/>
      <c r="O248" s="81"/>
      <c r="P248" s="77"/>
      <c r="Q248" s="77"/>
      <c r="R248" s="77"/>
      <c r="S248" s="77"/>
      <c r="T248" s="77"/>
      <c r="U248" s="77"/>
      <c r="V248" s="77"/>
      <c r="W248" s="77"/>
      <c r="X248" s="77"/>
      <c r="Y248" s="77"/>
      <c r="Z248" s="77"/>
    </row>
    <row r="249" spans="1:26" ht="126.75" customHeight="1">
      <c r="A249" s="317" t="s">
        <v>736</v>
      </c>
      <c r="B249" s="319" t="s">
        <v>375</v>
      </c>
      <c r="C249" s="80">
        <v>1</v>
      </c>
      <c r="D249" s="80">
        <v>1</v>
      </c>
      <c r="E249" s="80">
        <v>1</v>
      </c>
      <c r="F249" s="80">
        <v>1</v>
      </c>
      <c r="G249" s="80">
        <v>1</v>
      </c>
      <c r="H249" s="80">
        <v>1</v>
      </c>
      <c r="I249" s="314" t="s">
        <v>38</v>
      </c>
      <c r="J249" s="81" t="s">
        <v>3105</v>
      </c>
      <c r="K249" s="81" t="s">
        <v>3106</v>
      </c>
      <c r="L249" s="81" t="s">
        <v>3107</v>
      </c>
      <c r="M249" s="81" t="s">
        <v>3102</v>
      </c>
      <c r="N249" s="81" t="s">
        <v>3108</v>
      </c>
      <c r="O249" s="81" t="s">
        <v>3109</v>
      </c>
      <c r="P249" s="77"/>
      <c r="Q249" s="77"/>
      <c r="R249" s="77"/>
      <c r="S249" s="77"/>
      <c r="T249" s="77"/>
      <c r="U249" s="77"/>
      <c r="V249" s="77"/>
      <c r="W249" s="77"/>
      <c r="X249" s="77"/>
      <c r="Y249" s="77"/>
      <c r="Z249" s="77"/>
    </row>
    <row r="250" spans="1:26" ht="13.5" customHeight="1">
      <c r="A250" s="2"/>
      <c r="B250" s="950"/>
      <c r="C250" s="195"/>
      <c r="D250" s="195"/>
      <c r="E250" s="195"/>
      <c r="F250" s="195"/>
      <c r="G250" s="195"/>
      <c r="H250" s="195"/>
      <c r="I250" s="18"/>
      <c r="J250" s="156"/>
      <c r="K250" s="945"/>
      <c r="L250" s="945"/>
      <c r="M250" s="156"/>
      <c r="N250" s="945"/>
      <c r="O250" s="945"/>
      <c r="P250" s="15"/>
      <c r="Q250" s="15"/>
      <c r="R250" s="15"/>
      <c r="S250" s="15"/>
      <c r="T250" s="15"/>
      <c r="U250" s="15"/>
      <c r="V250" s="15"/>
      <c r="W250" s="15"/>
      <c r="X250" s="15"/>
      <c r="Y250" s="15"/>
      <c r="Z250" s="15"/>
    </row>
    <row r="251" spans="1:26" ht="192" customHeight="1">
      <c r="A251" s="317" t="s">
        <v>736</v>
      </c>
      <c r="B251" s="319" t="s">
        <v>3110</v>
      </c>
      <c r="C251" s="80">
        <v>1</v>
      </c>
      <c r="D251" s="944">
        <v>1</v>
      </c>
      <c r="E251" s="80">
        <v>1</v>
      </c>
      <c r="F251" s="80">
        <v>1</v>
      </c>
      <c r="G251" s="80">
        <v>1</v>
      </c>
      <c r="H251" s="80">
        <v>1</v>
      </c>
      <c r="I251" s="314" t="s">
        <v>38</v>
      </c>
      <c r="J251" s="81" t="s">
        <v>3111</v>
      </c>
      <c r="K251" s="81" t="s">
        <v>3112</v>
      </c>
      <c r="L251" s="81" t="s">
        <v>3113</v>
      </c>
      <c r="M251" s="81" t="s">
        <v>3114</v>
      </c>
      <c r="N251" s="81" t="s">
        <v>3115</v>
      </c>
      <c r="O251" s="81" t="s">
        <v>3116</v>
      </c>
      <c r="P251" s="77"/>
      <c r="Q251" s="77"/>
      <c r="R251" s="77"/>
      <c r="S251" s="77"/>
      <c r="T251" s="77"/>
      <c r="U251" s="77"/>
      <c r="V251" s="77"/>
      <c r="W251" s="77"/>
      <c r="X251" s="77"/>
      <c r="Y251" s="77"/>
      <c r="Z251" s="77"/>
    </row>
    <row r="252" spans="1:26" ht="18" customHeight="1">
      <c r="A252" s="2"/>
      <c r="B252" s="950"/>
      <c r="C252" s="195"/>
      <c r="D252" s="195"/>
      <c r="E252" s="195"/>
      <c r="F252" s="195"/>
      <c r="G252" s="195"/>
      <c r="H252" s="195"/>
      <c r="I252" s="18"/>
      <c r="J252" s="156"/>
      <c r="K252" s="945"/>
      <c r="L252" s="945"/>
      <c r="M252" s="156"/>
      <c r="N252" s="945"/>
      <c r="O252" s="945"/>
      <c r="P252" s="15"/>
      <c r="Q252" s="15"/>
      <c r="R252" s="15"/>
      <c r="S252" s="15"/>
      <c r="T252" s="15"/>
      <c r="U252" s="15"/>
      <c r="V252" s="15"/>
      <c r="W252" s="15"/>
      <c r="X252" s="15"/>
      <c r="Y252" s="15"/>
      <c r="Z252" s="15"/>
    </row>
    <row r="253" spans="1:26" ht="80.25" customHeight="1">
      <c r="A253" s="317" t="s">
        <v>736</v>
      </c>
      <c r="B253" s="319" t="s">
        <v>3117</v>
      </c>
      <c r="C253" s="80">
        <v>1</v>
      </c>
      <c r="D253" s="80">
        <v>1</v>
      </c>
      <c r="E253" s="80">
        <v>1</v>
      </c>
      <c r="F253" s="944">
        <v>1</v>
      </c>
      <c r="G253" s="80">
        <v>1</v>
      </c>
      <c r="H253" s="944">
        <v>1</v>
      </c>
      <c r="I253" s="314" t="s">
        <v>38</v>
      </c>
      <c r="J253" s="81" t="s">
        <v>3118</v>
      </c>
      <c r="K253" s="81" t="s">
        <v>811</v>
      </c>
      <c r="L253" s="81" t="s">
        <v>3119</v>
      </c>
      <c r="M253" s="81" t="s">
        <v>3120</v>
      </c>
      <c r="N253" s="81" t="s">
        <v>3121</v>
      </c>
      <c r="O253" s="81" t="s">
        <v>3122</v>
      </c>
      <c r="P253" s="77"/>
      <c r="Q253" s="77"/>
      <c r="R253" s="77"/>
      <c r="S253" s="77"/>
      <c r="T253" s="77"/>
      <c r="U253" s="77"/>
      <c r="V253" s="77"/>
      <c r="W253" s="77"/>
      <c r="X253" s="77"/>
      <c r="Y253" s="77"/>
      <c r="Z253" s="77"/>
    </row>
    <row r="254" spans="1:26" ht="13.5" customHeight="1">
      <c r="A254" s="2"/>
      <c r="B254" s="950"/>
      <c r="C254" s="195"/>
      <c r="D254" s="195"/>
      <c r="E254" s="195"/>
      <c r="F254" s="195"/>
      <c r="G254" s="195"/>
      <c r="H254" s="195"/>
      <c r="I254" s="18"/>
      <c r="J254" s="156"/>
      <c r="K254" s="945"/>
      <c r="L254" s="945"/>
      <c r="M254" s="156"/>
      <c r="N254" s="945"/>
      <c r="O254" s="945"/>
      <c r="P254" s="15"/>
      <c r="Q254" s="15"/>
      <c r="R254" s="15"/>
      <c r="S254" s="15"/>
      <c r="T254" s="15"/>
      <c r="U254" s="15"/>
      <c r="V254" s="15"/>
      <c r="W254" s="15"/>
      <c r="X254" s="15"/>
      <c r="Y254" s="15"/>
      <c r="Z254" s="15"/>
    </row>
    <row r="255" spans="1:26" ht="137.25" customHeight="1">
      <c r="A255" s="317" t="s">
        <v>736</v>
      </c>
      <c r="B255" s="319" t="s">
        <v>378</v>
      </c>
      <c r="C255" s="80">
        <v>1</v>
      </c>
      <c r="D255" s="80">
        <v>1</v>
      </c>
      <c r="E255" s="80">
        <v>1</v>
      </c>
      <c r="F255" s="80">
        <v>1</v>
      </c>
      <c r="G255" s="80">
        <v>1</v>
      </c>
      <c r="H255" s="80">
        <v>0.5</v>
      </c>
      <c r="I255" s="314" t="s">
        <v>38</v>
      </c>
      <c r="J255" s="81" t="s">
        <v>3123</v>
      </c>
      <c r="K255" s="81" t="s">
        <v>811</v>
      </c>
      <c r="L255" s="81" t="s">
        <v>3124</v>
      </c>
      <c r="M255" s="81" t="s">
        <v>1247</v>
      </c>
      <c r="N255" s="81" t="s">
        <v>3125</v>
      </c>
      <c r="O255" s="81" t="s">
        <v>3126</v>
      </c>
      <c r="P255" s="77"/>
      <c r="Q255" s="77"/>
      <c r="R255" s="77"/>
      <c r="S255" s="77"/>
      <c r="T255" s="77"/>
      <c r="U255" s="77"/>
      <c r="V255" s="77"/>
      <c r="W255" s="77"/>
      <c r="X255" s="77"/>
      <c r="Y255" s="77"/>
      <c r="Z255" s="77"/>
    </row>
    <row r="256" spans="1:26" ht="24.75" customHeight="1">
      <c r="A256" s="317"/>
      <c r="B256" s="319"/>
      <c r="C256" s="80"/>
      <c r="D256" s="80"/>
      <c r="E256" s="80"/>
      <c r="F256" s="80"/>
      <c r="G256" s="80"/>
      <c r="H256" s="80"/>
      <c r="I256" s="314"/>
      <c r="J256" s="81"/>
      <c r="K256" s="81"/>
      <c r="L256" s="81"/>
      <c r="M256" s="81"/>
      <c r="N256" s="81"/>
      <c r="O256" s="81"/>
      <c r="P256" s="77"/>
      <c r="Q256" s="77"/>
      <c r="R256" s="77"/>
      <c r="S256" s="77"/>
      <c r="T256" s="77"/>
      <c r="U256" s="77"/>
      <c r="V256" s="77"/>
      <c r="W256" s="77"/>
      <c r="X256" s="77"/>
      <c r="Y256" s="77"/>
      <c r="Z256" s="77"/>
    </row>
    <row r="257" spans="1:26" ht="110.25" customHeight="1">
      <c r="A257" s="317" t="s">
        <v>736</v>
      </c>
      <c r="B257" s="319" t="s">
        <v>379</v>
      </c>
      <c r="C257" s="80">
        <v>1</v>
      </c>
      <c r="D257" s="80">
        <v>1</v>
      </c>
      <c r="E257" s="80">
        <v>0</v>
      </c>
      <c r="F257" s="80">
        <v>0</v>
      </c>
      <c r="G257" s="80">
        <v>1</v>
      </c>
      <c r="H257" s="80">
        <v>1</v>
      </c>
      <c r="I257" s="314" t="s">
        <v>38</v>
      </c>
      <c r="J257" s="81" t="s">
        <v>3127</v>
      </c>
      <c r="K257" s="81" t="s">
        <v>3128</v>
      </c>
      <c r="L257" s="81" t="s">
        <v>748</v>
      </c>
      <c r="M257" s="81" t="s">
        <v>3129</v>
      </c>
      <c r="N257" s="81" t="s">
        <v>3130</v>
      </c>
      <c r="O257" s="182" t="s">
        <v>3131</v>
      </c>
      <c r="P257" s="77"/>
      <c r="Q257" s="77"/>
      <c r="R257" s="77"/>
      <c r="S257" s="77"/>
      <c r="T257" s="77"/>
      <c r="U257" s="77"/>
      <c r="V257" s="77"/>
      <c r="W257" s="77"/>
      <c r="X257" s="77"/>
      <c r="Y257" s="77"/>
      <c r="Z257" s="77"/>
    </row>
    <row r="258" spans="1:26" ht="13.5" customHeight="1">
      <c r="A258" s="2"/>
      <c r="B258" s="950"/>
      <c r="C258" s="195"/>
      <c r="D258" s="195"/>
      <c r="E258" s="195"/>
      <c r="F258" s="195"/>
      <c r="G258" s="195"/>
      <c r="H258" s="195"/>
      <c r="I258" s="18"/>
      <c r="J258" s="156"/>
      <c r="K258" s="945"/>
      <c r="L258" s="945"/>
      <c r="M258" s="156"/>
      <c r="N258" s="945"/>
      <c r="O258" s="945"/>
      <c r="P258" s="15"/>
      <c r="Q258" s="15"/>
      <c r="R258" s="15"/>
      <c r="S258" s="15"/>
      <c r="T258" s="15"/>
      <c r="U258" s="15"/>
      <c r="V258" s="15"/>
      <c r="W258" s="15"/>
      <c r="X258" s="15"/>
      <c r="Y258" s="15"/>
      <c r="Z258" s="15"/>
    </row>
    <row r="259" spans="1:26" ht="141.75" customHeight="1">
      <c r="A259" s="317" t="s">
        <v>736</v>
      </c>
      <c r="B259" s="319" t="s">
        <v>3132</v>
      </c>
      <c r="C259" s="80">
        <v>1</v>
      </c>
      <c r="D259" s="80">
        <v>1</v>
      </c>
      <c r="E259" s="80">
        <v>0</v>
      </c>
      <c r="F259" s="944">
        <v>0.5</v>
      </c>
      <c r="G259" s="80">
        <v>1</v>
      </c>
      <c r="H259" s="80">
        <v>0</v>
      </c>
      <c r="I259" s="314" t="s">
        <v>240</v>
      </c>
      <c r="J259" s="81" t="s">
        <v>3133</v>
      </c>
      <c r="K259" s="81" t="s">
        <v>3134</v>
      </c>
      <c r="L259" s="81" t="s">
        <v>3135</v>
      </c>
      <c r="M259" s="81" t="s">
        <v>3136</v>
      </c>
      <c r="N259" s="81" t="s">
        <v>3137</v>
      </c>
      <c r="O259" s="182" t="s">
        <v>3138</v>
      </c>
      <c r="P259" s="77"/>
      <c r="Q259" s="77"/>
      <c r="R259" s="77"/>
      <c r="S259" s="77"/>
      <c r="T259" s="77"/>
      <c r="U259" s="77"/>
      <c r="V259" s="77"/>
      <c r="W259" s="77"/>
      <c r="X259" s="77"/>
      <c r="Y259" s="77"/>
      <c r="Z259" s="77"/>
    </row>
    <row r="260" spans="1:26" ht="25.5" customHeight="1">
      <c r="A260" s="317"/>
      <c r="B260" s="319"/>
      <c r="C260" s="80"/>
      <c r="D260" s="80"/>
      <c r="E260" s="80"/>
      <c r="F260" s="944"/>
      <c r="G260" s="80"/>
      <c r="H260" s="80"/>
      <c r="I260" s="314"/>
      <c r="J260" s="81"/>
      <c r="K260" s="81"/>
      <c r="L260" s="81"/>
      <c r="M260" s="81"/>
      <c r="N260" s="81"/>
      <c r="O260" s="182"/>
      <c r="P260" s="77"/>
      <c r="Q260" s="77"/>
      <c r="R260" s="77"/>
      <c r="S260" s="77"/>
      <c r="T260" s="77"/>
      <c r="U260" s="77"/>
      <c r="V260" s="77"/>
      <c r="W260" s="77"/>
      <c r="X260" s="77"/>
      <c r="Y260" s="77"/>
      <c r="Z260" s="77"/>
    </row>
    <row r="261" spans="1:26" ht="128.25" customHeight="1">
      <c r="A261" s="317" t="s">
        <v>736</v>
      </c>
      <c r="B261" s="319" t="s">
        <v>381</v>
      </c>
      <c r="C261" s="80">
        <v>1</v>
      </c>
      <c r="D261" s="80">
        <v>1</v>
      </c>
      <c r="E261" s="80">
        <v>1</v>
      </c>
      <c r="F261" s="80">
        <v>0</v>
      </c>
      <c r="G261" s="80">
        <v>1</v>
      </c>
      <c r="H261" s="80">
        <v>0.5</v>
      </c>
      <c r="I261" s="314" t="s">
        <v>240</v>
      </c>
      <c r="J261" s="81" t="s">
        <v>3139</v>
      </c>
      <c r="K261" s="81" t="s">
        <v>811</v>
      </c>
      <c r="L261" s="81" t="s">
        <v>3140</v>
      </c>
      <c r="M261" s="81" t="s">
        <v>3141</v>
      </c>
      <c r="N261" s="81" t="s">
        <v>3142</v>
      </c>
      <c r="O261" s="182" t="s">
        <v>3143</v>
      </c>
      <c r="P261" s="77"/>
      <c r="Q261" s="77"/>
      <c r="R261" s="77"/>
      <c r="S261" s="77"/>
      <c r="T261" s="77"/>
      <c r="U261" s="77"/>
      <c r="V261" s="77"/>
      <c r="W261" s="77"/>
      <c r="X261" s="77"/>
      <c r="Y261" s="77"/>
      <c r="Z261" s="77"/>
    </row>
    <row r="262" spans="1:26" ht="13.5" customHeight="1">
      <c r="A262" s="2"/>
      <c r="B262" s="950"/>
      <c r="C262" s="195"/>
      <c r="D262" s="195"/>
      <c r="E262" s="195"/>
      <c r="F262" s="195"/>
      <c r="G262" s="195"/>
      <c r="H262" s="195"/>
      <c r="I262" s="18"/>
      <c r="J262" s="156"/>
      <c r="K262" s="945"/>
      <c r="L262" s="945"/>
      <c r="M262" s="156"/>
      <c r="N262" s="945"/>
      <c r="O262" s="945"/>
      <c r="P262" s="15"/>
      <c r="Q262" s="15"/>
      <c r="R262" s="15"/>
      <c r="S262" s="15"/>
      <c r="T262" s="15"/>
      <c r="U262" s="15"/>
      <c r="V262" s="15"/>
      <c r="W262" s="15"/>
      <c r="X262" s="15"/>
      <c r="Y262" s="15"/>
      <c r="Z262" s="15"/>
    </row>
    <row r="263" spans="1:26" ht="110.25" customHeight="1">
      <c r="A263" s="317" t="s">
        <v>736</v>
      </c>
      <c r="B263" s="319" t="s">
        <v>382</v>
      </c>
      <c r="C263" s="80">
        <v>0</v>
      </c>
      <c r="D263" s="80">
        <v>1</v>
      </c>
      <c r="E263" s="80">
        <v>0</v>
      </c>
      <c r="F263" s="80">
        <v>0</v>
      </c>
      <c r="G263" s="944">
        <v>0.5</v>
      </c>
      <c r="H263" s="80">
        <v>0</v>
      </c>
      <c r="I263" s="314" t="s">
        <v>38</v>
      </c>
      <c r="J263" s="81" t="s">
        <v>3144</v>
      </c>
      <c r="K263" s="81" t="s">
        <v>3145</v>
      </c>
      <c r="L263" s="81" t="s">
        <v>3146</v>
      </c>
      <c r="M263" s="81" t="s">
        <v>3147</v>
      </c>
      <c r="N263" s="81" t="s">
        <v>3148</v>
      </c>
      <c r="O263" s="182" t="s">
        <v>3149</v>
      </c>
      <c r="P263" s="77"/>
      <c r="Q263" s="77"/>
      <c r="R263" s="77"/>
      <c r="S263" s="77"/>
      <c r="T263" s="77"/>
      <c r="U263" s="77"/>
      <c r="V263" s="77"/>
      <c r="W263" s="77"/>
      <c r="X263" s="77"/>
      <c r="Y263" s="77"/>
      <c r="Z263" s="77"/>
    </row>
    <row r="264" spans="1:26" ht="13.5" customHeight="1">
      <c r="A264" s="2"/>
      <c r="B264" s="950"/>
      <c r="C264" s="195"/>
      <c r="D264" s="195"/>
      <c r="E264" s="195"/>
      <c r="F264" s="195"/>
      <c r="G264" s="195"/>
      <c r="H264" s="195"/>
      <c r="I264" s="18"/>
      <c r="J264" s="156"/>
      <c r="K264" s="945"/>
      <c r="L264" s="945"/>
      <c r="M264" s="156"/>
      <c r="N264" s="945"/>
      <c r="O264" s="945"/>
      <c r="P264" s="15"/>
      <c r="Q264" s="15"/>
      <c r="R264" s="15"/>
      <c r="S264" s="15"/>
      <c r="T264" s="15"/>
      <c r="U264" s="15"/>
      <c r="V264" s="15"/>
      <c r="W264" s="15"/>
      <c r="X264" s="15"/>
      <c r="Y264" s="15"/>
      <c r="Z264" s="15"/>
    </row>
    <row r="265" spans="1:26" ht="90.75" customHeight="1">
      <c r="A265" s="317" t="s">
        <v>736</v>
      </c>
      <c r="B265" s="319" t="s">
        <v>383</v>
      </c>
      <c r="C265" s="80">
        <v>0</v>
      </c>
      <c r="D265" s="80">
        <v>0</v>
      </c>
      <c r="E265" s="80">
        <v>0</v>
      </c>
      <c r="F265" s="80">
        <v>0</v>
      </c>
      <c r="G265" s="944">
        <v>0</v>
      </c>
      <c r="H265" s="80">
        <v>0.5</v>
      </c>
      <c r="I265" s="314" t="s">
        <v>240</v>
      </c>
      <c r="J265" s="182" t="s">
        <v>3150</v>
      </c>
      <c r="K265" s="81" t="s">
        <v>3151</v>
      </c>
      <c r="L265" s="81" t="s">
        <v>1273</v>
      </c>
      <c r="M265" s="81" t="s">
        <v>3152</v>
      </c>
      <c r="N265" s="81" t="s">
        <v>3153</v>
      </c>
      <c r="O265" s="182" t="s">
        <v>3154</v>
      </c>
      <c r="P265" s="77"/>
      <c r="Q265" s="77"/>
      <c r="R265" s="77"/>
      <c r="S265" s="77"/>
      <c r="T265" s="77"/>
      <c r="U265" s="77"/>
      <c r="V265" s="77"/>
      <c r="W265" s="77"/>
      <c r="X265" s="77"/>
      <c r="Y265" s="77"/>
      <c r="Z265" s="77"/>
    </row>
    <row r="266" spans="1:26" ht="13.5" customHeight="1">
      <c r="A266" s="2"/>
      <c r="B266" s="952"/>
      <c r="C266" s="271"/>
      <c r="D266" s="271"/>
      <c r="E266" s="271"/>
      <c r="F266" s="271"/>
      <c r="G266" s="271"/>
      <c r="H266" s="271"/>
      <c r="I266" s="18"/>
      <c r="J266" s="291"/>
      <c r="K266" s="953"/>
      <c r="L266" s="953"/>
      <c r="M266" s="291"/>
      <c r="N266" s="953"/>
      <c r="O266" s="953"/>
      <c r="P266" s="15"/>
      <c r="Q266" s="15"/>
      <c r="R266" s="15"/>
      <c r="S266" s="15"/>
      <c r="T266" s="15"/>
      <c r="U266" s="15"/>
      <c r="V266" s="15"/>
      <c r="W266" s="15"/>
      <c r="X266" s="15"/>
      <c r="Y266" s="15"/>
      <c r="Z266" s="15"/>
    </row>
    <row r="267" spans="1:26" ht="28.5" customHeight="1">
      <c r="A267" s="328" t="s">
        <v>1277</v>
      </c>
      <c r="B267" s="310" t="s">
        <v>385</v>
      </c>
      <c r="C267" s="330">
        <f t="shared" ref="C267:H267" si="43">AVERAGE(C268,C291,C298,C303,C338)</f>
        <v>0.52010695187165779</v>
      </c>
      <c r="D267" s="330">
        <f t="shared" si="43"/>
        <v>0.71679144385026738</v>
      </c>
      <c r="E267" s="330">
        <f t="shared" si="43"/>
        <v>0.27037433155080215</v>
      </c>
      <c r="F267" s="332">
        <f t="shared" si="43"/>
        <v>0.53324420677361861</v>
      </c>
      <c r="G267" s="330">
        <f t="shared" si="43"/>
        <v>0.59782531194295896</v>
      </c>
      <c r="H267" s="330">
        <f t="shared" si="43"/>
        <v>0.51896613190730845</v>
      </c>
      <c r="I267" s="314"/>
      <c r="J267" s="72"/>
      <c r="K267" s="72"/>
      <c r="L267" s="279"/>
      <c r="M267" s="74"/>
      <c r="N267" s="313"/>
      <c r="O267" s="72"/>
      <c r="P267" s="76"/>
      <c r="Q267" s="77"/>
      <c r="R267" s="77"/>
      <c r="S267" s="77"/>
      <c r="T267" s="77"/>
      <c r="U267" s="77"/>
      <c r="V267" s="77"/>
      <c r="W267" s="77"/>
      <c r="X267" s="77"/>
      <c r="Y267" s="77"/>
      <c r="Z267" s="77"/>
    </row>
    <row r="268" spans="1:26" ht="34.5" customHeight="1">
      <c r="A268" s="333" t="s">
        <v>1278</v>
      </c>
      <c r="B268" s="310" t="s">
        <v>387</v>
      </c>
      <c r="C268" s="332">
        <f t="shared" ref="C268:H268" si="44">AVERAGE(C269,C271,C273,C275,C277,C279,C281,C283,C285,C287,C289)</f>
        <v>0.81818181818181823</v>
      </c>
      <c r="D268" s="332">
        <f t="shared" si="44"/>
        <v>0.95454545454545459</v>
      </c>
      <c r="E268" s="332">
        <f t="shared" si="44"/>
        <v>0.36363636363636365</v>
      </c>
      <c r="F268" s="332">
        <f t="shared" si="44"/>
        <v>0.81818181818181823</v>
      </c>
      <c r="G268" s="332">
        <f t="shared" si="44"/>
        <v>0.86363636363636365</v>
      </c>
      <c r="H268" s="332">
        <f t="shared" si="44"/>
        <v>0.59090909090909094</v>
      </c>
      <c r="I268" s="314"/>
      <c r="J268" s="72"/>
      <c r="K268" s="72"/>
      <c r="L268" s="279"/>
      <c r="M268" s="74"/>
      <c r="N268" s="313"/>
      <c r="O268" s="72"/>
      <c r="P268" s="76"/>
      <c r="Q268" s="76"/>
      <c r="R268" s="76"/>
      <c r="S268" s="76"/>
      <c r="T268" s="76"/>
      <c r="U268" s="76"/>
      <c r="V268" s="76"/>
      <c r="W268" s="76"/>
      <c r="X268" s="76"/>
      <c r="Y268" s="76"/>
      <c r="Z268" s="76"/>
    </row>
    <row r="269" spans="1:26" ht="102" customHeight="1">
      <c r="A269" s="317" t="s">
        <v>736</v>
      </c>
      <c r="B269" s="319" t="s">
        <v>388</v>
      </c>
      <c r="C269" s="80">
        <v>1</v>
      </c>
      <c r="D269" s="80">
        <v>1</v>
      </c>
      <c r="E269" s="80">
        <v>1</v>
      </c>
      <c r="F269" s="80">
        <v>1</v>
      </c>
      <c r="G269" s="80">
        <v>1</v>
      </c>
      <c r="H269" s="80">
        <v>1</v>
      </c>
      <c r="I269" s="314" t="s">
        <v>38</v>
      </c>
      <c r="J269" s="81" t="s">
        <v>3155</v>
      </c>
      <c r="K269" s="81" t="s">
        <v>811</v>
      </c>
      <c r="L269" s="81" t="s">
        <v>3156</v>
      </c>
      <c r="M269" s="81" t="s">
        <v>1281</v>
      </c>
      <c r="N269" s="81" t="s">
        <v>3157</v>
      </c>
      <c r="O269" s="81" t="s">
        <v>1283</v>
      </c>
      <c r="P269" s="77"/>
      <c r="Q269" s="77"/>
      <c r="R269" s="77"/>
      <c r="S269" s="77"/>
      <c r="T269" s="77"/>
      <c r="U269" s="77"/>
      <c r="V269" s="77"/>
      <c r="W269" s="77"/>
      <c r="X269" s="77"/>
      <c r="Y269" s="77"/>
      <c r="Z269" s="77"/>
    </row>
    <row r="270" spans="1:26" ht="22.5" customHeight="1">
      <c r="A270" s="2"/>
      <c r="B270" s="950"/>
      <c r="C270" s="195"/>
      <c r="D270" s="195"/>
      <c r="E270" s="195"/>
      <c r="F270" s="195"/>
      <c r="G270" s="195"/>
      <c r="H270" s="195"/>
      <c r="I270" s="18"/>
      <c r="J270" s="156"/>
      <c r="K270" s="945"/>
      <c r="L270" s="945"/>
      <c r="M270" s="156"/>
      <c r="N270" s="945"/>
      <c r="O270" s="945"/>
      <c r="P270" s="15"/>
      <c r="Q270" s="15"/>
      <c r="R270" s="15"/>
      <c r="S270" s="15"/>
      <c r="T270" s="15"/>
      <c r="U270" s="15"/>
      <c r="V270" s="15"/>
      <c r="W270" s="15"/>
      <c r="X270" s="15"/>
      <c r="Y270" s="15"/>
      <c r="Z270" s="15"/>
    </row>
    <row r="271" spans="1:26" ht="146.25" customHeight="1">
      <c r="A271" s="317" t="s">
        <v>736</v>
      </c>
      <c r="B271" s="319" t="s">
        <v>389</v>
      </c>
      <c r="C271" s="944">
        <v>0.5</v>
      </c>
      <c r="D271" s="80">
        <v>1</v>
      </c>
      <c r="E271" s="80">
        <v>1</v>
      </c>
      <c r="F271" s="80">
        <v>1</v>
      </c>
      <c r="G271" s="80">
        <v>1</v>
      </c>
      <c r="H271" s="80">
        <v>1</v>
      </c>
      <c r="I271" s="314" t="s">
        <v>240</v>
      </c>
      <c r="J271" s="81" t="s">
        <v>3158</v>
      </c>
      <c r="K271" s="81" t="s">
        <v>3159</v>
      </c>
      <c r="L271" s="81" t="s">
        <v>811</v>
      </c>
      <c r="M271" s="81" t="s">
        <v>1285</v>
      </c>
      <c r="N271" s="81" t="s">
        <v>1286</v>
      </c>
      <c r="O271" s="81" t="s">
        <v>1287</v>
      </c>
      <c r="P271" s="77"/>
      <c r="Q271" s="77"/>
      <c r="R271" s="77"/>
      <c r="S271" s="77"/>
      <c r="T271" s="77"/>
      <c r="U271" s="77"/>
      <c r="V271" s="77"/>
      <c r="W271" s="77"/>
      <c r="X271" s="77"/>
      <c r="Y271" s="77"/>
      <c r="Z271" s="77"/>
    </row>
    <row r="272" spans="1:26" ht="13.5" customHeight="1">
      <c r="A272" s="2"/>
      <c r="B272" s="950"/>
      <c r="C272" s="195"/>
      <c r="D272" s="195"/>
      <c r="E272" s="195"/>
      <c r="F272" s="195"/>
      <c r="G272" s="195"/>
      <c r="H272" s="195"/>
      <c r="I272" s="18"/>
      <c r="J272" s="156"/>
      <c r="K272" s="945"/>
      <c r="L272" s="945"/>
      <c r="M272" s="156"/>
      <c r="N272" s="945"/>
      <c r="O272" s="945"/>
      <c r="P272" s="15"/>
      <c r="Q272" s="15"/>
      <c r="R272" s="15"/>
      <c r="S272" s="15"/>
      <c r="T272" s="15"/>
      <c r="U272" s="15"/>
      <c r="V272" s="15"/>
      <c r="W272" s="15"/>
      <c r="X272" s="15"/>
      <c r="Y272" s="15"/>
      <c r="Z272" s="15"/>
    </row>
    <row r="273" spans="1:26" ht="105.75" customHeight="1">
      <c r="A273" s="317" t="s">
        <v>736</v>
      </c>
      <c r="B273" s="319" t="s">
        <v>390</v>
      </c>
      <c r="C273" s="80">
        <v>1</v>
      </c>
      <c r="D273" s="80">
        <v>1</v>
      </c>
      <c r="E273" s="80">
        <v>0</v>
      </c>
      <c r="F273" s="80">
        <v>1</v>
      </c>
      <c r="G273" s="80">
        <v>0.5</v>
      </c>
      <c r="H273" s="80">
        <v>1</v>
      </c>
      <c r="I273" s="314" t="s">
        <v>38</v>
      </c>
      <c r="J273" s="81" t="s">
        <v>3160</v>
      </c>
      <c r="K273" s="81" t="s">
        <v>811</v>
      </c>
      <c r="L273" s="81" t="s">
        <v>3161</v>
      </c>
      <c r="M273" s="81" t="s">
        <v>3162</v>
      </c>
      <c r="N273" s="81" t="s">
        <v>3163</v>
      </c>
      <c r="O273" s="81" t="s">
        <v>3164</v>
      </c>
      <c r="P273" s="77"/>
      <c r="Q273" s="77"/>
      <c r="R273" s="77"/>
      <c r="S273" s="77"/>
      <c r="T273" s="77"/>
      <c r="U273" s="77"/>
      <c r="V273" s="77"/>
      <c r="W273" s="77"/>
      <c r="X273" s="77"/>
      <c r="Y273" s="77"/>
      <c r="Z273" s="77"/>
    </row>
    <row r="274" spans="1:26" ht="19.5" customHeight="1">
      <c r="A274" s="2"/>
      <c r="B274" s="950"/>
      <c r="C274" s="195"/>
      <c r="D274" s="195"/>
      <c r="E274" s="195"/>
      <c r="F274" s="195"/>
      <c r="G274" s="195"/>
      <c r="H274" s="195"/>
      <c r="I274" s="18"/>
      <c r="J274" s="156"/>
      <c r="K274" s="945"/>
      <c r="L274" s="945"/>
      <c r="M274" s="156"/>
      <c r="N274" s="945"/>
      <c r="O274" s="945"/>
      <c r="P274" s="15"/>
      <c r="Q274" s="15"/>
      <c r="R274" s="15"/>
      <c r="S274" s="15"/>
      <c r="T274" s="15"/>
      <c r="U274" s="15"/>
      <c r="V274" s="15"/>
      <c r="W274" s="15"/>
      <c r="X274" s="15"/>
      <c r="Y274" s="15"/>
      <c r="Z274" s="15"/>
    </row>
    <row r="275" spans="1:26" ht="141" customHeight="1">
      <c r="A275" s="317" t="s">
        <v>736</v>
      </c>
      <c r="B275" s="319" t="s">
        <v>3165</v>
      </c>
      <c r="C275" s="80">
        <v>1</v>
      </c>
      <c r="D275" s="80">
        <v>1</v>
      </c>
      <c r="E275" s="80">
        <v>0</v>
      </c>
      <c r="F275" s="80">
        <v>1</v>
      </c>
      <c r="G275" s="80">
        <v>1</v>
      </c>
      <c r="H275" s="944">
        <v>0.5</v>
      </c>
      <c r="I275" s="314" t="s">
        <v>240</v>
      </c>
      <c r="J275" s="81" t="s">
        <v>3166</v>
      </c>
      <c r="K275" s="81" t="s">
        <v>3167</v>
      </c>
      <c r="L275" s="81" t="s">
        <v>748</v>
      </c>
      <c r="M275" s="81" t="s">
        <v>3168</v>
      </c>
      <c r="N275" s="81" t="s">
        <v>1296</v>
      </c>
      <c r="O275" s="81" t="s">
        <v>3169</v>
      </c>
      <c r="P275" s="77"/>
      <c r="Q275" s="77"/>
      <c r="R275" s="77"/>
      <c r="S275" s="77"/>
      <c r="T275" s="77"/>
      <c r="U275" s="77"/>
      <c r="V275" s="77"/>
      <c r="W275" s="77"/>
      <c r="X275" s="77"/>
      <c r="Y275" s="77"/>
      <c r="Z275" s="77"/>
    </row>
    <row r="276" spans="1:26" ht="23.25" customHeight="1">
      <c r="A276" s="317"/>
      <c r="B276" s="319"/>
      <c r="C276" s="80"/>
      <c r="D276" s="80"/>
      <c r="E276" s="80"/>
      <c r="F276" s="80"/>
      <c r="G276" s="80"/>
      <c r="H276" s="80"/>
      <c r="I276" s="149"/>
      <c r="J276" s="81"/>
      <c r="K276" s="81"/>
      <c r="L276" s="81"/>
      <c r="M276" s="81"/>
      <c r="N276" s="81"/>
      <c r="O276" s="81"/>
      <c r="P276" s="77"/>
      <c r="Q276" s="77"/>
      <c r="R276" s="77"/>
      <c r="S276" s="77"/>
      <c r="T276" s="77"/>
      <c r="U276" s="77"/>
      <c r="V276" s="77"/>
      <c r="W276" s="77"/>
      <c r="X276" s="77"/>
      <c r="Y276" s="77"/>
      <c r="Z276" s="77"/>
    </row>
    <row r="277" spans="1:26" ht="169.5" customHeight="1">
      <c r="A277" s="317" t="s">
        <v>736</v>
      </c>
      <c r="B277" s="319" t="s">
        <v>392</v>
      </c>
      <c r="C277" s="80">
        <v>0.5</v>
      </c>
      <c r="D277" s="80">
        <v>1</v>
      </c>
      <c r="E277" s="80">
        <v>0</v>
      </c>
      <c r="F277" s="80">
        <v>1</v>
      </c>
      <c r="G277" s="80">
        <v>1</v>
      </c>
      <c r="H277" s="944">
        <v>0</v>
      </c>
      <c r="I277" s="314" t="s">
        <v>240</v>
      </c>
      <c r="J277" s="81" t="s">
        <v>3170</v>
      </c>
      <c r="K277" s="81" t="s">
        <v>811</v>
      </c>
      <c r="L277" s="81" t="s">
        <v>3171</v>
      </c>
      <c r="M277" s="81" t="s">
        <v>1285</v>
      </c>
      <c r="N277" s="81" t="s">
        <v>3172</v>
      </c>
      <c r="O277" s="182" t="s">
        <v>3173</v>
      </c>
      <c r="P277" s="77"/>
      <c r="Q277" s="77"/>
      <c r="R277" s="77"/>
      <c r="S277" s="77"/>
      <c r="T277" s="77"/>
      <c r="U277" s="77"/>
      <c r="V277" s="77"/>
      <c r="W277" s="77"/>
      <c r="X277" s="77"/>
      <c r="Y277" s="77"/>
      <c r="Z277" s="77"/>
    </row>
    <row r="278" spans="1:26" ht="13.5" customHeight="1">
      <c r="A278" s="2"/>
      <c r="B278" s="950"/>
      <c r="C278" s="195"/>
      <c r="D278" s="195"/>
      <c r="E278" s="195"/>
      <c r="F278" s="195"/>
      <c r="G278" s="195"/>
      <c r="H278" s="195"/>
      <c r="I278" s="18"/>
      <c r="J278" s="156"/>
      <c r="K278" s="945"/>
      <c r="L278" s="945"/>
      <c r="M278" s="156"/>
      <c r="N278" s="945"/>
      <c r="O278" s="945"/>
      <c r="P278" s="15"/>
      <c r="Q278" s="15"/>
      <c r="R278" s="15"/>
      <c r="S278" s="15"/>
      <c r="T278" s="15"/>
      <c r="U278" s="15"/>
      <c r="V278" s="15"/>
      <c r="W278" s="15"/>
      <c r="X278" s="15"/>
      <c r="Y278" s="15"/>
      <c r="Z278" s="15"/>
    </row>
    <row r="279" spans="1:26" ht="196.5" customHeight="1">
      <c r="A279" s="317" t="s">
        <v>736</v>
      </c>
      <c r="B279" s="319" t="s">
        <v>393</v>
      </c>
      <c r="C279" s="80">
        <v>1</v>
      </c>
      <c r="D279" s="80">
        <v>1</v>
      </c>
      <c r="E279" s="80">
        <v>0</v>
      </c>
      <c r="F279" s="80">
        <v>1</v>
      </c>
      <c r="G279" s="80">
        <v>1</v>
      </c>
      <c r="H279" s="944">
        <v>0</v>
      </c>
      <c r="I279" s="314" t="s">
        <v>123</v>
      </c>
      <c r="J279" s="81" t="s">
        <v>3174</v>
      </c>
      <c r="K279" s="81" t="s">
        <v>3175</v>
      </c>
      <c r="L279" s="81" t="s">
        <v>748</v>
      </c>
      <c r="M279" s="81" t="s">
        <v>3176</v>
      </c>
      <c r="N279" s="81" t="s">
        <v>3177</v>
      </c>
      <c r="O279" s="182" t="s">
        <v>3178</v>
      </c>
      <c r="P279" s="77"/>
      <c r="Q279" s="77"/>
      <c r="R279" s="77"/>
      <c r="S279" s="77"/>
      <c r="T279" s="77"/>
      <c r="U279" s="77"/>
      <c r="V279" s="77"/>
      <c r="W279" s="77"/>
      <c r="X279" s="77"/>
      <c r="Y279" s="77"/>
      <c r="Z279" s="77"/>
    </row>
    <row r="280" spans="1:26" ht="13.5" customHeight="1">
      <c r="A280" s="2"/>
      <c r="B280" s="950"/>
      <c r="C280" s="195"/>
      <c r="D280" s="195"/>
      <c r="E280" s="195"/>
      <c r="F280" s="195"/>
      <c r="G280" s="195"/>
      <c r="H280" s="195"/>
      <c r="I280" s="18"/>
      <c r="J280" s="156"/>
      <c r="K280" s="945"/>
      <c r="L280" s="945"/>
      <c r="M280" s="156"/>
      <c r="N280" s="945"/>
      <c r="O280" s="945"/>
      <c r="P280" s="15"/>
      <c r="Q280" s="15"/>
      <c r="R280" s="15"/>
      <c r="S280" s="15"/>
      <c r="T280" s="15"/>
      <c r="U280" s="15"/>
      <c r="V280" s="15"/>
      <c r="W280" s="15"/>
      <c r="X280" s="15"/>
      <c r="Y280" s="15"/>
      <c r="Z280" s="15"/>
    </row>
    <row r="281" spans="1:26" ht="161.25" customHeight="1">
      <c r="A281" s="317" t="s">
        <v>736</v>
      </c>
      <c r="B281" s="319" t="s">
        <v>394</v>
      </c>
      <c r="C281" s="80">
        <v>0.5</v>
      </c>
      <c r="D281" s="80">
        <v>1</v>
      </c>
      <c r="E281" s="80">
        <v>0</v>
      </c>
      <c r="F281" s="80">
        <v>0.5</v>
      </c>
      <c r="G281" s="944">
        <v>0.5</v>
      </c>
      <c r="H281" s="80">
        <v>0</v>
      </c>
      <c r="I281" s="314" t="s">
        <v>240</v>
      </c>
      <c r="J281" s="81" t="s">
        <v>3179</v>
      </c>
      <c r="K281" s="81" t="s">
        <v>811</v>
      </c>
      <c r="L281" s="81" t="s">
        <v>748</v>
      </c>
      <c r="M281" s="81" t="s">
        <v>1309</v>
      </c>
      <c r="N281" s="81" t="s">
        <v>3180</v>
      </c>
      <c r="O281" s="81" t="s">
        <v>3181</v>
      </c>
      <c r="P281" s="77"/>
      <c r="Q281" s="77"/>
      <c r="R281" s="77"/>
      <c r="S281" s="77"/>
      <c r="T281" s="77"/>
      <c r="U281" s="77"/>
      <c r="V281" s="77"/>
      <c r="W281" s="77"/>
      <c r="X281" s="77"/>
      <c r="Y281" s="77"/>
      <c r="Z281" s="77"/>
    </row>
    <row r="282" spans="1:26" ht="13.5" customHeight="1">
      <c r="A282" s="2"/>
      <c r="B282" s="950"/>
      <c r="C282" s="195"/>
      <c r="D282" s="195"/>
      <c r="E282" s="195"/>
      <c r="F282" s="195"/>
      <c r="G282" s="195"/>
      <c r="H282" s="195"/>
      <c r="I282" s="18"/>
      <c r="J282" s="156"/>
      <c r="K282" s="945"/>
      <c r="L282" s="945"/>
      <c r="M282" s="156"/>
      <c r="N282" s="945"/>
      <c r="O282" s="945"/>
      <c r="P282" s="15"/>
      <c r="Q282" s="15"/>
      <c r="R282" s="15"/>
      <c r="S282" s="15"/>
      <c r="T282" s="15"/>
      <c r="U282" s="15"/>
      <c r="V282" s="15"/>
      <c r="W282" s="15"/>
      <c r="X282" s="15"/>
      <c r="Y282" s="15"/>
      <c r="Z282" s="15"/>
    </row>
    <row r="283" spans="1:26" ht="132" customHeight="1">
      <c r="A283" s="317" t="s">
        <v>736</v>
      </c>
      <c r="B283" s="319" t="s">
        <v>395</v>
      </c>
      <c r="C283" s="80">
        <v>1</v>
      </c>
      <c r="D283" s="80">
        <v>1</v>
      </c>
      <c r="E283" s="80">
        <v>0</v>
      </c>
      <c r="F283" s="80">
        <v>0</v>
      </c>
      <c r="G283" s="80">
        <v>1</v>
      </c>
      <c r="H283" s="80">
        <v>1</v>
      </c>
      <c r="I283" s="314" t="s">
        <v>38</v>
      </c>
      <c r="J283" s="81" t="s">
        <v>3182</v>
      </c>
      <c r="K283" s="81" t="s">
        <v>3183</v>
      </c>
      <c r="L283" s="81" t="s">
        <v>748</v>
      </c>
      <c r="M283" s="81" t="s">
        <v>3184</v>
      </c>
      <c r="N283" s="81" t="s">
        <v>3185</v>
      </c>
      <c r="O283" s="81" t="s">
        <v>3186</v>
      </c>
      <c r="P283" s="77"/>
      <c r="Q283" s="77"/>
      <c r="R283" s="77"/>
      <c r="S283" s="77"/>
      <c r="T283" s="77"/>
      <c r="U283" s="77"/>
      <c r="V283" s="77"/>
      <c r="W283" s="77"/>
      <c r="X283" s="77"/>
      <c r="Y283" s="77"/>
      <c r="Z283" s="77"/>
    </row>
    <row r="284" spans="1:26" ht="15.75" customHeight="1">
      <c r="A284" s="2"/>
      <c r="B284" s="950"/>
      <c r="C284" s="195"/>
      <c r="D284" s="195"/>
      <c r="E284" s="195"/>
      <c r="F284" s="195"/>
      <c r="G284" s="195"/>
      <c r="H284" s="195"/>
      <c r="I284" s="18"/>
      <c r="J284" s="156"/>
      <c r="K284" s="945"/>
      <c r="L284" s="945"/>
      <c r="M284" s="156"/>
      <c r="N284" s="945"/>
      <c r="O284" s="945"/>
      <c r="P284" s="15"/>
      <c r="Q284" s="15"/>
      <c r="R284" s="15"/>
      <c r="S284" s="15"/>
      <c r="T284" s="15"/>
      <c r="U284" s="15"/>
      <c r="V284" s="15"/>
      <c r="W284" s="15"/>
      <c r="X284" s="15"/>
      <c r="Y284" s="15"/>
      <c r="Z284" s="15"/>
    </row>
    <row r="285" spans="1:26" ht="108" customHeight="1">
      <c r="A285" s="317" t="s">
        <v>736</v>
      </c>
      <c r="B285" s="319" t="s">
        <v>396</v>
      </c>
      <c r="C285" s="80">
        <v>1</v>
      </c>
      <c r="D285" s="80">
        <v>1</v>
      </c>
      <c r="E285" s="80">
        <v>1</v>
      </c>
      <c r="F285" s="80">
        <v>1</v>
      </c>
      <c r="G285" s="80">
        <v>1</v>
      </c>
      <c r="H285" s="80">
        <v>1</v>
      </c>
      <c r="I285" s="314" t="s">
        <v>38</v>
      </c>
      <c r="J285" s="81" t="s">
        <v>3187</v>
      </c>
      <c r="K285" s="81" t="s">
        <v>811</v>
      </c>
      <c r="L285" s="182" t="s">
        <v>3188</v>
      </c>
      <c r="M285" s="81" t="s">
        <v>3189</v>
      </c>
      <c r="N285" s="81" t="s">
        <v>1319</v>
      </c>
      <c r="O285" s="81" t="s">
        <v>3190</v>
      </c>
      <c r="P285" s="77"/>
      <c r="Q285" s="77"/>
      <c r="R285" s="77"/>
      <c r="S285" s="77"/>
      <c r="T285" s="77"/>
      <c r="U285" s="77"/>
      <c r="V285" s="77"/>
      <c r="W285" s="77"/>
      <c r="X285" s="77"/>
      <c r="Y285" s="77"/>
      <c r="Z285" s="77"/>
    </row>
    <row r="286" spans="1:26" ht="19.5" customHeight="1">
      <c r="A286" s="2"/>
      <c r="B286" s="950"/>
      <c r="C286" s="195"/>
      <c r="D286" s="195"/>
      <c r="E286" s="195"/>
      <c r="F286" s="195"/>
      <c r="G286" s="195"/>
      <c r="H286" s="195"/>
      <c r="I286" s="18"/>
      <c r="J286" s="156"/>
      <c r="K286" s="945"/>
      <c r="L286" s="945"/>
      <c r="M286" s="156"/>
      <c r="N286" s="945"/>
      <c r="O286" s="945"/>
      <c r="P286" s="15"/>
      <c r="Q286" s="15"/>
      <c r="R286" s="15"/>
      <c r="S286" s="15"/>
      <c r="T286" s="15"/>
      <c r="U286" s="15"/>
      <c r="V286" s="15"/>
      <c r="W286" s="15"/>
      <c r="X286" s="15"/>
      <c r="Y286" s="15"/>
      <c r="Z286" s="15"/>
    </row>
    <row r="287" spans="1:26" ht="111.75" customHeight="1">
      <c r="A287" s="317" t="s">
        <v>736</v>
      </c>
      <c r="B287" s="319" t="s">
        <v>397</v>
      </c>
      <c r="C287" s="80">
        <v>1</v>
      </c>
      <c r="D287" s="80">
        <v>1</v>
      </c>
      <c r="E287" s="80">
        <v>1</v>
      </c>
      <c r="F287" s="944">
        <v>1</v>
      </c>
      <c r="G287" s="80">
        <v>1</v>
      </c>
      <c r="H287" s="944">
        <v>0.5</v>
      </c>
      <c r="I287" s="314" t="s">
        <v>38</v>
      </c>
      <c r="J287" s="81" t="s">
        <v>3191</v>
      </c>
      <c r="K287" s="81" t="s">
        <v>3192</v>
      </c>
      <c r="L287" s="81" t="s">
        <v>3193</v>
      </c>
      <c r="M287" s="81" t="s">
        <v>3194</v>
      </c>
      <c r="N287" s="81" t="s">
        <v>3195</v>
      </c>
      <c r="O287" s="182" t="s">
        <v>3196</v>
      </c>
      <c r="P287" s="77"/>
      <c r="Q287" s="77"/>
      <c r="R287" s="77"/>
      <c r="S287" s="77"/>
      <c r="T287" s="77"/>
      <c r="U287" s="77"/>
      <c r="V287" s="77"/>
      <c r="W287" s="77"/>
      <c r="X287" s="77"/>
      <c r="Y287" s="77"/>
      <c r="Z287" s="77"/>
    </row>
    <row r="288" spans="1:26" ht="13.5" customHeight="1">
      <c r="A288" s="2"/>
      <c r="B288" s="950"/>
      <c r="C288" s="195"/>
      <c r="D288" s="195"/>
      <c r="E288" s="195"/>
      <c r="F288" s="195"/>
      <c r="G288" s="195"/>
      <c r="H288" s="195"/>
      <c r="I288" s="18"/>
      <c r="J288" s="156"/>
      <c r="K288" s="945"/>
      <c r="L288" s="945"/>
      <c r="M288" s="156"/>
      <c r="N288" s="945"/>
      <c r="O288" s="945"/>
      <c r="P288" s="15"/>
      <c r="Q288" s="15"/>
      <c r="R288" s="15"/>
      <c r="S288" s="15"/>
      <c r="T288" s="15"/>
      <c r="U288" s="15"/>
      <c r="V288" s="15"/>
      <c r="W288" s="15"/>
      <c r="X288" s="15"/>
      <c r="Y288" s="15"/>
      <c r="Z288" s="15"/>
    </row>
    <row r="289" spans="1:26" ht="164.25" customHeight="1">
      <c r="A289" s="317" t="s">
        <v>736</v>
      </c>
      <c r="B289" s="319" t="s">
        <v>398</v>
      </c>
      <c r="C289" s="80">
        <v>0.5</v>
      </c>
      <c r="D289" s="80">
        <v>0.5</v>
      </c>
      <c r="E289" s="80">
        <v>0</v>
      </c>
      <c r="F289" s="944">
        <v>0.5</v>
      </c>
      <c r="G289" s="80">
        <v>0.5</v>
      </c>
      <c r="H289" s="80">
        <v>0.5</v>
      </c>
      <c r="I289" s="314" t="s">
        <v>240</v>
      </c>
      <c r="J289" s="81" t="s">
        <v>3197</v>
      </c>
      <c r="K289" s="81" t="s">
        <v>3198</v>
      </c>
      <c r="L289" s="81" t="s">
        <v>3199</v>
      </c>
      <c r="M289" s="81" t="s">
        <v>3200</v>
      </c>
      <c r="N289" s="81" t="s">
        <v>1330</v>
      </c>
      <c r="O289" s="81" t="s">
        <v>3201</v>
      </c>
      <c r="P289" s="77"/>
      <c r="Q289" s="77"/>
      <c r="R289" s="77"/>
      <c r="S289" s="77"/>
      <c r="T289" s="77"/>
      <c r="U289" s="77"/>
      <c r="V289" s="77"/>
      <c r="W289" s="77"/>
      <c r="X289" s="77"/>
      <c r="Y289" s="77"/>
      <c r="Z289" s="77"/>
    </row>
    <row r="290" spans="1:26" ht="18.75" customHeight="1">
      <c r="A290" s="317"/>
      <c r="B290" s="335"/>
      <c r="C290" s="87"/>
      <c r="D290" s="87"/>
      <c r="E290" s="87"/>
      <c r="F290" s="87"/>
      <c r="G290" s="87"/>
      <c r="H290" s="87"/>
      <c r="I290" s="149"/>
      <c r="J290" s="75"/>
      <c r="K290" s="75"/>
      <c r="L290" s="75"/>
      <c r="M290" s="75"/>
      <c r="N290" s="75"/>
      <c r="O290" s="75"/>
      <c r="P290" s="77"/>
      <c r="Q290" s="77"/>
      <c r="R290" s="77"/>
      <c r="S290" s="77"/>
      <c r="T290" s="77"/>
      <c r="U290" s="77"/>
      <c r="V290" s="77"/>
      <c r="W290" s="77"/>
      <c r="X290" s="77"/>
      <c r="Y290" s="77"/>
      <c r="Z290" s="77"/>
    </row>
    <row r="291" spans="1:26" ht="13.5" customHeight="1">
      <c r="A291" s="328" t="s">
        <v>1332</v>
      </c>
      <c r="B291" s="310" t="s">
        <v>400</v>
      </c>
      <c r="C291" s="313">
        <f t="shared" ref="C291:H291" si="45">AVERAGE(C292,C294,C296)</f>
        <v>1</v>
      </c>
      <c r="D291" s="313">
        <f t="shared" si="45"/>
        <v>1</v>
      </c>
      <c r="E291" s="313">
        <f t="shared" si="45"/>
        <v>0</v>
      </c>
      <c r="F291" s="313">
        <f t="shared" si="45"/>
        <v>0.33333333333333331</v>
      </c>
      <c r="G291" s="313">
        <f t="shared" si="45"/>
        <v>0.66666666666666663</v>
      </c>
      <c r="H291" s="313">
        <f t="shared" si="45"/>
        <v>0.83333333333333337</v>
      </c>
      <c r="I291" s="314"/>
      <c r="J291" s="72"/>
      <c r="K291" s="72"/>
      <c r="L291" s="279"/>
      <c r="M291" s="74"/>
      <c r="N291" s="313"/>
      <c r="O291" s="72"/>
      <c r="P291" s="76"/>
      <c r="Q291" s="76"/>
      <c r="R291" s="76"/>
      <c r="S291" s="76"/>
      <c r="T291" s="76"/>
      <c r="U291" s="76"/>
      <c r="V291" s="76"/>
      <c r="W291" s="76"/>
      <c r="X291" s="76"/>
      <c r="Y291" s="76"/>
      <c r="Z291" s="76"/>
    </row>
    <row r="292" spans="1:26" ht="105.75" customHeight="1">
      <c r="A292" s="317" t="s">
        <v>736</v>
      </c>
      <c r="B292" s="319" t="s">
        <v>3202</v>
      </c>
      <c r="C292" s="80">
        <v>1</v>
      </c>
      <c r="D292" s="80">
        <v>1</v>
      </c>
      <c r="E292" s="80">
        <v>0</v>
      </c>
      <c r="F292" s="80">
        <v>1</v>
      </c>
      <c r="G292" s="80">
        <v>1</v>
      </c>
      <c r="H292" s="80">
        <v>1</v>
      </c>
      <c r="I292" s="314" t="s">
        <v>38</v>
      </c>
      <c r="J292" s="81" t="s">
        <v>3203</v>
      </c>
      <c r="K292" s="81" t="s">
        <v>3204</v>
      </c>
      <c r="L292" s="81" t="s">
        <v>748</v>
      </c>
      <c r="M292" s="81" t="s">
        <v>3205</v>
      </c>
      <c r="N292" s="81" t="s">
        <v>1336</v>
      </c>
      <c r="O292" s="81" t="s">
        <v>3206</v>
      </c>
      <c r="P292" s="77"/>
      <c r="Q292" s="77"/>
      <c r="R292" s="77"/>
      <c r="S292" s="77"/>
      <c r="T292" s="77"/>
      <c r="U292" s="77"/>
      <c r="V292" s="77"/>
      <c r="W292" s="77"/>
      <c r="X292" s="77"/>
      <c r="Y292" s="77"/>
      <c r="Z292" s="77"/>
    </row>
    <row r="293" spans="1:26" ht="13.5" customHeight="1">
      <c r="A293" s="317"/>
      <c r="B293" s="319"/>
      <c r="C293" s="80"/>
      <c r="D293" s="80"/>
      <c r="E293" s="80"/>
      <c r="F293" s="80"/>
      <c r="G293" s="80"/>
      <c r="H293" s="80"/>
      <c r="I293" s="314"/>
      <c r="J293" s="81"/>
      <c r="K293" s="81"/>
      <c r="L293" s="81"/>
      <c r="M293" s="81"/>
      <c r="N293" s="81"/>
      <c r="O293" s="81"/>
      <c r="P293" s="77"/>
      <c r="Q293" s="77"/>
      <c r="R293" s="77"/>
      <c r="S293" s="77"/>
      <c r="T293" s="77"/>
      <c r="U293" s="77"/>
      <c r="V293" s="77"/>
      <c r="W293" s="77"/>
      <c r="X293" s="77"/>
      <c r="Y293" s="77"/>
      <c r="Z293" s="77"/>
    </row>
    <row r="294" spans="1:26" ht="102" customHeight="1">
      <c r="A294" s="317" t="s">
        <v>736</v>
      </c>
      <c r="B294" s="319" t="s">
        <v>402</v>
      </c>
      <c r="C294" s="80">
        <v>1</v>
      </c>
      <c r="D294" s="80">
        <v>1</v>
      </c>
      <c r="E294" s="80">
        <v>0</v>
      </c>
      <c r="F294" s="80">
        <v>0</v>
      </c>
      <c r="G294" s="80">
        <v>1</v>
      </c>
      <c r="H294" s="80">
        <v>1</v>
      </c>
      <c r="I294" s="314" t="s">
        <v>38</v>
      </c>
      <c r="J294" s="81" t="s">
        <v>3207</v>
      </c>
      <c r="K294" s="81" t="s">
        <v>811</v>
      </c>
      <c r="L294" s="81" t="s">
        <v>748</v>
      </c>
      <c r="M294" s="81" t="s">
        <v>3208</v>
      </c>
      <c r="N294" s="81" t="s">
        <v>811</v>
      </c>
      <c r="O294" s="81" t="s">
        <v>3209</v>
      </c>
      <c r="P294" s="77"/>
      <c r="Q294" s="77"/>
      <c r="R294" s="77"/>
      <c r="S294" s="77"/>
      <c r="T294" s="77"/>
      <c r="U294" s="77"/>
      <c r="V294" s="77"/>
      <c r="W294" s="77"/>
      <c r="X294" s="77"/>
      <c r="Y294" s="77"/>
      <c r="Z294" s="77"/>
    </row>
    <row r="295" spans="1:26" ht="13.5" customHeight="1">
      <c r="A295" s="2"/>
      <c r="B295" s="950"/>
      <c r="C295" s="195"/>
      <c r="D295" s="195"/>
      <c r="E295" s="195"/>
      <c r="F295" s="195"/>
      <c r="G295" s="195"/>
      <c r="H295" s="195"/>
      <c r="I295" s="18"/>
      <c r="J295" s="156"/>
      <c r="K295" s="945"/>
      <c r="L295" s="945"/>
      <c r="M295" s="156"/>
      <c r="N295" s="945"/>
      <c r="O295" s="945"/>
      <c r="P295" s="15"/>
      <c r="Q295" s="15"/>
      <c r="R295" s="15"/>
      <c r="S295" s="15"/>
      <c r="T295" s="15"/>
      <c r="U295" s="15"/>
      <c r="V295" s="15"/>
      <c r="W295" s="15"/>
      <c r="X295" s="15"/>
      <c r="Y295" s="15"/>
      <c r="Z295" s="15"/>
    </row>
    <row r="296" spans="1:26" ht="84.75" customHeight="1">
      <c r="A296" s="317" t="s">
        <v>736</v>
      </c>
      <c r="B296" s="319" t="s">
        <v>403</v>
      </c>
      <c r="C296" s="80">
        <v>1</v>
      </c>
      <c r="D296" s="80">
        <v>1</v>
      </c>
      <c r="E296" s="944">
        <v>0</v>
      </c>
      <c r="F296" s="80">
        <v>0</v>
      </c>
      <c r="G296" s="80">
        <v>0</v>
      </c>
      <c r="H296" s="944">
        <v>0.5</v>
      </c>
      <c r="I296" s="314" t="s">
        <v>38</v>
      </c>
      <c r="J296" s="182" t="s">
        <v>3210</v>
      </c>
      <c r="K296" s="81" t="s">
        <v>811</v>
      </c>
      <c r="L296" s="81" t="s">
        <v>3211</v>
      </c>
      <c r="M296" s="81" t="s">
        <v>3212</v>
      </c>
      <c r="N296" s="81" t="s">
        <v>748</v>
      </c>
      <c r="O296" s="180" t="s">
        <v>3213</v>
      </c>
      <c r="P296" s="77"/>
      <c r="Q296" s="77"/>
      <c r="R296" s="77"/>
      <c r="S296" s="77"/>
      <c r="T296" s="77"/>
      <c r="U296" s="77"/>
      <c r="V296" s="77"/>
      <c r="W296" s="77"/>
      <c r="X296" s="77"/>
      <c r="Y296" s="77"/>
      <c r="Z296" s="77"/>
    </row>
    <row r="297" spans="1:26" ht="13.5" customHeight="1">
      <c r="A297" s="2"/>
      <c r="B297" s="952"/>
      <c r="C297" s="271"/>
      <c r="D297" s="271"/>
      <c r="E297" s="271"/>
      <c r="F297" s="271"/>
      <c r="G297" s="271"/>
      <c r="H297" s="271"/>
      <c r="I297" s="18"/>
      <c r="J297" s="291"/>
      <c r="K297" s="953"/>
      <c r="L297" s="953"/>
      <c r="M297" s="291"/>
      <c r="N297" s="953"/>
      <c r="O297" s="953"/>
      <c r="P297" s="15"/>
      <c r="Q297" s="15"/>
      <c r="R297" s="15"/>
      <c r="S297" s="15"/>
      <c r="T297" s="15"/>
      <c r="U297" s="15"/>
      <c r="V297" s="15"/>
      <c r="W297" s="15"/>
      <c r="X297" s="15"/>
      <c r="Y297" s="15"/>
      <c r="Z297" s="15"/>
    </row>
    <row r="298" spans="1:26" ht="36" customHeight="1">
      <c r="A298" s="328" t="s">
        <v>1346</v>
      </c>
      <c r="B298" s="310" t="s">
        <v>405</v>
      </c>
      <c r="C298" s="72">
        <f t="shared" ref="C298:H298" si="46">AVERAGE(C299, C301)</f>
        <v>0</v>
      </c>
      <c r="D298" s="72">
        <f t="shared" si="46"/>
        <v>0.5</v>
      </c>
      <c r="E298" s="72">
        <f t="shared" si="46"/>
        <v>0.5</v>
      </c>
      <c r="F298" s="72">
        <f t="shared" si="46"/>
        <v>0.75</v>
      </c>
      <c r="G298" s="72">
        <f t="shared" si="46"/>
        <v>0.5</v>
      </c>
      <c r="H298" s="72">
        <f t="shared" si="46"/>
        <v>0.5</v>
      </c>
      <c r="I298" s="314"/>
      <c r="J298" s="72"/>
      <c r="K298" s="72"/>
      <c r="L298" s="279"/>
      <c r="M298" s="74"/>
      <c r="N298" s="313"/>
      <c r="O298" s="72"/>
      <c r="P298" s="76"/>
      <c r="Q298" s="76"/>
      <c r="R298" s="76"/>
      <c r="S298" s="76"/>
      <c r="T298" s="76"/>
      <c r="U298" s="76"/>
      <c r="V298" s="76"/>
      <c r="W298" s="76"/>
      <c r="X298" s="76"/>
      <c r="Y298" s="76"/>
      <c r="Z298" s="76"/>
    </row>
    <row r="299" spans="1:26" ht="109.5" customHeight="1">
      <c r="A299" s="317" t="s">
        <v>736</v>
      </c>
      <c r="B299" s="319" t="s">
        <v>3214</v>
      </c>
      <c r="C299" s="80">
        <v>0</v>
      </c>
      <c r="D299" s="80">
        <v>1</v>
      </c>
      <c r="E299" s="80">
        <v>1</v>
      </c>
      <c r="F299" s="80">
        <v>1</v>
      </c>
      <c r="G299" s="80">
        <v>1</v>
      </c>
      <c r="H299" s="80">
        <v>1</v>
      </c>
      <c r="I299" s="314" t="s">
        <v>38</v>
      </c>
      <c r="J299" s="81" t="s">
        <v>3215</v>
      </c>
      <c r="K299" s="81" t="s">
        <v>3216</v>
      </c>
      <c r="L299" s="81" t="s">
        <v>3217</v>
      </c>
      <c r="M299" s="81" t="s">
        <v>3218</v>
      </c>
      <c r="N299" s="81" t="s">
        <v>3219</v>
      </c>
      <c r="O299" s="81" t="s">
        <v>3220</v>
      </c>
      <c r="P299" s="77"/>
      <c r="Q299" s="77"/>
      <c r="R299" s="77"/>
      <c r="S299" s="77"/>
      <c r="T299" s="77"/>
      <c r="U299" s="77"/>
      <c r="V299" s="77"/>
      <c r="W299" s="77"/>
      <c r="X299" s="77"/>
      <c r="Y299" s="77"/>
      <c r="Z299" s="77"/>
    </row>
    <row r="300" spans="1:26" ht="22.5" customHeight="1">
      <c r="A300" s="317"/>
      <c r="B300" s="319"/>
      <c r="C300" s="80"/>
      <c r="D300" s="80"/>
      <c r="E300" s="80"/>
      <c r="F300" s="80"/>
      <c r="G300" s="80"/>
      <c r="H300" s="80"/>
      <c r="I300" s="314"/>
      <c r="J300" s="81"/>
      <c r="K300" s="81"/>
      <c r="L300" s="81"/>
      <c r="M300" s="81"/>
      <c r="N300" s="81"/>
      <c r="O300" s="81"/>
      <c r="P300" s="77"/>
      <c r="Q300" s="77"/>
      <c r="R300" s="77"/>
      <c r="S300" s="77"/>
      <c r="T300" s="77"/>
      <c r="U300" s="77"/>
      <c r="V300" s="77"/>
      <c r="W300" s="77"/>
      <c r="X300" s="77"/>
      <c r="Y300" s="77"/>
      <c r="Z300" s="77"/>
    </row>
    <row r="301" spans="1:26" ht="273.75" customHeight="1">
      <c r="A301" s="317" t="s">
        <v>736</v>
      </c>
      <c r="B301" s="319" t="s">
        <v>406</v>
      </c>
      <c r="C301" s="80">
        <v>0</v>
      </c>
      <c r="D301" s="80">
        <v>0</v>
      </c>
      <c r="E301" s="80">
        <v>0</v>
      </c>
      <c r="F301" s="944">
        <v>0.5</v>
      </c>
      <c r="G301" s="80">
        <v>0</v>
      </c>
      <c r="H301" s="80">
        <v>0</v>
      </c>
      <c r="I301" s="336" t="s">
        <v>123</v>
      </c>
      <c r="J301" s="81" t="s">
        <v>3221</v>
      </c>
      <c r="K301" s="81" t="s">
        <v>3198</v>
      </c>
      <c r="L301" s="81" t="s">
        <v>3222</v>
      </c>
      <c r="M301" s="81" t="s">
        <v>3223</v>
      </c>
      <c r="N301" s="81" t="s">
        <v>3224</v>
      </c>
      <c r="O301" s="81" t="s">
        <v>3225</v>
      </c>
      <c r="P301" s="77"/>
      <c r="Q301" s="77"/>
      <c r="R301" s="77"/>
      <c r="S301" s="77"/>
      <c r="T301" s="77"/>
      <c r="U301" s="77"/>
      <c r="V301" s="77"/>
      <c r="W301" s="77"/>
      <c r="X301" s="77"/>
      <c r="Y301" s="77"/>
      <c r="Z301" s="77"/>
    </row>
    <row r="302" spans="1:26" ht="13.5" customHeight="1">
      <c r="A302" s="2"/>
      <c r="B302" s="950"/>
      <c r="C302" s="195"/>
      <c r="D302" s="195"/>
      <c r="E302" s="195"/>
      <c r="F302" s="195"/>
      <c r="G302" s="195"/>
      <c r="H302" s="195"/>
      <c r="I302" s="18"/>
      <c r="J302" s="156"/>
      <c r="K302" s="945"/>
      <c r="L302" s="945"/>
      <c r="M302" s="156"/>
      <c r="N302" s="945"/>
      <c r="O302" s="945"/>
      <c r="P302" s="15"/>
      <c r="Q302" s="15"/>
      <c r="R302" s="15"/>
      <c r="S302" s="15"/>
      <c r="T302" s="15"/>
      <c r="U302" s="15"/>
      <c r="V302" s="15"/>
      <c r="W302" s="15"/>
      <c r="X302" s="15"/>
      <c r="Y302" s="15"/>
      <c r="Z302" s="15"/>
    </row>
    <row r="303" spans="1:26" ht="24" customHeight="1">
      <c r="A303" s="328" t="s">
        <v>1352</v>
      </c>
      <c r="B303" s="310" t="s">
        <v>408</v>
      </c>
      <c r="C303" s="313">
        <f t="shared" ref="C303:H303" si="47">AVERAGE(C304,C306,C308,C310,C312,C314,C316,C318,C320,C322,C324,C326,C328,C330,C332,C334,C336)</f>
        <v>0.38235294117647056</v>
      </c>
      <c r="D303" s="313">
        <f t="shared" si="47"/>
        <v>0.52941176470588236</v>
      </c>
      <c r="E303" s="313">
        <f t="shared" si="47"/>
        <v>8.8235294117647065E-2</v>
      </c>
      <c r="F303" s="313">
        <f t="shared" si="47"/>
        <v>0.26470588235294118</v>
      </c>
      <c r="G303" s="313">
        <f t="shared" si="47"/>
        <v>0.55882352941176472</v>
      </c>
      <c r="H303" s="313">
        <f t="shared" si="47"/>
        <v>0.47058823529411764</v>
      </c>
      <c r="I303" s="314"/>
      <c r="J303" s="72"/>
      <c r="K303" s="72"/>
      <c r="L303" s="279"/>
      <c r="M303" s="313"/>
      <c r="N303" s="313"/>
      <c r="O303" s="72"/>
      <c r="P303" s="76"/>
      <c r="Q303" s="76"/>
      <c r="R303" s="76"/>
      <c r="S303" s="76"/>
      <c r="T303" s="76"/>
      <c r="U303" s="76"/>
      <c r="V303" s="76"/>
      <c r="W303" s="76"/>
      <c r="X303" s="76"/>
      <c r="Y303" s="76"/>
      <c r="Z303" s="76"/>
    </row>
    <row r="304" spans="1:26" ht="108.75" customHeight="1">
      <c r="A304" s="317" t="s">
        <v>736</v>
      </c>
      <c r="B304" s="319" t="s">
        <v>409</v>
      </c>
      <c r="C304" s="80">
        <v>0</v>
      </c>
      <c r="D304" s="80">
        <v>0</v>
      </c>
      <c r="E304" s="80">
        <v>0</v>
      </c>
      <c r="F304" s="80">
        <v>0</v>
      </c>
      <c r="G304" s="80">
        <v>0</v>
      </c>
      <c r="H304" s="80">
        <v>1</v>
      </c>
      <c r="I304" s="314" t="s">
        <v>38</v>
      </c>
      <c r="J304" s="81" t="s">
        <v>3226</v>
      </c>
      <c r="K304" s="81" t="s">
        <v>748</v>
      </c>
      <c r="L304" s="81" t="s">
        <v>3227</v>
      </c>
      <c r="M304" s="81" t="s">
        <v>1355</v>
      </c>
      <c r="N304" s="81" t="s">
        <v>3228</v>
      </c>
      <c r="O304" s="81" t="s">
        <v>3229</v>
      </c>
      <c r="P304" s="77"/>
      <c r="Q304" s="77"/>
      <c r="R304" s="77"/>
      <c r="S304" s="77"/>
      <c r="T304" s="77"/>
      <c r="U304" s="77"/>
      <c r="V304" s="77"/>
      <c r="W304" s="77"/>
      <c r="X304" s="77"/>
      <c r="Y304" s="77"/>
      <c r="Z304" s="77"/>
    </row>
    <row r="305" spans="1:26" ht="13.5" customHeight="1">
      <c r="A305" s="2"/>
      <c r="B305" s="950"/>
      <c r="C305" s="195"/>
      <c r="D305" s="195"/>
      <c r="E305" s="195"/>
      <c r="F305" s="195"/>
      <c r="G305" s="195"/>
      <c r="H305" s="195"/>
      <c r="I305" s="18"/>
      <c r="J305" s="156"/>
      <c r="K305" s="945"/>
      <c r="L305" s="945"/>
      <c r="M305" s="156"/>
      <c r="N305" s="945"/>
      <c r="O305" s="945"/>
      <c r="P305" s="15"/>
      <c r="Q305" s="15"/>
      <c r="R305" s="15"/>
      <c r="S305" s="15"/>
      <c r="T305" s="15"/>
      <c r="U305" s="15"/>
      <c r="V305" s="15"/>
      <c r="W305" s="15"/>
      <c r="X305" s="15"/>
      <c r="Y305" s="15"/>
      <c r="Z305" s="15"/>
    </row>
    <row r="306" spans="1:26" ht="84" customHeight="1">
      <c r="A306" s="317" t="s">
        <v>736</v>
      </c>
      <c r="B306" s="319" t="s">
        <v>410</v>
      </c>
      <c r="C306" s="80">
        <v>0</v>
      </c>
      <c r="D306" s="80">
        <v>1</v>
      </c>
      <c r="E306" s="80">
        <v>0</v>
      </c>
      <c r="F306" s="80">
        <v>0</v>
      </c>
      <c r="G306" s="80">
        <v>1</v>
      </c>
      <c r="H306" s="944">
        <v>0</v>
      </c>
      <c r="I306" s="314" t="s">
        <v>38</v>
      </c>
      <c r="J306" s="81" t="s">
        <v>3230</v>
      </c>
      <c r="K306" s="81" t="s">
        <v>811</v>
      </c>
      <c r="L306" s="81" t="s">
        <v>748</v>
      </c>
      <c r="M306" s="81" t="s">
        <v>3231</v>
      </c>
      <c r="N306" s="81" t="s">
        <v>3232</v>
      </c>
      <c r="O306" s="81" t="s">
        <v>3233</v>
      </c>
      <c r="P306" s="77"/>
      <c r="Q306" s="77"/>
      <c r="R306" s="77"/>
      <c r="S306" s="77"/>
      <c r="T306" s="77"/>
      <c r="U306" s="77"/>
      <c r="V306" s="77"/>
      <c r="W306" s="77"/>
      <c r="X306" s="77"/>
      <c r="Y306" s="77"/>
      <c r="Z306" s="77"/>
    </row>
    <row r="307" spans="1:26" ht="21.75" customHeight="1">
      <c r="A307" s="2"/>
      <c r="B307" s="950"/>
      <c r="C307" s="195"/>
      <c r="D307" s="195"/>
      <c r="E307" s="195"/>
      <c r="F307" s="195"/>
      <c r="G307" s="195"/>
      <c r="H307" s="195"/>
      <c r="I307" s="18"/>
      <c r="J307" s="156"/>
      <c r="K307" s="945"/>
      <c r="L307" s="945"/>
      <c r="M307" s="156"/>
      <c r="N307" s="945"/>
      <c r="O307" s="945"/>
      <c r="P307" s="15"/>
      <c r="Q307" s="15"/>
      <c r="R307" s="15"/>
      <c r="S307" s="15"/>
      <c r="T307" s="15"/>
      <c r="U307" s="15"/>
      <c r="V307" s="15"/>
      <c r="W307" s="15"/>
      <c r="X307" s="15"/>
      <c r="Y307" s="15"/>
      <c r="Z307" s="15"/>
    </row>
    <row r="308" spans="1:26" ht="189.75" customHeight="1">
      <c r="A308" s="317" t="s">
        <v>736</v>
      </c>
      <c r="B308" s="319" t="s">
        <v>411</v>
      </c>
      <c r="C308" s="80">
        <v>0</v>
      </c>
      <c r="D308" s="80">
        <v>0</v>
      </c>
      <c r="E308" s="80">
        <v>0</v>
      </c>
      <c r="F308" s="80">
        <v>1</v>
      </c>
      <c r="G308" s="80">
        <v>1</v>
      </c>
      <c r="H308" s="944">
        <v>1</v>
      </c>
      <c r="I308" s="314" t="s">
        <v>123</v>
      </c>
      <c r="J308" s="81" t="s">
        <v>3234</v>
      </c>
      <c r="K308" s="81" t="s">
        <v>3198</v>
      </c>
      <c r="L308" s="81" t="s">
        <v>748</v>
      </c>
      <c r="M308" s="81" t="s">
        <v>3235</v>
      </c>
      <c r="N308" s="81" t="s">
        <v>3236</v>
      </c>
      <c r="O308" s="182" t="s">
        <v>3237</v>
      </c>
      <c r="P308" s="77"/>
      <c r="Q308" s="77"/>
      <c r="R308" s="77"/>
      <c r="S308" s="77"/>
      <c r="T308" s="77"/>
      <c r="U308" s="77"/>
      <c r="V308" s="77"/>
      <c r="W308" s="77"/>
      <c r="X308" s="77"/>
      <c r="Y308" s="77"/>
      <c r="Z308" s="77"/>
    </row>
    <row r="309" spans="1:26" ht="13.5" customHeight="1">
      <c r="A309" s="2"/>
      <c r="B309" s="950"/>
      <c r="C309" s="195"/>
      <c r="D309" s="195"/>
      <c r="E309" s="195"/>
      <c r="F309" s="195"/>
      <c r="G309" s="195"/>
      <c r="H309" s="195"/>
      <c r="I309" s="18"/>
      <c r="J309" s="156"/>
      <c r="K309" s="945"/>
      <c r="L309" s="945"/>
      <c r="M309" s="156"/>
      <c r="N309" s="945"/>
      <c r="O309" s="945"/>
      <c r="P309" s="15"/>
      <c r="Q309" s="15"/>
      <c r="R309" s="15"/>
      <c r="S309" s="15"/>
      <c r="T309" s="15"/>
      <c r="U309" s="15"/>
      <c r="V309" s="15"/>
      <c r="W309" s="15"/>
      <c r="X309" s="15"/>
      <c r="Y309" s="15"/>
      <c r="Z309" s="15"/>
    </row>
    <row r="310" spans="1:26" ht="173.25" customHeight="1">
      <c r="A310" s="317" t="s">
        <v>736</v>
      </c>
      <c r="B310" s="319" t="s">
        <v>412</v>
      </c>
      <c r="C310" s="944">
        <v>0</v>
      </c>
      <c r="D310" s="80">
        <v>1</v>
      </c>
      <c r="E310" s="80">
        <v>0</v>
      </c>
      <c r="F310" s="80">
        <v>0</v>
      </c>
      <c r="G310" s="80">
        <v>0</v>
      </c>
      <c r="H310" s="944">
        <v>0.5</v>
      </c>
      <c r="I310" s="314" t="s">
        <v>91</v>
      </c>
      <c r="J310" s="81" t="s">
        <v>3238</v>
      </c>
      <c r="K310" s="81" t="s">
        <v>811</v>
      </c>
      <c r="L310" s="81" t="s">
        <v>748</v>
      </c>
      <c r="M310" s="81" t="s">
        <v>3239</v>
      </c>
      <c r="N310" s="81" t="s">
        <v>3240</v>
      </c>
      <c r="O310" s="182" t="s">
        <v>3241</v>
      </c>
      <c r="P310" s="77"/>
      <c r="Q310" s="77"/>
      <c r="R310" s="77"/>
      <c r="S310" s="77"/>
      <c r="T310" s="77"/>
      <c r="U310" s="77"/>
      <c r="V310" s="77"/>
      <c r="W310" s="77"/>
      <c r="X310" s="77"/>
      <c r="Y310" s="77"/>
      <c r="Z310" s="77"/>
    </row>
    <row r="311" spans="1:26" ht="13.5" customHeight="1">
      <c r="A311" s="2"/>
      <c r="B311" s="950"/>
      <c r="C311" s="195"/>
      <c r="D311" s="195"/>
      <c r="E311" s="195"/>
      <c r="F311" s="195"/>
      <c r="G311" s="195"/>
      <c r="H311" s="195"/>
      <c r="I311" s="18"/>
      <c r="J311" s="156"/>
      <c r="K311" s="945"/>
      <c r="L311" s="945"/>
      <c r="M311" s="156"/>
      <c r="N311" s="945"/>
      <c r="O311" s="945"/>
      <c r="P311" s="15"/>
      <c r="Q311" s="15"/>
      <c r="R311" s="15"/>
      <c r="S311" s="15"/>
      <c r="T311" s="15"/>
      <c r="U311" s="15"/>
      <c r="V311" s="15"/>
      <c r="W311" s="15"/>
      <c r="X311" s="15"/>
      <c r="Y311" s="15"/>
      <c r="Z311" s="15"/>
    </row>
    <row r="312" spans="1:26" ht="142.5" customHeight="1">
      <c r="A312" s="317" t="s">
        <v>736</v>
      </c>
      <c r="B312" s="319" t="s">
        <v>3242</v>
      </c>
      <c r="C312" s="80">
        <v>1</v>
      </c>
      <c r="D312" s="80">
        <v>1</v>
      </c>
      <c r="E312" s="80">
        <v>0</v>
      </c>
      <c r="F312" s="80">
        <v>0.5</v>
      </c>
      <c r="G312" s="80">
        <v>1</v>
      </c>
      <c r="H312" s="80">
        <v>0.5</v>
      </c>
      <c r="I312" s="314" t="s">
        <v>91</v>
      </c>
      <c r="J312" s="81" t="s">
        <v>3243</v>
      </c>
      <c r="K312" s="81" t="s">
        <v>811</v>
      </c>
      <c r="L312" s="81" t="s">
        <v>748</v>
      </c>
      <c r="M312" s="81" t="s">
        <v>3244</v>
      </c>
      <c r="N312" s="81" t="s">
        <v>811</v>
      </c>
      <c r="O312" s="182" t="s">
        <v>3245</v>
      </c>
      <c r="P312" s="77"/>
      <c r="Q312" s="77"/>
      <c r="R312" s="77"/>
      <c r="S312" s="77"/>
      <c r="T312" s="77"/>
      <c r="U312" s="77"/>
      <c r="V312" s="77"/>
      <c r="W312" s="77"/>
      <c r="X312" s="77"/>
      <c r="Y312" s="77"/>
      <c r="Z312" s="77"/>
    </row>
    <row r="313" spans="1:26" ht="13.5" customHeight="1">
      <c r="A313" s="2"/>
      <c r="B313" s="950"/>
      <c r="C313" s="195"/>
      <c r="D313" s="195"/>
      <c r="E313" s="195"/>
      <c r="F313" s="195"/>
      <c r="G313" s="195"/>
      <c r="H313" s="195"/>
      <c r="I313" s="18"/>
      <c r="J313" s="156"/>
      <c r="K313" s="945"/>
      <c r="L313" s="945"/>
      <c r="M313" s="156"/>
      <c r="N313" s="945"/>
      <c r="O313" s="945"/>
      <c r="P313" s="15"/>
      <c r="Q313" s="15"/>
      <c r="R313" s="15"/>
      <c r="S313" s="15"/>
      <c r="T313" s="15"/>
      <c r="U313" s="15"/>
      <c r="V313" s="15"/>
      <c r="W313" s="15"/>
      <c r="X313" s="15"/>
      <c r="Y313" s="15"/>
      <c r="Z313" s="15"/>
    </row>
    <row r="314" spans="1:26" ht="158.25" customHeight="1">
      <c r="A314" s="317" t="s">
        <v>736</v>
      </c>
      <c r="B314" s="319" t="s">
        <v>414</v>
      </c>
      <c r="C314" s="80">
        <v>0.5</v>
      </c>
      <c r="D314" s="80">
        <v>1</v>
      </c>
      <c r="E314" s="80">
        <v>0</v>
      </c>
      <c r="F314" s="80">
        <v>0</v>
      </c>
      <c r="G314" s="80">
        <v>0</v>
      </c>
      <c r="H314" s="80">
        <v>0</v>
      </c>
      <c r="I314" s="314" t="s">
        <v>91</v>
      </c>
      <c r="J314" s="81" t="s">
        <v>3246</v>
      </c>
      <c r="K314" s="81" t="s">
        <v>811</v>
      </c>
      <c r="L314" s="81" t="s">
        <v>748</v>
      </c>
      <c r="M314" s="81" t="s">
        <v>3247</v>
      </c>
      <c r="N314" s="81" t="s">
        <v>748</v>
      </c>
      <c r="O314" s="81" t="s">
        <v>3248</v>
      </c>
      <c r="P314" s="77"/>
      <c r="Q314" s="77"/>
      <c r="R314" s="77"/>
      <c r="S314" s="77"/>
      <c r="T314" s="77"/>
      <c r="U314" s="77"/>
      <c r="V314" s="77"/>
      <c r="W314" s="77"/>
      <c r="X314" s="77"/>
      <c r="Y314" s="77"/>
      <c r="Z314" s="77"/>
    </row>
    <row r="315" spans="1:26" ht="13.5" customHeight="1">
      <c r="A315" s="2"/>
      <c r="B315" s="950"/>
      <c r="C315" s="195"/>
      <c r="D315" s="195"/>
      <c r="E315" s="195"/>
      <c r="F315" s="195"/>
      <c r="G315" s="195"/>
      <c r="H315" s="195"/>
      <c r="I315" s="18"/>
      <c r="J315" s="156"/>
      <c r="K315" s="945"/>
      <c r="L315" s="945"/>
      <c r="M315" s="156"/>
      <c r="N315" s="945"/>
      <c r="O315" s="945"/>
      <c r="P315" s="15"/>
      <c r="Q315" s="15"/>
      <c r="R315" s="15"/>
      <c r="S315" s="15"/>
      <c r="T315" s="15"/>
      <c r="U315" s="15"/>
      <c r="V315" s="15"/>
      <c r="W315" s="15"/>
      <c r="X315" s="15"/>
      <c r="Y315" s="15"/>
      <c r="Z315" s="15"/>
    </row>
    <row r="316" spans="1:26" ht="116.25" customHeight="1">
      <c r="A316" s="317" t="s">
        <v>736</v>
      </c>
      <c r="B316" s="319" t="s">
        <v>415</v>
      </c>
      <c r="C316" s="80">
        <v>0.5</v>
      </c>
      <c r="D316" s="80">
        <v>0</v>
      </c>
      <c r="E316" s="80">
        <v>0</v>
      </c>
      <c r="F316" s="80">
        <v>0</v>
      </c>
      <c r="G316" s="80">
        <v>1</v>
      </c>
      <c r="H316" s="944">
        <v>0</v>
      </c>
      <c r="I316" s="314" t="s">
        <v>91</v>
      </c>
      <c r="J316" s="81" t="s">
        <v>3249</v>
      </c>
      <c r="K316" s="81" t="s">
        <v>3151</v>
      </c>
      <c r="L316" s="81" t="s">
        <v>748</v>
      </c>
      <c r="M316" s="81" t="s">
        <v>3250</v>
      </c>
      <c r="N316" s="81" t="s">
        <v>811</v>
      </c>
      <c r="O316" s="182" t="s">
        <v>748</v>
      </c>
      <c r="P316" s="77"/>
      <c r="Q316" s="77"/>
      <c r="R316" s="77"/>
      <c r="S316" s="77"/>
      <c r="T316" s="77"/>
      <c r="U316" s="77"/>
      <c r="V316" s="77"/>
      <c r="W316" s="77"/>
      <c r="X316" s="77"/>
      <c r="Y316" s="77"/>
      <c r="Z316" s="77"/>
    </row>
    <row r="317" spans="1:26" ht="13.5" customHeight="1">
      <c r="A317" s="2"/>
      <c r="B317" s="950"/>
      <c r="C317" s="195"/>
      <c r="D317" s="195"/>
      <c r="E317" s="195"/>
      <c r="F317" s="195"/>
      <c r="G317" s="195"/>
      <c r="H317" s="195"/>
      <c r="I317" s="18"/>
      <c r="J317" s="156"/>
      <c r="K317" s="945"/>
      <c r="L317" s="945"/>
      <c r="M317" s="156"/>
      <c r="N317" s="945"/>
      <c r="O317" s="945"/>
      <c r="P317" s="15"/>
      <c r="Q317" s="15"/>
      <c r="R317" s="15"/>
      <c r="S317" s="15"/>
      <c r="T317" s="15"/>
      <c r="U317" s="15"/>
      <c r="V317" s="15"/>
      <c r="W317" s="15"/>
      <c r="X317" s="15"/>
      <c r="Y317" s="15"/>
      <c r="Z317" s="15"/>
    </row>
    <row r="318" spans="1:26" ht="112.5" customHeight="1">
      <c r="A318" s="317" t="s">
        <v>736</v>
      </c>
      <c r="B318" s="319" t="s">
        <v>416</v>
      </c>
      <c r="C318" s="80">
        <v>1</v>
      </c>
      <c r="D318" s="80">
        <v>1</v>
      </c>
      <c r="E318" s="80">
        <v>0</v>
      </c>
      <c r="F318" s="80">
        <v>0.5</v>
      </c>
      <c r="G318" s="80">
        <v>1</v>
      </c>
      <c r="H318" s="80">
        <v>1</v>
      </c>
      <c r="I318" s="314" t="s">
        <v>91</v>
      </c>
      <c r="J318" s="81" t="s">
        <v>3251</v>
      </c>
      <c r="K318" s="81" t="s">
        <v>811</v>
      </c>
      <c r="L318" s="81" t="s">
        <v>3252</v>
      </c>
      <c r="M318" s="81" t="s">
        <v>3253</v>
      </c>
      <c r="N318" s="81" t="s">
        <v>1387</v>
      </c>
      <c r="O318" s="81" t="s">
        <v>3254</v>
      </c>
      <c r="P318" s="77"/>
      <c r="Q318" s="77"/>
      <c r="R318" s="77"/>
      <c r="S318" s="77"/>
      <c r="T318" s="77"/>
      <c r="U318" s="77"/>
      <c r="V318" s="77"/>
      <c r="W318" s="77"/>
      <c r="X318" s="77"/>
      <c r="Y318" s="77"/>
      <c r="Z318" s="77"/>
    </row>
    <row r="319" spans="1:26" ht="13.5" customHeight="1">
      <c r="A319" s="2"/>
      <c r="B319" s="950"/>
      <c r="C319" s="195"/>
      <c r="D319" s="195"/>
      <c r="E319" s="195"/>
      <c r="F319" s="195"/>
      <c r="G319" s="195"/>
      <c r="H319" s="195"/>
      <c r="I319" s="18"/>
      <c r="J319" s="156"/>
      <c r="K319" s="945"/>
      <c r="L319" s="945"/>
      <c r="M319" s="156"/>
      <c r="N319" s="945"/>
      <c r="O319" s="945"/>
      <c r="P319" s="15"/>
      <c r="Q319" s="15"/>
      <c r="R319" s="15"/>
      <c r="S319" s="15"/>
      <c r="T319" s="15"/>
      <c r="U319" s="15"/>
      <c r="V319" s="15"/>
      <c r="W319" s="15"/>
      <c r="X319" s="15"/>
      <c r="Y319" s="15"/>
      <c r="Z319" s="15"/>
    </row>
    <row r="320" spans="1:26" ht="72" customHeight="1">
      <c r="A320" s="317" t="s">
        <v>736</v>
      </c>
      <c r="B320" s="319" t="s">
        <v>417</v>
      </c>
      <c r="C320" s="80">
        <v>1</v>
      </c>
      <c r="D320" s="80">
        <v>1</v>
      </c>
      <c r="E320" s="80">
        <v>0</v>
      </c>
      <c r="F320" s="944">
        <v>1</v>
      </c>
      <c r="G320" s="80">
        <v>1</v>
      </c>
      <c r="H320" s="80">
        <v>1</v>
      </c>
      <c r="I320" s="314" t="s">
        <v>38</v>
      </c>
      <c r="J320" s="81" t="s">
        <v>3255</v>
      </c>
      <c r="K320" s="81" t="s">
        <v>811</v>
      </c>
      <c r="L320" s="81" t="s">
        <v>3252</v>
      </c>
      <c r="M320" s="182" t="s">
        <v>3256</v>
      </c>
      <c r="N320" s="81" t="s">
        <v>1391</v>
      </c>
      <c r="O320" s="81" t="s">
        <v>3254</v>
      </c>
      <c r="P320" s="77"/>
      <c r="Q320" s="77"/>
      <c r="R320" s="77"/>
      <c r="S320" s="77"/>
      <c r="T320" s="77"/>
      <c r="U320" s="77"/>
      <c r="V320" s="77"/>
      <c r="W320" s="77"/>
      <c r="X320" s="77"/>
      <c r="Y320" s="77"/>
      <c r="Z320" s="77"/>
    </row>
    <row r="321" spans="1:26" ht="13.5" customHeight="1">
      <c r="A321" s="2"/>
      <c r="B321" s="950"/>
      <c r="C321" s="195"/>
      <c r="D321" s="195"/>
      <c r="E321" s="195"/>
      <c r="F321" s="195"/>
      <c r="G321" s="195"/>
      <c r="H321" s="195"/>
      <c r="I321" s="18"/>
      <c r="J321" s="156"/>
      <c r="K321" s="945"/>
      <c r="L321" s="945"/>
      <c r="M321" s="156"/>
      <c r="N321" s="945"/>
      <c r="O321" s="945"/>
      <c r="P321" s="15"/>
      <c r="Q321" s="15"/>
      <c r="R321" s="15"/>
      <c r="S321" s="15"/>
      <c r="T321" s="15"/>
      <c r="U321" s="15"/>
      <c r="V321" s="15"/>
      <c r="W321" s="15"/>
      <c r="X321" s="15"/>
      <c r="Y321" s="15"/>
      <c r="Z321" s="15"/>
    </row>
    <row r="322" spans="1:26" ht="113.25" customHeight="1">
      <c r="A322" s="317" t="s">
        <v>736</v>
      </c>
      <c r="B322" s="319" t="s">
        <v>418</v>
      </c>
      <c r="C322" s="80">
        <v>1</v>
      </c>
      <c r="D322" s="80">
        <v>1</v>
      </c>
      <c r="E322" s="80">
        <v>1</v>
      </c>
      <c r="F322" s="80">
        <v>0.5</v>
      </c>
      <c r="G322" s="80">
        <v>1</v>
      </c>
      <c r="H322" s="80">
        <v>1</v>
      </c>
      <c r="I322" s="314" t="s">
        <v>38</v>
      </c>
      <c r="J322" s="81" t="s">
        <v>3257</v>
      </c>
      <c r="K322" s="81" t="s">
        <v>811</v>
      </c>
      <c r="L322" s="182" t="s">
        <v>3258</v>
      </c>
      <c r="M322" s="182" t="s">
        <v>3259</v>
      </c>
      <c r="N322" s="81" t="s">
        <v>3260</v>
      </c>
      <c r="O322" s="81" t="s">
        <v>3261</v>
      </c>
      <c r="P322" s="77"/>
      <c r="Q322" s="77"/>
      <c r="R322" s="77"/>
      <c r="S322" s="77"/>
      <c r="T322" s="77"/>
      <c r="U322" s="77"/>
      <c r="V322" s="77"/>
      <c r="W322" s="77"/>
      <c r="X322" s="77"/>
      <c r="Y322" s="77"/>
      <c r="Z322" s="77"/>
    </row>
    <row r="323" spans="1:26" ht="13.5" customHeight="1">
      <c r="A323" s="2"/>
      <c r="B323" s="950"/>
      <c r="C323" s="195"/>
      <c r="D323" s="195"/>
      <c r="E323" s="195"/>
      <c r="F323" s="195"/>
      <c r="G323" s="195"/>
      <c r="H323" s="195"/>
      <c r="I323" s="18"/>
      <c r="J323" s="156"/>
      <c r="K323" s="945"/>
      <c r="L323" s="945"/>
      <c r="M323" s="156"/>
      <c r="N323" s="945"/>
      <c r="O323" s="945"/>
      <c r="P323" s="15"/>
      <c r="Q323" s="15"/>
      <c r="R323" s="15"/>
      <c r="S323" s="15"/>
      <c r="T323" s="15"/>
      <c r="U323" s="15"/>
      <c r="V323" s="15"/>
      <c r="W323" s="15"/>
      <c r="X323" s="15"/>
      <c r="Y323" s="15"/>
      <c r="Z323" s="15"/>
    </row>
    <row r="324" spans="1:26" ht="135.75" customHeight="1">
      <c r="A324" s="317" t="s">
        <v>736</v>
      </c>
      <c r="B324" s="319" t="s">
        <v>419</v>
      </c>
      <c r="C324" s="80">
        <v>0</v>
      </c>
      <c r="D324" s="80">
        <v>0</v>
      </c>
      <c r="E324" s="80">
        <v>0</v>
      </c>
      <c r="F324" s="80">
        <v>0</v>
      </c>
      <c r="G324" s="80">
        <v>0</v>
      </c>
      <c r="H324" s="80">
        <v>0</v>
      </c>
      <c r="I324" s="314" t="s">
        <v>38</v>
      </c>
      <c r="J324" s="81" t="s">
        <v>3262</v>
      </c>
      <c r="K324" s="81" t="s">
        <v>3151</v>
      </c>
      <c r="L324" s="81" t="s">
        <v>748</v>
      </c>
      <c r="M324" s="81" t="s">
        <v>1399</v>
      </c>
      <c r="N324" s="81" t="s">
        <v>3263</v>
      </c>
      <c r="O324" s="182" t="s">
        <v>3264</v>
      </c>
      <c r="P324" s="77"/>
      <c r="Q324" s="77"/>
      <c r="R324" s="77"/>
      <c r="S324" s="77"/>
      <c r="T324" s="77"/>
      <c r="U324" s="77"/>
      <c r="V324" s="77"/>
      <c r="W324" s="77"/>
      <c r="X324" s="77"/>
      <c r="Y324" s="77"/>
      <c r="Z324" s="77"/>
    </row>
    <row r="325" spans="1:26" ht="25.5" customHeight="1">
      <c r="A325" s="317"/>
      <c r="B325" s="319"/>
      <c r="C325" s="80"/>
      <c r="D325" s="80"/>
      <c r="E325" s="80"/>
      <c r="F325" s="80"/>
      <c r="G325" s="80"/>
      <c r="H325" s="80"/>
      <c r="I325" s="149"/>
      <c r="J325" s="81"/>
      <c r="K325" s="81"/>
      <c r="L325" s="81"/>
      <c r="M325" s="81"/>
      <c r="N325" s="81"/>
      <c r="O325" s="81"/>
      <c r="P325" s="77"/>
      <c r="Q325" s="77"/>
      <c r="R325" s="77"/>
      <c r="S325" s="77"/>
      <c r="T325" s="77"/>
      <c r="U325" s="77"/>
      <c r="V325" s="77"/>
      <c r="W325" s="77"/>
      <c r="X325" s="77"/>
      <c r="Y325" s="77"/>
      <c r="Z325" s="77"/>
    </row>
    <row r="326" spans="1:26" ht="125.25" customHeight="1">
      <c r="A326" s="317" t="s">
        <v>736</v>
      </c>
      <c r="B326" s="319" t="s">
        <v>420</v>
      </c>
      <c r="C326" s="80">
        <v>0</v>
      </c>
      <c r="D326" s="80">
        <v>0</v>
      </c>
      <c r="E326" s="80">
        <v>0</v>
      </c>
      <c r="F326" s="80">
        <v>0</v>
      </c>
      <c r="G326" s="944">
        <v>1</v>
      </c>
      <c r="H326" s="80">
        <v>0</v>
      </c>
      <c r="I326" s="314" t="s">
        <v>38</v>
      </c>
      <c r="J326" s="81" t="s">
        <v>3265</v>
      </c>
      <c r="K326" s="81" t="s">
        <v>3151</v>
      </c>
      <c r="L326" s="81" t="s">
        <v>748</v>
      </c>
      <c r="M326" s="81" t="s">
        <v>1403</v>
      </c>
      <c r="N326" s="182" t="s">
        <v>3266</v>
      </c>
      <c r="O326" s="182" t="s">
        <v>748</v>
      </c>
      <c r="P326" s="77"/>
      <c r="Q326" s="77"/>
      <c r="R326" s="77"/>
      <c r="S326" s="77"/>
      <c r="T326" s="77"/>
      <c r="U326" s="77"/>
      <c r="V326" s="77"/>
      <c r="W326" s="77"/>
      <c r="X326" s="77"/>
      <c r="Y326" s="77"/>
      <c r="Z326" s="77"/>
    </row>
    <row r="327" spans="1:26" ht="18" customHeight="1">
      <c r="A327" s="317"/>
      <c r="B327" s="319"/>
      <c r="C327" s="80"/>
      <c r="D327" s="80"/>
      <c r="E327" s="80"/>
      <c r="F327" s="80"/>
      <c r="G327" s="80"/>
      <c r="H327" s="80"/>
      <c r="I327" s="149"/>
      <c r="J327" s="81"/>
      <c r="K327" s="81"/>
      <c r="L327" s="81"/>
      <c r="M327" s="81"/>
      <c r="N327" s="81"/>
      <c r="O327" s="81"/>
      <c r="P327" s="77"/>
      <c r="Q327" s="77"/>
      <c r="R327" s="77"/>
      <c r="S327" s="77"/>
      <c r="T327" s="77"/>
      <c r="U327" s="77"/>
      <c r="V327" s="77"/>
      <c r="W327" s="77"/>
      <c r="X327" s="77"/>
      <c r="Y327" s="77"/>
      <c r="Z327" s="77"/>
    </row>
    <row r="328" spans="1:26" ht="48" customHeight="1">
      <c r="A328" s="317" t="s">
        <v>736</v>
      </c>
      <c r="B328" s="319" t="s">
        <v>421</v>
      </c>
      <c r="C328" s="80">
        <v>0</v>
      </c>
      <c r="D328" s="80">
        <v>1</v>
      </c>
      <c r="E328" s="80">
        <v>0</v>
      </c>
      <c r="F328" s="80">
        <v>0</v>
      </c>
      <c r="G328" s="80">
        <v>0</v>
      </c>
      <c r="H328" s="80">
        <v>0</v>
      </c>
      <c r="I328" s="314" t="s">
        <v>38</v>
      </c>
      <c r="J328" s="81" t="s">
        <v>968</v>
      </c>
      <c r="K328" s="81" t="s">
        <v>811</v>
      </c>
      <c r="L328" s="81" t="s">
        <v>3267</v>
      </c>
      <c r="M328" s="81" t="s">
        <v>1408</v>
      </c>
      <c r="N328" s="81" t="s">
        <v>748</v>
      </c>
      <c r="O328" s="81" t="s">
        <v>748</v>
      </c>
      <c r="P328" s="77"/>
      <c r="Q328" s="77"/>
      <c r="R328" s="77"/>
      <c r="S328" s="77"/>
      <c r="T328" s="77"/>
      <c r="U328" s="77"/>
      <c r="V328" s="77"/>
      <c r="W328" s="77"/>
      <c r="X328" s="77"/>
      <c r="Y328" s="77"/>
      <c r="Z328" s="77"/>
    </row>
    <row r="329" spans="1:26" ht="13.5" customHeight="1">
      <c r="A329" s="2"/>
      <c r="B329" s="950"/>
      <c r="C329" s="195"/>
      <c r="D329" s="195"/>
      <c r="E329" s="195"/>
      <c r="F329" s="195"/>
      <c r="G329" s="195"/>
      <c r="H329" s="195"/>
      <c r="I329" s="18"/>
      <c r="J329" s="156"/>
      <c r="K329" s="945"/>
      <c r="L329" s="945"/>
      <c r="M329" s="156"/>
      <c r="N329" s="945"/>
      <c r="O329" s="945"/>
      <c r="P329" s="15"/>
      <c r="Q329" s="15"/>
      <c r="R329" s="15"/>
      <c r="S329" s="15"/>
      <c r="T329" s="15"/>
      <c r="U329" s="15"/>
      <c r="V329" s="15"/>
      <c r="W329" s="15"/>
      <c r="X329" s="15"/>
      <c r="Y329" s="15"/>
      <c r="Z329" s="15"/>
    </row>
    <row r="330" spans="1:26" ht="111" customHeight="1">
      <c r="A330" s="317" t="s">
        <v>736</v>
      </c>
      <c r="B330" s="319" t="s">
        <v>422</v>
      </c>
      <c r="C330" s="944">
        <v>0.5</v>
      </c>
      <c r="D330" s="80">
        <v>0</v>
      </c>
      <c r="E330" s="80">
        <v>0</v>
      </c>
      <c r="F330" s="322">
        <v>0</v>
      </c>
      <c r="G330" s="80">
        <v>0</v>
      </c>
      <c r="H330" s="80">
        <v>0.5</v>
      </c>
      <c r="I330" s="314" t="s">
        <v>91</v>
      </c>
      <c r="J330" s="81" t="s">
        <v>3268</v>
      </c>
      <c r="K330" s="81" t="s">
        <v>3198</v>
      </c>
      <c r="L330" s="81" t="s">
        <v>748</v>
      </c>
      <c r="M330" s="81" t="s">
        <v>3269</v>
      </c>
      <c r="N330" s="81" t="s">
        <v>748</v>
      </c>
      <c r="O330" s="81" t="s">
        <v>1414</v>
      </c>
      <c r="P330" s="77"/>
      <c r="Q330" s="77"/>
      <c r="R330" s="77"/>
      <c r="S330" s="77"/>
      <c r="T330" s="77"/>
      <c r="U330" s="77"/>
      <c r="V330" s="77"/>
      <c r="W330" s="77"/>
      <c r="X330" s="77"/>
      <c r="Y330" s="77"/>
      <c r="Z330" s="77"/>
    </row>
    <row r="331" spans="1:26" ht="13.5" customHeight="1">
      <c r="A331" s="2"/>
      <c r="B331" s="950"/>
      <c r="C331" s="195"/>
      <c r="D331" s="195"/>
      <c r="E331" s="195"/>
      <c r="F331" s="195"/>
      <c r="G331" s="195"/>
      <c r="H331" s="195"/>
      <c r="I331" s="18"/>
      <c r="J331" s="156"/>
      <c r="K331" s="945"/>
      <c r="L331" s="945"/>
      <c r="M331" s="156"/>
      <c r="N331" s="945"/>
      <c r="O331" s="945"/>
      <c r="P331" s="15"/>
      <c r="Q331" s="15"/>
      <c r="R331" s="15"/>
      <c r="S331" s="15"/>
      <c r="T331" s="15"/>
      <c r="U331" s="15"/>
      <c r="V331" s="15"/>
      <c r="W331" s="15"/>
      <c r="X331" s="15"/>
      <c r="Y331" s="15"/>
      <c r="Z331" s="15"/>
    </row>
    <row r="332" spans="1:26" ht="98.25" customHeight="1">
      <c r="A332" s="317" t="s">
        <v>736</v>
      </c>
      <c r="B332" s="319" t="s">
        <v>423</v>
      </c>
      <c r="C332" s="80">
        <v>0</v>
      </c>
      <c r="D332" s="80">
        <v>0</v>
      </c>
      <c r="E332" s="80">
        <v>0</v>
      </c>
      <c r="F332" s="80">
        <v>0.5</v>
      </c>
      <c r="G332" s="80">
        <v>0.5</v>
      </c>
      <c r="H332" s="80">
        <v>0.5</v>
      </c>
      <c r="I332" s="314" t="s">
        <v>424</v>
      </c>
      <c r="J332" s="81" t="s">
        <v>748</v>
      </c>
      <c r="K332" s="81" t="s">
        <v>3270</v>
      </c>
      <c r="L332" s="81" t="s">
        <v>748</v>
      </c>
      <c r="M332" s="81" t="s">
        <v>3271</v>
      </c>
      <c r="N332" s="81" t="s">
        <v>3272</v>
      </c>
      <c r="O332" s="81" t="s">
        <v>3273</v>
      </c>
      <c r="P332" s="77"/>
      <c r="Q332" s="77"/>
      <c r="R332" s="77"/>
      <c r="S332" s="77"/>
      <c r="T332" s="77"/>
      <c r="U332" s="77"/>
      <c r="V332" s="77"/>
      <c r="W332" s="77"/>
      <c r="X332" s="77"/>
      <c r="Y332" s="77"/>
      <c r="Z332" s="77"/>
    </row>
    <row r="333" spans="1:26" ht="13.5" customHeight="1">
      <c r="A333" s="2"/>
      <c r="B333" s="950"/>
      <c r="C333" s="195"/>
      <c r="D333" s="195"/>
      <c r="E333" s="195"/>
      <c r="F333" s="195"/>
      <c r="G333" s="195"/>
      <c r="H333" s="195"/>
      <c r="I333" s="18"/>
      <c r="J333" s="156"/>
      <c r="K333" s="945"/>
      <c r="L333" s="945"/>
      <c r="M333" s="156"/>
      <c r="N333" s="945"/>
      <c r="O333" s="945"/>
      <c r="P333" s="15"/>
      <c r="Q333" s="15"/>
      <c r="R333" s="15"/>
      <c r="S333" s="15"/>
      <c r="T333" s="15"/>
      <c r="U333" s="15"/>
      <c r="V333" s="15"/>
      <c r="W333" s="15"/>
      <c r="X333" s="15"/>
      <c r="Y333" s="15"/>
      <c r="Z333" s="15"/>
    </row>
    <row r="334" spans="1:26" ht="115.5" customHeight="1">
      <c r="A334" s="317" t="s">
        <v>736</v>
      </c>
      <c r="B334" s="319" t="s">
        <v>425</v>
      </c>
      <c r="C334" s="80">
        <v>1</v>
      </c>
      <c r="D334" s="80">
        <v>1</v>
      </c>
      <c r="E334" s="80">
        <v>0.5</v>
      </c>
      <c r="F334" s="80">
        <v>0.5</v>
      </c>
      <c r="G334" s="80">
        <v>1</v>
      </c>
      <c r="H334" s="80">
        <v>1</v>
      </c>
      <c r="I334" s="314" t="s">
        <v>426</v>
      </c>
      <c r="J334" s="81" t="s">
        <v>3274</v>
      </c>
      <c r="K334" s="81" t="s">
        <v>3275</v>
      </c>
      <c r="L334" s="81" t="s">
        <v>3276</v>
      </c>
      <c r="M334" s="81" t="s">
        <v>3277</v>
      </c>
      <c r="N334" s="81" t="s">
        <v>3278</v>
      </c>
      <c r="O334" s="81" t="s">
        <v>3279</v>
      </c>
      <c r="P334" s="77"/>
      <c r="Q334" s="77"/>
      <c r="R334" s="77"/>
      <c r="S334" s="77"/>
      <c r="T334" s="77"/>
      <c r="U334" s="77"/>
      <c r="V334" s="77"/>
      <c r="W334" s="77"/>
      <c r="X334" s="77"/>
      <c r="Y334" s="77"/>
      <c r="Z334" s="77"/>
    </row>
    <row r="335" spans="1:26" ht="13.5" customHeight="1">
      <c r="A335" s="2"/>
      <c r="B335" s="950"/>
      <c r="C335" s="195"/>
      <c r="D335" s="195"/>
      <c r="E335" s="195"/>
      <c r="F335" s="195"/>
      <c r="G335" s="195"/>
      <c r="H335" s="195"/>
      <c r="I335" s="18"/>
      <c r="J335" s="156"/>
      <c r="K335" s="945"/>
      <c r="L335" s="945"/>
      <c r="M335" s="156"/>
      <c r="N335" s="945"/>
      <c r="O335" s="945"/>
      <c r="P335" s="15"/>
      <c r="Q335" s="15"/>
      <c r="R335" s="15"/>
      <c r="S335" s="15"/>
      <c r="T335" s="15"/>
      <c r="U335" s="15"/>
      <c r="V335" s="15"/>
      <c r="W335" s="15"/>
      <c r="X335" s="15"/>
      <c r="Y335" s="15"/>
      <c r="Z335" s="15"/>
    </row>
    <row r="336" spans="1:26" ht="89.25" customHeight="1">
      <c r="A336" s="317" t="s">
        <v>736</v>
      </c>
      <c r="B336" s="319" t="s">
        <v>3280</v>
      </c>
      <c r="C336" s="80">
        <v>0</v>
      </c>
      <c r="D336" s="80">
        <v>0</v>
      </c>
      <c r="E336" s="80">
        <v>0</v>
      </c>
      <c r="F336" s="80">
        <v>0</v>
      </c>
      <c r="G336" s="80">
        <v>0</v>
      </c>
      <c r="H336" s="80">
        <v>0</v>
      </c>
      <c r="I336" s="314" t="s">
        <v>38</v>
      </c>
      <c r="J336" s="81" t="s">
        <v>3281</v>
      </c>
      <c r="K336" s="81" t="s">
        <v>3198</v>
      </c>
      <c r="L336" s="81" t="s">
        <v>748</v>
      </c>
      <c r="M336" s="81" t="s">
        <v>3282</v>
      </c>
      <c r="N336" s="81" t="s">
        <v>748</v>
      </c>
      <c r="O336" s="81" t="s">
        <v>3283</v>
      </c>
      <c r="P336" s="77"/>
      <c r="Q336" s="77"/>
      <c r="R336" s="77"/>
      <c r="S336" s="77"/>
      <c r="T336" s="77"/>
      <c r="U336" s="77"/>
      <c r="V336" s="77"/>
      <c r="W336" s="77"/>
      <c r="X336" s="77"/>
      <c r="Y336" s="77"/>
      <c r="Z336" s="77"/>
    </row>
    <row r="337" spans="1:26" ht="13.5" customHeight="1">
      <c r="A337" s="2"/>
      <c r="B337" s="950"/>
      <c r="C337" s="195"/>
      <c r="D337" s="195"/>
      <c r="E337" s="195"/>
      <c r="F337" s="195"/>
      <c r="G337" s="195"/>
      <c r="H337" s="195"/>
      <c r="I337" s="18"/>
      <c r="J337" s="291"/>
      <c r="K337" s="953"/>
      <c r="L337" s="953"/>
      <c r="M337" s="291"/>
      <c r="N337" s="953"/>
      <c r="O337" s="953"/>
      <c r="P337" s="15"/>
      <c r="Q337" s="15"/>
      <c r="R337" s="15"/>
      <c r="S337" s="15"/>
      <c r="T337" s="15"/>
      <c r="U337" s="15"/>
      <c r="V337" s="15"/>
      <c r="W337" s="15"/>
      <c r="X337" s="15"/>
      <c r="Y337" s="15"/>
      <c r="Z337" s="15"/>
    </row>
    <row r="338" spans="1:26" ht="37.5" customHeight="1">
      <c r="A338" s="328" t="s">
        <v>1429</v>
      </c>
      <c r="B338" s="310" t="s">
        <v>429</v>
      </c>
      <c r="C338" s="313">
        <f t="shared" ref="C338:H338" si="48">AVERAGE(C339,C341,C343,C345,C347)</f>
        <v>0.4</v>
      </c>
      <c r="D338" s="313">
        <f t="shared" si="48"/>
        <v>0.6</v>
      </c>
      <c r="E338" s="313">
        <f t="shared" si="48"/>
        <v>0.4</v>
      </c>
      <c r="F338" s="313">
        <f t="shared" si="48"/>
        <v>0.5</v>
      </c>
      <c r="G338" s="313">
        <f t="shared" si="48"/>
        <v>0.4</v>
      </c>
      <c r="H338" s="313">
        <f t="shared" si="48"/>
        <v>0.2</v>
      </c>
      <c r="I338" s="314"/>
      <c r="J338" s="72"/>
      <c r="K338" s="72"/>
      <c r="L338" s="313"/>
      <c r="M338" s="313"/>
      <c r="N338" s="313"/>
      <c r="O338" s="313"/>
      <c r="P338" s="76"/>
      <c r="Q338" s="76"/>
      <c r="R338" s="76"/>
      <c r="S338" s="76"/>
      <c r="T338" s="76"/>
      <c r="U338" s="76"/>
      <c r="V338" s="76"/>
      <c r="W338" s="76"/>
      <c r="X338" s="76"/>
      <c r="Y338" s="76"/>
      <c r="Z338" s="76"/>
    </row>
    <row r="339" spans="1:26" ht="84.75" customHeight="1">
      <c r="A339" s="317" t="s">
        <v>736</v>
      </c>
      <c r="B339" s="319" t="s">
        <v>430</v>
      </c>
      <c r="C339" s="80">
        <v>0.5</v>
      </c>
      <c r="D339" s="80">
        <v>1</v>
      </c>
      <c r="E339" s="944">
        <v>1</v>
      </c>
      <c r="F339" s="944">
        <v>0.5</v>
      </c>
      <c r="G339" s="80">
        <v>0.5</v>
      </c>
      <c r="H339" s="80">
        <v>0</v>
      </c>
      <c r="I339" s="314"/>
      <c r="J339" s="81" t="s">
        <v>3284</v>
      </c>
      <c r="K339" s="81" t="s">
        <v>3285</v>
      </c>
      <c r="L339" s="180" t="s">
        <v>3286</v>
      </c>
      <c r="M339" s="81" t="s">
        <v>3287</v>
      </c>
      <c r="N339" s="339" t="s">
        <v>3288</v>
      </c>
      <c r="O339" s="339" t="s">
        <v>3289</v>
      </c>
      <c r="P339" s="77"/>
      <c r="Q339" s="77"/>
      <c r="R339" s="77"/>
      <c r="S339" s="77"/>
      <c r="T339" s="77"/>
      <c r="U339" s="77"/>
      <c r="V339" s="77"/>
      <c r="W339" s="77"/>
      <c r="X339" s="77"/>
      <c r="Y339" s="77"/>
      <c r="Z339" s="77"/>
    </row>
    <row r="340" spans="1:26" ht="18.75" customHeight="1">
      <c r="A340" s="317"/>
      <c r="B340" s="319"/>
      <c r="C340" s="80"/>
      <c r="D340" s="80"/>
      <c r="E340" s="80"/>
      <c r="F340" s="80"/>
      <c r="G340" s="80"/>
      <c r="H340" s="80"/>
      <c r="I340" s="324"/>
      <c r="J340" s="180"/>
      <c r="K340" s="81"/>
      <c r="L340" s="180"/>
      <c r="M340" s="81"/>
      <c r="N340" s="339"/>
      <c r="O340" s="180"/>
      <c r="P340" s="77"/>
      <c r="Q340" s="77"/>
      <c r="R340" s="77"/>
      <c r="S340" s="77"/>
      <c r="T340" s="77"/>
      <c r="U340" s="77"/>
      <c r="V340" s="77"/>
      <c r="W340" s="77"/>
      <c r="X340" s="77"/>
      <c r="Y340" s="77"/>
      <c r="Z340" s="77"/>
    </row>
    <row r="341" spans="1:26" ht="96" customHeight="1">
      <c r="A341" s="317" t="s">
        <v>736</v>
      </c>
      <c r="B341" s="319" t="s">
        <v>431</v>
      </c>
      <c r="C341" s="80">
        <v>0</v>
      </c>
      <c r="D341" s="80">
        <v>1</v>
      </c>
      <c r="E341" s="80">
        <v>0</v>
      </c>
      <c r="F341" s="80">
        <v>0.5</v>
      </c>
      <c r="G341" s="944">
        <v>0.5</v>
      </c>
      <c r="H341" s="80">
        <v>0</v>
      </c>
      <c r="I341" s="314"/>
      <c r="J341" s="81" t="s">
        <v>748</v>
      </c>
      <c r="K341" s="182" t="s">
        <v>3290</v>
      </c>
      <c r="L341" s="81" t="s">
        <v>748</v>
      </c>
      <c r="M341" s="86" t="s">
        <v>3291</v>
      </c>
      <c r="N341" s="339" t="s">
        <v>3292</v>
      </c>
      <c r="O341" s="339" t="s">
        <v>3293</v>
      </c>
      <c r="P341" s="77"/>
      <c r="Q341" s="77"/>
      <c r="R341" s="77"/>
      <c r="S341" s="77"/>
      <c r="T341" s="77"/>
      <c r="U341" s="77"/>
      <c r="V341" s="77"/>
      <c r="W341" s="77"/>
      <c r="X341" s="77"/>
      <c r="Y341" s="77"/>
      <c r="Z341" s="77"/>
    </row>
    <row r="342" spans="1:26" ht="22.5" customHeight="1">
      <c r="A342" s="317"/>
      <c r="B342" s="83"/>
      <c r="C342" s="80"/>
      <c r="D342" s="80"/>
      <c r="E342" s="80"/>
      <c r="F342" s="80"/>
      <c r="G342" s="944"/>
      <c r="H342" s="80"/>
      <c r="I342" s="324"/>
      <c r="J342" s="81"/>
      <c r="K342" s="81"/>
      <c r="L342" s="81"/>
      <c r="M342" s="86"/>
      <c r="N342" s="339"/>
      <c r="O342" s="180"/>
      <c r="P342" s="77"/>
      <c r="Q342" s="77"/>
      <c r="R342" s="77"/>
      <c r="S342" s="77"/>
      <c r="T342" s="77"/>
      <c r="U342" s="77"/>
      <c r="V342" s="77"/>
      <c r="W342" s="77"/>
      <c r="X342" s="77"/>
      <c r="Y342" s="77"/>
      <c r="Z342" s="77"/>
    </row>
    <row r="343" spans="1:26" ht="201.75" customHeight="1">
      <c r="A343" s="317" t="s">
        <v>736</v>
      </c>
      <c r="B343" s="319" t="s">
        <v>432</v>
      </c>
      <c r="C343" s="944">
        <v>0.5</v>
      </c>
      <c r="D343" s="80">
        <v>0</v>
      </c>
      <c r="E343" s="80">
        <v>0</v>
      </c>
      <c r="F343" s="80">
        <v>0</v>
      </c>
      <c r="G343" s="80">
        <v>0</v>
      </c>
      <c r="H343" s="80">
        <v>0</v>
      </c>
      <c r="I343" s="314"/>
      <c r="J343" s="180" t="s">
        <v>3294</v>
      </c>
      <c r="K343" s="81" t="s">
        <v>3295</v>
      </c>
      <c r="L343" s="81" t="s">
        <v>748</v>
      </c>
      <c r="M343" s="325" t="s">
        <v>748</v>
      </c>
      <c r="N343" s="339" t="s">
        <v>3296</v>
      </c>
      <c r="O343" s="339" t="s">
        <v>3297</v>
      </c>
      <c r="P343" s="77"/>
      <c r="Q343" s="77"/>
      <c r="R343" s="77"/>
      <c r="S343" s="77"/>
      <c r="T343" s="77"/>
      <c r="U343" s="77"/>
      <c r="V343" s="77"/>
      <c r="W343" s="77"/>
      <c r="X343" s="77"/>
      <c r="Y343" s="77"/>
      <c r="Z343" s="77"/>
    </row>
    <row r="344" spans="1:26" ht="18.75" customHeight="1">
      <c r="A344" s="317"/>
      <c r="B344" s="83"/>
      <c r="C344" s="944"/>
      <c r="D344" s="80"/>
      <c r="E344" s="80"/>
      <c r="F344" s="80"/>
      <c r="G344" s="80"/>
      <c r="H344" s="80"/>
      <c r="I344" s="324"/>
      <c r="J344" s="180"/>
      <c r="K344" s="81"/>
      <c r="L344" s="81"/>
      <c r="M344" s="81"/>
      <c r="N344" s="339"/>
      <c r="O344" s="180"/>
      <c r="P344" s="77"/>
      <c r="Q344" s="77"/>
      <c r="R344" s="77"/>
      <c r="S344" s="77"/>
      <c r="T344" s="77"/>
      <c r="U344" s="77"/>
      <c r="V344" s="77"/>
      <c r="W344" s="77"/>
      <c r="X344" s="77"/>
      <c r="Y344" s="77"/>
      <c r="Z344" s="77"/>
    </row>
    <row r="345" spans="1:26" ht="163.5" customHeight="1">
      <c r="A345" s="317" t="s">
        <v>736</v>
      </c>
      <c r="B345" s="168" t="s">
        <v>433</v>
      </c>
      <c r="C345" s="80">
        <v>1</v>
      </c>
      <c r="D345" s="80">
        <v>1</v>
      </c>
      <c r="E345" s="80">
        <v>1</v>
      </c>
      <c r="F345" s="944">
        <v>1</v>
      </c>
      <c r="G345" s="80">
        <v>1</v>
      </c>
      <c r="H345" s="80">
        <v>1</v>
      </c>
      <c r="I345" s="314"/>
      <c r="J345" s="180" t="s">
        <v>3298</v>
      </c>
      <c r="K345" s="81" t="s">
        <v>3299</v>
      </c>
      <c r="L345" s="180" t="s">
        <v>3300</v>
      </c>
      <c r="M345" s="86" t="s">
        <v>3301</v>
      </c>
      <c r="N345" s="339" t="s">
        <v>3302</v>
      </c>
      <c r="O345" s="180" t="s">
        <v>3303</v>
      </c>
      <c r="P345" s="77"/>
      <c r="Q345" s="77"/>
      <c r="R345" s="77"/>
      <c r="S345" s="77"/>
      <c r="T345" s="77"/>
      <c r="U345" s="77"/>
      <c r="V345" s="77"/>
      <c r="W345" s="77"/>
      <c r="X345" s="77"/>
      <c r="Y345" s="77"/>
      <c r="Z345" s="77"/>
    </row>
    <row r="346" spans="1:26" ht="22.5" customHeight="1">
      <c r="A346" s="317"/>
      <c r="B346" s="168"/>
      <c r="C346" s="80"/>
      <c r="D346" s="80"/>
      <c r="E346" s="80"/>
      <c r="F346" s="944"/>
      <c r="G346" s="80"/>
      <c r="H346" s="80"/>
      <c r="I346" s="324"/>
      <c r="J346" s="180"/>
      <c r="K346" s="81"/>
      <c r="L346" s="180"/>
      <c r="M346" s="86"/>
      <c r="N346" s="339"/>
      <c r="O346" s="180"/>
      <c r="P346" s="77"/>
      <c r="Q346" s="77"/>
      <c r="R346" s="77"/>
      <c r="S346" s="77"/>
      <c r="T346" s="77"/>
      <c r="U346" s="77"/>
      <c r="V346" s="77"/>
      <c r="W346" s="77"/>
      <c r="X346" s="77"/>
      <c r="Y346" s="77"/>
      <c r="Z346" s="77"/>
    </row>
    <row r="347" spans="1:26" ht="114" customHeight="1">
      <c r="A347" s="317" t="s">
        <v>736</v>
      </c>
      <c r="B347" s="168" t="s">
        <v>434</v>
      </c>
      <c r="C347" s="80">
        <v>0</v>
      </c>
      <c r="D347" s="80">
        <v>0</v>
      </c>
      <c r="E347" s="322">
        <v>0</v>
      </c>
      <c r="F347" s="944">
        <v>0.5</v>
      </c>
      <c r="G347" s="80">
        <v>0</v>
      </c>
      <c r="H347" s="80">
        <v>0</v>
      </c>
      <c r="I347" s="314"/>
      <c r="J347" s="180" t="s">
        <v>3304</v>
      </c>
      <c r="K347" s="81" t="s">
        <v>3305</v>
      </c>
      <c r="L347" s="180" t="s">
        <v>3306</v>
      </c>
      <c r="M347" s="86" t="s">
        <v>3307</v>
      </c>
      <c r="N347" s="339" t="s">
        <v>3308</v>
      </c>
      <c r="O347" s="342" t="s">
        <v>3309</v>
      </c>
      <c r="P347" s="77"/>
      <c r="Q347" s="77"/>
      <c r="R347" s="77"/>
      <c r="S347" s="77"/>
      <c r="T347" s="77"/>
      <c r="U347" s="77"/>
      <c r="V347" s="77"/>
      <c r="W347" s="77"/>
      <c r="X347" s="77"/>
      <c r="Y347" s="77"/>
      <c r="Z347" s="77"/>
    </row>
    <row r="348" spans="1:26" ht="26.25" customHeight="1">
      <c r="A348" s="343"/>
      <c r="B348" s="3"/>
      <c r="C348" s="87"/>
      <c r="D348" s="87"/>
      <c r="E348" s="344"/>
      <c r="F348" s="908"/>
      <c r="G348" s="87"/>
      <c r="H348" s="87"/>
      <c r="I348" s="345"/>
      <c r="J348" s="346"/>
      <c r="K348" s="75"/>
      <c r="L348" s="346"/>
      <c r="M348" s="88"/>
      <c r="N348" s="347"/>
      <c r="O348" s="348"/>
      <c r="P348" s="77"/>
      <c r="Q348" s="77"/>
      <c r="R348" s="77"/>
      <c r="S348" s="15"/>
      <c r="T348" s="15"/>
      <c r="U348" s="15"/>
      <c r="V348" s="15"/>
      <c r="W348" s="15"/>
      <c r="X348" s="15"/>
      <c r="Y348" s="15"/>
      <c r="Z348" s="15"/>
    </row>
    <row r="349" spans="1:26" ht="13.5" customHeight="1">
      <c r="A349" s="123" t="s">
        <v>1451</v>
      </c>
      <c r="B349" s="158" t="s">
        <v>1452</v>
      </c>
      <c r="C349" s="350">
        <f t="shared" ref="C349:H349" si="49">AVERAGE(C350,C355,C384)</f>
        <v>0.56814467342937425</v>
      </c>
      <c r="D349" s="350">
        <f t="shared" si="49"/>
        <v>0.75155532166174333</v>
      </c>
      <c r="E349" s="350">
        <f t="shared" si="49"/>
        <v>0.4045915376641227</v>
      </c>
      <c r="F349" s="350">
        <f t="shared" si="49"/>
        <v>0.74671177063391003</v>
      </c>
      <c r="G349" s="350">
        <f t="shared" si="49"/>
        <v>0.64501632925318564</v>
      </c>
      <c r="H349" s="350">
        <f t="shared" si="49"/>
        <v>0.33227756265322211</v>
      </c>
      <c r="I349" s="161"/>
      <c r="J349" s="63"/>
      <c r="K349" s="63"/>
      <c r="L349" s="163"/>
      <c r="M349" s="63"/>
      <c r="N349" s="63"/>
      <c r="O349" s="63"/>
      <c r="P349" s="165"/>
      <c r="Q349" s="165"/>
      <c r="R349" s="165"/>
      <c r="S349" s="161"/>
      <c r="T349" s="161"/>
      <c r="U349" s="161"/>
      <c r="V349" s="161"/>
      <c r="W349" s="161"/>
      <c r="X349" s="161"/>
      <c r="Y349" s="161"/>
      <c r="Z349" s="161"/>
    </row>
    <row r="350" spans="1:26" ht="13.5" customHeight="1">
      <c r="A350" s="351" t="s">
        <v>1453</v>
      </c>
      <c r="B350" s="133" t="s">
        <v>342</v>
      </c>
      <c r="C350" s="72">
        <f t="shared" ref="C350:H350" si="50">AVERAGE(C351,C353)</f>
        <v>0.1925292583833606</v>
      </c>
      <c r="D350" s="72">
        <f t="shared" si="50"/>
        <v>0.45109453641380148</v>
      </c>
      <c r="E350" s="72">
        <f t="shared" si="50"/>
        <v>0.32091747013522526</v>
      </c>
      <c r="F350" s="72">
        <f t="shared" si="50"/>
        <v>0.72823054999696801</v>
      </c>
      <c r="G350" s="72">
        <f t="shared" si="50"/>
        <v>0.4112394639500333</v>
      </c>
      <c r="H350" s="72">
        <f t="shared" si="50"/>
        <v>0.18135649748347585</v>
      </c>
      <c r="I350" s="135"/>
      <c r="J350" s="74"/>
      <c r="K350" s="74"/>
      <c r="L350" s="167"/>
      <c r="M350" s="74"/>
      <c r="N350" s="74"/>
      <c r="O350" s="74"/>
      <c r="P350" s="137"/>
      <c r="Q350" s="137"/>
      <c r="R350" s="137"/>
      <c r="S350" s="138"/>
      <c r="T350" s="138"/>
      <c r="U350" s="138"/>
      <c r="V350" s="138"/>
      <c r="W350" s="138"/>
      <c r="X350" s="138"/>
      <c r="Y350" s="138"/>
      <c r="Z350" s="138"/>
    </row>
    <row r="351" spans="1:26" ht="27.75" customHeight="1">
      <c r="A351" s="143" t="s">
        <v>736</v>
      </c>
      <c r="B351" s="168" t="s">
        <v>3310</v>
      </c>
      <c r="C351" s="80">
        <f t="shared" ref="C351:H351" si="51">(J351-(-1.46))/(0.93-(-1.46))</f>
        <v>0.19665271966527195</v>
      </c>
      <c r="D351" s="80">
        <f t="shared" si="51"/>
        <v>0.35146443514644349</v>
      </c>
      <c r="E351" s="80">
        <f t="shared" si="51"/>
        <v>0.30125523012552297</v>
      </c>
      <c r="F351" s="80">
        <f t="shared" si="51"/>
        <v>0.59414225941422583</v>
      </c>
      <c r="G351" s="80">
        <f t="shared" si="51"/>
        <v>0.35146443514644349</v>
      </c>
      <c r="H351" s="80">
        <f t="shared" si="51"/>
        <v>0.13807531380753141</v>
      </c>
      <c r="I351" s="135" t="s">
        <v>3311</v>
      </c>
      <c r="J351" s="81">
        <v>-0.99</v>
      </c>
      <c r="K351" s="81">
        <v>-0.62</v>
      </c>
      <c r="L351" s="81">
        <v>-0.74</v>
      </c>
      <c r="M351" s="81">
        <v>-0.04</v>
      </c>
      <c r="N351" s="170">
        <v>-0.62</v>
      </c>
      <c r="O351" s="81">
        <v>-1.1299999999999999</v>
      </c>
      <c r="P351" s="352">
        <v>2011</v>
      </c>
      <c r="Q351" s="146"/>
      <c r="R351" s="146"/>
      <c r="S351" s="149"/>
      <c r="T351" s="149"/>
      <c r="U351" s="149"/>
      <c r="V351" s="149"/>
      <c r="W351" s="149"/>
      <c r="X351" s="149"/>
      <c r="Y351" s="149"/>
      <c r="Z351" s="149"/>
    </row>
    <row r="352" spans="1:26" ht="13.5" customHeight="1">
      <c r="A352" s="143"/>
      <c r="B352" s="168"/>
      <c r="C352" s="80"/>
      <c r="D352" s="80"/>
      <c r="E352" s="80"/>
      <c r="F352" s="80"/>
      <c r="G352" s="80"/>
      <c r="H352" s="80"/>
      <c r="I352" s="149"/>
      <c r="J352" s="81"/>
      <c r="K352" s="81"/>
      <c r="L352" s="81"/>
      <c r="M352" s="81"/>
      <c r="N352" s="81"/>
      <c r="O352" s="81"/>
      <c r="P352" s="352"/>
      <c r="Q352" s="146"/>
      <c r="R352" s="146"/>
      <c r="S352" s="149"/>
      <c r="T352" s="149"/>
      <c r="U352" s="149"/>
      <c r="V352" s="149"/>
      <c r="W352" s="149"/>
      <c r="X352" s="149"/>
      <c r="Y352" s="149"/>
      <c r="Z352" s="149"/>
    </row>
    <row r="353" spans="1:26" ht="55.5" customHeight="1">
      <c r="A353" s="143" t="s">
        <v>736</v>
      </c>
      <c r="B353" s="168" t="s">
        <v>3312</v>
      </c>
      <c r="C353" s="80">
        <f>(144-170)/(32-170)</f>
        <v>0.18840579710144928</v>
      </c>
      <c r="D353" s="80">
        <f>(94-170)/(32-170)</f>
        <v>0.55072463768115942</v>
      </c>
      <c r="E353" s="80">
        <f>(123-170)/(32-170)</f>
        <v>0.34057971014492755</v>
      </c>
      <c r="F353" s="80">
        <f>(51-170)/(32-170)</f>
        <v>0.8623188405797102</v>
      </c>
      <c r="G353" s="80">
        <f>(105-170)/(32-170)</f>
        <v>0.47101449275362317</v>
      </c>
      <c r="H353" s="80">
        <f>(139-170)/(32-170)</f>
        <v>0.22463768115942029</v>
      </c>
      <c r="I353" s="955" t="s">
        <v>3313</v>
      </c>
      <c r="J353" s="81" t="s">
        <v>3314</v>
      </c>
      <c r="K353" s="81" t="s">
        <v>3315</v>
      </c>
      <c r="L353" s="81" t="s">
        <v>3316</v>
      </c>
      <c r="M353" s="81" t="s">
        <v>3317</v>
      </c>
      <c r="N353" s="81" t="s">
        <v>3318</v>
      </c>
      <c r="O353" s="81" t="s">
        <v>3319</v>
      </c>
      <c r="P353" s="352"/>
      <c r="Q353" s="75"/>
      <c r="R353" s="146"/>
      <c r="S353" s="149"/>
      <c r="T353" s="149"/>
      <c r="U353" s="149"/>
      <c r="V353" s="149"/>
      <c r="W353" s="149"/>
      <c r="X353" s="149"/>
      <c r="Y353" s="149"/>
      <c r="Z353" s="149"/>
    </row>
    <row r="354" spans="1:26" ht="13.5" customHeight="1">
      <c r="A354" s="143"/>
      <c r="B354" s="144"/>
      <c r="C354" s="87"/>
      <c r="D354" s="87"/>
      <c r="E354" s="87"/>
      <c r="F354" s="87"/>
      <c r="G354" s="87"/>
      <c r="H354" s="87"/>
      <c r="I354" s="929"/>
      <c r="J354" s="75"/>
      <c r="K354" s="75"/>
      <c r="L354" s="75"/>
      <c r="M354" s="75"/>
      <c r="N354" s="75"/>
      <c r="O354" s="75"/>
      <c r="P354" s="146"/>
      <c r="Q354" s="75"/>
      <c r="R354" s="146"/>
      <c r="S354" s="149"/>
      <c r="T354" s="149"/>
      <c r="U354" s="149"/>
      <c r="V354" s="149"/>
      <c r="W354" s="149"/>
      <c r="X354" s="149"/>
      <c r="Y354" s="149"/>
      <c r="Z354" s="149"/>
    </row>
    <row r="355" spans="1:26" ht="13.5" customHeight="1">
      <c r="A355" s="130" t="s">
        <v>1464</v>
      </c>
      <c r="B355" s="133" t="s">
        <v>346</v>
      </c>
      <c r="C355" s="72">
        <f t="shared" ref="C355:H355" si="52">AVERAGE(C356,C358,C360,C362,C364,C366,C368,C370,C372,C374,C376,C378,C380,C382)</f>
        <v>0.9285714285714286</v>
      </c>
      <c r="D355" s="72">
        <f t="shared" si="52"/>
        <v>0.9285714285714286</v>
      </c>
      <c r="E355" s="72">
        <f t="shared" si="52"/>
        <v>0.39285714285714285</v>
      </c>
      <c r="F355" s="72">
        <f t="shared" si="52"/>
        <v>0.9285714285714286</v>
      </c>
      <c r="G355" s="72">
        <f t="shared" si="52"/>
        <v>0.8571428571428571</v>
      </c>
      <c r="H355" s="72">
        <f t="shared" si="52"/>
        <v>0.35714285714285715</v>
      </c>
      <c r="I355" s="135"/>
      <c r="J355" s="74"/>
      <c r="K355" s="74"/>
      <c r="L355" s="74"/>
      <c r="M355" s="74"/>
      <c r="N355" s="74"/>
      <c r="O355" s="74"/>
      <c r="P355" s="137"/>
      <c r="Q355" s="146"/>
      <c r="R355" s="146"/>
      <c r="S355" s="149"/>
      <c r="T355" s="149"/>
      <c r="U355" s="149"/>
      <c r="V355" s="149"/>
      <c r="W355" s="149"/>
      <c r="X355" s="149"/>
      <c r="Y355" s="149"/>
      <c r="Z355" s="149"/>
    </row>
    <row r="356" spans="1:26" ht="180" customHeight="1">
      <c r="A356" s="143" t="s">
        <v>736</v>
      </c>
      <c r="B356" s="168" t="s">
        <v>347</v>
      </c>
      <c r="C356" s="80">
        <v>1</v>
      </c>
      <c r="D356" s="80">
        <v>1</v>
      </c>
      <c r="E356" s="80">
        <v>1</v>
      </c>
      <c r="F356" s="80">
        <v>1</v>
      </c>
      <c r="G356" s="80">
        <v>1</v>
      </c>
      <c r="H356" s="80">
        <v>1</v>
      </c>
      <c r="I356" s="135" t="s">
        <v>38</v>
      </c>
      <c r="J356" s="81" t="s">
        <v>3320</v>
      </c>
      <c r="K356" s="81" t="s">
        <v>3321</v>
      </c>
      <c r="L356" s="81" t="s">
        <v>3322</v>
      </c>
      <c r="M356" s="288" t="s">
        <v>3323</v>
      </c>
      <c r="N356" s="81" t="s">
        <v>3324</v>
      </c>
      <c r="O356" s="81" t="s">
        <v>3325</v>
      </c>
      <c r="P356" s="354"/>
      <c r="Q356" s="146"/>
      <c r="R356" s="146"/>
      <c r="S356" s="149"/>
      <c r="T356" s="149"/>
      <c r="U356" s="149"/>
      <c r="V356" s="149"/>
      <c r="W356" s="149"/>
      <c r="X356" s="149"/>
      <c r="Y356" s="149"/>
      <c r="Z356" s="149"/>
    </row>
    <row r="357" spans="1:26" ht="13.5" customHeight="1">
      <c r="A357" s="2"/>
      <c r="B357" s="950"/>
      <c r="C357" s="195"/>
      <c r="D357" s="195"/>
      <c r="E357" s="195"/>
      <c r="F357" s="195"/>
      <c r="G357" s="195"/>
      <c r="H357" s="195"/>
      <c r="I357" s="18"/>
      <c r="J357" s="156"/>
      <c r="K357" s="945"/>
      <c r="L357" s="945"/>
      <c r="M357" s="156"/>
      <c r="N357" s="945"/>
      <c r="O357" s="945"/>
      <c r="P357" s="15"/>
      <c r="Q357" s="15"/>
      <c r="R357" s="15"/>
      <c r="S357" s="15"/>
      <c r="T357" s="15"/>
      <c r="U357" s="15"/>
      <c r="V357" s="15"/>
      <c r="W357" s="15"/>
      <c r="X357" s="15"/>
      <c r="Y357" s="15"/>
      <c r="Z357" s="15"/>
    </row>
    <row r="358" spans="1:26" ht="165.75" customHeight="1">
      <c r="A358" s="143" t="s">
        <v>736</v>
      </c>
      <c r="B358" s="168" t="s">
        <v>3326</v>
      </c>
      <c r="C358" s="80">
        <v>1</v>
      </c>
      <c r="D358" s="80">
        <v>1</v>
      </c>
      <c r="E358" s="80">
        <v>0</v>
      </c>
      <c r="F358" s="80">
        <v>1</v>
      </c>
      <c r="G358" s="944">
        <v>1</v>
      </c>
      <c r="H358" s="80">
        <v>0</v>
      </c>
      <c r="I358" s="135" t="s">
        <v>38</v>
      </c>
      <c r="J358" s="81" t="s">
        <v>3327</v>
      </c>
      <c r="K358" s="81" t="s">
        <v>3328</v>
      </c>
      <c r="L358" s="81" t="s">
        <v>3329</v>
      </c>
      <c r="M358" s="339" t="s">
        <v>1474</v>
      </c>
      <c r="N358" s="339" t="s">
        <v>3330</v>
      </c>
      <c r="O358" s="81" t="s">
        <v>3331</v>
      </c>
      <c r="P358" s="354"/>
      <c r="Q358" s="146"/>
      <c r="R358" s="146"/>
      <c r="S358" s="149"/>
      <c r="T358" s="149"/>
      <c r="U358" s="149"/>
      <c r="V358" s="149"/>
      <c r="W358" s="149"/>
      <c r="X358" s="149"/>
      <c r="Y358" s="149"/>
      <c r="Z358" s="149"/>
    </row>
    <row r="359" spans="1:26" ht="13.5" customHeight="1">
      <c r="A359" s="2"/>
      <c r="B359" s="950"/>
      <c r="C359" s="195"/>
      <c r="D359" s="195"/>
      <c r="E359" s="195"/>
      <c r="F359" s="195"/>
      <c r="G359" s="195"/>
      <c r="H359" s="195"/>
      <c r="I359" s="18"/>
      <c r="J359" s="156"/>
      <c r="K359" s="945"/>
      <c r="L359" s="945"/>
      <c r="M359" s="156"/>
      <c r="N359" s="945"/>
      <c r="O359" s="945"/>
      <c r="P359" s="15"/>
      <c r="Q359" s="15"/>
      <c r="R359" s="15"/>
      <c r="S359" s="15"/>
      <c r="T359" s="15"/>
      <c r="U359" s="15"/>
      <c r="V359" s="15"/>
      <c r="W359" s="15"/>
      <c r="X359" s="15"/>
      <c r="Y359" s="15"/>
      <c r="Z359" s="15"/>
    </row>
    <row r="360" spans="1:26" ht="135" customHeight="1">
      <c r="A360" s="143" t="s">
        <v>736</v>
      </c>
      <c r="B360" s="168" t="s">
        <v>349</v>
      </c>
      <c r="C360" s="80">
        <v>1</v>
      </c>
      <c r="D360" s="80">
        <v>1</v>
      </c>
      <c r="E360" s="80">
        <v>0</v>
      </c>
      <c r="F360" s="80">
        <v>1</v>
      </c>
      <c r="G360" s="80">
        <v>1</v>
      </c>
      <c r="H360" s="944">
        <v>0.5</v>
      </c>
      <c r="I360" s="135" t="s">
        <v>91</v>
      </c>
      <c r="J360" s="81" t="s">
        <v>3332</v>
      </c>
      <c r="K360" s="81" t="s">
        <v>3333</v>
      </c>
      <c r="L360" s="81" t="s">
        <v>3334</v>
      </c>
      <c r="M360" s="81" t="s">
        <v>3335</v>
      </c>
      <c r="N360" s="339" t="s">
        <v>3336</v>
      </c>
      <c r="O360" s="182" t="s">
        <v>3337</v>
      </c>
      <c r="P360" s="354"/>
      <c r="Q360" s="146"/>
      <c r="R360" s="146"/>
      <c r="S360" s="149"/>
      <c r="T360" s="149"/>
      <c r="U360" s="149"/>
      <c r="V360" s="149"/>
      <c r="W360" s="149"/>
      <c r="X360" s="149"/>
      <c r="Y360" s="149"/>
      <c r="Z360" s="149"/>
    </row>
    <row r="361" spans="1:26" ht="13.5" customHeight="1">
      <c r="A361" s="2"/>
      <c r="B361" s="950"/>
      <c r="C361" s="195"/>
      <c r="D361" s="195"/>
      <c r="E361" s="195"/>
      <c r="F361" s="195"/>
      <c r="G361" s="195"/>
      <c r="H361" s="195"/>
      <c r="I361" s="18"/>
      <c r="J361" s="156"/>
      <c r="K361" s="945"/>
      <c r="L361" s="945"/>
      <c r="M361" s="156"/>
      <c r="N361" s="945"/>
      <c r="O361" s="945"/>
      <c r="P361" s="15"/>
      <c r="Q361" s="15"/>
      <c r="R361" s="15"/>
      <c r="S361" s="15"/>
      <c r="T361" s="15"/>
      <c r="U361" s="15"/>
      <c r="V361" s="15"/>
      <c r="W361" s="15"/>
      <c r="X361" s="15"/>
      <c r="Y361" s="15"/>
      <c r="Z361" s="15"/>
    </row>
    <row r="362" spans="1:26" ht="143.25" customHeight="1">
      <c r="A362" s="143" t="s">
        <v>736</v>
      </c>
      <c r="B362" s="168" t="s">
        <v>350</v>
      </c>
      <c r="C362" s="80">
        <v>1</v>
      </c>
      <c r="D362" s="80">
        <v>1</v>
      </c>
      <c r="E362" s="80">
        <v>0</v>
      </c>
      <c r="F362" s="80">
        <v>1</v>
      </c>
      <c r="G362" s="80">
        <v>0.5</v>
      </c>
      <c r="H362" s="944">
        <v>0.5</v>
      </c>
      <c r="I362" s="135" t="s">
        <v>38</v>
      </c>
      <c r="J362" s="81" t="s">
        <v>3338</v>
      </c>
      <c r="K362" s="81" t="s">
        <v>3339</v>
      </c>
      <c r="L362" s="81" t="s">
        <v>748</v>
      </c>
      <c r="M362" s="81" t="s">
        <v>3340</v>
      </c>
      <c r="N362" s="81" t="s">
        <v>3341</v>
      </c>
      <c r="O362" s="81" t="s">
        <v>3342</v>
      </c>
      <c r="P362" s="354"/>
      <c r="Q362" s="146"/>
      <c r="R362" s="146"/>
      <c r="S362" s="149"/>
      <c r="T362" s="149"/>
      <c r="U362" s="149"/>
      <c r="V362" s="149"/>
      <c r="W362" s="149"/>
      <c r="X362" s="149"/>
      <c r="Y362" s="149"/>
      <c r="Z362" s="149"/>
    </row>
    <row r="363" spans="1:26" ht="13.5" customHeight="1">
      <c r="A363" s="2"/>
      <c r="B363" s="950"/>
      <c r="C363" s="195"/>
      <c r="D363" s="195"/>
      <c r="E363" s="195"/>
      <c r="F363" s="195"/>
      <c r="G363" s="195"/>
      <c r="H363" s="195"/>
      <c r="I363" s="18"/>
      <c r="J363" s="156"/>
      <c r="K363" s="945"/>
      <c r="L363" s="945"/>
      <c r="M363" s="156"/>
      <c r="N363" s="945"/>
      <c r="O363" s="945"/>
      <c r="P363" s="15"/>
      <c r="Q363" s="15"/>
      <c r="R363" s="15"/>
      <c r="S363" s="15"/>
      <c r="T363" s="15"/>
      <c r="U363" s="15"/>
      <c r="V363" s="15"/>
      <c r="W363" s="15"/>
      <c r="X363" s="15"/>
      <c r="Y363" s="15"/>
      <c r="Z363" s="15"/>
    </row>
    <row r="364" spans="1:26" ht="123.75" customHeight="1">
      <c r="A364" s="143" t="s">
        <v>736</v>
      </c>
      <c r="B364" s="168" t="s">
        <v>351</v>
      </c>
      <c r="C364" s="80">
        <v>1</v>
      </c>
      <c r="D364" s="80">
        <v>1</v>
      </c>
      <c r="E364" s="80">
        <v>1</v>
      </c>
      <c r="F364" s="80">
        <v>1</v>
      </c>
      <c r="G364" s="80">
        <v>1</v>
      </c>
      <c r="H364" s="80">
        <v>1</v>
      </c>
      <c r="I364" s="135" t="s">
        <v>123</v>
      </c>
      <c r="J364" s="81" t="s">
        <v>3343</v>
      </c>
      <c r="K364" s="81" t="s">
        <v>3344</v>
      </c>
      <c r="L364" s="81" t="s">
        <v>3345</v>
      </c>
      <c r="M364" s="81" t="s">
        <v>3346</v>
      </c>
      <c r="N364" s="339" t="s">
        <v>1492</v>
      </c>
      <c r="O364" s="81" t="s">
        <v>3347</v>
      </c>
      <c r="P364" s="354"/>
      <c r="Q364" s="146"/>
      <c r="R364" s="146"/>
      <c r="S364" s="149"/>
      <c r="T364" s="149"/>
      <c r="U364" s="149"/>
      <c r="V364" s="149"/>
      <c r="W364" s="149"/>
      <c r="X364" s="149"/>
      <c r="Y364" s="149"/>
      <c r="Z364" s="149"/>
    </row>
    <row r="365" spans="1:26" ht="13.5" customHeight="1">
      <c r="A365" s="2"/>
      <c r="B365" s="950"/>
      <c r="C365" s="195"/>
      <c r="D365" s="195"/>
      <c r="E365" s="195"/>
      <c r="F365" s="195"/>
      <c r="G365" s="195"/>
      <c r="H365" s="195"/>
      <c r="I365" s="18"/>
      <c r="J365" s="156"/>
      <c r="K365" s="945"/>
      <c r="L365" s="945"/>
      <c r="M365" s="156"/>
      <c r="N365" s="945"/>
      <c r="O365" s="945"/>
      <c r="P365" s="15"/>
      <c r="Q365" s="15"/>
      <c r="R365" s="15"/>
      <c r="S365" s="15"/>
      <c r="T365" s="15"/>
      <c r="U365" s="15"/>
      <c r="V365" s="15"/>
      <c r="W365" s="15"/>
      <c r="X365" s="15"/>
      <c r="Y365" s="15"/>
      <c r="Z365" s="15"/>
    </row>
    <row r="366" spans="1:26" ht="136.5" customHeight="1">
      <c r="A366" s="143" t="s">
        <v>736</v>
      </c>
      <c r="B366" s="168" t="s">
        <v>352</v>
      </c>
      <c r="C366" s="80">
        <v>1</v>
      </c>
      <c r="D366" s="80">
        <v>1</v>
      </c>
      <c r="E366" s="80">
        <v>0.5</v>
      </c>
      <c r="F366" s="80">
        <v>1</v>
      </c>
      <c r="G366" s="80">
        <v>1</v>
      </c>
      <c r="H366" s="80">
        <v>0</v>
      </c>
      <c r="I366" s="135" t="s">
        <v>123</v>
      </c>
      <c r="J366" s="81" t="s">
        <v>3348</v>
      </c>
      <c r="K366" s="81" t="s">
        <v>1495</v>
      </c>
      <c r="L366" s="81" t="s">
        <v>3349</v>
      </c>
      <c r="M366" s="81" t="s">
        <v>3350</v>
      </c>
      <c r="N366" s="81" t="s">
        <v>3351</v>
      </c>
      <c r="O366" s="81" t="s">
        <v>3352</v>
      </c>
      <c r="P366" s="354"/>
      <c r="Q366" s="146"/>
      <c r="R366" s="146"/>
      <c r="S366" s="149"/>
      <c r="T366" s="149"/>
      <c r="U366" s="149"/>
      <c r="V366" s="149"/>
      <c r="W366" s="149"/>
      <c r="X366" s="149"/>
      <c r="Y366" s="149"/>
      <c r="Z366" s="149"/>
    </row>
    <row r="367" spans="1:26" ht="13.5" customHeight="1">
      <c r="A367" s="2"/>
      <c r="B367" s="950"/>
      <c r="C367" s="195"/>
      <c r="D367" s="195"/>
      <c r="E367" s="195"/>
      <c r="F367" s="195"/>
      <c r="G367" s="195"/>
      <c r="H367" s="195"/>
      <c r="I367" s="18"/>
      <c r="J367" s="156"/>
      <c r="K367" s="945"/>
      <c r="L367" s="945"/>
      <c r="M367" s="156"/>
      <c r="N367" s="945"/>
      <c r="O367" s="945"/>
      <c r="P367" s="15"/>
      <c r="Q367" s="15"/>
      <c r="R367" s="15"/>
      <c r="S367" s="15"/>
      <c r="T367" s="15"/>
      <c r="U367" s="15"/>
      <c r="V367" s="15"/>
      <c r="W367" s="15"/>
      <c r="X367" s="15"/>
      <c r="Y367" s="15"/>
      <c r="Z367" s="15"/>
    </row>
    <row r="368" spans="1:26" ht="153" customHeight="1">
      <c r="A368" s="143" t="s">
        <v>736</v>
      </c>
      <c r="B368" s="168" t="s">
        <v>353</v>
      </c>
      <c r="C368" s="80">
        <v>1</v>
      </c>
      <c r="D368" s="80">
        <v>1</v>
      </c>
      <c r="E368" s="323">
        <v>0.5</v>
      </c>
      <c r="F368" s="80">
        <v>1</v>
      </c>
      <c r="G368" s="80">
        <v>1</v>
      </c>
      <c r="H368" s="80">
        <v>0.5</v>
      </c>
      <c r="I368" s="135" t="s">
        <v>123</v>
      </c>
      <c r="J368" s="81" t="s">
        <v>3353</v>
      </c>
      <c r="K368" s="81" t="s">
        <v>3354</v>
      </c>
      <c r="L368" s="182" t="s">
        <v>3355</v>
      </c>
      <c r="M368" s="182" t="s">
        <v>3356</v>
      </c>
      <c r="N368" s="81" t="s">
        <v>1504</v>
      </c>
      <c r="O368" s="81" t="s">
        <v>3357</v>
      </c>
      <c r="P368" s="354"/>
      <c r="Q368" s="146"/>
      <c r="R368" s="146"/>
      <c r="S368" s="149"/>
      <c r="T368" s="149"/>
      <c r="U368" s="149"/>
      <c r="V368" s="149"/>
      <c r="W368" s="149"/>
      <c r="X368" s="149"/>
      <c r="Y368" s="149"/>
      <c r="Z368" s="149"/>
    </row>
    <row r="369" spans="1:26" ht="13.5" customHeight="1">
      <c r="A369" s="2"/>
      <c r="B369" s="950"/>
      <c r="C369" s="195"/>
      <c r="D369" s="195"/>
      <c r="E369" s="195"/>
      <c r="F369" s="195"/>
      <c r="G369" s="195"/>
      <c r="H369" s="195"/>
      <c r="I369" s="18"/>
      <c r="J369" s="156"/>
      <c r="K369" s="945"/>
      <c r="L369" s="945"/>
      <c r="M369" s="156"/>
      <c r="N369" s="945"/>
      <c r="O369" s="945"/>
      <c r="P369" s="15"/>
      <c r="Q369" s="15"/>
      <c r="R369" s="15"/>
      <c r="S369" s="15"/>
      <c r="T369" s="15"/>
      <c r="U369" s="15"/>
      <c r="V369" s="15"/>
      <c r="W369" s="15"/>
      <c r="X369" s="15"/>
      <c r="Y369" s="15"/>
      <c r="Z369" s="15"/>
    </row>
    <row r="370" spans="1:26" ht="123" customHeight="1">
      <c r="A370" s="143" t="s">
        <v>736</v>
      </c>
      <c r="B370" s="168" t="s">
        <v>354</v>
      </c>
      <c r="C370" s="80">
        <v>1</v>
      </c>
      <c r="D370" s="80">
        <v>1</v>
      </c>
      <c r="E370" s="323">
        <v>0.5</v>
      </c>
      <c r="F370" s="80">
        <v>1</v>
      </c>
      <c r="G370" s="80">
        <v>0.5</v>
      </c>
      <c r="H370" s="80">
        <v>0</v>
      </c>
      <c r="I370" s="135" t="s">
        <v>91</v>
      </c>
      <c r="J370" s="81" t="s">
        <v>3358</v>
      </c>
      <c r="K370" s="81" t="s">
        <v>3359</v>
      </c>
      <c r="L370" s="182" t="s">
        <v>3355</v>
      </c>
      <c r="M370" s="81" t="s">
        <v>3360</v>
      </c>
      <c r="N370" s="81" t="s">
        <v>3361</v>
      </c>
      <c r="O370" s="182" t="s">
        <v>3362</v>
      </c>
      <c r="P370" s="354"/>
      <c r="Q370" s="146"/>
      <c r="R370" s="146"/>
      <c r="S370" s="149"/>
      <c r="T370" s="149"/>
      <c r="U370" s="149"/>
      <c r="V370" s="149"/>
      <c r="W370" s="149"/>
      <c r="X370" s="149"/>
      <c r="Y370" s="149"/>
      <c r="Z370" s="149"/>
    </row>
    <row r="371" spans="1:26" ht="13.5" customHeight="1">
      <c r="A371" s="2"/>
      <c r="B371" s="950"/>
      <c r="C371" s="195"/>
      <c r="D371" s="195"/>
      <c r="E371" s="195"/>
      <c r="F371" s="195"/>
      <c r="G371" s="195"/>
      <c r="H371" s="195"/>
      <c r="I371" s="18"/>
      <c r="J371" s="156"/>
      <c r="K371" s="945"/>
      <c r="L371" s="945"/>
      <c r="M371" s="156"/>
      <c r="N371" s="945"/>
      <c r="O371" s="945"/>
      <c r="P371" s="15"/>
      <c r="Q371" s="15"/>
      <c r="R371" s="15"/>
      <c r="S371" s="15"/>
      <c r="T371" s="15"/>
      <c r="U371" s="15"/>
      <c r="V371" s="15"/>
      <c r="W371" s="15"/>
      <c r="X371" s="15"/>
      <c r="Y371" s="15"/>
      <c r="Z371" s="15"/>
    </row>
    <row r="372" spans="1:26" ht="78.75" customHeight="1">
      <c r="A372" s="143" t="s">
        <v>736</v>
      </c>
      <c r="B372" s="168" t="s">
        <v>355</v>
      </c>
      <c r="C372" s="80">
        <v>0.5</v>
      </c>
      <c r="D372" s="80">
        <v>0.5</v>
      </c>
      <c r="E372" s="323">
        <v>1</v>
      </c>
      <c r="F372" s="80">
        <v>0.5</v>
      </c>
      <c r="G372" s="80">
        <v>0.5</v>
      </c>
      <c r="H372" s="80">
        <v>0.5</v>
      </c>
      <c r="I372" s="135" t="s">
        <v>91</v>
      </c>
      <c r="J372" s="81" t="s">
        <v>3363</v>
      </c>
      <c r="K372" s="81" t="s">
        <v>3364</v>
      </c>
      <c r="L372" s="81" t="s">
        <v>811</v>
      </c>
      <c r="M372" s="81" t="s">
        <v>3365</v>
      </c>
      <c r="N372" s="182" t="s">
        <v>1515</v>
      </c>
      <c r="O372" s="81" t="s">
        <v>3366</v>
      </c>
      <c r="P372" s="354"/>
      <c r="Q372" s="146"/>
      <c r="R372" s="146"/>
      <c r="S372" s="149"/>
      <c r="T372" s="149"/>
      <c r="U372" s="149"/>
      <c r="V372" s="149"/>
      <c r="W372" s="149"/>
      <c r="X372" s="149"/>
      <c r="Y372" s="149"/>
      <c r="Z372" s="149"/>
    </row>
    <row r="373" spans="1:26" ht="13.5" customHeight="1">
      <c r="A373" s="2"/>
      <c r="B373" s="950"/>
      <c r="C373" s="195"/>
      <c r="D373" s="195"/>
      <c r="E373" s="195"/>
      <c r="F373" s="195"/>
      <c r="G373" s="195"/>
      <c r="H373" s="195"/>
      <c r="I373" s="18"/>
      <c r="J373" s="156"/>
      <c r="K373" s="945"/>
      <c r="L373" s="945"/>
      <c r="M373" s="156"/>
      <c r="N373" s="945"/>
      <c r="O373" s="945"/>
      <c r="P373" s="15"/>
      <c r="Q373" s="15"/>
      <c r="R373" s="15"/>
      <c r="S373" s="15"/>
      <c r="T373" s="15"/>
      <c r="U373" s="15"/>
      <c r="V373" s="15"/>
      <c r="W373" s="15"/>
      <c r="X373" s="15"/>
      <c r="Y373" s="15"/>
      <c r="Z373" s="15"/>
    </row>
    <row r="374" spans="1:26" ht="83.25" customHeight="1">
      <c r="A374" s="143" t="s">
        <v>736</v>
      </c>
      <c r="B374" s="168" t="s">
        <v>356</v>
      </c>
      <c r="C374" s="80">
        <v>1</v>
      </c>
      <c r="D374" s="80">
        <v>1</v>
      </c>
      <c r="E374" s="80">
        <v>0</v>
      </c>
      <c r="F374" s="80">
        <v>1</v>
      </c>
      <c r="G374" s="80">
        <v>1</v>
      </c>
      <c r="H374" s="944">
        <v>0.5</v>
      </c>
      <c r="I374" s="135" t="s">
        <v>38</v>
      </c>
      <c r="J374" s="81" t="s">
        <v>3367</v>
      </c>
      <c r="K374" s="81" t="s">
        <v>3368</v>
      </c>
      <c r="L374" s="81" t="s">
        <v>748</v>
      </c>
      <c r="M374" s="81" t="s">
        <v>1519</v>
      </c>
      <c r="N374" s="81" t="s">
        <v>1520</v>
      </c>
      <c r="O374" s="81" t="s">
        <v>3369</v>
      </c>
      <c r="P374" s="87"/>
      <c r="Q374" s="146"/>
      <c r="R374" s="146"/>
      <c r="S374" s="149"/>
      <c r="T374" s="149"/>
      <c r="U374" s="149"/>
      <c r="V374" s="149"/>
      <c r="W374" s="149"/>
      <c r="X374" s="149"/>
      <c r="Y374" s="149"/>
      <c r="Z374" s="149"/>
    </row>
    <row r="375" spans="1:26" ht="13.5" customHeight="1">
      <c r="A375" s="2"/>
      <c r="B375" s="950"/>
      <c r="C375" s="195"/>
      <c r="D375" s="195"/>
      <c r="E375" s="195"/>
      <c r="F375" s="195"/>
      <c r="G375" s="195"/>
      <c r="H375" s="195"/>
      <c r="I375" s="18"/>
      <c r="J375" s="156"/>
      <c r="K375" s="945"/>
      <c r="L375" s="945"/>
      <c r="M375" s="156"/>
      <c r="N375" s="945"/>
      <c r="O375" s="945"/>
      <c r="P375" s="15"/>
      <c r="Q375" s="15"/>
      <c r="R375" s="15"/>
      <c r="S375" s="15"/>
      <c r="T375" s="15"/>
      <c r="U375" s="15"/>
      <c r="V375" s="15"/>
      <c r="W375" s="15"/>
      <c r="X375" s="15"/>
      <c r="Y375" s="15"/>
      <c r="Z375" s="15"/>
    </row>
    <row r="376" spans="1:26" ht="103.5" customHeight="1">
      <c r="A376" s="143" t="s">
        <v>736</v>
      </c>
      <c r="B376" s="168" t="s">
        <v>357</v>
      </c>
      <c r="C376" s="80">
        <v>1</v>
      </c>
      <c r="D376" s="80">
        <v>1</v>
      </c>
      <c r="E376" s="80">
        <v>0</v>
      </c>
      <c r="F376" s="80">
        <v>1</v>
      </c>
      <c r="G376" s="80">
        <v>1</v>
      </c>
      <c r="H376" s="944">
        <v>0.5</v>
      </c>
      <c r="I376" s="135" t="s">
        <v>91</v>
      </c>
      <c r="J376" s="81" t="s">
        <v>3370</v>
      </c>
      <c r="K376" s="81" t="s">
        <v>3371</v>
      </c>
      <c r="L376" s="81" t="s">
        <v>748</v>
      </c>
      <c r="M376" s="81" t="s">
        <v>3372</v>
      </c>
      <c r="N376" s="81" t="s">
        <v>3373</v>
      </c>
      <c r="O376" s="81" t="s">
        <v>3374</v>
      </c>
      <c r="P376" s="354"/>
      <c r="Q376" s="146"/>
      <c r="R376" s="146"/>
      <c r="S376" s="149"/>
      <c r="T376" s="149"/>
      <c r="U376" s="149"/>
      <c r="V376" s="149"/>
      <c r="W376" s="149"/>
      <c r="X376" s="149"/>
      <c r="Y376" s="149"/>
      <c r="Z376" s="149"/>
    </row>
    <row r="377" spans="1:26" ht="13.5" customHeight="1">
      <c r="A377" s="2"/>
      <c r="B377" s="950"/>
      <c r="C377" s="195"/>
      <c r="D377" s="195"/>
      <c r="E377" s="195"/>
      <c r="F377" s="195"/>
      <c r="G377" s="195"/>
      <c r="H377" s="195"/>
      <c r="I377" s="18"/>
      <c r="J377" s="156"/>
      <c r="K377" s="945"/>
      <c r="L377" s="945"/>
      <c r="M377" s="156"/>
      <c r="N377" s="945"/>
      <c r="O377" s="945"/>
      <c r="P377" s="15"/>
      <c r="Q377" s="15"/>
      <c r="R377" s="15"/>
      <c r="S377" s="15"/>
      <c r="T377" s="15"/>
      <c r="U377" s="15"/>
      <c r="V377" s="15"/>
      <c r="W377" s="15"/>
      <c r="X377" s="15"/>
      <c r="Y377" s="15"/>
      <c r="Z377" s="15"/>
    </row>
    <row r="378" spans="1:26" ht="150" customHeight="1">
      <c r="A378" s="143" t="s">
        <v>736</v>
      </c>
      <c r="B378" s="168" t="s">
        <v>358</v>
      </c>
      <c r="C378" s="949">
        <v>1</v>
      </c>
      <c r="D378" s="949">
        <v>1</v>
      </c>
      <c r="E378" s="356">
        <v>1</v>
      </c>
      <c r="F378" s="949">
        <v>1</v>
      </c>
      <c r="G378" s="951">
        <v>1</v>
      </c>
      <c r="H378" s="949">
        <v>0</v>
      </c>
      <c r="I378" s="135" t="s">
        <v>91</v>
      </c>
      <c r="J378" s="81" t="s">
        <v>3375</v>
      </c>
      <c r="K378" s="81" t="s">
        <v>3376</v>
      </c>
      <c r="L378" s="182" t="s">
        <v>3377</v>
      </c>
      <c r="M378" s="81" t="s">
        <v>3378</v>
      </c>
      <c r="N378" s="339" t="s">
        <v>1531</v>
      </c>
      <c r="O378" s="81" t="s">
        <v>3379</v>
      </c>
      <c r="P378" s="354"/>
      <c r="Q378" s="146"/>
      <c r="R378" s="146"/>
      <c r="S378" s="149"/>
      <c r="T378" s="149"/>
      <c r="U378" s="149"/>
      <c r="V378" s="149"/>
      <c r="W378" s="149"/>
      <c r="X378" s="149"/>
      <c r="Y378" s="149"/>
      <c r="Z378" s="149"/>
    </row>
    <row r="379" spans="1:26" ht="13.5" customHeight="1">
      <c r="A379" s="2"/>
      <c r="B379" s="950"/>
      <c r="C379" s="195"/>
      <c r="D379" s="195"/>
      <c r="E379" s="195"/>
      <c r="F379" s="195"/>
      <c r="G379" s="195"/>
      <c r="H379" s="195"/>
      <c r="I379" s="18"/>
      <c r="J379" s="156"/>
      <c r="K379" s="945"/>
      <c r="L379" s="945"/>
      <c r="M379" s="156"/>
      <c r="N379" s="945"/>
      <c r="O379" s="945"/>
      <c r="P379" s="15"/>
      <c r="Q379" s="15"/>
      <c r="R379" s="15"/>
      <c r="S379" s="15"/>
      <c r="T379" s="15"/>
      <c r="U379" s="15"/>
      <c r="V379" s="15"/>
      <c r="W379" s="15"/>
      <c r="X379" s="15"/>
      <c r="Y379" s="15"/>
      <c r="Z379" s="15"/>
    </row>
    <row r="380" spans="1:26" ht="158.25" customHeight="1">
      <c r="A380" s="143" t="s">
        <v>736</v>
      </c>
      <c r="B380" s="168" t="s">
        <v>359</v>
      </c>
      <c r="C380" s="80">
        <v>0.5</v>
      </c>
      <c r="D380" s="944">
        <v>0.5</v>
      </c>
      <c r="E380" s="80">
        <v>0</v>
      </c>
      <c r="F380" s="80">
        <v>0.5</v>
      </c>
      <c r="G380" s="80">
        <v>0.5</v>
      </c>
      <c r="H380" s="80">
        <v>0</v>
      </c>
      <c r="I380" s="135" t="s">
        <v>91</v>
      </c>
      <c r="J380" s="182" t="s">
        <v>3380</v>
      </c>
      <c r="K380" s="81" t="s">
        <v>3381</v>
      </c>
      <c r="L380" s="81" t="s">
        <v>748</v>
      </c>
      <c r="M380" s="81" t="s">
        <v>3382</v>
      </c>
      <c r="N380" s="81" t="s">
        <v>3383</v>
      </c>
      <c r="O380" s="182" t="s">
        <v>3384</v>
      </c>
      <c r="P380" s="354"/>
      <c r="Q380" s="146"/>
      <c r="R380" s="146"/>
      <c r="S380" s="149"/>
      <c r="T380" s="149"/>
      <c r="U380" s="149"/>
      <c r="V380" s="149"/>
      <c r="W380" s="149"/>
      <c r="X380" s="149"/>
      <c r="Y380" s="149"/>
      <c r="Z380" s="149"/>
    </row>
    <row r="381" spans="1:26" ht="13.5" customHeight="1">
      <c r="A381" s="2"/>
      <c r="B381" s="950"/>
      <c r="C381" s="195"/>
      <c r="D381" s="195"/>
      <c r="E381" s="195"/>
      <c r="F381" s="195"/>
      <c r="G381" s="195"/>
      <c r="H381" s="195"/>
      <c r="I381" s="18"/>
      <c r="J381" s="156"/>
      <c r="K381" s="945"/>
      <c r="L381" s="945"/>
      <c r="M381" s="156"/>
      <c r="N381" s="945"/>
      <c r="O381" s="945"/>
      <c r="P381" s="15"/>
      <c r="Q381" s="15"/>
      <c r="R381" s="15"/>
      <c r="S381" s="15"/>
      <c r="T381" s="15"/>
      <c r="U381" s="15"/>
      <c r="V381" s="15"/>
      <c r="W381" s="15"/>
      <c r="X381" s="15"/>
      <c r="Y381" s="15"/>
      <c r="Z381" s="15"/>
    </row>
    <row r="382" spans="1:26" ht="55.5" customHeight="1">
      <c r="A382" s="143" t="s">
        <v>736</v>
      </c>
      <c r="B382" s="168" t="s">
        <v>360</v>
      </c>
      <c r="C382" s="80">
        <v>1</v>
      </c>
      <c r="D382" s="80">
        <v>1</v>
      </c>
      <c r="E382" s="80">
        <v>0</v>
      </c>
      <c r="F382" s="80">
        <v>1</v>
      </c>
      <c r="G382" s="80">
        <v>1</v>
      </c>
      <c r="H382" s="80">
        <v>0</v>
      </c>
      <c r="I382" s="135" t="s">
        <v>38</v>
      </c>
      <c r="J382" s="81" t="s">
        <v>1538</v>
      </c>
      <c r="K382" s="81" t="s">
        <v>3385</v>
      </c>
      <c r="L382" s="81" t="s">
        <v>748</v>
      </c>
      <c r="M382" s="180" t="s">
        <v>3386</v>
      </c>
      <c r="N382" s="81" t="s">
        <v>3387</v>
      </c>
      <c r="O382" s="81" t="s">
        <v>748</v>
      </c>
      <c r="P382" s="87"/>
      <c r="Q382" s="146"/>
      <c r="R382" s="146"/>
      <c r="S382" s="149"/>
      <c r="T382" s="149"/>
      <c r="U382" s="149"/>
      <c r="V382" s="149"/>
      <c r="W382" s="149"/>
      <c r="X382" s="149"/>
      <c r="Y382" s="149"/>
      <c r="Z382" s="149"/>
    </row>
    <row r="383" spans="1:26" ht="13.5" customHeight="1">
      <c r="A383" s="2"/>
      <c r="B383" s="952"/>
      <c r="C383" s="271"/>
      <c r="D383" s="271"/>
      <c r="E383" s="271"/>
      <c r="F383" s="271"/>
      <c r="G383" s="271"/>
      <c r="H383" s="271"/>
      <c r="I383" s="18"/>
      <c r="J383" s="291"/>
      <c r="K383" s="953"/>
      <c r="L383" s="953"/>
      <c r="M383" s="291"/>
      <c r="N383" s="953"/>
      <c r="O383" s="953"/>
      <c r="P383" s="15"/>
      <c r="Q383" s="15"/>
      <c r="R383" s="15"/>
      <c r="S383" s="15"/>
      <c r="T383" s="15"/>
      <c r="U383" s="15"/>
      <c r="V383" s="15"/>
      <c r="W383" s="15"/>
      <c r="X383" s="15"/>
      <c r="Y383" s="15"/>
      <c r="Z383" s="15"/>
    </row>
    <row r="384" spans="1:26" ht="55.5" customHeight="1">
      <c r="A384" s="130" t="s">
        <v>1543</v>
      </c>
      <c r="B384" s="133" t="s">
        <v>3388</v>
      </c>
      <c r="C384" s="72">
        <f t="shared" ref="C384:H384" si="53">AVERAGE(C385,C387,C389,C391,C393,C395)</f>
        <v>0.58333333333333337</v>
      </c>
      <c r="D384" s="72">
        <f t="shared" si="53"/>
        <v>0.875</v>
      </c>
      <c r="E384" s="72">
        <f t="shared" si="53"/>
        <v>0.5</v>
      </c>
      <c r="F384" s="72">
        <f t="shared" si="53"/>
        <v>0.58333333333333337</v>
      </c>
      <c r="G384" s="72">
        <f t="shared" si="53"/>
        <v>0.66666666666666663</v>
      </c>
      <c r="H384" s="72">
        <f t="shared" si="53"/>
        <v>0.45833333333333331</v>
      </c>
      <c r="I384" s="135"/>
      <c r="J384" s="74"/>
      <c r="K384" s="74"/>
      <c r="L384" s="74"/>
      <c r="M384" s="72"/>
      <c r="N384" s="74"/>
      <c r="O384" s="74"/>
      <c r="P384" s="72"/>
      <c r="Q384" s="146"/>
      <c r="R384" s="146"/>
      <c r="S384" s="149"/>
      <c r="T384" s="149"/>
      <c r="U384" s="149"/>
      <c r="V384" s="149"/>
      <c r="W384" s="149"/>
      <c r="X384" s="149"/>
      <c r="Y384" s="149"/>
      <c r="Z384" s="149"/>
    </row>
    <row r="385" spans="1:26" ht="108" customHeight="1">
      <c r="A385" s="143" t="s">
        <v>736</v>
      </c>
      <c r="B385" s="168" t="s">
        <v>363</v>
      </c>
      <c r="C385" s="80">
        <v>0.5</v>
      </c>
      <c r="D385" s="944">
        <v>0.75</v>
      </c>
      <c r="E385" s="80">
        <v>0.5</v>
      </c>
      <c r="F385" s="80">
        <v>0.25</v>
      </c>
      <c r="G385" s="80">
        <v>0.25</v>
      </c>
      <c r="H385" s="80">
        <v>0.25</v>
      </c>
      <c r="I385" s="135" t="s">
        <v>38</v>
      </c>
      <c r="J385" s="81" t="s">
        <v>3389</v>
      </c>
      <c r="K385" s="81" t="s">
        <v>3390</v>
      </c>
      <c r="L385" s="81" t="s">
        <v>3391</v>
      </c>
      <c r="M385" s="180" t="s">
        <v>3392</v>
      </c>
      <c r="N385" s="362" t="s">
        <v>1548</v>
      </c>
      <c r="O385" s="182" t="s">
        <v>3393</v>
      </c>
      <c r="P385" s="354"/>
      <c r="Q385" s="146"/>
      <c r="R385" s="146"/>
      <c r="S385" s="149"/>
      <c r="T385" s="149"/>
      <c r="U385" s="149"/>
      <c r="V385" s="149"/>
      <c r="W385" s="149"/>
      <c r="X385" s="149"/>
      <c r="Y385" s="149"/>
      <c r="Z385" s="149"/>
    </row>
    <row r="386" spans="1:26" ht="13.5" customHeight="1">
      <c r="A386" s="2"/>
      <c r="B386" s="950"/>
      <c r="C386" s="195"/>
      <c r="D386" s="195"/>
      <c r="E386" s="195"/>
      <c r="F386" s="195"/>
      <c r="G386" s="195"/>
      <c r="H386" s="195"/>
      <c r="I386" s="18"/>
      <c r="J386" s="156"/>
      <c r="K386" s="945"/>
      <c r="L386" s="945"/>
      <c r="M386" s="156"/>
      <c r="N386" s="945"/>
      <c r="O386" s="945"/>
      <c r="P386" s="15"/>
      <c r="Q386" s="15"/>
      <c r="R386" s="15"/>
      <c r="S386" s="15"/>
      <c r="T386" s="15"/>
      <c r="U386" s="15"/>
      <c r="V386" s="15"/>
      <c r="W386" s="15"/>
      <c r="X386" s="15"/>
      <c r="Y386" s="15"/>
      <c r="Z386" s="15"/>
    </row>
    <row r="387" spans="1:26" ht="125.25" customHeight="1">
      <c r="A387" s="143" t="s">
        <v>736</v>
      </c>
      <c r="B387" s="168" t="s">
        <v>364</v>
      </c>
      <c r="C387" s="956">
        <v>0.25</v>
      </c>
      <c r="D387" s="951">
        <v>0.5</v>
      </c>
      <c r="E387" s="956">
        <v>0.25</v>
      </c>
      <c r="F387" s="195">
        <v>0.5</v>
      </c>
      <c r="G387" s="949">
        <v>0.25</v>
      </c>
      <c r="H387" s="949">
        <v>0</v>
      </c>
      <c r="I387" s="135" t="s">
        <v>38</v>
      </c>
      <c r="J387" s="81" t="s">
        <v>3394</v>
      </c>
      <c r="K387" s="81" t="s">
        <v>3395</v>
      </c>
      <c r="L387" s="81" t="s">
        <v>3396</v>
      </c>
      <c r="M387" s="180" t="s">
        <v>3397</v>
      </c>
      <c r="N387" s="362" t="s">
        <v>3398</v>
      </c>
      <c r="O387" s="81" t="s">
        <v>1554</v>
      </c>
      <c r="P387" s="354"/>
      <c r="Q387" s="146"/>
      <c r="R387" s="146"/>
      <c r="S387" s="149"/>
      <c r="T387" s="149"/>
      <c r="U387" s="149"/>
      <c r="V387" s="149"/>
      <c r="W387" s="149"/>
      <c r="X387" s="149"/>
      <c r="Y387" s="149"/>
      <c r="Z387" s="149"/>
    </row>
    <row r="388" spans="1:26" ht="13.5" customHeight="1">
      <c r="A388" s="2"/>
      <c r="B388" s="950"/>
      <c r="C388" s="195"/>
      <c r="D388" s="195"/>
      <c r="E388" s="195"/>
      <c r="F388" s="195"/>
      <c r="G388" s="195"/>
      <c r="H388" s="195"/>
      <c r="I388" s="18"/>
      <c r="J388" s="156"/>
      <c r="K388" s="945"/>
      <c r="L388" s="945"/>
      <c r="M388" s="156"/>
      <c r="N388" s="945"/>
      <c r="O388" s="945"/>
      <c r="P388" s="15"/>
      <c r="Q388" s="15"/>
      <c r="R388" s="15"/>
      <c r="S388" s="15"/>
      <c r="T388" s="15"/>
      <c r="U388" s="15"/>
      <c r="V388" s="15"/>
      <c r="W388" s="15"/>
      <c r="X388" s="15"/>
      <c r="Y388" s="15"/>
      <c r="Z388" s="15"/>
    </row>
    <row r="389" spans="1:26" ht="96.75" customHeight="1">
      <c r="A389" s="143" t="s">
        <v>736</v>
      </c>
      <c r="B389" s="168" t="s">
        <v>365</v>
      </c>
      <c r="C389" s="949">
        <v>0.75</v>
      </c>
      <c r="D389" s="949">
        <v>1</v>
      </c>
      <c r="E389" s="949">
        <v>0.25</v>
      </c>
      <c r="F389" s="949">
        <v>0.75</v>
      </c>
      <c r="G389" s="949">
        <v>0.75</v>
      </c>
      <c r="H389" s="949">
        <v>0.75</v>
      </c>
      <c r="I389" s="135" t="s">
        <v>38</v>
      </c>
      <c r="J389" s="81" t="s">
        <v>3399</v>
      </c>
      <c r="K389" s="81" t="s">
        <v>3400</v>
      </c>
      <c r="L389" s="182" t="s">
        <v>3401</v>
      </c>
      <c r="M389" s="180" t="s">
        <v>3402</v>
      </c>
      <c r="N389" s="81" t="s">
        <v>3403</v>
      </c>
      <c r="O389" s="81" t="s">
        <v>3404</v>
      </c>
      <c r="P389" s="354"/>
      <c r="Q389" s="146"/>
      <c r="R389" s="146"/>
      <c r="S389" s="149"/>
      <c r="T389" s="149"/>
      <c r="U389" s="149"/>
      <c r="V389" s="149"/>
      <c r="W389" s="149"/>
      <c r="X389" s="149"/>
      <c r="Y389" s="149"/>
      <c r="Z389" s="149"/>
    </row>
    <row r="390" spans="1:26" ht="22.5" customHeight="1">
      <c r="A390" s="143"/>
      <c r="B390" s="168"/>
      <c r="C390" s="80"/>
      <c r="D390" s="80"/>
      <c r="E390" s="80"/>
      <c r="F390" s="80"/>
      <c r="G390" s="80"/>
      <c r="H390" s="80"/>
      <c r="I390" s="149"/>
      <c r="J390" s="81"/>
      <c r="K390" s="81"/>
      <c r="L390" s="81"/>
      <c r="M390" s="81"/>
      <c r="N390" s="81"/>
      <c r="O390" s="81"/>
      <c r="P390" s="87"/>
      <c r="Q390" s="146"/>
      <c r="R390" s="146"/>
      <c r="S390" s="149"/>
      <c r="T390" s="149"/>
      <c r="U390" s="149"/>
      <c r="V390" s="149"/>
      <c r="W390" s="149"/>
      <c r="X390" s="149"/>
      <c r="Y390" s="149"/>
      <c r="Z390" s="149"/>
    </row>
    <row r="391" spans="1:26" ht="81" customHeight="1">
      <c r="A391" s="143" t="s">
        <v>736</v>
      </c>
      <c r="B391" s="168" t="s">
        <v>366</v>
      </c>
      <c r="C391" s="949">
        <v>0.25</v>
      </c>
      <c r="D391" s="949">
        <v>1</v>
      </c>
      <c r="E391" s="949">
        <v>0</v>
      </c>
      <c r="F391" s="949">
        <v>0</v>
      </c>
      <c r="G391" s="949">
        <v>1</v>
      </c>
      <c r="H391" s="949">
        <v>0</v>
      </c>
      <c r="I391" s="135" t="s">
        <v>38</v>
      </c>
      <c r="J391" s="81" t="s">
        <v>3405</v>
      </c>
      <c r="K391" s="81" t="s">
        <v>3406</v>
      </c>
      <c r="L391" s="365" t="s">
        <v>748</v>
      </c>
      <c r="M391" s="182" t="s">
        <v>3407</v>
      </c>
      <c r="N391" s="362" t="s">
        <v>3408</v>
      </c>
      <c r="O391" s="81" t="s">
        <v>3409</v>
      </c>
      <c r="P391" s="354"/>
      <c r="Q391" s="146"/>
      <c r="R391" s="146"/>
      <c r="S391" s="149"/>
      <c r="T391" s="149"/>
      <c r="U391" s="149"/>
      <c r="V391" s="149"/>
      <c r="W391" s="149"/>
      <c r="X391" s="149"/>
      <c r="Y391" s="149"/>
      <c r="Z391" s="149"/>
    </row>
    <row r="392" spans="1:26" ht="30" customHeight="1">
      <c r="A392" s="143"/>
      <c r="B392" s="168"/>
      <c r="C392" s="80"/>
      <c r="D392" s="80"/>
      <c r="E392" s="80"/>
      <c r="F392" s="80"/>
      <c r="G392" s="80"/>
      <c r="H392" s="80"/>
      <c r="I392" s="149"/>
      <c r="J392" s="81"/>
      <c r="K392" s="81"/>
      <c r="L392" s="81"/>
      <c r="M392" s="81"/>
      <c r="N392" s="81"/>
      <c r="O392" s="81"/>
      <c r="P392" s="87"/>
      <c r="Q392" s="146"/>
      <c r="R392" s="146"/>
      <c r="S392" s="149"/>
      <c r="T392" s="149"/>
      <c r="U392" s="149"/>
      <c r="V392" s="149"/>
      <c r="W392" s="149"/>
      <c r="X392" s="149"/>
      <c r="Y392" s="149"/>
      <c r="Z392" s="149"/>
    </row>
    <row r="393" spans="1:26" ht="121.5" customHeight="1">
      <c r="A393" s="143" t="s">
        <v>736</v>
      </c>
      <c r="B393" s="168" t="s">
        <v>367</v>
      </c>
      <c r="C393" s="949">
        <v>1</v>
      </c>
      <c r="D393" s="949">
        <v>1</v>
      </c>
      <c r="E393" s="949">
        <v>1</v>
      </c>
      <c r="F393" s="949">
        <v>1</v>
      </c>
      <c r="G393" s="949">
        <v>1</v>
      </c>
      <c r="H393" s="949">
        <v>1</v>
      </c>
      <c r="I393" s="135" t="s">
        <v>38</v>
      </c>
      <c r="J393" s="81" t="s">
        <v>3410</v>
      </c>
      <c r="K393" s="81" t="s">
        <v>948</v>
      </c>
      <c r="L393" s="365" t="s">
        <v>811</v>
      </c>
      <c r="M393" s="180" t="s">
        <v>3411</v>
      </c>
      <c r="N393" s="366" t="s">
        <v>1568</v>
      </c>
      <c r="O393" s="81" t="s">
        <v>3412</v>
      </c>
      <c r="P393" s="354"/>
      <c r="Q393" s="146"/>
      <c r="R393" s="146"/>
      <c r="S393" s="149"/>
      <c r="T393" s="149"/>
      <c r="U393" s="149"/>
      <c r="V393" s="149"/>
      <c r="W393" s="149"/>
      <c r="X393" s="149"/>
      <c r="Y393" s="149"/>
      <c r="Z393" s="149"/>
    </row>
    <row r="394" spans="1:26" ht="13.5" customHeight="1">
      <c r="A394" s="2"/>
      <c r="B394" s="950"/>
      <c r="C394" s="195"/>
      <c r="D394" s="195"/>
      <c r="E394" s="195"/>
      <c r="F394" s="195"/>
      <c r="G394" s="195"/>
      <c r="H394" s="195"/>
      <c r="I394" s="18"/>
      <c r="J394" s="156"/>
      <c r="K394" s="945"/>
      <c r="L394" s="945"/>
      <c r="M394" s="156"/>
      <c r="N394" s="945"/>
      <c r="O394" s="945"/>
      <c r="P394" s="15"/>
      <c r="Q394" s="15"/>
      <c r="R394" s="15"/>
      <c r="S394" s="15"/>
      <c r="T394" s="15"/>
      <c r="U394" s="15"/>
      <c r="V394" s="15"/>
      <c r="W394" s="15"/>
      <c r="X394" s="15"/>
      <c r="Y394" s="15"/>
      <c r="Z394" s="15"/>
    </row>
    <row r="395" spans="1:26" ht="153.75" customHeight="1">
      <c r="A395" s="143" t="s">
        <v>736</v>
      </c>
      <c r="B395" s="168" t="s">
        <v>368</v>
      </c>
      <c r="C395" s="188">
        <v>0.75</v>
      </c>
      <c r="D395" s="188">
        <v>1</v>
      </c>
      <c r="E395" s="188">
        <v>1</v>
      </c>
      <c r="F395" s="188">
        <v>1</v>
      </c>
      <c r="G395" s="188">
        <v>0.75</v>
      </c>
      <c r="H395" s="949">
        <v>0.75</v>
      </c>
      <c r="I395" s="135" t="s">
        <v>38</v>
      </c>
      <c r="J395" s="81" t="s">
        <v>3413</v>
      </c>
      <c r="K395" s="81" t="s">
        <v>3414</v>
      </c>
      <c r="L395" s="365" t="s">
        <v>811</v>
      </c>
      <c r="M395" s="365" t="s">
        <v>3415</v>
      </c>
      <c r="N395" s="366" t="s">
        <v>3416</v>
      </c>
      <c r="O395" s="81" t="s">
        <v>3417</v>
      </c>
      <c r="P395" s="354"/>
      <c r="Q395" s="146"/>
      <c r="R395" s="146"/>
      <c r="S395" s="149"/>
      <c r="T395" s="149"/>
      <c r="U395" s="149"/>
      <c r="V395" s="149"/>
      <c r="W395" s="149"/>
      <c r="X395" s="149"/>
      <c r="Y395" s="149"/>
      <c r="Z395" s="149"/>
    </row>
    <row r="396" spans="1:26" ht="21" customHeight="1">
      <c r="A396" s="143"/>
      <c r="B396" s="144"/>
      <c r="C396" s="87"/>
      <c r="D396" s="87"/>
      <c r="E396" s="87"/>
      <c r="F396" s="87"/>
      <c r="G396" s="87"/>
      <c r="H396" s="87"/>
      <c r="I396" s="149"/>
      <c r="J396" s="75"/>
      <c r="K396" s="75"/>
      <c r="L396" s="75"/>
      <c r="M396" s="75"/>
      <c r="N396" s="75"/>
      <c r="O396" s="75"/>
      <c r="P396" s="354"/>
      <c r="Q396" s="146"/>
      <c r="R396" s="146"/>
      <c r="S396" s="149"/>
      <c r="T396" s="149"/>
      <c r="U396" s="149"/>
      <c r="V396" s="149"/>
      <c r="W396" s="149"/>
      <c r="X396" s="149"/>
      <c r="Y396" s="149"/>
      <c r="Z396" s="149"/>
    </row>
    <row r="397" spans="1:26" ht="13.5" customHeight="1">
      <c r="A397" s="370" t="s">
        <v>1572</v>
      </c>
      <c r="B397" s="158" t="s">
        <v>84</v>
      </c>
      <c r="C397" s="350">
        <f t="shared" ref="C397:H397" si="54">AVERAGE(C398,C462,C473)</f>
        <v>0.74292545623836137</v>
      </c>
      <c r="D397" s="350">
        <f t="shared" si="54"/>
        <v>0.8349349206349207</v>
      </c>
      <c r="E397" s="350">
        <f t="shared" si="54"/>
        <v>0.4801785714285714</v>
      </c>
      <c r="F397" s="350">
        <f t="shared" si="54"/>
        <v>0.6262317770683693</v>
      </c>
      <c r="G397" s="350">
        <f t="shared" si="54"/>
        <v>0.66226444089740177</v>
      </c>
      <c r="H397" s="350">
        <f t="shared" si="54"/>
        <v>0.33950793650793654</v>
      </c>
      <c r="I397" s="161"/>
      <c r="J397" s="372"/>
      <c r="K397" s="63"/>
      <c r="L397" s="163"/>
      <c r="M397" s="63"/>
      <c r="N397" s="63"/>
      <c r="O397" s="63"/>
      <c r="P397" s="165"/>
      <c r="Q397" s="165"/>
      <c r="R397" s="165"/>
      <c r="S397" s="161"/>
      <c r="T397" s="161"/>
      <c r="U397" s="161"/>
      <c r="V397" s="161"/>
      <c r="W397" s="161"/>
      <c r="X397" s="161"/>
      <c r="Y397" s="161"/>
      <c r="Z397" s="161"/>
    </row>
    <row r="398" spans="1:26" ht="27.75" customHeight="1">
      <c r="A398" s="373" t="s">
        <v>1573</v>
      </c>
      <c r="B398" s="133" t="s">
        <v>86</v>
      </c>
      <c r="C398" s="72">
        <f t="shared" ref="C398:H398" si="55">AVERAGE(C399,C414,C431,C442,C449)</f>
        <v>0.60907398776270294</v>
      </c>
      <c r="D398" s="72">
        <f t="shared" si="55"/>
        <v>0.82468571428571436</v>
      </c>
      <c r="E398" s="72">
        <f t="shared" si="55"/>
        <v>0.2223809523809524</v>
      </c>
      <c r="F398" s="72">
        <f t="shared" si="55"/>
        <v>0.50342152168129828</v>
      </c>
      <c r="G398" s="72">
        <f t="shared" si="55"/>
        <v>0.68402665602553869</v>
      </c>
      <c r="H398" s="72">
        <f t="shared" si="55"/>
        <v>0.37785714285714284</v>
      </c>
      <c r="I398" s="135"/>
      <c r="J398" s="74"/>
      <c r="K398" s="203"/>
      <c r="L398" s="203"/>
      <c r="M398" s="203"/>
      <c r="N398" s="203"/>
      <c r="O398" s="203"/>
      <c r="P398" s="205"/>
      <c r="Q398" s="208"/>
      <c r="R398" s="208"/>
      <c r="S398" s="210"/>
      <c r="T398" s="210"/>
      <c r="U398" s="210"/>
      <c r="V398" s="210"/>
      <c r="W398" s="210"/>
      <c r="X398" s="210"/>
      <c r="Y398" s="210"/>
      <c r="Z398" s="210"/>
    </row>
    <row r="399" spans="1:26" ht="27.75" customHeight="1">
      <c r="A399" s="373" t="s">
        <v>1574</v>
      </c>
      <c r="B399" s="133" t="s">
        <v>88</v>
      </c>
      <c r="C399" s="72">
        <f t="shared" ref="C399:H399" si="56">AVERAGE(C400,C402,C404,C406,C408,C410,C412)</f>
        <v>0.35714285714285715</v>
      </c>
      <c r="D399" s="72">
        <f t="shared" si="56"/>
        <v>0.8571428571428571</v>
      </c>
      <c r="E399" s="72">
        <f t="shared" si="56"/>
        <v>7.1428571428571425E-2</v>
      </c>
      <c r="F399" s="72">
        <f t="shared" si="56"/>
        <v>0.35714285714285715</v>
      </c>
      <c r="G399" s="72">
        <f t="shared" si="56"/>
        <v>0.5714285714285714</v>
      </c>
      <c r="H399" s="72">
        <f t="shared" si="56"/>
        <v>0.14285714285714285</v>
      </c>
      <c r="I399" s="135"/>
      <c r="J399" s="74"/>
      <c r="K399" s="203"/>
      <c r="L399" s="203"/>
      <c r="M399" s="203"/>
      <c r="N399" s="203"/>
      <c r="O399" s="203"/>
      <c r="P399" s="205"/>
      <c r="Q399" s="208"/>
      <c r="R399" s="208"/>
      <c r="S399" s="210"/>
      <c r="T399" s="210"/>
      <c r="U399" s="210"/>
      <c r="V399" s="210"/>
      <c r="W399" s="210"/>
      <c r="X399" s="210"/>
      <c r="Y399" s="210"/>
      <c r="Z399" s="210"/>
    </row>
    <row r="400" spans="1:26" ht="201.75" customHeight="1">
      <c r="A400" s="143" t="s">
        <v>736</v>
      </c>
      <c r="B400" s="168" t="s">
        <v>1575</v>
      </c>
      <c r="C400" s="80">
        <v>0</v>
      </c>
      <c r="D400" s="80">
        <v>1</v>
      </c>
      <c r="E400" s="944">
        <v>0.5</v>
      </c>
      <c r="F400" s="80">
        <v>0</v>
      </c>
      <c r="G400" s="80">
        <v>0</v>
      </c>
      <c r="H400" s="80">
        <v>0</v>
      </c>
      <c r="I400" s="135" t="s">
        <v>38</v>
      </c>
      <c r="J400" s="81" t="s">
        <v>3418</v>
      </c>
      <c r="K400" s="81" t="s">
        <v>3419</v>
      </c>
      <c r="L400" s="81" t="s">
        <v>3420</v>
      </c>
      <c r="M400" s="81" t="s">
        <v>3421</v>
      </c>
      <c r="N400" s="81" t="s">
        <v>3422</v>
      </c>
      <c r="O400" s="182" t="s">
        <v>3423</v>
      </c>
      <c r="P400" s="146"/>
      <c r="Q400" s="146"/>
      <c r="R400" s="146"/>
      <c r="S400" s="149"/>
      <c r="T400" s="149"/>
      <c r="U400" s="149"/>
      <c r="V400" s="149"/>
      <c r="W400" s="149"/>
      <c r="X400" s="149"/>
      <c r="Y400" s="149"/>
      <c r="Z400" s="149"/>
    </row>
    <row r="401" spans="1:26" ht="13.5" customHeight="1">
      <c r="A401" s="2"/>
      <c r="B401" s="950"/>
      <c r="C401" s="195"/>
      <c r="D401" s="195"/>
      <c r="E401" s="195"/>
      <c r="F401" s="195"/>
      <c r="G401" s="195"/>
      <c r="H401" s="195"/>
      <c r="I401" s="18"/>
      <c r="J401" s="156"/>
      <c r="K401" s="945"/>
      <c r="L401" s="945"/>
      <c r="M401" s="156"/>
      <c r="N401" s="945"/>
      <c r="O401" s="945"/>
      <c r="P401" s="15"/>
      <c r="Q401" s="15"/>
      <c r="R401" s="15"/>
      <c r="S401" s="15"/>
      <c r="T401" s="15"/>
      <c r="U401" s="15"/>
      <c r="V401" s="15"/>
      <c r="W401" s="15"/>
      <c r="X401" s="15"/>
      <c r="Y401" s="15"/>
      <c r="Z401" s="15"/>
    </row>
    <row r="402" spans="1:26" ht="147.75" customHeight="1">
      <c r="A402" s="143" t="s">
        <v>736</v>
      </c>
      <c r="B402" s="168" t="s">
        <v>3424</v>
      </c>
      <c r="C402" s="80">
        <v>1</v>
      </c>
      <c r="D402" s="80">
        <v>1</v>
      </c>
      <c r="E402" s="80">
        <v>0</v>
      </c>
      <c r="F402" s="80">
        <v>1</v>
      </c>
      <c r="G402" s="80">
        <v>1</v>
      </c>
      <c r="H402" s="80">
        <v>0</v>
      </c>
      <c r="I402" s="135" t="s">
        <v>38</v>
      </c>
      <c r="J402" s="81" t="s">
        <v>3425</v>
      </c>
      <c r="K402" s="81" t="s">
        <v>3426</v>
      </c>
      <c r="L402" s="365" t="s">
        <v>748</v>
      </c>
      <c r="M402" s="81" t="s">
        <v>3427</v>
      </c>
      <c r="N402" s="81" t="s">
        <v>3428</v>
      </c>
      <c r="O402" s="81" t="s">
        <v>1586</v>
      </c>
      <c r="P402" s="146"/>
      <c r="Q402" s="146"/>
      <c r="R402" s="146"/>
      <c r="S402" s="149"/>
      <c r="T402" s="149"/>
      <c r="U402" s="149"/>
      <c r="V402" s="149"/>
      <c r="W402" s="149"/>
      <c r="X402" s="149"/>
      <c r="Y402" s="149"/>
      <c r="Z402" s="149"/>
    </row>
    <row r="403" spans="1:26" ht="22.5" customHeight="1">
      <c r="A403" s="143"/>
      <c r="B403" s="168"/>
      <c r="C403" s="80"/>
      <c r="D403" s="80"/>
      <c r="E403" s="80"/>
      <c r="F403" s="80"/>
      <c r="G403" s="80"/>
      <c r="H403" s="80"/>
      <c r="I403" s="135"/>
      <c r="J403" s="81"/>
      <c r="K403" s="81"/>
      <c r="L403" s="365"/>
      <c r="M403" s="81"/>
      <c r="N403" s="81"/>
      <c r="O403" s="81"/>
      <c r="P403" s="146"/>
      <c r="Q403" s="146"/>
      <c r="R403" s="146"/>
      <c r="S403" s="149"/>
      <c r="T403" s="149"/>
      <c r="U403" s="149"/>
      <c r="V403" s="149"/>
      <c r="W403" s="149"/>
      <c r="X403" s="149"/>
      <c r="Y403" s="149"/>
      <c r="Z403" s="149"/>
    </row>
    <row r="404" spans="1:26" ht="102" customHeight="1">
      <c r="A404" s="143" t="s">
        <v>736</v>
      </c>
      <c r="B404" s="168" t="s">
        <v>90</v>
      </c>
      <c r="C404" s="80">
        <v>0.5</v>
      </c>
      <c r="D404" s="80">
        <v>1</v>
      </c>
      <c r="E404" s="80">
        <v>0</v>
      </c>
      <c r="F404" s="944">
        <v>0.5</v>
      </c>
      <c r="G404" s="944">
        <v>0.5</v>
      </c>
      <c r="H404" s="80">
        <v>0</v>
      </c>
      <c r="I404" s="135" t="s">
        <v>91</v>
      </c>
      <c r="J404" s="81" t="s">
        <v>3429</v>
      </c>
      <c r="K404" s="81" t="s">
        <v>3430</v>
      </c>
      <c r="L404" s="365" t="s">
        <v>3431</v>
      </c>
      <c r="M404" s="81" t="s">
        <v>3432</v>
      </c>
      <c r="N404" s="81" t="s">
        <v>3433</v>
      </c>
      <c r="O404" s="81" t="s">
        <v>3434</v>
      </c>
      <c r="P404" s="146"/>
      <c r="Q404" s="146"/>
      <c r="R404" s="146"/>
      <c r="S404" s="149"/>
      <c r="T404" s="149"/>
      <c r="U404" s="149"/>
      <c r="V404" s="149"/>
      <c r="W404" s="149"/>
      <c r="X404" s="149"/>
      <c r="Y404" s="149"/>
      <c r="Z404" s="149"/>
    </row>
    <row r="405" spans="1:26" ht="13.5" customHeight="1">
      <c r="A405" s="2"/>
      <c r="B405" s="950"/>
      <c r="C405" s="195"/>
      <c r="D405" s="195"/>
      <c r="E405" s="195"/>
      <c r="F405" s="195"/>
      <c r="G405" s="195"/>
      <c r="H405" s="195"/>
      <c r="I405" s="18"/>
      <c r="J405" s="156"/>
      <c r="K405" s="945"/>
      <c r="L405" s="945"/>
      <c r="M405" s="156"/>
      <c r="N405" s="945"/>
      <c r="O405" s="945"/>
      <c r="P405" s="15"/>
      <c r="Q405" s="15"/>
      <c r="R405" s="15"/>
      <c r="S405" s="15"/>
      <c r="T405" s="15"/>
      <c r="U405" s="15"/>
      <c r="V405" s="15"/>
      <c r="W405" s="15"/>
      <c r="X405" s="15"/>
      <c r="Y405" s="15"/>
      <c r="Z405" s="15"/>
    </row>
    <row r="406" spans="1:26" ht="199.5" customHeight="1">
      <c r="A406" s="143" t="s">
        <v>736</v>
      </c>
      <c r="B406" s="168" t="s">
        <v>92</v>
      </c>
      <c r="C406" s="195">
        <v>0</v>
      </c>
      <c r="D406" s="195">
        <v>1</v>
      </c>
      <c r="E406" s="195">
        <v>0</v>
      </c>
      <c r="F406" s="951">
        <v>0.5</v>
      </c>
      <c r="G406" s="195">
        <v>0.5</v>
      </c>
      <c r="H406" s="195">
        <v>0</v>
      </c>
      <c r="I406" s="241" t="s">
        <v>3435</v>
      </c>
      <c r="J406" s="81" t="s">
        <v>3436</v>
      </c>
      <c r="K406" s="81" t="s">
        <v>3437</v>
      </c>
      <c r="L406" s="365" t="s">
        <v>748</v>
      </c>
      <c r="M406" s="81" t="s">
        <v>3438</v>
      </c>
      <c r="N406" s="81" t="s">
        <v>3439</v>
      </c>
      <c r="O406" s="81" t="s">
        <v>3440</v>
      </c>
      <c r="P406" s="146"/>
      <c r="Q406" s="146"/>
      <c r="R406" s="146"/>
      <c r="S406" s="149"/>
      <c r="T406" s="149"/>
      <c r="U406" s="149"/>
      <c r="V406" s="149"/>
      <c r="W406" s="149"/>
      <c r="X406" s="149"/>
      <c r="Y406" s="149"/>
      <c r="Z406" s="149"/>
    </row>
    <row r="407" spans="1:26" ht="13.5" customHeight="1">
      <c r="A407" s="2"/>
      <c r="B407" s="950"/>
      <c r="C407" s="195"/>
      <c r="D407" s="195"/>
      <c r="E407" s="195"/>
      <c r="F407" s="195"/>
      <c r="G407" s="195"/>
      <c r="H407" s="195"/>
      <c r="I407" s="18"/>
      <c r="J407" s="156"/>
      <c r="K407" s="945"/>
      <c r="L407" s="945"/>
      <c r="M407" s="156"/>
      <c r="N407" s="945"/>
      <c r="O407" s="945"/>
      <c r="P407" s="15"/>
      <c r="Q407" s="15"/>
      <c r="R407" s="15"/>
      <c r="S407" s="15"/>
      <c r="T407" s="15"/>
      <c r="U407" s="15"/>
      <c r="V407" s="15"/>
      <c r="W407" s="15"/>
      <c r="X407" s="15"/>
      <c r="Y407" s="15"/>
      <c r="Z407" s="15"/>
    </row>
    <row r="408" spans="1:26" ht="79.5" customHeight="1">
      <c r="A408" s="143" t="s">
        <v>736</v>
      </c>
      <c r="B408" s="168" t="s">
        <v>3441</v>
      </c>
      <c r="C408" s="80">
        <v>0</v>
      </c>
      <c r="D408" s="944">
        <v>1</v>
      </c>
      <c r="E408" s="80">
        <v>0</v>
      </c>
      <c r="F408" s="80">
        <v>0</v>
      </c>
      <c r="G408" s="944">
        <v>1</v>
      </c>
      <c r="H408" s="80">
        <v>0</v>
      </c>
      <c r="I408" s="135" t="s">
        <v>95</v>
      </c>
      <c r="J408" s="81" t="s">
        <v>3442</v>
      </c>
      <c r="K408" s="81" t="s">
        <v>3443</v>
      </c>
      <c r="L408" s="81" t="s">
        <v>3444</v>
      </c>
      <c r="M408" s="81" t="s">
        <v>3445</v>
      </c>
      <c r="N408" s="81" t="s">
        <v>3446</v>
      </c>
      <c r="O408" s="81" t="s">
        <v>3447</v>
      </c>
      <c r="P408" s="146"/>
      <c r="Q408" s="146"/>
      <c r="R408" s="146"/>
      <c r="S408" s="149"/>
      <c r="T408" s="149"/>
      <c r="U408" s="149"/>
      <c r="V408" s="149"/>
      <c r="W408" s="149"/>
      <c r="X408" s="149"/>
      <c r="Y408" s="149"/>
      <c r="Z408" s="149"/>
    </row>
    <row r="409" spans="1:26" ht="13.5" customHeight="1">
      <c r="A409" s="2"/>
      <c r="B409" s="950"/>
      <c r="C409" s="195"/>
      <c r="D409" s="195"/>
      <c r="E409" s="195"/>
      <c r="F409" s="195"/>
      <c r="G409" s="195"/>
      <c r="H409" s="195"/>
      <c r="I409" s="18"/>
      <c r="J409" s="156"/>
      <c r="K409" s="945"/>
      <c r="L409" s="945"/>
      <c r="M409" s="156"/>
      <c r="N409" s="945"/>
      <c r="O409" s="945"/>
      <c r="P409" s="15"/>
      <c r="Q409" s="15"/>
      <c r="R409" s="15"/>
      <c r="S409" s="15"/>
      <c r="T409" s="15"/>
      <c r="U409" s="15"/>
      <c r="V409" s="15"/>
      <c r="W409" s="15"/>
      <c r="X409" s="15"/>
      <c r="Y409" s="15"/>
      <c r="Z409" s="15"/>
    </row>
    <row r="410" spans="1:26" ht="125.25" customHeight="1">
      <c r="A410" s="143" t="s">
        <v>736</v>
      </c>
      <c r="B410" s="168" t="s">
        <v>96</v>
      </c>
      <c r="C410" s="80">
        <v>0</v>
      </c>
      <c r="D410" s="80">
        <v>0</v>
      </c>
      <c r="E410" s="80">
        <v>0</v>
      </c>
      <c r="F410" s="944">
        <v>0</v>
      </c>
      <c r="G410" s="80">
        <v>0</v>
      </c>
      <c r="H410" s="80">
        <v>0</v>
      </c>
      <c r="I410" s="135" t="s">
        <v>38</v>
      </c>
      <c r="J410" s="81" t="s">
        <v>3448</v>
      </c>
      <c r="K410" s="81" t="s">
        <v>3449</v>
      </c>
      <c r="L410" s="81" t="s">
        <v>748</v>
      </c>
      <c r="M410" s="81" t="s">
        <v>3450</v>
      </c>
      <c r="N410" s="81" t="s">
        <v>3451</v>
      </c>
      <c r="O410" s="81" t="s">
        <v>1607</v>
      </c>
      <c r="P410" s="146"/>
      <c r="Q410" s="146"/>
      <c r="R410" s="146"/>
      <c r="S410" s="149"/>
      <c r="T410" s="149"/>
      <c r="U410" s="149"/>
      <c r="V410" s="149"/>
      <c r="W410" s="149"/>
      <c r="X410" s="149"/>
      <c r="Y410" s="149"/>
      <c r="Z410" s="149"/>
    </row>
    <row r="411" spans="1:26" ht="13.5" customHeight="1">
      <c r="A411" s="143"/>
      <c r="B411" s="168"/>
      <c r="C411" s="80"/>
      <c r="D411" s="80"/>
      <c r="E411" s="80"/>
      <c r="F411" s="323"/>
      <c r="G411" s="80"/>
      <c r="H411" s="80"/>
      <c r="I411" s="135"/>
      <c r="J411" s="81"/>
      <c r="K411" s="81"/>
      <c r="L411" s="81"/>
      <c r="M411" s="81"/>
      <c r="N411" s="80"/>
      <c r="O411" s="81"/>
      <c r="P411" s="146"/>
      <c r="Q411" s="146"/>
      <c r="R411" s="146"/>
      <c r="S411" s="149"/>
      <c r="T411" s="149"/>
      <c r="U411" s="149"/>
      <c r="V411" s="149"/>
      <c r="W411" s="149"/>
      <c r="X411" s="149"/>
      <c r="Y411" s="149"/>
      <c r="Z411" s="149"/>
    </row>
    <row r="412" spans="1:26" ht="126" customHeight="1">
      <c r="A412" s="143" t="s">
        <v>736</v>
      </c>
      <c r="B412" s="168" t="s">
        <v>3452</v>
      </c>
      <c r="C412" s="80">
        <v>1</v>
      </c>
      <c r="D412" s="80">
        <v>1</v>
      </c>
      <c r="E412" s="322">
        <v>0</v>
      </c>
      <c r="F412" s="944">
        <v>0.5</v>
      </c>
      <c r="G412" s="80">
        <v>1</v>
      </c>
      <c r="H412" s="80">
        <v>1</v>
      </c>
      <c r="I412" s="135" t="s">
        <v>38</v>
      </c>
      <c r="J412" s="81" t="s">
        <v>3453</v>
      </c>
      <c r="K412" s="81" t="s">
        <v>3454</v>
      </c>
      <c r="L412" s="81" t="s">
        <v>3455</v>
      </c>
      <c r="M412" s="81" t="s">
        <v>3456</v>
      </c>
      <c r="N412" s="81" t="s">
        <v>3457</v>
      </c>
      <c r="O412" s="81" t="s">
        <v>811</v>
      </c>
      <c r="P412" s="146"/>
      <c r="Q412" s="146"/>
      <c r="R412" s="146"/>
      <c r="S412" s="149"/>
      <c r="T412" s="149"/>
      <c r="U412" s="149"/>
      <c r="V412" s="149"/>
      <c r="W412" s="149"/>
      <c r="X412" s="149"/>
      <c r="Y412" s="149"/>
      <c r="Z412" s="149"/>
    </row>
    <row r="413" spans="1:26" ht="13.5" customHeight="1">
      <c r="A413" s="2"/>
      <c r="B413" s="952"/>
      <c r="C413" s="271"/>
      <c r="D413" s="271"/>
      <c r="E413" s="271"/>
      <c r="F413" s="271"/>
      <c r="G413" s="271"/>
      <c r="H413" s="271"/>
      <c r="I413" s="18"/>
      <c r="J413" s="291"/>
      <c r="K413" s="953"/>
      <c r="L413" s="953"/>
      <c r="M413" s="291"/>
      <c r="N413" s="953"/>
      <c r="O413" s="953"/>
      <c r="P413" s="15"/>
      <c r="Q413" s="15"/>
      <c r="R413" s="15"/>
      <c r="S413" s="15"/>
      <c r="T413" s="15"/>
      <c r="U413" s="15"/>
      <c r="V413" s="15"/>
      <c r="W413" s="15"/>
      <c r="X413" s="15"/>
      <c r="Y413" s="15"/>
      <c r="Z413" s="15"/>
    </row>
    <row r="414" spans="1:26" ht="27.75" customHeight="1">
      <c r="A414" s="373" t="s">
        <v>1614</v>
      </c>
      <c r="B414" s="133" t="s">
        <v>99</v>
      </c>
      <c r="C414" s="72">
        <f t="shared" ref="C414:H414" si="57">AVERAGE(C415,C417,C419,C421,C423,C425,C427,C429)</f>
        <v>0.625</v>
      </c>
      <c r="D414" s="72">
        <f t="shared" si="57"/>
        <v>0.875</v>
      </c>
      <c r="E414" s="72">
        <f t="shared" si="57"/>
        <v>0</v>
      </c>
      <c r="F414" s="72">
        <f t="shared" si="57"/>
        <v>0.5625</v>
      </c>
      <c r="G414" s="72">
        <f t="shared" si="57"/>
        <v>0.75</v>
      </c>
      <c r="H414" s="72">
        <f t="shared" si="57"/>
        <v>0.375</v>
      </c>
      <c r="I414" s="135"/>
      <c r="J414" s="74"/>
      <c r="K414" s="203"/>
      <c r="L414" s="203"/>
      <c r="M414" s="203"/>
      <c r="N414" s="203"/>
      <c r="O414" s="203"/>
      <c r="P414" s="205"/>
      <c r="Q414" s="208"/>
      <c r="R414" s="208"/>
      <c r="S414" s="210"/>
      <c r="T414" s="210"/>
      <c r="U414" s="210"/>
      <c r="V414" s="210"/>
      <c r="W414" s="210"/>
      <c r="X414" s="210"/>
      <c r="Y414" s="210"/>
      <c r="Z414" s="210"/>
    </row>
    <row r="415" spans="1:26" ht="185.25" customHeight="1">
      <c r="A415" s="143" t="s">
        <v>736</v>
      </c>
      <c r="B415" s="168" t="s">
        <v>3458</v>
      </c>
      <c r="C415" s="80">
        <v>0</v>
      </c>
      <c r="D415" s="80">
        <v>0</v>
      </c>
      <c r="E415" s="80">
        <v>0</v>
      </c>
      <c r="F415" s="80">
        <v>0</v>
      </c>
      <c r="G415" s="80">
        <v>0</v>
      </c>
      <c r="H415" s="944">
        <v>1</v>
      </c>
      <c r="I415" s="135" t="s">
        <v>38</v>
      </c>
      <c r="J415" s="182" t="s">
        <v>3459</v>
      </c>
      <c r="K415" s="81" t="s">
        <v>3460</v>
      </c>
      <c r="L415" s="365" t="s">
        <v>748</v>
      </c>
      <c r="M415" s="81" t="s">
        <v>3461</v>
      </c>
      <c r="N415" s="81" t="s">
        <v>3462</v>
      </c>
      <c r="O415" s="81" t="s">
        <v>1621</v>
      </c>
      <c r="P415" s="146"/>
      <c r="Q415" s="146"/>
      <c r="R415" s="146"/>
      <c r="S415" s="149"/>
      <c r="T415" s="149"/>
      <c r="U415" s="149"/>
      <c r="V415" s="149"/>
      <c r="W415" s="149"/>
      <c r="X415" s="149"/>
      <c r="Y415" s="149"/>
      <c r="Z415" s="149"/>
    </row>
    <row r="416" spans="1:26" ht="13.5" customHeight="1">
      <c r="A416" s="2"/>
      <c r="B416" s="950"/>
      <c r="C416" s="195"/>
      <c r="D416" s="195"/>
      <c r="E416" s="195"/>
      <c r="F416" s="195"/>
      <c r="G416" s="195"/>
      <c r="H416" s="195"/>
      <c r="I416" s="18"/>
      <c r="J416" s="156"/>
      <c r="K416" s="945"/>
      <c r="L416" s="945"/>
      <c r="M416" s="156"/>
      <c r="N416" s="945"/>
      <c r="O416" s="945"/>
      <c r="P416" s="15"/>
      <c r="Q416" s="15"/>
      <c r="R416" s="15"/>
      <c r="S416" s="15"/>
      <c r="T416" s="15"/>
      <c r="U416" s="15"/>
      <c r="V416" s="15"/>
      <c r="W416" s="15"/>
      <c r="X416" s="15"/>
      <c r="Y416" s="15"/>
      <c r="Z416" s="15"/>
    </row>
    <row r="417" spans="1:26" ht="140.25" customHeight="1">
      <c r="A417" s="143" t="s">
        <v>736</v>
      </c>
      <c r="B417" s="168" t="s">
        <v>3463</v>
      </c>
      <c r="C417" s="80">
        <v>1</v>
      </c>
      <c r="D417" s="80">
        <v>1</v>
      </c>
      <c r="E417" s="80">
        <v>0</v>
      </c>
      <c r="F417" s="944">
        <v>0.5</v>
      </c>
      <c r="G417" s="80">
        <v>0</v>
      </c>
      <c r="H417" s="80">
        <v>0</v>
      </c>
      <c r="I417" s="135" t="s">
        <v>38</v>
      </c>
      <c r="J417" s="81" t="s">
        <v>1623</v>
      </c>
      <c r="K417" s="170" t="s">
        <v>811</v>
      </c>
      <c r="L417" s="81" t="s">
        <v>3464</v>
      </c>
      <c r="M417" s="81" t="s">
        <v>3465</v>
      </c>
      <c r="N417" s="339" t="s">
        <v>3466</v>
      </c>
      <c r="O417" s="81" t="s">
        <v>1628</v>
      </c>
      <c r="P417" s="146"/>
      <c r="Q417" s="146"/>
      <c r="R417" s="146"/>
      <c r="S417" s="149"/>
      <c r="T417" s="149"/>
      <c r="U417" s="149"/>
      <c r="V417" s="149"/>
      <c r="W417" s="149"/>
      <c r="X417" s="149"/>
      <c r="Y417" s="149"/>
      <c r="Z417" s="149"/>
    </row>
    <row r="418" spans="1:26" ht="13.5" customHeight="1">
      <c r="A418" s="2"/>
      <c r="B418" s="950"/>
      <c r="C418" s="195"/>
      <c r="D418" s="195"/>
      <c r="E418" s="195"/>
      <c r="F418" s="195"/>
      <c r="G418" s="195"/>
      <c r="H418" s="195"/>
      <c r="I418" s="18"/>
      <c r="J418" s="156"/>
      <c r="K418" s="945"/>
      <c r="L418" s="945"/>
      <c r="M418" s="156"/>
      <c r="N418" s="945"/>
      <c r="O418" s="945"/>
      <c r="P418" s="15"/>
      <c r="Q418" s="15"/>
      <c r="R418" s="15"/>
      <c r="S418" s="15"/>
      <c r="T418" s="15"/>
      <c r="U418" s="15"/>
      <c r="V418" s="15"/>
      <c r="W418" s="15"/>
      <c r="X418" s="15"/>
      <c r="Y418" s="15"/>
      <c r="Z418" s="15"/>
    </row>
    <row r="419" spans="1:26" ht="183.75" customHeight="1">
      <c r="A419" s="143" t="s">
        <v>736</v>
      </c>
      <c r="B419" s="168" t="s">
        <v>100</v>
      </c>
      <c r="C419" s="944">
        <v>0</v>
      </c>
      <c r="D419" s="944">
        <v>1</v>
      </c>
      <c r="E419" s="80">
        <v>0</v>
      </c>
      <c r="F419" s="80">
        <v>0</v>
      </c>
      <c r="G419" s="944">
        <v>1</v>
      </c>
      <c r="H419" s="944">
        <v>0</v>
      </c>
      <c r="I419" s="135" t="s">
        <v>101</v>
      </c>
      <c r="J419" s="81" t="s">
        <v>1629</v>
      </c>
      <c r="K419" s="81" t="s">
        <v>3467</v>
      </c>
      <c r="L419" s="81" t="s">
        <v>3468</v>
      </c>
      <c r="M419" s="81" t="s">
        <v>3469</v>
      </c>
      <c r="N419" s="81" t="s">
        <v>3470</v>
      </c>
      <c r="O419" s="81" t="s">
        <v>1634</v>
      </c>
      <c r="P419" s="146"/>
      <c r="Q419" s="146"/>
      <c r="R419" s="146"/>
      <c r="S419" s="149"/>
      <c r="T419" s="149"/>
      <c r="U419" s="149"/>
      <c r="V419" s="149"/>
      <c r="W419" s="149"/>
      <c r="X419" s="149"/>
      <c r="Y419" s="149"/>
      <c r="Z419" s="149"/>
    </row>
    <row r="420" spans="1:26" ht="13.5" customHeight="1">
      <c r="A420" s="2"/>
      <c r="B420" s="950"/>
      <c r="C420" s="195"/>
      <c r="D420" s="195"/>
      <c r="E420" s="195"/>
      <c r="F420" s="195"/>
      <c r="G420" s="195"/>
      <c r="H420" s="195"/>
      <c r="I420" s="18"/>
      <c r="J420" s="156"/>
      <c r="K420" s="945"/>
      <c r="L420" s="945"/>
      <c r="M420" s="156"/>
      <c r="N420" s="945"/>
      <c r="O420" s="945"/>
      <c r="P420" s="15"/>
      <c r="Q420" s="15"/>
      <c r="R420" s="15"/>
      <c r="S420" s="15"/>
      <c r="T420" s="15"/>
      <c r="U420" s="15"/>
      <c r="V420" s="15"/>
      <c r="W420" s="15"/>
      <c r="X420" s="15"/>
      <c r="Y420" s="15"/>
      <c r="Z420" s="15"/>
    </row>
    <row r="421" spans="1:26" ht="154.5" customHeight="1">
      <c r="A421" s="143" t="s">
        <v>736</v>
      </c>
      <c r="B421" s="957" t="s">
        <v>102</v>
      </c>
      <c r="C421" s="80">
        <v>1</v>
      </c>
      <c r="D421" s="80">
        <v>1</v>
      </c>
      <c r="E421" s="80">
        <v>0</v>
      </c>
      <c r="F421" s="80">
        <v>0</v>
      </c>
      <c r="G421" s="944">
        <v>1</v>
      </c>
      <c r="H421" s="80">
        <v>0</v>
      </c>
      <c r="I421" s="135" t="s">
        <v>103</v>
      </c>
      <c r="J421" s="81" t="s">
        <v>1635</v>
      </c>
      <c r="K421" s="81" t="s">
        <v>3471</v>
      </c>
      <c r="L421" s="81" t="s">
        <v>3472</v>
      </c>
      <c r="M421" s="81" t="s">
        <v>3473</v>
      </c>
      <c r="N421" s="385" t="s">
        <v>3474</v>
      </c>
      <c r="O421" s="81" t="s">
        <v>3475</v>
      </c>
      <c r="P421" s="146"/>
      <c r="Q421" s="146"/>
      <c r="R421" s="146"/>
      <c r="S421" s="149"/>
      <c r="T421" s="149"/>
      <c r="U421" s="149"/>
      <c r="V421" s="149"/>
      <c r="W421" s="149"/>
      <c r="X421" s="149"/>
      <c r="Y421" s="149"/>
      <c r="Z421" s="149"/>
    </row>
    <row r="422" spans="1:26" ht="13.5" customHeight="1">
      <c r="A422" s="143"/>
      <c r="B422" s="957"/>
      <c r="C422" s="80"/>
      <c r="D422" s="80"/>
      <c r="E422" s="80"/>
      <c r="F422" s="80"/>
      <c r="G422" s="944"/>
      <c r="H422" s="80"/>
      <c r="I422" s="135"/>
      <c r="J422" s="81"/>
      <c r="K422" s="81"/>
      <c r="L422" s="81"/>
      <c r="M422" s="81"/>
      <c r="N422" s="385"/>
      <c r="O422" s="81"/>
      <c r="P422" s="146"/>
      <c r="Q422" s="146"/>
      <c r="R422" s="146"/>
      <c r="S422" s="149"/>
      <c r="T422" s="149"/>
      <c r="U422" s="149"/>
      <c r="V422" s="149"/>
      <c r="W422" s="149"/>
      <c r="X422" s="149"/>
      <c r="Y422" s="149"/>
      <c r="Z422" s="149"/>
    </row>
    <row r="423" spans="1:26" ht="116.25" customHeight="1">
      <c r="A423" s="143" t="s">
        <v>736</v>
      </c>
      <c r="B423" s="168" t="s">
        <v>104</v>
      </c>
      <c r="C423" s="80">
        <v>0</v>
      </c>
      <c r="D423" s="80">
        <v>1</v>
      </c>
      <c r="E423" s="80">
        <v>0</v>
      </c>
      <c r="F423" s="80">
        <v>1</v>
      </c>
      <c r="G423" s="80">
        <v>1</v>
      </c>
      <c r="H423" s="80">
        <v>0</v>
      </c>
      <c r="I423" s="135" t="s">
        <v>38</v>
      </c>
      <c r="J423" s="81" t="s">
        <v>1640</v>
      </c>
      <c r="K423" s="81" t="s">
        <v>811</v>
      </c>
      <c r="L423" s="365" t="s">
        <v>748</v>
      </c>
      <c r="M423" s="81" t="s">
        <v>3476</v>
      </c>
      <c r="N423" s="81" t="s">
        <v>3477</v>
      </c>
      <c r="O423" s="81" t="s">
        <v>748</v>
      </c>
      <c r="P423" s="146"/>
      <c r="Q423" s="146"/>
      <c r="R423" s="146"/>
      <c r="S423" s="149"/>
      <c r="T423" s="149"/>
      <c r="U423" s="149"/>
      <c r="V423" s="149"/>
      <c r="W423" s="149"/>
      <c r="X423" s="149"/>
      <c r="Y423" s="149"/>
      <c r="Z423" s="149"/>
    </row>
    <row r="424" spans="1:26" ht="13.5" customHeight="1">
      <c r="A424" s="2"/>
      <c r="B424" s="950"/>
      <c r="C424" s="195"/>
      <c r="D424" s="195"/>
      <c r="E424" s="195"/>
      <c r="F424" s="195"/>
      <c r="G424" s="195"/>
      <c r="H424" s="195"/>
      <c r="I424" s="18"/>
      <c r="J424" s="156"/>
      <c r="K424" s="945"/>
      <c r="L424" s="945"/>
      <c r="M424" s="156"/>
      <c r="N424" s="945"/>
      <c r="O424" s="945"/>
      <c r="P424" s="15"/>
      <c r="Q424" s="15"/>
      <c r="R424" s="15"/>
      <c r="S424" s="15"/>
      <c r="T424" s="15"/>
      <c r="U424" s="15"/>
      <c r="V424" s="15"/>
      <c r="W424" s="15"/>
      <c r="X424" s="15"/>
      <c r="Y424" s="15"/>
      <c r="Z424" s="15"/>
    </row>
    <row r="425" spans="1:26" ht="101.25" customHeight="1">
      <c r="A425" s="143" t="s">
        <v>736</v>
      </c>
      <c r="B425" s="168" t="s">
        <v>105</v>
      </c>
      <c r="C425" s="80">
        <v>1</v>
      </c>
      <c r="D425" s="80">
        <v>1</v>
      </c>
      <c r="E425" s="80">
        <v>0</v>
      </c>
      <c r="F425" s="80">
        <v>1</v>
      </c>
      <c r="G425" s="80">
        <v>1</v>
      </c>
      <c r="H425" s="80">
        <v>1</v>
      </c>
      <c r="I425" s="135" t="s">
        <v>38</v>
      </c>
      <c r="J425" s="81" t="s">
        <v>3478</v>
      </c>
      <c r="K425" s="81" t="s">
        <v>811</v>
      </c>
      <c r="L425" s="81" t="s">
        <v>3479</v>
      </c>
      <c r="M425" s="81" t="s">
        <v>1646</v>
      </c>
      <c r="N425" s="81" t="s">
        <v>3480</v>
      </c>
      <c r="O425" s="81" t="s">
        <v>811</v>
      </c>
      <c r="P425" s="146"/>
      <c r="Q425" s="146"/>
      <c r="R425" s="146"/>
      <c r="S425" s="149"/>
      <c r="T425" s="149"/>
      <c r="U425" s="149"/>
      <c r="V425" s="149"/>
      <c r="W425" s="149"/>
      <c r="X425" s="149"/>
      <c r="Y425" s="149"/>
      <c r="Z425" s="149"/>
    </row>
    <row r="426" spans="1:26" ht="13.5" customHeight="1">
      <c r="A426" s="143"/>
      <c r="B426" s="168"/>
      <c r="C426" s="80"/>
      <c r="D426" s="80"/>
      <c r="E426" s="80"/>
      <c r="F426" s="80"/>
      <c r="G426" s="80"/>
      <c r="H426" s="80"/>
      <c r="I426" s="135"/>
      <c r="J426" s="81"/>
      <c r="K426" s="81"/>
      <c r="L426" s="81"/>
      <c r="M426" s="81"/>
      <c r="N426" s="81"/>
      <c r="O426" s="81"/>
      <c r="P426" s="146"/>
      <c r="Q426" s="146"/>
      <c r="R426" s="146"/>
      <c r="S426" s="149"/>
      <c r="T426" s="149"/>
      <c r="U426" s="149"/>
      <c r="V426" s="149"/>
      <c r="W426" s="149"/>
      <c r="X426" s="149"/>
      <c r="Y426" s="149"/>
      <c r="Z426" s="149"/>
    </row>
    <row r="427" spans="1:26" ht="132.75" customHeight="1">
      <c r="A427" s="143" t="s">
        <v>736</v>
      </c>
      <c r="B427" s="168" t="s">
        <v>1648</v>
      </c>
      <c r="C427" s="80">
        <v>1</v>
      </c>
      <c r="D427" s="944">
        <v>1</v>
      </c>
      <c r="E427" s="944">
        <v>0</v>
      </c>
      <c r="F427" s="944">
        <v>1</v>
      </c>
      <c r="G427" s="80">
        <v>1</v>
      </c>
      <c r="H427" s="386">
        <v>0</v>
      </c>
      <c r="I427" s="135" t="s">
        <v>38</v>
      </c>
      <c r="J427" s="81" t="s">
        <v>3481</v>
      </c>
      <c r="K427" s="81" t="s">
        <v>3482</v>
      </c>
      <c r="L427" s="81" t="s">
        <v>3483</v>
      </c>
      <c r="M427" s="81" t="s">
        <v>3484</v>
      </c>
      <c r="N427" s="339" t="s">
        <v>3485</v>
      </c>
      <c r="O427" s="81" t="s">
        <v>3486</v>
      </c>
      <c r="P427" s="146"/>
      <c r="Q427" s="146"/>
      <c r="R427" s="146"/>
      <c r="S427" s="149"/>
      <c r="T427" s="149"/>
      <c r="U427" s="149"/>
      <c r="V427" s="149"/>
      <c r="W427" s="149"/>
      <c r="X427" s="149"/>
      <c r="Y427" s="149"/>
      <c r="Z427" s="149"/>
    </row>
    <row r="428" spans="1:26" ht="13.5" customHeight="1">
      <c r="A428" s="2"/>
      <c r="B428" s="950"/>
      <c r="C428" s="195"/>
      <c r="D428" s="195"/>
      <c r="E428" s="195"/>
      <c r="F428" s="195"/>
      <c r="G428" s="195"/>
      <c r="H428" s="195"/>
      <c r="I428" s="18"/>
      <c r="J428" s="156"/>
      <c r="K428" s="945"/>
      <c r="L428" s="945"/>
      <c r="M428" s="156"/>
      <c r="N428" s="945"/>
      <c r="O428" s="945"/>
      <c r="P428" s="15"/>
      <c r="Q428" s="15"/>
      <c r="R428" s="15"/>
      <c r="S428" s="15"/>
      <c r="T428" s="15"/>
      <c r="U428" s="15"/>
      <c r="V428" s="15"/>
      <c r="W428" s="15"/>
      <c r="X428" s="15"/>
      <c r="Y428" s="15"/>
      <c r="Z428" s="15"/>
    </row>
    <row r="429" spans="1:26" ht="108" customHeight="1">
      <c r="A429" s="143" t="s">
        <v>736</v>
      </c>
      <c r="B429" s="168" t="s">
        <v>106</v>
      </c>
      <c r="C429" s="195">
        <v>1</v>
      </c>
      <c r="D429" s="195">
        <v>1</v>
      </c>
      <c r="E429" s="195">
        <v>0</v>
      </c>
      <c r="F429" s="195">
        <v>1</v>
      </c>
      <c r="G429" s="195">
        <v>1</v>
      </c>
      <c r="H429" s="951">
        <v>1</v>
      </c>
      <c r="I429" s="135" t="s">
        <v>38</v>
      </c>
      <c r="J429" s="81" t="s">
        <v>1655</v>
      </c>
      <c r="K429" s="81" t="s">
        <v>3487</v>
      </c>
      <c r="L429" s="81" t="s">
        <v>3488</v>
      </c>
      <c r="M429" s="81" t="s">
        <v>3489</v>
      </c>
      <c r="N429" s="81" t="s">
        <v>3490</v>
      </c>
      <c r="O429" s="81" t="s">
        <v>3491</v>
      </c>
      <c r="P429" s="146"/>
      <c r="Q429" s="146"/>
      <c r="R429" s="146"/>
      <c r="S429" s="149"/>
      <c r="T429" s="149"/>
      <c r="U429" s="149"/>
      <c r="V429" s="149"/>
      <c r="W429" s="149"/>
      <c r="X429" s="149"/>
      <c r="Y429" s="149"/>
      <c r="Z429" s="149"/>
    </row>
    <row r="430" spans="1:26" ht="13.5" customHeight="1">
      <c r="A430" s="2"/>
      <c r="B430" s="952"/>
      <c r="C430" s="271"/>
      <c r="D430" s="271"/>
      <c r="E430" s="271"/>
      <c r="F430" s="271"/>
      <c r="G430" s="271"/>
      <c r="H430" s="271"/>
      <c r="I430" s="18"/>
      <c r="J430" s="291"/>
      <c r="K430" s="953"/>
      <c r="L430" s="953"/>
      <c r="M430" s="291"/>
      <c r="N430" s="953"/>
      <c r="O430" s="953"/>
      <c r="P430" s="15"/>
      <c r="Q430" s="15"/>
      <c r="R430" s="15"/>
      <c r="S430" s="15"/>
      <c r="T430" s="15"/>
      <c r="U430" s="15"/>
      <c r="V430" s="15"/>
      <c r="W430" s="15"/>
      <c r="X430" s="15"/>
      <c r="Y430" s="15"/>
      <c r="Z430" s="15"/>
    </row>
    <row r="431" spans="1:26" ht="13.5" customHeight="1">
      <c r="A431" s="373" t="s">
        <v>1661</v>
      </c>
      <c r="B431" s="133" t="s">
        <v>108</v>
      </c>
      <c r="C431" s="72">
        <f t="shared" ref="C431:H431" si="58">AVERAGE(C432,C434,C436,C438,C440)</f>
        <v>0.8</v>
      </c>
      <c r="D431" s="72">
        <f t="shared" si="58"/>
        <v>0.8</v>
      </c>
      <c r="E431" s="72">
        <f t="shared" si="58"/>
        <v>0.6</v>
      </c>
      <c r="F431" s="72">
        <f t="shared" si="58"/>
        <v>0.8</v>
      </c>
      <c r="G431" s="72">
        <f t="shared" si="58"/>
        <v>0.8</v>
      </c>
      <c r="H431" s="72">
        <f t="shared" si="58"/>
        <v>0.8</v>
      </c>
      <c r="I431" s="135"/>
      <c r="J431" s="74"/>
      <c r="K431" s="203"/>
      <c r="L431" s="203"/>
      <c r="M431" s="203"/>
      <c r="N431" s="203"/>
      <c r="O431" s="203"/>
      <c r="P431" s="205"/>
      <c r="Q431" s="205"/>
      <c r="R431" s="205"/>
      <c r="S431" s="206"/>
      <c r="T431" s="206"/>
      <c r="U431" s="206"/>
      <c r="V431" s="206"/>
      <c r="W431" s="206"/>
      <c r="X431" s="206"/>
      <c r="Y431" s="206"/>
      <c r="Z431" s="206"/>
    </row>
    <row r="432" spans="1:26" ht="137.25" customHeight="1">
      <c r="A432" s="143" t="s">
        <v>736</v>
      </c>
      <c r="B432" s="168" t="s">
        <v>109</v>
      </c>
      <c r="C432" s="80">
        <v>0</v>
      </c>
      <c r="D432" s="80">
        <v>0</v>
      </c>
      <c r="E432" s="80">
        <v>0</v>
      </c>
      <c r="F432" s="386">
        <v>1</v>
      </c>
      <c r="G432" s="80">
        <v>0</v>
      </c>
      <c r="H432" s="80">
        <v>0</v>
      </c>
      <c r="I432" s="135" t="s">
        <v>38</v>
      </c>
      <c r="J432" s="81" t="s">
        <v>3492</v>
      </c>
      <c r="K432" s="182" t="s">
        <v>3493</v>
      </c>
      <c r="L432" s="81" t="s">
        <v>3494</v>
      </c>
      <c r="M432" s="182" t="s">
        <v>3495</v>
      </c>
      <c r="N432" s="339" t="s">
        <v>1667</v>
      </c>
      <c r="O432" s="81" t="s">
        <v>1668</v>
      </c>
      <c r="P432" s="146"/>
      <c r="Q432" s="146"/>
      <c r="R432" s="146"/>
      <c r="S432" s="149"/>
      <c r="T432" s="149"/>
      <c r="U432" s="149"/>
      <c r="V432" s="149"/>
      <c r="W432" s="149"/>
      <c r="X432" s="149"/>
      <c r="Y432" s="149"/>
      <c r="Z432" s="149"/>
    </row>
    <row r="433" spans="1:26" ht="13.5" customHeight="1">
      <c r="A433" s="2"/>
      <c r="B433" s="950"/>
      <c r="C433" s="195"/>
      <c r="D433" s="195"/>
      <c r="E433" s="195"/>
      <c r="F433" s="195"/>
      <c r="G433" s="195"/>
      <c r="H433" s="195"/>
      <c r="I433" s="18"/>
      <c r="J433" s="156"/>
      <c r="K433" s="945"/>
      <c r="L433" s="945"/>
      <c r="M433" s="156"/>
      <c r="N433" s="945"/>
      <c r="O433" s="945"/>
      <c r="P433" s="15"/>
      <c r="Q433" s="15"/>
      <c r="R433" s="15"/>
      <c r="S433" s="15"/>
      <c r="T433" s="15"/>
      <c r="U433" s="15"/>
      <c r="V433" s="15"/>
      <c r="W433" s="15"/>
      <c r="X433" s="15"/>
      <c r="Y433" s="15"/>
      <c r="Z433" s="15"/>
    </row>
    <row r="434" spans="1:26" ht="178.5" customHeight="1">
      <c r="A434" s="143" t="s">
        <v>736</v>
      </c>
      <c r="B434" s="168" t="s">
        <v>110</v>
      </c>
      <c r="C434" s="80">
        <v>1</v>
      </c>
      <c r="D434" s="80">
        <v>1</v>
      </c>
      <c r="E434" s="80">
        <v>1</v>
      </c>
      <c r="F434" s="80">
        <v>1</v>
      </c>
      <c r="G434" s="80">
        <v>1</v>
      </c>
      <c r="H434" s="80">
        <v>1</v>
      </c>
      <c r="I434" s="135" t="s">
        <v>38</v>
      </c>
      <c r="J434" s="81" t="s">
        <v>3496</v>
      </c>
      <c r="K434" s="81" t="s">
        <v>811</v>
      </c>
      <c r="L434" s="365" t="s">
        <v>811</v>
      </c>
      <c r="M434" s="81" t="s">
        <v>3497</v>
      </c>
      <c r="N434" s="339" t="s">
        <v>3498</v>
      </c>
      <c r="O434" s="81" t="s">
        <v>3499</v>
      </c>
      <c r="P434" s="146"/>
      <c r="Q434" s="146"/>
      <c r="R434" s="146"/>
      <c r="S434" s="149"/>
      <c r="T434" s="149"/>
      <c r="U434" s="149"/>
      <c r="V434" s="149"/>
      <c r="W434" s="149"/>
      <c r="X434" s="149"/>
      <c r="Y434" s="149"/>
      <c r="Z434" s="149"/>
    </row>
    <row r="435" spans="1:26" ht="13.5" customHeight="1">
      <c r="A435" s="2"/>
      <c r="B435" s="950"/>
      <c r="C435" s="195"/>
      <c r="D435" s="195"/>
      <c r="E435" s="195"/>
      <c r="F435" s="195"/>
      <c r="G435" s="195"/>
      <c r="H435" s="195"/>
      <c r="I435" s="18"/>
      <c r="J435" s="156"/>
      <c r="K435" s="945"/>
      <c r="L435" s="945"/>
      <c r="M435" s="156"/>
      <c r="N435" s="945"/>
      <c r="O435" s="945"/>
      <c r="P435" s="15"/>
      <c r="Q435" s="15"/>
      <c r="R435" s="15"/>
      <c r="S435" s="15"/>
      <c r="T435" s="15"/>
      <c r="U435" s="15"/>
      <c r="V435" s="15"/>
      <c r="W435" s="15"/>
      <c r="X435" s="15"/>
      <c r="Y435" s="15"/>
      <c r="Z435" s="15"/>
    </row>
    <row r="436" spans="1:26" ht="96" customHeight="1">
      <c r="A436" s="143" t="s">
        <v>736</v>
      </c>
      <c r="B436" s="168" t="s">
        <v>111</v>
      </c>
      <c r="C436" s="80">
        <v>1</v>
      </c>
      <c r="D436" s="80">
        <v>1</v>
      </c>
      <c r="E436" s="80">
        <v>1</v>
      </c>
      <c r="F436" s="80">
        <v>1</v>
      </c>
      <c r="G436" s="80">
        <v>1</v>
      </c>
      <c r="H436" s="80">
        <v>1</v>
      </c>
      <c r="I436" s="135" t="s">
        <v>38</v>
      </c>
      <c r="J436" s="81" t="s">
        <v>1673</v>
      </c>
      <c r="K436" s="81" t="s">
        <v>3500</v>
      </c>
      <c r="L436" s="81" t="s">
        <v>3501</v>
      </c>
      <c r="M436" s="81" t="s">
        <v>3502</v>
      </c>
      <c r="N436" s="339" t="s">
        <v>1675</v>
      </c>
      <c r="O436" s="81" t="s">
        <v>811</v>
      </c>
      <c r="P436" s="146"/>
      <c r="Q436" s="146"/>
      <c r="R436" s="146"/>
      <c r="S436" s="149"/>
      <c r="T436" s="149"/>
      <c r="U436" s="149"/>
      <c r="V436" s="149"/>
      <c r="W436" s="149"/>
      <c r="X436" s="149"/>
      <c r="Y436" s="149"/>
      <c r="Z436" s="149"/>
    </row>
    <row r="437" spans="1:26" ht="13.5" customHeight="1">
      <c r="A437" s="2"/>
      <c r="B437" s="950"/>
      <c r="C437" s="195"/>
      <c r="D437" s="195"/>
      <c r="E437" s="195"/>
      <c r="F437" s="195"/>
      <c r="G437" s="195"/>
      <c r="H437" s="195"/>
      <c r="I437" s="18"/>
      <c r="J437" s="156"/>
      <c r="K437" s="945"/>
      <c r="L437" s="945"/>
      <c r="M437" s="156"/>
      <c r="N437" s="945"/>
      <c r="O437" s="945"/>
      <c r="P437" s="15"/>
      <c r="Q437" s="15"/>
      <c r="R437" s="15"/>
      <c r="S437" s="15"/>
      <c r="T437" s="15"/>
      <c r="U437" s="15"/>
      <c r="V437" s="15"/>
      <c r="W437" s="15"/>
      <c r="X437" s="15"/>
      <c r="Y437" s="15"/>
      <c r="Z437" s="15"/>
    </row>
    <row r="438" spans="1:26" ht="132" customHeight="1">
      <c r="A438" s="143" t="s">
        <v>736</v>
      </c>
      <c r="B438" s="168" t="s">
        <v>112</v>
      </c>
      <c r="C438" s="80">
        <v>1</v>
      </c>
      <c r="D438" s="80">
        <v>1</v>
      </c>
      <c r="E438" s="80">
        <v>1</v>
      </c>
      <c r="F438" s="80">
        <v>0</v>
      </c>
      <c r="G438" s="80">
        <v>1</v>
      </c>
      <c r="H438" s="386">
        <v>1</v>
      </c>
      <c r="I438" s="135" t="s">
        <v>38</v>
      </c>
      <c r="J438" s="81" t="s">
        <v>1677</v>
      </c>
      <c r="K438" s="81" t="s">
        <v>3503</v>
      </c>
      <c r="L438" s="81" t="s">
        <v>3504</v>
      </c>
      <c r="M438" s="81" t="s">
        <v>3505</v>
      </c>
      <c r="N438" s="339" t="s">
        <v>1681</v>
      </c>
      <c r="O438" s="81" t="s">
        <v>1682</v>
      </c>
      <c r="P438" s="146"/>
      <c r="Q438" s="146"/>
      <c r="R438" s="146"/>
      <c r="S438" s="149"/>
      <c r="T438" s="149"/>
      <c r="U438" s="149"/>
      <c r="V438" s="149"/>
      <c r="W438" s="149"/>
      <c r="X438" s="149"/>
      <c r="Y438" s="149"/>
      <c r="Z438" s="149"/>
    </row>
    <row r="439" spans="1:26" ht="13.5" customHeight="1">
      <c r="A439" s="2"/>
      <c r="B439" s="950"/>
      <c r="C439" s="195"/>
      <c r="D439" s="195"/>
      <c r="E439" s="195"/>
      <c r="F439" s="195"/>
      <c r="G439" s="195"/>
      <c r="H439" s="195"/>
      <c r="I439" s="18"/>
      <c r="J439" s="156"/>
      <c r="K439" s="945"/>
      <c r="L439" s="945"/>
      <c r="M439" s="156"/>
      <c r="N439" s="945"/>
      <c r="O439" s="945"/>
      <c r="P439" s="15"/>
      <c r="Q439" s="15"/>
      <c r="R439" s="15"/>
      <c r="S439" s="15"/>
      <c r="T439" s="15"/>
      <c r="U439" s="15"/>
      <c r="V439" s="15"/>
      <c r="W439" s="15"/>
      <c r="X439" s="15"/>
      <c r="Y439" s="15"/>
      <c r="Z439" s="15"/>
    </row>
    <row r="440" spans="1:26" ht="105" customHeight="1">
      <c r="A440" s="143" t="s">
        <v>736</v>
      </c>
      <c r="B440" s="168" t="s">
        <v>113</v>
      </c>
      <c r="C440" s="80">
        <v>1</v>
      </c>
      <c r="D440" s="80">
        <v>1</v>
      </c>
      <c r="E440" s="80">
        <v>0</v>
      </c>
      <c r="F440" s="80">
        <v>1</v>
      </c>
      <c r="G440" s="80">
        <v>1</v>
      </c>
      <c r="H440" s="80">
        <v>1</v>
      </c>
      <c r="I440" s="135" t="s">
        <v>1683</v>
      </c>
      <c r="J440" s="81" t="s">
        <v>3506</v>
      </c>
      <c r="K440" s="81" t="s">
        <v>3507</v>
      </c>
      <c r="L440" s="365" t="s">
        <v>748</v>
      </c>
      <c r="M440" s="81" t="s">
        <v>1686</v>
      </c>
      <c r="N440" s="180" t="s">
        <v>3508</v>
      </c>
      <c r="O440" s="81" t="s">
        <v>3509</v>
      </c>
      <c r="P440" s="146"/>
      <c r="Q440" s="146"/>
      <c r="R440" s="146"/>
      <c r="S440" s="149"/>
      <c r="T440" s="149"/>
      <c r="U440" s="149"/>
      <c r="V440" s="149"/>
      <c r="W440" s="149"/>
      <c r="X440" s="149"/>
      <c r="Y440" s="149"/>
      <c r="Z440" s="149"/>
    </row>
    <row r="441" spans="1:26" ht="13.5" customHeight="1">
      <c r="A441" s="2"/>
      <c r="B441" s="950"/>
      <c r="C441" s="195"/>
      <c r="D441" s="195"/>
      <c r="E441" s="195"/>
      <c r="F441" s="195"/>
      <c r="G441" s="195"/>
      <c r="H441" s="195"/>
      <c r="I441" s="18"/>
      <c r="J441" s="291"/>
      <c r="K441" s="953"/>
      <c r="L441" s="953"/>
      <c r="M441" s="291"/>
      <c r="N441" s="953"/>
      <c r="O441" s="953"/>
      <c r="P441" s="15"/>
      <c r="Q441" s="15"/>
      <c r="R441" s="15"/>
      <c r="S441" s="15"/>
      <c r="T441" s="15"/>
      <c r="U441" s="15"/>
      <c r="V441" s="15"/>
      <c r="W441" s="15"/>
      <c r="X441" s="15"/>
      <c r="Y441" s="15"/>
      <c r="Z441" s="15"/>
    </row>
    <row r="442" spans="1:26" ht="27.75" customHeight="1">
      <c r="A442" s="373" t="s">
        <v>1689</v>
      </c>
      <c r="B442" s="133" t="s">
        <v>115</v>
      </c>
      <c r="C442" s="72">
        <f t="shared" ref="C442:H442" si="59">AVERAGE(C443,C445,C447)</f>
        <v>0.57738095238095233</v>
      </c>
      <c r="D442" s="72">
        <f t="shared" si="59"/>
        <v>0.66666666666666663</v>
      </c>
      <c r="E442" s="72">
        <f t="shared" si="59"/>
        <v>0.44047619047619047</v>
      </c>
      <c r="F442" s="72">
        <f t="shared" si="59"/>
        <v>0.13095238095238096</v>
      </c>
      <c r="G442" s="72">
        <f t="shared" si="59"/>
        <v>0.63690476190476186</v>
      </c>
      <c r="H442" s="72">
        <f t="shared" si="59"/>
        <v>0.57142857142857151</v>
      </c>
      <c r="I442" s="135"/>
      <c r="J442" s="74"/>
      <c r="K442" s="203"/>
      <c r="L442" s="203"/>
      <c r="M442" s="203"/>
      <c r="N442" s="203"/>
      <c r="O442" s="203"/>
      <c r="P442" s="205"/>
      <c r="Q442" s="205"/>
      <c r="R442" s="205"/>
      <c r="S442" s="206"/>
      <c r="T442" s="206"/>
      <c r="U442" s="206"/>
      <c r="V442" s="206"/>
      <c r="W442" s="206"/>
      <c r="X442" s="206"/>
      <c r="Y442" s="206"/>
      <c r="Z442" s="206"/>
    </row>
    <row r="443" spans="1:26" ht="132" customHeight="1">
      <c r="A443" s="143" t="s">
        <v>736</v>
      </c>
      <c r="B443" s="168" t="s">
        <v>116</v>
      </c>
      <c r="C443" s="80">
        <v>1</v>
      </c>
      <c r="D443" s="80">
        <v>0</v>
      </c>
      <c r="E443" s="80">
        <v>1</v>
      </c>
      <c r="F443" s="80">
        <v>0</v>
      </c>
      <c r="G443" s="80">
        <v>1</v>
      </c>
      <c r="H443" s="80">
        <v>1</v>
      </c>
      <c r="I443" s="135" t="s">
        <v>38</v>
      </c>
      <c r="J443" s="81" t="s">
        <v>1690</v>
      </c>
      <c r="K443" s="81" t="s">
        <v>748</v>
      </c>
      <c r="L443" s="365" t="s">
        <v>811</v>
      </c>
      <c r="M443" s="81" t="s">
        <v>3510</v>
      </c>
      <c r="N443" s="339" t="s">
        <v>3511</v>
      </c>
      <c r="O443" s="81" t="s">
        <v>811</v>
      </c>
      <c r="P443" s="146"/>
      <c r="Q443" s="146"/>
      <c r="R443" s="146"/>
      <c r="S443" s="149"/>
      <c r="T443" s="149"/>
      <c r="U443" s="149"/>
      <c r="V443" s="149"/>
      <c r="W443" s="149"/>
      <c r="X443" s="149"/>
      <c r="Y443" s="149"/>
      <c r="Z443" s="149"/>
    </row>
    <row r="444" spans="1:26" ht="13.5" customHeight="1">
      <c r="A444" s="2"/>
      <c r="B444" s="950"/>
      <c r="C444" s="195"/>
      <c r="D444" s="195"/>
      <c r="E444" s="195"/>
      <c r="F444" s="195"/>
      <c r="G444" s="195"/>
      <c r="H444" s="195"/>
      <c r="I444" s="18"/>
      <c r="J444" s="156"/>
      <c r="K444" s="945"/>
      <c r="L444" s="945"/>
      <c r="M444" s="156"/>
      <c r="N444" s="945"/>
      <c r="O444" s="945"/>
      <c r="P444" s="15"/>
      <c r="Q444" s="15"/>
      <c r="R444" s="15"/>
      <c r="S444" s="15"/>
      <c r="T444" s="15"/>
      <c r="U444" s="15"/>
      <c r="V444" s="15"/>
      <c r="W444" s="15"/>
      <c r="X444" s="15"/>
      <c r="Y444" s="15"/>
      <c r="Z444" s="15"/>
    </row>
    <row r="445" spans="1:26" ht="108" customHeight="1">
      <c r="A445" s="143" t="s">
        <v>736</v>
      </c>
      <c r="B445" s="168" t="s">
        <v>117</v>
      </c>
      <c r="C445" s="80">
        <v>0</v>
      </c>
      <c r="D445" s="80">
        <v>1</v>
      </c>
      <c r="E445" s="80">
        <v>0</v>
      </c>
      <c r="F445" s="80">
        <v>0</v>
      </c>
      <c r="G445" s="80">
        <v>0</v>
      </c>
      <c r="H445" s="80">
        <v>0</v>
      </c>
      <c r="I445" s="135" t="s">
        <v>38</v>
      </c>
      <c r="J445" s="81" t="s">
        <v>1693</v>
      </c>
      <c r="K445" s="81" t="s">
        <v>811</v>
      </c>
      <c r="L445" s="365" t="s">
        <v>748</v>
      </c>
      <c r="M445" s="81" t="s">
        <v>3512</v>
      </c>
      <c r="N445" s="339" t="s">
        <v>3513</v>
      </c>
      <c r="O445" s="81" t="s">
        <v>748</v>
      </c>
      <c r="P445" s="146"/>
      <c r="Q445" s="146"/>
      <c r="R445" s="146"/>
      <c r="S445" s="149"/>
      <c r="T445" s="149"/>
      <c r="U445" s="149"/>
      <c r="V445" s="149"/>
      <c r="W445" s="149"/>
      <c r="X445" s="149"/>
      <c r="Y445" s="149"/>
      <c r="Z445" s="149"/>
    </row>
    <row r="446" spans="1:26" ht="13.5" customHeight="1">
      <c r="A446" s="143"/>
      <c r="B446" s="168"/>
      <c r="C446" s="80"/>
      <c r="D446" s="80"/>
      <c r="E446" s="365"/>
      <c r="F446" s="80"/>
      <c r="G446" s="80"/>
      <c r="H446" s="80"/>
      <c r="I446" s="135"/>
      <c r="J446" s="81"/>
      <c r="K446" s="81"/>
      <c r="L446" s="81"/>
      <c r="M446" s="81"/>
      <c r="N446" s="81"/>
      <c r="O446" s="81"/>
      <c r="P446" s="146"/>
      <c r="Q446" s="146"/>
      <c r="R446" s="146"/>
      <c r="S446" s="149"/>
      <c r="T446" s="149"/>
      <c r="U446" s="149"/>
      <c r="V446" s="149"/>
      <c r="W446" s="149"/>
      <c r="X446" s="149"/>
      <c r="Y446" s="149"/>
      <c r="Z446" s="149"/>
    </row>
    <row r="447" spans="1:26" ht="124.5" customHeight="1">
      <c r="A447" s="143" t="s">
        <v>736</v>
      </c>
      <c r="B447" s="168" t="s">
        <v>3514</v>
      </c>
      <c r="C447" s="80">
        <f>(0.41-0)/(0.56-0)</f>
        <v>0.73214285714285698</v>
      </c>
      <c r="D447" s="80">
        <f>(0.56-0)/(0.56-0)</f>
        <v>1</v>
      </c>
      <c r="E447" s="80">
        <f>(0.18-0)/(0.56-0)</f>
        <v>0.3214285714285714</v>
      </c>
      <c r="F447" s="80">
        <f>(0.22-0)/(0.56-0)</f>
        <v>0.39285714285714285</v>
      </c>
      <c r="G447" s="80">
        <f>(0.51-0)/(0.56-0)</f>
        <v>0.9107142857142857</v>
      </c>
      <c r="H447" s="80">
        <f>(0.4-0)/(0.56-0)</f>
        <v>0.7142857142857143</v>
      </c>
      <c r="I447" s="135" t="s">
        <v>1697</v>
      </c>
      <c r="J447" s="399" t="s">
        <v>1698</v>
      </c>
      <c r="K447" s="81" t="s">
        <v>1699</v>
      </c>
      <c r="L447" s="400" t="s">
        <v>3515</v>
      </c>
      <c r="M447" s="182" t="s">
        <v>3516</v>
      </c>
      <c r="N447" s="229" t="s">
        <v>1702</v>
      </c>
      <c r="O447" s="81" t="s">
        <v>3517</v>
      </c>
      <c r="P447" s="146"/>
      <c r="Q447" s="146"/>
      <c r="R447" s="146"/>
      <c r="S447" s="149"/>
      <c r="T447" s="149"/>
      <c r="U447" s="149"/>
      <c r="V447" s="149"/>
      <c r="W447" s="149"/>
      <c r="X447" s="149"/>
      <c r="Y447" s="149"/>
      <c r="Z447" s="149"/>
    </row>
    <row r="448" spans="1:26" ht="13.5" customHeight="1">
      <c r="A448" s="143"/>
      <c r="B448" s="168"/>
      <c r="C448" s="80"/>
      <c r="D448" s="80"/>
      <c r="E448" s="80"/>
      <c r="F448" s="80"/>
      <c r="G448" s="80"/>
      <c r="H448" s="80"/>
      <c r="I448" s="135"/>
      <c r="J448" s="81"/>
      <c r="K448" s="81"/>
      <c r="L448" s="81"/>
      <c r="M448" s="81"/>
      <c r="N448" s="81"/>
      <c r="O448" s="81"/>
      <c r="P448" s="146"/>
      <c r="Q448" s="146"/>
      <c r="R448" s="146"/>
      <c r="S448" s="149"/>
      <c r="T448" s="149"/>
      <c r="U448" s="149"/>
      <c r="V448" s="149"/>
      <c r="W448" s="149"/>
      <c r="X448" s="149"/>
      <c r="Y448" s="149"/>
      <c r="Z448" s="149"/>
    </row>
    <row r="449" spans="1:26" ht="13.5" customHeight="1">
      <c r="A449" s="206" t="s">
        <v>1704</v>
      </c>
      <c r="B449" s="401" t="s">
        <v>120</v>
      </c>
      <c r="C449" s="80">
        <f t="shared" ref="C449:H449" si="60">AVERAGE(C450,C452,C454,C456,C458,C460)</f>
        <v>0.68584612928970479</v>
      </c>
      <c r="D449" s="80">
        <f t="shared" si="60"/>
        <v>0.92461904761904756</v>
      </c>
      <c r="E449" s="80">
        <f t="shared" si="60"/>
        <v>0</v>
      </c>
      <c r="F449" s="80">
        <f t="shared" si="60"/>
        <v>0.66651237031125299</v>
      </c>
      <c r="G449" s="80">
        <f t="shared" si="60"/>
        <v>0.66179994679436016</v>
      </c>
      <c r="H449" s="80">
        <f t="shared" si="60"/>
        <v>0</v>
      </c>
      <c r="I449" s="402"/>
      <c r="J449" s="403"/>
      <c r="K449" s="404"/>
      <c r="L449" s="404"/>
      <c r="M449" s="404"/>
      <c r="N449" s="404"/>
      <c r="O449" s="404"/>
      <c r="P449" s="205"/>
      <c r="Q449" s="205"/>
      <c r="R449" s="205"/>
      <c r="S449" s="206"/>
      <c r="T449" s="206"/>
      <c r="U449" s="206"/>
      <c r="V449" s="206"/>
      <c r="W449" s="206"/>
      <c r="X449" s="206"/>
      <c r="Y449" s="206"/>
      <c r="Z449" s="206"/>
    </row>
    <row r="450" spans="1:26" ht="121.5" customHeight="1">
      <c r="A450" s="143" t="s">
        <v>736</v>
      </c>
      <c r="B450" s="168" t="s">
        <v>121</v>
      </c>
      <c r="C450" s="386">
        <v>0.5</v>
      </c>
      <c r="D450" s="80">
        <v>1</v>
      </c>
      <c r="E450" s="80">
        <v>0</v>
      </c>
      <c r="F450" s="80">
        <v>0</v>
      </c>
      <c r="G450" s="80">
        <v>0</v>
      </c>
      <c r="H450" s="80">
        <v>0</v>
      </c>
      <c r="I450" s="135" t="s">
        <v>123</v>
      </c>
      <c r="J450" s="81">
        <v>0.5</v>
      </c>
      <c r="K450" s="81" t="s">
        <v>3518</v>
      </c>
      <c r="L450" s="81" t="s">
        <v>3519</v>
      </c>
      <c r="M450" s="81" t="s">
        <v>3520</v>
      </c>
      <c r="N450" s="339" t="s">
        <v>3521</v>
      </c>
      <c r="O450" s="81" t="s">
        <v>1709</v>
      </c>
      <c r="P450" s="146"/>
      <c r="Q450" s="146"/>
      <c r="R450" s="146"/>
      <c r="S450" s="149"/>
      <c r="T450" s="149"/>
      <c r="U450" s="149"/>
      <c r="V450" s="149"/>
      <c r="W450" s="149"/>
      <c r="X450" s="149"/>
      <c r="Y450" s="149"/>
      <c r="Z450" s="149"/>
    </row>
    <row r="451" spans="1:26" ht="13.5" customHeight="1">
      <c r="A451" s="2"/>
      <c r="B451" s="950"/>
      <c r="C451" s="195"/>
      <c r="D451" s="195"/>
      <c r="E451" s="195"/>
      <c r="F451" s="195"/>
      <c r="G451" s="195"/>
      <c r="H451" s="195"/>
      <c r="I451" s="18"/>
      <c r="J451" s="156"/>
      <c r="K451" s="945"/>
      <c r="L451" s="945"/>
      <c r="M451" s="156"/>
      <c r="N451" s="945"/>
      <c r="O451" s="945"/>
      <c r="P451" s="15"/>
      <c r="Q451" s="15"/>
      <c r="R451" s="15"/>
      <c r="S451" s="15"/>
      <c r="T451" s="15"/>
      <c r="U451" s="15"/>
      <c r="V451" s="15"/>
      <c r="W451" s="15"/>
      <c r="X451" s="15"/>
      <c r="Y451" s="15"/>
      <c r="Z451" s="15"/>
    </row>
    <row r="452" spans="1:26" ht="199.5" customHeight="1">
      <c r="A452" s="143" t="s">
        <v>736</v>
      </c>
      <c r="B452" s="168" t="s">
        <v>122</v>
      </c>
      <c r="C452" s="80">
        <v>0.5</v>
      </c>
      <c r="D452" s="944">
        <v>1</v>
      </c>
      <c r="E452" s="80">
        <v>0</v>
      </c>
      <c r="F452" s="80">
        <v>1</v>
      </c>
      <c r="G452" s="944">
        <v>1</v>
      </c>
      <c r="H452" s="80">
        <v>0</v>
      </c>
      <c r="I452" s="135" t="s">
        <v>123</v>
      </c>
      <c r="J452" s="81" t="s">
        <v>1710</v>
      </c>
      <c r="K452" s="81" t="s">
        <v>1711</v>
      </c>
      <c r="L452" s="365" t="s">
        <v>748</v>
      </c>
      <c r="M452" s="81" t="s">
        <v>1712</v>
      </c>
      <c r="N452" s="339" t="s">
        <v>3522</v>
      </c>
      <c r="O452" s="81" t="s">
        <v>968</v>
      </c>
      <c r="P452" s="146"/>
      <c r="Q452" s="146"/>
      <c r="R452" s="146"/>
      <c r="S452" s="149"/>
      <c r="T452" s="149"/>
      <c r="U452" s="149"/>
      <c r="V452" s="149"/>
      <c r="W452" s="149"/>
      <c r="X452" s="149"/>
      <c r="Y452" s="149"/>
      <c r="Z452" s="149"/>
    </row>
    <row r="453" spans="1:26" ht="13.5" customHeight="1">
      <c r="A453" s="2"/>
      <c r="B453" s="950"/>
      <c r="C453" s="195"/>
      <c r="D453" s="195"/>
      <c r="E453" s="195"/>
      <c r="F453" s="195"/>
      <c r="G453" s="195"/>
      <c r="H453" s="195"/>
      <c r="I453" s="18"/>
      <c r="J453" s="156"/>
      <c r="K453" s="945"/>
      <c r="L453" s="945"/>
      <c r="M453" s="156"/>
      <c r="N453" s="945"/>
      <c r="O453" s="945"/>
      <c r="P453" s="15"/>
      <c r="Q453" s="15"/>
      <c r="R453" s="15"/>
      <c r="S453" s="15"/>
      <c r="T453" s="15"/>
      <c r="U453" s="15"/>
      <c r="V453" s="15"/>
      <c r="W453" s="15"/>
      <c r="X453" s="15"/>
      <c r="Y453" s="15"/>
      <c r="Z453" s="15"/>
    </row>
    <row r="454" spans="1:26" ht="180" customHeight="1">
      <c r="A454" s="143" t="s">
        <v>736</v>
      </c>
      <c r="B454" s="168" t="s">
        <v>124</v>
      </c>
      <c r="C454" s="80">
        <v>1</v>
      </c>
      <c r="D454" s="80">
        <v>1</v>
      </c>
      <c r="E454" s="80">
        <v>0</v>
      </c>
      <c r="F454" s="80">
        <v>1</v>
      </c>
      <c r="G454" s="386">
        <v>1</v>
      </c>
      <c r="H454" s="80">
        <v>0</v>
      </c>
      <c r="I454" s="135" t="s">
        <v>125</v>
      </c>
      <c r="J454" s="81" t="s">
        <v>1714</v>
      </c>
      <c r="K454" s="81" t="s">
        <v>3523</v>
      </c>
      <c r="L454" s="81" t="s">
        <v>3524</v>
      </c>
      <c r="M454" s="81" t="s">
        <v>3525</v>
      </c>
      <c r="N454" s="182" t="s">
        <v>3526</v>
      </c>
      <c r="O454" s="81" t="s">
        <v>3527</v>
      </c>
      <c r="P454" s="146"/>
      <c r="Q454" s="146"/>
      <c r="R454" s="146"/>
      <c r="S454" s="149"/>
      <c r="T454" s="149"/>
      <c r="U454" s="149"/>
      <c r="V454" s="149"/>
      <c r="W454" s="149"/>
      <c r="X454" s="149"/>
      <c r="Y454" s="149"/>
      <c r="Z454" s="149"/>
    </row>
    <row r="455" spans="1:26" ht="13.5" customHeight="1">
      <c r="A455" s="2"/>
      <c r="B455" s="950"/>
      <c r="C455" s="195"/>
      <c r="D455" s="195"/>
      <c r="E455" s="195"/>
      <c r="F455" s="195"/>
      <c r="G455" s="195"/>
      <c r="H455" s="195"/>
      <c r="I455" s="18"/>
      <c r="J455" s="156"/>
      <c r="K455" s="945"/>
      <c r="L455" s="945"/>
      <c r="M455" s="156"/>
      <c r="N455" s="945"/>
      <c r="O455" s="945"/>
      <c r="P455" s="15"/>
      <c r="Q455" s="15"/>
      <c r="R455" s="15"/>
      <c r="S455" s="15"/>
      <c r="T455" s="15"/>
      <c r="U455" s="15"/>
      <c r="V455" s="15"/>
      <c r="W455" s="15"/>
      <c r="X455" s="15"/>
      <c r="Y455" s="15"/>
      <c r="Z455" s="15"/>
    </row>
    <row r="456" spans="1:26" ht="133.5" customHeight="1">
      <c r="A456" s="143" t="s">
        <v>736</v>
      </c>
      <c r="B456" s="168" t="s">
        <v>3528</v>
      </c>
      <c r="C456" s="195">
        <f>(6.96-100)/(0-100)</f>
        <v>0.93040000000000012</v>
      </c>
      <c r="D456" s="195">
        <f>(19.8-100)/(0-100)</f>
        <v>0.80200000000000005</v>
      </c>
      <c r="E456" s="195">
        <v>0</v>
      </c>
      <c r="F456" s="195">
        <f>(12-100)/(0-100)</f>
        <v>0.88</v>
      </c>
      <c r="G456" s="195">
        <f>(46-100)/(0-100)</f>
        <v>0.54</v>
      </c>
      <c r="H456" s="195">
        <v>0</v>
      </c>
      <c r="I456" s="135" t="s">
        <v>64</v>
      </c>
      <c r="J456" s="81" t="s">
        <v>3529</v>
      </c>
      <c r="K456" s="81" t="s">
        <v>3530</v>
      </c>
      <c r="L456" s="81" t="s">
        <v>3531</v>
      </c>
      <c r="M456" s="182" t="s">
        <v>3532</v>
      </c>
      <c r="N456" s="339" t="s">
        <v>3533</v>
      </c>
      <c r="O456" s="81" t="s">
        <v>3534</v>
      </c>
      <c r="P456" s="146"/>
      <c r="Q456" s="146"/>
      <c r="R456" s="146"/>
      <c r="S456" s="149"/>
      <c r="T456" s="149"/>
      <c r="U456" s="149"/>
      <c r="V456" s="149"/>
      <c r="W456" s="149"/>
      <c r="X456" s="149"/>
      <c r="Y456" s="149"/>
      <c r="Z456" s="149"/>
    </row>
    <row r="457" spans="1:26" ht="15" customHeight="1">
      <c r="A457" s="143"/>
      <c r="B457" s="948"/>
      <c r="C457" s="80"/>
      <c r="D457" s="80"/>
      <c r="E457" s="80"/>
      <c r="F457" s="80"/>
      <c r="G457" s="80"/>
      <c r="H457" s="80"/>
      <c r="I457" s="135"/>
      <c r="J457" s="81"/>
      <c r="K457" s="81"/>
      <c r="L457" s="170"/>
      <c r="M457" s="81"/>
      <c r="N457" s="81"/>
      <c r="O457" s="81"/>
      <c r="P457" s="146"/>
      <c r="Q457" s="146"/>
      <c r="R457" s="146"/>
      <c r="S457" s="149"/>
      <c r="T457" s="149"/>
      <c r="U457" s="149"/>
      <c r="V457" s="149"/>
      <c r="W457" s="149"/>
      <c r="X457" s="149"/>
      <c r="Y457" s="149"/>
      <c r="Z457" s="149"/>
    </row>
    <row r="458" spans="1:26" ht="190.5" customHeight="1">
      <c r="A458" s="143" t="s">
        <v>736</v>
      </c>
      <c r="B458" s="168" t="s">
        <v>127</v>
      </c>
      <c r="C458" s="195">
        <f>(12-0)/(17.9-0)</f>
        <v>0.67039106145251404</v>
      </c>
      <c r="D458" s="195">
        <f>(17.9-0)/(17.9-0)</f>
        <v>1</v>
      </c>
      <c r="E458" s="195">
        <v>0</v>
      </c>
      <c r="F458" s="195">
        <f>(5.2-0)/(17.9-0)</f>
        <v>0.29050279329608941</v>
      </c>
      <c r="G458" s="195">
        <f>(8.1-0)/(17.9-0)</f>
        <v>0.45251396648044695</v>
      </c>
      <c r="H458" s="407">
        <v>0</v>
      </c>
      <c r="I458" s="135" t="s">
        <v>3535</v>
      </c>
      <c r="J458" s="182" t="s">
        <v>3536</v>
      </c>
      <c r="K458" s="182" t="s">
        <v>3537</v>
      </c>
      <c r="L458" s="81" t="s">
        <v>3538</v>
      </c>
      <c r="M458" s="81" t="s">
        <v>3539</v>
      </c>
      <c r="N458" s="385" t="s">
        <v>3540</v>
      </c>
      <c r="O458" s="182" t="s">
        <v>3541</v>
      </c>
      <c r="P458" s="146"/>
      <c r="Q458" s="146"/>
      <c r="R458" s="146"/>
      <c r="S458" s="149"/>
      <c r="T458" s="149"/>
      <c r="U458" s="149"/>
      <c r="V458" s="149"/>
      <c r="W458" s="149"/>
      <c r="X458" s="149"/>
      <c r="Y458" s="149"/>
      <c r="Z458" s="149"/>
    </row>
    <row r="459" spans="1:26" ht="34.5" customHeight="1">
      <c r="A459" s="143"/>
      <c r="B459" s="168"/>
      <c r="C459" s="80"/>
      <c r="D459" s="80"/>
      <c r="E459" s="80"/>
      <c r="F459" s="80"/>
      <c r="G459" s="80"/>
      <c r="H459" s="80"/>
      <c r="I459" s="149"/>
      <c r="J459" s="81"/>
      <c r="K459" s="86"/>
      <c r="L459" s="81"/>
      <c r="M459" s="81"/>
      <c r="N459" s="81"/>
      <c r="O459" s="81"/>
      <c r="P459" s="146"/>
      <c r="Q459" s="146"/>
      <c r="R459" s="146"/>
      <c r="S459" s="149"/>
      <c r="T459" s="149"/>
      <c r="U459" s="149"/>
      <c r="V459" s="149"/>
      <c r="W459" s="149"/>
      <c r="X459" s="149"/>
      <c r="Y459" s="149"/>
      <c r="Z459" s="149"/>
    </row>
    <row r="460" spans="1:26" ht="143.25" customHeight="1">
      <c r="A460" s="143" t="s">
        <v>736</v>
      </c>
      <c r="B460" s="168" t="s">
        <v>128</v>
      </c>
      <c r="C460" s="944">
        <f>(17-35)/(0-35)</f>
        <v>0.51428571428571423</v>
      </c>
      <c r="D460" s="944">
        <f>(8.9-35)/(0-35)</f>
        <v>0.74571428571428577</v>
      </c>
      <c r="E460" s="944" t="s">
        <v>1733</v>
      </c>
      <c r="F460" s="944">
        <f>(6-35)/(0-35)</f>
        <v>0.82857142857142863</v>
      </c>
      <c r="G460" s="944">
        <f>(0.76-35)/(0-35)</f>
        <v>0.97828571428571431</v>
      </c>
      <c r="H460" s="944" t="s">
        <v>1733</v>
      </c>
      <c r="I460" s="135" t="s">
        <v>3542</v>
      </c>
      <c r="J460" s="408" t="s">
        <v>3543</v>
      </c>
      <c r="K460" s="81" t="s">
        <v>3544</v>
      </c>
      <c r="L460" s="365" t="s">
        <v>3545</v>
      </c>
      <c r="M460" s="182" t="s">
        <v>3546</v>
      </c>
      <c r="N460" s="385" t="s">
        <v>3547</v>
      </c>
      <c r="O460" s="81" t="s">
        <v>3548</v>
      </c>
      <c r="P460" s="146"/>
      <c r="Q460" s="146"/>
      <c r="R460" s="146"/>
      <c r="S460" s="149"/>
      <c r="T460" s="149"/>
      <c r="U460" s="149"/>
      <c r="V460" s="149"/>
      <c r="W460" s="149"/>
      <c r="X460" s="149"/>
      <c r="Y460" s="149"/>
      <c r="Z460" s="149"/>
    </row>
    <row r="461" spans="1:26" ht="21" customHeight="1">
      <c r="A461" s="143"/>
      <c r="B461" s="168"/>
      <c r="C461" s="80"/>
      <c r="D461" s="80"/>
      <c r="E461" s="80"/>
      <c r="F461" s="80"/>
      <c r="G461" s="80"/>
      <c r="H461" s="80"/>
      <c r="I461" s="149"/>
      <c r="J461" s="81"/>
      <c r="K461" s="86"/>
      <c r="L461" s="170"/>
      <c r="M461" s="81"/>
      <c r="N461" s="81"/>
      <c r="O461" s="81"/>
      <c r="P461" s="146"/>
      <c r="Q461" s="146"/>
      <c r="R461" s="146"/>
      <c r="S461" s="149"/>
      <c r="T461" s="149"/>
      <c r="U461" s="149"/>
      <c r="V461" s="149"/>
      <c r="W461" s="149"/>
      <c r="X461" s="149"/>
      <c r="Y461" s="149"/>
      <c r="Z461" s="149"/>
    </row>
    <row r="462" spans="1:26" ht="13.5" customHeight="1">
      <c r="A462" s="373" t="s">
        <v>1741</v>
      </c>
      <c r="B462" s="409" t="s">
        <v>130</v>
      </c>
      <c r="C462" s="80">
        <f t="shared" ref="C462:H462" si="61">AVERAGE(C463,C465,C467)</f>
        <v>0.97000000000000008</v>
      </c>
      <c r="D462" s="80">
        <f t="shared" si="61"/>
        <v>0.85333333333333339</v>
      </c>
      <c r="E462" s="80">
        <f t="shared" si="61"/>
        <v>1</v>
      </c>
      <c r="F462" s="80">
        <f t="shared" si="61"/>
        <v>0.84699999999999998</v>
      </c>
      <c r="G462" s="80">
        <f t="shared" si="61"/>
        <v>0.84443333333333337</v>
      </c>
      <c r="H462" s="80">
        <f t="shared" si="61"/>
        <v>0.44900000000000001</v>
      </c>
      <c r="I462" s="135"/>
      <c r="J462" s="81"/>
      <c r="K462" s="221"/>
      <c r="L462" s="221"/>
      <c r="M462" s="410"/>
      <c r="N462" s="221"/>
      <c r="O462" s="221"/>
      <c r="P462" s="205"/>
      <c r="Q462" s="205"/>
      <c r="R462" s="205"/>
      <c r="S462" s="206"/>
      <c r="T462" s="206"/>
      <c r="U462" s="206"/>
      <c r="V462" s="206"/>
      <c r="W462" s="206"/>
      <c r="X462" s="206"/>
      <c r="Y462" s="206"/>
      <c r="Z462" s="206"/>
    </row>
    <row r="463" spans="1:26" ht="180" customHeight="1">
      <c r="A463" s="143" t="s">
        <v>736</v>
      </c>
      <c r="B463" s="168" t="s">
        <v>3549</v>
      </c>
      <c r="C463" s="956">
        <v>0.91</v>
      </c>
      <c r="D463" s="195">
        <v>0.56000000000000005</v>
      </c>
      <c r="E463" s="365" t="s">
        <v>3550</v>
      </c>
      <c r="F463" s="195">
        <f>(4.59-10)/(0-10)</f>
        <v>0.54100000000000004</v>
      </c>
      <c r="G463" s="195">
        <f>(4.667-10)/(0-10)</f>
        <v>0.5333</v>
      </c>
      <c r="H463" s="195">
        <f>(4.03-10)/(0-10)</f>
        <v>0.59699999999999998</v>
      </c>
      <c r="I463" s="135" t="s">
        <v>3551</v>
      </c>
      <c r="J463" s="411" t="s">
        <v>3552</v>
      </c>
      <c r="K463" s="81" t="s">
        <v>3553</v>
      </c>
      <c r="L463" s="365" t="s">
        <v>3550</v>
      </c>
      <c r="M463" s="81" t="s">
        <v>3554</v>
      </c>
      <c r="N463" s="412" t="s">
        <v>3555</v>
      </c>
      <c r="O463" s="182" t="s">
        <v>3556</v>
      </c>
      <c r="P463" s="146"/>
      <c r="Q463" s="146"/>
      <c r="R463" s="146"/>
      <c r="S463" s="149"/>
      <c r="T463" s="149"/>
      <c r="U463" s="149"/>
      <c r="V463" s="149"/>
      <c r="W463" s="149"/>
      <c r="X463" s="149"/>
      <c r="Y463" s="149"/>
      <c r="Z463" s="149"/>
    </row>
    <row r="464" spans="1:26" ht="30.75" customHeight="1">
      <c r="A464" s="143"/>
      <c r="B464" s="168"/>
      <c r="C464" s="80"/>
      <c r="D464" s="80"/>
      <c r="E464" s="80"/>
      <c r="F464" s="80"/>
      <c r="G464" s="80"/>
      <c r="H464" s="80"/>
      <c r="I464" s="149"/>
      <c r="J464" s="81"/>
      <c r="K464" s="81"/>
      <c r="L464" s="81"/>
      <c r="M464" s="81"/>
      <c r="N464" s="412"/>
      <c r="O464" s="81"/>
      <c r="P464" s="146"/>
      <c r="Q464" s="146"/>
      <c r="R464" s="146"/>
      <c r="S464" s="149"/>
      <c r="T464" s="149"/>
      <c r="U464" s="149"/>
      <c r="V464" s="149"/>
      <c r="W464" s="149"/>
      <c r="X464" s="149"/>
      <c r="Y464" s="149"/>
      <c r="Z464" s="149"/>
    </row>
    <row r="465" spans="1:26" ht="110.25" customHeight="1">
      <c r="A465" s="143" t="s">
        <v>736</v>
      </c>
      <c r="B465" s="168" t="s">
        <v>131</v>
      </c>
      <c r="C465" s="195">
        <v>1</v>
      </c>
      <c r="D465" s="195">
        <v>1</v>
      </c>
      <c r="E465" s="195">
        <v>1</v>
      </c>
      <c r="F465" s="195">
        <v>1</v>
      </c>
      <c r="G465" s="195">
        <v>1</v>
      </c>
      <c r="H465" s="195">
        <v>0</v>
      </c>
      <c r="I465" s="135" t="s">
        <v>123</v>
      </c>
      <c r="J465" s="81" t="s">
        <v>1750</v>
      </c>
      <c r="K465" s="81" t="s">
        <v>1750</v>
      </c>
      <c r="L465" s="365" t="s">
        <v>811</v>
      </c>
      <c r="M465" s="81" t="s">
        <v>3557</v>
      </c>
      <c r="N465" s="339" t="s">
        <v>1754</v>
      </c>
      <c r="O465" s="182" t="s">
        <v>3558</v>
      </c>
      <c r="P465" s="146"/>
      <c r="Q465" s="146"/>
      <c r="R465" s="146"/>
      <c r="S465" s="149"/>
      <c r="T465" s="149"/>
      <c r="U465" s="149"/>
      <c r="V465" s="149"/>
      <c r="W465" s="149"/>
      <c r="X465" s="149"/>
      <c r="Y465" s="149"/>
      <c r="Z465" s="149"/>
    </row>
    <row r="466" spans="1:26" ht="37.5" customHeight="1">
      <c r="A466" s="143"/>
      <c r="B466" s="168"/>
      <c r="C466" s="80"/>
      <c r="D466" s="80"/>
      <c r="E466" s="80"/>
      <c r="F466" s="80"/>
      <c r="G466" s="80"/>
      <c r="H466" s="80"/>
      <c r="I466" s="149"/>
      <c r="J466" s="81"/>
      <c r="K466" s="81"/>
      <c r="L466" s="81"/>
      <c r="M466" s="81"/>
      <c r="N466" s="81"/>
      <c r="O466" s="81"/>
      <c r="P466" s="146"/>
      <c r="Q466" s="146"/>
      <c r="R466" s="146"/>
      <c r="S466" s="149"/>
      <c r="T466" s="149"/>
      <c r="U466" s="149"/>
      <c r="V466" s="149"/>
      <c r="W466" s="149"/>
      <c r="X466" s="149"/>
      <c r="Y466" s="149"/>
      <c r="Z466" s="149"/>
    </row>
    <row r="467" spans="1:26" ht="55.5" customHeight="1">
      <c r="A467" s="143" t="s">
        <v>736</v>
      </c>
      <c r="B467" s="168" t="s">
        <v>132</v>
      </c>
      <c r="C467" s="80">
        <f t="shared" ref="C467:H467" si="62">AVERAGE(C468:C471)</f>
        <v>1</v>
      </c>
      <c r="D467" s="80">
        <f t="shared" si="62"/>
        <v>1</v>
      </c>
      <c r="E467" s="80">
        <f t="shared" si="62"/>
        <v>1</v>
      </c>
      <c r="F467" s="80">
        <f t="shared" si="62"/>
        <v>1</v>
      </c>
      <c r="G467" s="80">
        <f t="shared" si="62"/>
        <v>1</v>
      </c>
      <c r="H467" s="80">
        <f t="shared" si="62"/>
        <v>0.75</v>
      </c>
      <c r="I467" s="135"/>
      <c r="J467" s="81"/>
      <c r="K467" s="81"/>
      <c r="L467" s="81"/>
      <c r="M467" s="81"/>
      <c r="N467" s="81"/>
      <c r="O467" s="81"/>
      <c r="P467" s="146"/>
      <c r="Q467" s="146"/>
      <c r="R467" s="146"/>
      <c r="S467" s="149"/>
      <c r="T467" s="149"/>
      <c r="U467" s="149"/>
      <c r="V467" s="149"/>
      <c r="W467" s="149"/>
      <c r="X467" s="149"/>
      <c r="Y467" s="149"/>
      <c r="Z467" s="149"/>
    </row>
    <row r="468" spans="1:26" ht="210" customHeight="1">
      <c r="A468" s="143"/>
      <c r="B468" s="947" t="s">
        <v>133</v>
      </c>
      <c r="C468" s="195">
        <v>1</v>
      </c>
      <c r="D468" s="195">
        <v>1</v>
      </c>
      <c r="E468" s="195">
        <v>1</v>
      </c>
      <c r="F468" s="195">
        <v>1</v>
      </c>
      <c r="G468" s="195">
        <v>1</v>
      </c>
      <c r="H468" s="195">
        <v>0</v>
      </c>
      <c r="I468" s="135" t="s">
        <v>123</v>
      </c>
      <c r="J468" s="81" t="s">
        <v>3559</v>
      </c>
      <c r="K468" s="81" t="s">
        <v>3560</v>
      </c>
      <c r="L468" s="81" t="s">
        <v>811</v>
      </c>
      <c r="M468" s="81" t="s">
        <v>1759</v>
      </c>
      <c r="N468" s="81" t="s">
        <v>1760</v>
      </c>
      <c r="O468" s="81" t="s">
        <v>3561</v>
      </c>
      <c r="P468" s="146"/>
      <c r="Q468" s="146"/>
      <c r="R468" s="146"/>
      <c r="S468" s="149"/>
      <c r="T468" s="149"/>
      <c r="U468" s="149"/>
      <c r="V468" s="149"/>
      <c r="W468" s="149"/>
      <c r="X468" s="149"/>
      <c r="Y468" s="149"/>
      <c r="Z468" s="149"/>
    </row>
    <row r="469" spans="1:26" ht="79.5" customHeight="1">
      <c r="A469" s="143"/>
      <c r="B469" s="947" t="s">
        <v>134</v>
      </c>
      <c r="C469" s="195">
        <v>1</v>
      </c>
      <c r="D469" s="195">
        <v>1</v>
      </c>
      <c r="E469" s="195">
        <v>1</v>
      </c>
      <c r="F469" s="195">
        <v>1</v>
      </c>
      <c r="G469" s="195">
        <v>1</v>
      </c>
      <c r="H469" s="195">
        <v>1</v>
      </c>
      <c r="I469" s="135" t="s">
        <v>123</v>
      </c>
      <c r="J469" s="81" t="s">
        <v>3562</v>
      </c>
      <c r="K469" s="81" t="s">
        <v>811</v>
      </c>
      <c r="L469" s="182" t="s">
        <v>811</v>
      </c>
      <c r="M469" s="81" t="s">
        <v>1763</v>
      </c>
      <c r="N469" s="81" t="s">
        <v>1764</v>
      </c>
      <c r="O469" s="81" t="s">
        <v>811</v>
      </c>
      <c r="P469" s="146"/>
      <c r="Q469" s="146"/>
      <c r="R469" s="146"/>
      <c r="S469" s="149"/>
      <c r="T469" s="149"/>
      <c r="U469" s="149"/>
      <c r="V469" s="149"/>
      <c r="W469" s="149"/>
      <c r="X469" s="149"/>
      <c r="Y469" s="149"/>
      <c r="Z469" s="149"/>
    </row>
    <row r="470" spans="1:26" ht="84" customHeight="1">
      <c r="A470" s="143"/>
      <c r="B470" s="947" t="s">
        <v>135</v>
      </c>
      <c r="C470" s="195">
        <v>1</v>
      </c>
      <c r="D470" s="195">
        <v>1</v>
      </c>
      <c r="E470" s="195">
        <v>1</v>
      </c>
      <c r="F470" s="195">
        <v>1</v>
      </c>
      <c r="G470" s="195">
        <v>1</v>
      </c>
      <c r="H470" s="195">
        <v>1</v>
      </c>
      <c r="I470" s="135" t="s">
        <v>123</v>
      </c>
      <c r="J470" s="81" t="s">
        <v>1765</v>
      </c>
      <c r="K470" s="81" t="s">
        <v>3563</v>
      </c>
      <c r="L470" s="81" t="s">
        <v>811</v>
      </c>
      <c r="M470" s="81" t="s">
        <v>3564</v>
      </c>
      <c r="N470" s="81" t="s">
        <v>811</v>
      </c>
      <c r="O470" s="81" t="s">
        <v>811</v>
      </c>
      <c r="P470" s="146"/>
      <c r="Q470" s="146"/>
      <c r="R470" s="146"/>
      <c r="S470" s="149"/>
      <c r="T470" s="149"/>
      <c r="U470" s="149"/>
      <c r="V470" s="149"/>
      <c r="W470" s="149"/>
      <c r="X470" s="149"/>
      <c r="Y470" s="149"/>
      <c r="Z470" s="149"/>
    </row>
    <row r="471" spans="1:26" ht="113.25" customHeight="1">
      <c r="A471" s="143"/>
      <c r="B471" s="947" t="s">
        <v>136</v>
      </c>
      <c r="C471" s="195">
        <v>1</v>
      </c>
      <c r="D471" s="195">
        <v>1</v>
      </c>
      <c r="E471" s="195">
        <v>1</v>
      </c>
      <c r="F471" s="195">
        <v>1</v>
      </c>
      <c r="G471" s="195">
        <v>1</v>
      </c>
      <c r="H471" s="195">
        <v>1</v>
      </c>
      <c r="I471" s="135" t="s">
        <v>123</v>
      </c>
      <c r="J471" s="81" t="s">
        <v>1767</v>
      </c>
      <c r="K471" s="81" t="s">
        <v>811</v>
      </c>
      <c r="L471" s="81" t="s">
        <v>811</v>
      </c>
      <c r="M471" s="81" t="s">
        <v>811</v>
      </c>
      <c r="N471" s="81" t="s">
        <v>811</v>
      </c>
      <c r="O471" s="81" t="s">
        <v>811</v>
      </c>
      <c r="P471" s="146"/>
      <c r="Q471" s="146"/>
      <c r="R471" s="146"/>
      <c r="S471" s="149"/>
      <c r="T471" s="149"/>
      <c r="U471" s="149"/>
      <c r="V471" s="149"/>
      <c r="W471" s="149"/>
      <c r="X471" s="149"/>
      <c r="Y471" s="149"/>
      <c r="Z471" s="149"/>
    </row>
    <row r="472" spans="1:26" ht="13.5" customHeight="1">
      <c r="A472" s="2"/>
      <c r="B472" s="952"/>
      <c r="C472" s="271"/>
      <c r="D472" s="911"/>
      <c r="E472" s="271"/>
      <c r="F472" s="271"/>
      <c r="G472" s="271"/>
      <c r="H472" s="271"/>
      <c r="I472" s="18"/>
      <c r="J472" s="291"/>
      <c r="K472" s="953"/>
      <c r="L472" s="953"/>
      <c r="M472" s="291"/>
      <c r="N472" s="953"/>
      <c r="O472" s="953"/>
      <c r="P472" s="15"/>
      <c r="Q472" s="15"/>
      <c r="R472" s="15"/>
      <c r="S472" s="15"/>
      <c r="T472" s="15"/>
      <c r="U472" s="15"/>
      <c r="V472" s="15"/>
      <c r="W472" s="15"/>
      <c r="X472" s="15"/>
      <c r="Y472" s="15"/>
      <c r="Z472" s="15"/>
    </row>
    <row r="473" spans="1:26" ht="54" customHeight="1">
      <c r="A473" s="413" t="s">
        <v>1768</v>
      </c>
      <c r="B473" s="414" t="s">
        <v>138</v>
      </c>
      <c r="C473" s="350">
        <f t="shared" ref="C473:H473" si="63">AVERAGE(C474,C489,C510,C533)</f>
        <v>0.64970238095238098</v>
      </c>
      <c r="D473" s="350">
        <f t="shared" si="63"/>
        <v>0.82678571428571423</v>
      </c>
      <c r="E473" s="350">
        <f t="shared" si="63"/>
        <v>0.21815476190476191</v>
      </c>
      <c r="F473" s="350">
        <f t="shared" si="63"/>
        <v>0.52827380952380953</v>
      </c>
      <c r="G473" s="350">
        <f t="shared" si="63"/>
        <v>0.45833333333333337</v>
      </c>
      <c r="H473" s="350">
        <f t="shared" si="63"/>
        <v>0.19166666666666668</v>
      </c>
      <c r="I473" s="415"/>
      <c r="J473" s="372"/>
      <c r="K473" s="163"/>
      <c r="L473" s="163"/>
      <c r="M473" s="416"/>
      <c r="N473" s="163"/>
      <c r="O473" s="163"/>
      <c r="P473" s="165"/>
      <c r="Q473" s="165"/>
      <c r="R473" s="165"/>
      <c r="S473" s="161"/>
      <c r="T473" s="161"/>
      <c r="U473" s="161"/>
      <c r="V473" s="161"/>
      <c r="W473" s="161"/>
      <c r="X473" s="161"/>
      <c r="Y473" s="161"/>
      <c r="Z473" s="161"/>
    </row>
    <row r="474" spans="1:26" ht="22.5" customHeight="1">
      <c r="A474" s="130" t="s">
        <v>1769</v>
      </c>
      <c r="B474" s="417" t="s">
        <v>140</v>
      </c>
      <c r="C474" s="72">
        <f t="shared" ref="C474:H474" si="64">AVERAGE(C475,C477,C479,C484)</f>
        <v>0.54166666666666663</v>
      </c>
      <c r="D474" s="72">
        <f t="shared" si="64"/>
        <v>0.83333333333333326</v>
      </c>
      <c r="E474" s="72">
        <f t="shared" si="64"/>
        <v>0.375</v>
      </c>
      <c r="F474" s="72">
        <f t="shared" si="64"/>
        <v>0.45833333333333337</v>
      </c>
      <c r="G474" s="72">
        <f t="shared" si="64"/>
        <v>0.5</v>
      </c>
      <c r="H474" s="72">
        <f t="shared" si="64"/>
        <v>0.16666666666666666</v>
      </c>
      <c r="I474" s="135"/>
      <c r="J474" s="74"/>
      <c r="K474" s="202"/>
      <c r="L474" s="202"/>
      <c r="M474" s="418"/>
      <c r="N474" s="203"/>
      <c r="O474" s="202"/>
      <c r="P474" s="205"/>
      <c r="Q474" s="205"/>
      <c r="R474" s="205"/>
      <c r="S474" s="206"/>
      <c r="T474" s="206"/>
      <c r="U474" s="206"/>
      <c r="V474" s="206"/>
      <c r="W474" s="206"/>
      <c r="X474" s="206"/>
      <c r="Y474" s="206"/>
      <c r="Z474" s="206"/>
    </row>
    <row r="475" spans="1:26" ht="234.75" customHeight="1">
      <c r="A475" s="419" t="s">
        <v>736</v>
      </c>
      <c r="B475" s="421" t="s">
        <v>3565</v>
      </c>
      <c r="C475" s="195">
        <v>1</v>
      </c>
      <c r="D475" s="195">
        <v>1</v>
      </c>
      <c r="E475" s="195">
        <v>0</v>
      </c>
      <c r="F475" s="951">
        <v>0.5</v>
      </c>
      <c r="G475" s="195">
        <v>1</v>
      </c>
      <c r="H475" s="195">
        <v>0</v>
      </c>
      <c r="I475" s="135" t="s">
        <v>3566</v>
      </c>
      <c r="J475" s="81" t="s">
        <v>3567</v>
      </c>
      <c r="K475" s="423" t="s">
        <v>3568</v>
      </c>
      <c r="L475" s="81" t="s">
        <v>3569</v>
      </c>
      <c r="M475" s="191" t="s">
        <v>3570</v>
      </c>
      <c r="N475" s="81" t="s">
        <v>3571</v>
      </c>
      <c r="O475" s="81" t="s">
        <v>3572</v>
      </c>
      <c r="P475" s="146"/>
      <c r="Q475" s="146"/>
      <c r="R475" s="146"/>
      <c r="S475" s="149"/>
      <c r="T475" s="149"/>
      <c r="U475" s="149"/>
      <c r="V475" s="149"/>
      <c r="W475" s="149"/>
      <c r="X475" s="149"/>
      <c r="Y475" s="149"/>
      <c r="Z475" s="149"/>
    </row>
    <row r="476" spans="1:26" ht="13.5" customHeight="1">
      <c r="A476" s="2"/>
      <c r="B476" s="950"/>
      <c r="C476" s="195"/>
      <c r="D476" s="195"/>
      <c r="E476" s="195"/>
      <c r="F476" s="195"/>
      <c r="G476" s="195"/>
      <c r="H476" s="195"/>
      <c r="I476" s="18"/>
      <c r="J476" s="156"/>
      <c r="K476" s="945"/>
      <c r="L476" s="945"/>
      <c r="M476" s="156"/>
      <c r="N476" s="945"/>
      <c r="O476" s="945"/>
      <c r="P476" s="15"/>
      <c r="Q476" s="15"/>
      <c r="R476" s="15"/>
      <c r="S476" s="15"/>
      <c r="T476" s="15"/>
      <c r="U476" s="15"/>
      <c r="V476" s="15"/>
      <c r="W476" s="15"/>
      <c r="X476" s="15"/>
      <c r="Y476" s="15"/>
      <c r="Z476" s="15"/>
    </row>
    <row r="477" spans="1:26" ht="186.75" customHeight="1">
      <c r="A477" s="419" t="s">
        <v>736</v>
      </c>
      <c r="B477" s="421" t="s">
        <v>143</v>
      </c>
      <c r="C477" s="195">
        <v>0</v>
      </c>
      <c r="D477" s="407">
        <v>1</v>
      </c>
      <c r="E477" s="195">
        <v>0</v>
      </c>
      <c r="F477" s="195">
        <v>0</v>
      </c>
      <c r="G477" s="195">
        <v>0.5</v>
      </c>
      <c r="H477" s="195">
        <v>0</v>
      </c>
      <c r="I477" s="261" t="s">
        <v>144</v>
      </c>
      <c r="J477" s="81" t="s">
        <v>3573</v>
      </c>
      <c r="K477" s="81" t="s">
        <v>3574</v>
      </c>
      <c r="L477" s="81" t="s">
        <v>3575</v>
      </c>
      <c r="M477" s="81" t="s">
        <v>3576</v>
      </c>
      <c r="N477" s="81" t="s">
        <v>3577</v>
      </c>
      <c r="O477" s="81" t="s">
        <v>811</v>
      </c>
      <c r="P477" s="75"/>
      <c r="Q477" s="146"/>
      <c r="R477" s="146"/>
      <c r="S477" s="149"/>
      <c r="T477" s="149"/>
      <c r="U477" s="149"/>
      <c r="V477" s="149"/>
      <c r="W477" s="149"/>
      <c r="X477" s="149"/>
      <c r="Y477" s="149"/>
      <c r="Z477" s="149"/>
    </row>
    <row r="478" spans="1:26" ht="13.5" customHeight="1">
      <c r="A478" s="2"/>
      <c r="B478" s="950"/>
      <c r="C478" s="195"/>
      <c r="D478" s="195"/>
      <c r="E478" s="195"/>
      <c r="F478" s="195"/>
      <c r="G478" s="195"/>
      <c r="H478" s="195"/>
      <c r="I478" s="18"/>
      <c r="J478" s="156"/>
      <c r="K478" s="945"/>
      <c r="L478" s="945"/>
      <c r="M478" s="156"/>
      <c r="N478" s="945"/>
      <c r="O478" s="945"/>
      <c r="P478" s="15"/>
      <c r="Q478" s="15"/>
      <c r="R478" s="15"/>
      <c r="S478" s="15"/>
      <c r="T478" s="15"/>
      <c r="U478" s="15"/>
      <c r="V478" s="15"/>
      <c r="W478" s="15"/>
      <c r="X478" s="15"/>
      <c r="Y478" s="15"/>
      <c r="Z478" s="15"/>
    </row>
    <row r="479" spans="1:26" ht="116.25" customHeight="1">
      <c r="A479" s="419" t="s">
        <v>736</v>
      </c>
      <c r="B479" s="194" t="s">
        <v>145</v>
      </c>
      <c r="C479" s="195">
        <f t="shared" ref="C479:H479" si="65">AVERAGE(C480:C482)</f>
        <v>0.66666666666666663</v>
      </c>
      <c r="D479" s="195">
        <f t="shared" si="65"/>
        <v>0.66666666666666663</v>
      </c>
      <c r="E479" s="195">
        <f t="shared" si="65"/>
        <v>0.5</v>
      </c>
      <c r="F479" s="195">
        <f t="shared" si="65"/>
        <v>0.5</v>
      </c>
      <c r="G479" s="195">
        <f t="shared" si="65"/>
        <v>0.33333333333333331</v>
      </c>
      <c r="H479" s="195">
        <f t="shared" si="65"/>
        <v>0.66666666666666663</v>
      </c>
      <c r="I479" s="135"/>
      <c r="J479" s="219"/>
      <c r="K479" s="427"/>
      <c r="L479" s="178" t="s">
        <v>3578</v>
      </c>
      <c r="M479" s="178" t="s">
        <v>3579</v>
      </c>
      <c r="N479" s="428" t="s">
        <v>3580</v>
      </c>
      <c r="O479" s="81" t="s">
        <v>3581</v>
      </c>
      <c r="P479" s="146"/>
      <c r="Q479" s="146"/>
      <c r="R479" s="146"/>
      <c r="S479" s="149"/>
      <c r="T479" s="149"/>
      <c r="U479" s="149"/>
      <c r="V479" s="149"/>
      <c r="W479" s="149"/>
      <c r="X479" s="149"/>
      <c r="Y479" s="149"/>
      <c r="Z479" s="149"/>
    </row>
    <row r="480" spans="1:26" ht="55.5" customHeight="1">
      <c r="A480" s="419"/>
      <c r="B480" s="212" t="s">
        <v>146</v>
      </c>
      <c r="C480" s="195">
        <v>0.5</v>
      </c>
      <c r="D480" s="195">
        <v>1</v>
      </c>
      <c r="E480" s="195">
        <v>0.5</v>
      </c>
      <c r="F480" s="195">
        <v>0.5</v>
      </c>
      <c r="G480" s="195">
        <v>0.5</v>
      </c>
      <c r="H480" s="195">
        <v>0.5</v>
      </c>
      <c r="I480" s="135" t="s">
        <v>3582</v>
      </c>
      <c r="J480" s="81" t="s">
        <v>3583</v>
      </c>
      <c r="K480" s="188" t="s">
        <v>3584</v>
      </c>
      <c r="L480" s="188" t="s">
        <v>3578</v>
      </c>
      <c r="M480" s="178" t="s">
        <v>3585</v>
      </c>
      <c r="N480" s="81" t="s">
        <v>3586</v>
      </c>
      <c r="O480" s="81" t="s">
        <v>1788</v>
      </c>
      <c r="P480" s="146"/>
      <c r="Q480" s="146"/>
      <c r="R480" s="146"/>
      <c r="S480" s="149"/>
      <c r="T480" s="149"/>
      <c r="U480" s="149"/>
      <c r="V480" s="149"/>
      <c r="W480" s="149"/>
      <c r="X480" s="149"/>
      <c r="Y480" s="149"/>
      <c r="Z480" s="149"/>
    </row>
    <row r="481" spans="1:26" ht="72" customHeight="1">
      <c r="A481" s="419"/>
      <c r="B481" s="212" t="s">
        <v>148</v>
      </c>
      <c r="C481" s="951">
        <v>0.5</v>
      </c>
      <c r="D481" s="195">
        <v>1</v>
      </c>
      <c r="E481" s="951">
        <v>0.5</v>
      </c>
      <c r="F481" s="195">
        <v>1</v>
      </c>
      <c r="G481" s="195">
        <v>0.5</v>
      </c>
      <c r="H481" s="195">
        <v>0.5</v>
      </c>
      <c r="I481" s="135" t="s">
        <v>3582</v>
      </c>
      <c r="J481" s="81" t="s">
        <v>3587</v>
      </c>
      <c r="K481" s="81" t="s">
        <v>3588</v>
      </c>
      <c r="L481" s="188" t="s">
        <v>3578</v>
      </c>
      <c r="M481" s="81" t="s">
        <v>3589</v>
      </c>
      <c r="N481" s="81" t="s">
        <v>3590</v>
      </c>
      <c r="O481" s="81" t="s">
        <v>3591</v>
      </c>
      <c r="P481" s="146"/>
      <c r="Q481" s="146"/>
      <c r="R481" s="146"/>
      <c r="S481" s="149"/>
      <c r="T481" s="149"/>
      <c r="U481" s="149"/>
      <c r="V481" s="149"/>
      <c r="W481" s="149"/>
      <c r="X481" s="149"/>
      <c r="Y481" s="149"/>
      <c r="Z481" s="149"/>
    </row>
    <row r="482" spans="1:26" ht="64.5" customHeight="1">
      <c r="A482" s="419"/>
      <c r="B482" s="212" t="s">
        <v>149</v>
      </c>
      <c r="C482" s="195">
        <v>1</v>
      </c>
      <c r="D482" s="951">
        <v>0</v>
      </c>
      <c r="E482" s="951">
        <v>0.5</v>
      </c>
      <c r="F482" s="951">
        <v>0</v>
      </c>
      <c r="G482" s="951">
        <v>0</v>
      </c>
      <c r="H482" s="195">
        <v>1</v>
      </c>
      <c r="I482" s="135" t="s">
        <v>38</v>
      </c>
      <c r="J482" s="81" t="s">
        <v>1794</v>
      </c>
      <c r="K482" s="219" t="s">
        <v>3592</v>
      </c>
      <c r="L482" s="178" t="s">
        <v>3578</v>
      </c>
      <c r="M482" s="178" t="s">
        <v>3593</v>
      </c>
      <c r="N482" s="219" t="s">
        <v>3594</v>
      </c>
      <c r="O482" s="81" t="s">
        <v>1797</v>
      </c>
      <c r="P482" s="146"/>
      <c r="Q482" s="146"/>
      <c r="R482" s="146"/>
      <c r="S482" s="149"/>
      <c r="T482" s="149"/>
      <c r="U482" s="149"/>
      <c r="V482" s="149"/>
      <c r="W482" s="149"/>
      <c r="X482" s="149"/>
      <c r="Y482" s="149"/>
      <c r="Z482" s="149"/>
    </row>
    <row r="483" spans="1:26" ht="13.5" customHeight="1">
      <c r="A483" s="419"/>
      <c r="B483" s="432"/>
      <c r="C483" s="195"/>
      <c r="D483" s="195"/>
      <c r="E483" s="195"/>
      <c r="F483" s="195"/>
      <c r="G483" s="195"/>
      <c r="H483" s="195"/>
      <c r="I483" s="135"/>
      <c r="J483" s="81"/>
      <c r="K483" s="178"/>
      <c r="L483" s="178"/>
      <c r="M483" s="178"/>
      <c r="N483" s="80"/>
      <c r="O483" s="170"/>
      <c r="P483" s="146"/>
      <c r="Q483" s="146"/>
      <c r="R483" s="146"/>
      <c r="S483" s="149"/>
      <c r="T483" s="149"/>
      <c r="U483" s="149"/>
      <c r="V483" s="149"/>
      <c r="W483" s="149"/>
      <c r="X483" s="149"/>
      <c r="Y483" s="149"/>
      <c r="Z483" s="149"/>
    </row>
    <row r="484" spans="1:26" ht="314.25" customHeight="1">
      <c r="A484" s="419" t="s">
        <v>736</v>
      </c>
      <c r="B484" s="194" t="s">
        <v>150</v>
      </c>
      <c r="C484" s="195">
        <f t="shared" ref="C484:H484" si="66">AVERAGE(C485:C487)</f>
        <v>0.5</v>
      </c>
      <c r="D484" s="195">
        <f t="shared" si="66"/>
        <v>0.66666666666666663</v>
      </c>
      <c r="E484" s="195">
        <f t="shared" si="66"/>
        <v>1</v>
      </c>
      <c r="F484" s="195">
        <f t="shared" si="66"/>
        <v>0.83333333333333337</v>
      </c>
      <c r="G484" s="195">
        <f t="shared" si="66"/>
        <v>0.16666666666666666</v>
      </c>
      <c r="H484" s="195">
        <f t="shared" si="66"/>
        <v>0</v>
      </c>
      <c r="I484" s="135"/>
      <c r="J484" s="81"/>
      <c r="K484" s="178"/>
      <c r="L484" s="178"/>
      <c r="M484" s="178" t="s">
        <v>3595</v>
      </c>
      <c r="N484" s="188" t="s">
        <v>3596</v>
      </c>
      <c r="O484" s="81" t="s">
        <v>3597</v>
      </c>
      <c r="P484" s="146"/>
      <c r="Q484" s="146"/>
      <c r="R484" s="146"/>
      <c r="S484" s="149"/>
      <c r="T484" s="149"/>
      <c r="U484" s="149"/>
      <c r="V484" s="149"/>
      <c r="W484" s="149"/>
      <c r="X484" s="149"/>
      <c r="Y484" s="149"/>
      <c r="Z484" s="149"/>
    </row>
    <row r="485" spans="1:26" ht="113.25" customHeight="1">
      <c r="A485" s="419"/>
      <c r="B485" s="212" t="s">
        <v>146</v>
      </c>
      <c r="C485" s="951">
        <v>0.5</v>
      </c>
      <c r="D485" s="195">
        <v>1</v>
      </c>
      <c r="E485" s="407">
        <v>1</v>
      </c>
      <c r="F485" s="229">
        <v>1</v>
      </c>
      <c r="G485" s="195">
        <v>0.5</v>
      </c>
      <c r="H485" s="195">
        <v>0</v>
      </c>
      <c r="I485" s="135" t="s">
        <v>3582</v>
      </c>
      <c r="J485" s="81" t="s">
        <v>3598</v>
      </c>
      <c r="K485" s="178" t="s">
        <v>3599</v>
      </c>
      <c r="L485" s="182" t="s">
        <v>3600</v>
      </c>
      <c r="M485" s="178" t="s">
        <v>3601</v>
      </c>
      <c r="N485" s="81" t="s">
        <v>3602</v>
      </c>
      <c r="O485" s="81" t="s">
        <v>3603</v>
      </c>
      <c r="P485" s="146"/>
      <c r="Q485" s="146"/>
      <c r="R485" s="146"/>
      <c r="S485" s="149"/>
      <c r="T485" s="149"/>
      <c r="U485" s="149"/>
      <c r="V485" s="149"/>
      <c r="W485" s="149"/>
      <c r="X485" s="149"/>
      <c r="Y485" s="149"/>
      <c r="Z485" s="149"/>
    </row>
    <row r="486" spans="1:26" ht="103.5" customHeight="1">
      <c r="A486" s="419"/>
      <c r="B486" s="212" t="s">
        <v>148</v>
      </c>
      <c r="C486" s="951">
        <v>0.5</v>
      </c>
      <c r="D486" s="195">
        <v>1</v>
      </c>
      <c r="E486" s="407">
        <v>1</v>
      </c>
      <c r="F486" s="407">
        <v>1</v>
      </c>
      <c r="G486" s="407">
        <v>0</v>
      </c>
      <c r="H486" s="195">
        <v>0</v>
      </c>
      <c r="I486" s="135" t="s">
        <v>3582</v>
      </c>
      <c r="J486" s="81" t="s">
        <v>3604</v>
      </c>
      <c r="K486" s="178" t="s">
        <v>3605</v>
      </c>
      <c r="L486" s="182" t="s">
        <v>811</v>
      </c>
      <c r="M486" s="178" t="s">
        <v>3606</v>
      </c>
      <c r="N486" s="182" t="s">
        <v>3607</v>
      </c>
      <c r="O486" s="81" t="s">
        <v>3608</v>
      </c>
      <c r="P486" s="146"/>
      <c r="Q486" s="146"/>
      <c r="R486" s="146"/>
      <c r="S486" s="149"/>
      <c r="T486" s="149"/>
      <c r="U486" s="149"/>
      <c r="V486" s="149"/>
      <c r="W486" s="149"/>
      <c r="X486" s="149"/>
      <c r="Y486" s="149"/>
      <c r="Z486" s="149"/>
    </row>
    <row r="487" spans="1:26" ht="78" customHeight="1">
      <c r="A487" s="419"/>
      <c r="B487" s="212" t="s">
        <v>149</v>
      </c>
      <c r="C487" s="951">
        <v>0.5</v>
      </c>
      <c r="D487" s="951">
        <v>0</v>
      </c>
      <c r="E487" s="407">
        <v>1</v>
      </c>
      <c r="F487" s="951">
        <v>0.5</v>
      </c>
      <c r="G487" s="951">
        <v>0</v>
      </c>
      <c r="H487" s="195">
        <v>0</v>
      </c>
      <c r="I487" s="135" t="s">
        <v>3582</v>
      </c>
      <c r="J487" s="81" t="s">
        <v>3609</v>
      </c>
      <c r="K487" s="178" t="s">
        <v>3592</v>
      </c>
      <c r="L487" s="182" t="s">
        <v>811</v>
      </c>
      <c r="M487" s="178" t="s">
        <v>3610</v>
      </c>
      <c r="N487" s="81" t="s">
        <v>3611</v>
      </c>
      <c r="O487" s="81" t="s">
        <v>3612</v>
      </c>
      <c r="P487" s="146"/>
      <c r="Q487" s="146"/>
      <c r="R487" s="146"/>
      <c r="S487" s="149"/>
      <c r="T487" s="149"/>
      <c r="U487" s="149"/>
      <c r="V487" s="149"/>
      <c r="W487" s="149"/>
      <c r="X487" s="149"/>
      <c r="Y487" s="149"/>
      <c r="Z487" s="149"/>
    </row>
    <row r="488" spans="1:26" ht="13.5" customHeight="1">
      <c r="A488" s="419"/>
      <c r="B488" s="432"/>
      <c r="C488" s="195"/>
      <c r="D488" s="195"/>
      <c r="E488" s="195"/>
      <c r="F488" s="195"/>
      <c r="G488" s="195"/>
      <c r="H488" s="195"/>
      <c r="I488" s="135"/>
      <c r="J488" s="81"/>
      <c r="K488" s="178"/>
      <c r="L488" s="178"/>
      <c r="M488" s="178"/>
      <c r="N488" s="80"/>
      <c r="O488" s="170"/>
      <c r="P488" s="146"/>
      <c r="Q488" s="146"/>
      <c r="R488" s="146"/>
      <c r="S488" s="149"/>
      <c r="T488" s="149"/>
      <c r="U488" s="149"/>
      <c r="V488" s="149"/>
      <c r="W488" s="149"/>
      <c r="X488" s="149"/>
      <c r="Y488" s="149"/>
      <c r="Z488" s="149"/>
    </row>
    <row r="489" spans="1:26" ht="18" customHeight="1">
      <c r="A489" s="130" t="s">
        <v>1812</v>
      </c>
      <c r="B489" s="436" t="s">
        <v>152</v>
      </c>
      <c r="C489" s="175">
        <f t="shared" ref="C489:H489" si="67">AVERAGE(C490,C492,C494,C496,C498,C500,C502,C504,C506,C508)</f>
        <v>0.7</v>
      </c>
      <c r="D489" s="175">
        <f t="shared" si="67"/>
        <v>0.85</v>
      </c>
      <c r="E489" s="175">
        <f t="shared" si="67"/>
        <v>0.25</v>
      </c>
      <c r="F489" s="175">
        <f t="shared" si="67"/>
        <v>0.55000000000000004</v>
      </c>
      <c r="G489" s="175">
        <f t="shared" si="67"/>
        <v>0.6</v>
      </c>
      <c r="H489" s="175">
        <f t="shared" si="67"/>
        <v>0.2</v>
      </c>
      <c r="I489" s="135"/>
      <c r="J489" s="81"/>
      <c r="K489" s="80"/>
      <c r="L489" s="80"/>
      <c r="M489" s="80"/>
      <c r="N489" s="80"/>
      <c r="O489" s="221"/>
      <c r="P489" s="205"/>
      <c r="Q489" s="205"/>
      <c r="R489" s="205"/>
      <c r="S489" s="206"/>
      <c r="T489" s="206"/>
      <c r="U489" s="206"/>
      <c r="V489" s="206"/>
      <c r="W489" s="206"/>
      <c r="X489" s="206"/>
      <c r="Y489" s="206"/>
      <c r="Z489" s="206"/>
    </row>
    <row r="490" spans="1:26" ht="134.25" customHeight="1">
      <c r="A490" s="143" t="s">
        <v>736</v>
      </c>
      <c r="B490" s="194" t="s">
        <v>153</v>
      </c>
      <c r="C490" s="80">
        <v>0.5</v>
      </c>
      <c r="D490" s="80">
        <v>1</v>
      </c>
      <c r="E490" s="386">
        <v>0.5</v>
      </c>
      <c r="F490" s="80">
        <v>0.5</v>
      </c>
      <c r="G490" s="386">
        <v>0.5</v>
      </c>
      <c r="H490" s="80">
        <v>0.5</v>
      </c>
      <c r="I490" s="135" t="s">
        <v>3613</v>
      </c>
      <c r="J490" s="437" t="s">
        <v>3614</v>
      </c>
      <c r="K490" s="81" t="s">
        <v>811</v>
      </c>
      <c r="L490" s="81" t="s">
        <v>3615</v>
      </c>
      <c r="M490" s="81" t="s">
        <v>3616</v>
      </c>
      <c r="N490" s="81" t="s">
        <v>3617</v>
      </c>
      <c r="O490" s="81" t="s">
        <v>3618</v>
      </c>
      <c r="P490" s="146"/>
      <c r="Q490" s="146"/>
      <c r="R490" s="146"/>
      <c r="S490" s="149"/>
      <c r="T490" s="149"/>
      <c r="U490" s="149"/>
      <c r="V490" s="149"/>
      <c r="W490" s="149"/>
      <c r="X490" s="149"/>
      <c r="Y490" s="149"/>
      <c r="Z490" s="149"/>
    </row>
    <row r="491" spans="1:26" ht="18.75" customHeight="1">
      <c r="A491" s="143"/>
      <c r="B491" s="194"/>
      <c r="C491" s="80"/>
      <c r="D491" s="80"/>
      <c r="E491" s="80"/>
      <c r="F491" s="80"/>
      <c r="G491" s="80"/>
      <c r="H491" s="80"/>
      <c r="I491" s="149"/>
      <c r="J491" s="81"/>
      <c r="K491" s="81"/>
      <c r="L491" s="81"/>
      <c r="M491" s="81"/>
      <c r="N491" s="81"/>
      <c r="O491" s="81"/>
      <c r="P491" s="146"/>
      <c r="Q491" s="146"/>
      <c r="R491" s="146"/>
      <c r="S491" s="149"/>
      <c r="T491" s="149"/>
      <c r="U491" s="149"/>
      <c r="V491" s="149"/>
      <c r="W491" s="149"/>
      <c r="X491" s="149"/>
      <c r="Y491" s="149"/>
      <c r="Z491" s="149"/>
    </row>
    <row r="492" spans="1:26" ht="145.5" customHeight="1">
      <c r="A492" s="143" t="s">
        <v>736</v>
      </c>
      <c r="B492" s="194" t="s">
        <v>3619</v>
      </c>
      <c r="C492" s="195">
        <v>1</v>
      </c>
      <c r="D492" s="195">
        <v>1</v>
      </c>
      <c r="E492" s="195">
        <v>1</v>
      </c>
      <c r="F492" s="195">
        <v>0.5</v>
      </c>
      <c r="G492" s="195">
        <v>1</v>
      </c>
      <c r="H492" s="195">
        <v>1</v>
      </c>
      <c r="I492" s="135" t="s">
        <v>3620</v>
      </c>
      <c r="J492" s="81" t="s">
        <v>3621</v>
      </c>
      <c r="K492" s="439" t="s">
        <v>3622</v>
      </c>
      <c r="L492" s="81" t="s">
        <v>3623</v>
      </c>
      <c r="M492" s="83" t="s">
        <v>3624</v>
      </c>
      <c r="N492" s="188" t="s">
        <v>1822</v>
      </c>
      <c r="O492" s="81" t="s">
        <v>3625</v>
      </c>
      <c r="P492" s="146"/>
      <c r="Q492" s="146"/>
      <c r="R492" s="146"/>
      <c r="S492" s="149"/>
      <c r="T492" s="149"/>
      <c r="U492" s="149"/>
      <c r="V492" s="149"/>
      <c r="W492" s="149"/>
      <c r="X492" s="149"/>
      <c r="Y492" s="149"/>
      <c r="Z492" s="149"/>
    </row>
    <row r="493" spans="1:26" ht="13.5" customHeight="1">
      <c r="A493" s="143"/>
      <c r="B493" s="194"/>
      <c r="C493" s="195"/>
      <c r="D493" s="195"/>
      <c r="E493" s="195"/>
      <c r="F493" s="195"/>
      <c r="G493" s="195"/>
      <c r="H493" s="195"/>
      <c r="I493" s="135"/>
      <c r="J493" s="81"/>
      <c r="K493" s="439"/>
      <c r="L493" s="81"/>
      <c r="M493" s="83"/>
      <c r="N493" s="188"/>
      <c r="O493" s="81"/>
      <c r="P493" s="146"/>
      <c r="Q493" s="146"/>
      <c r="R493" s="146"/>
      <c r="S493" s="149"/>
      <c r="T493" s="149"/>
      <c r="U493" s="149"/>
      <c r="V493" s="149"/>
      <c r="W493" s="149"/>
      <c r="X493" s="149"/>
      <c r="Y493" s="149"/>
      <c r="Z493" s="149"/>
    </row>
    <row r="494" spans="1:26" ht="146.25" customHeight="1">
      <c r="A494" s="143" t="s">
        <v>736</v>
      </c>
      <c r="B494" s="194" t="s">
        <v>3626</v>
      </c>
      <c r="C494" s="195">
        <v>0</v>
      </c>
      <c r="D494" s="195">
        <v>1</v>
      </c>
      <c r="E494" s="195">
        <v>0</v>
      </c>
      <c r="F494" s="195">
        <v>0</v>
      </c>
      <c r="G494" s="195">
        <v>0</v>
      </c>
      <c r="H494" s="195">
        <v>0</v>
      </c>
      <c r="I494" s="135" t="s">
        <v>38</v>
      </c>
      <c r="J494" s="81" t="s">
        <v>3627</v>
      </c>
      <c r="K494" s="81" t="s">
        <v>3628</v>
      </c>
      <c r="L494" s="442" t="s">
        <v>3629</v>
      </c>
      <c r="M494" s="81" t="s">
        <v>3630</v>
      </c>
      <c r="N494" s="443" t="s">
        <v>3631</v>
      </c>
      <c r="O494" s="81" t="s">
        <v>3632</v>
      </c>
      <c r="P494" s="146"/>
      <c r="Q494" s="146"/>
      <c r="R494" s="146"/>
      <c r="S494" s="149"/>
      <c r="T494" s="149"/>
      <c r="U494" s="149"/>
      <c r="V494" s="149"/>
      <c r="W494" s="149"/>
      <c r="X494" s="149"/>
      <c r="Y494" s="149"/>
      <c r="Z494" s="149"/>
    </row>
    <row r="495" spans="1:26" ht="13.5" customHeight="1">
      <c r="A495" s="2"/>
      <c r="B495" s="950"/>
      <c r="C495" s="195"/>
      <c r="D495" s="195"/>
      <c r="E495" s="195"/>
      <c r="F495" s="195"/>
      <c r="G495" s="195"/>
      <c r="H495" s="195"/>
      <c r="I495" s="18"/>
      <c r="J495" s="156"/>
      <c r="K495" s="945"/>
      <c r="L495" s="945"/>
      <c r="M495" s="156"/>
      <c r="N495" s="945"/>
      <c r="O495" s="945"/>
      <c r="P495" s="15"/>
      <c r="Q495" s="15"/>
      <c r="R495" s="15"/>
      <c r="S495" s="15"/>
      <c r="T495" s="15"/>
      <c r="U495" s="15"/>
      <c r="V495" s="15"/>
      <c r="W495" s="15"/>
      <c r="X495" s="15"/>
      <c r="Y495" s="15"/>
      <c r="Z495" s="15"/>
    </row>
    <row r="496" spans="1:26" ht="115.5" customHeight="1">
      <c r="A496" s="143" t="s">
        <v>736</v>
      </c>
      <c r="B496" s="194" t="s">
        <v>158</v>
      </c>
      <c r="C496" s="951">
        <v>1</v>
      </c>
      <c r="D496" s="951">
        <v>1</v>
      </c>
      <c r="E496" s="951">
        <v>1</v>
      </c>
      <c r="F496" s="951">
        <v>0</v>
      </c>
      <c r="G496" s="951">
        <v>0.5</v>
      </c>
      <c r="H496" s="195">
        <v>0</v>
      </c>
      <c r="I496" s="135" t="s">
        <v>3582</v>
      </c>
      <c r="J496" s="81" t="s">
        <v>3633</v>
      </c>
      <c r="K496" s="439" t="s">
        <v>3634</v>
      </c>
      <c r="L496" s="81" t="s">
        <v>3635</v>
      </c>
      <c r="M496" s="443" t="s">
        <v>3636</v>
      </c>
      <c r="N496" s="81" t="s">
        <v>3637</v>
      </c>
      <c r="O496" s="81" t="s">
        <v>3638</v>
      </c>
      <c r="P496" s="146"/>
      <c r="Q496" s="146"/>
      <c r="R496" s="146"/>
      <c r="S496" s="149"/>
      <c r="T496" s="149"/>
      <c r="U496" s="149"/>
      <c r="V496" s="149"/>
      <c r="W496" s="149"/>
      <c r="X496" s="149"/>
      <c r="Y496" s="149"/>
      <c r="Z496" s="149"/>
    </row>
    <row r="497" spans="1:26" ht="13.5" customHeight="1">
      <c r="A497" s="2"/>
      <c r="B497" s="950"/>
      <c r="C497" s="195"/>
      <c r="D497" s="195"/>
      <c r="E497" s="195"/>
      <c r="F497" s="195"/>
      <c r="G497" s="195"/>
      <c r="H497" s="195"/>
      <c r="I497" s="18"/>
      <c r="J497" s="156"/>
      <c r="K497" s="945"/>
      <c r="L497" s="945"/>
      <c r="M497" s="156"/>
      <c r="N497" s="945"/>
      <c r="O497" s="945"/>
      <c r="P497" s="15"/>
      <c r="Q497" s="15"/>
      <c r="R497" s="15"/>
      <c r="S497" s="15"/>
      <c r="T497" s="15"/>
      <c r="U497" s="15"/>
      <c r="V497" s="15"/>
      <c r="W497" s="15"/>
      <c r="X497" s="15"/>
      <c r="Y497" s="15"/>
      <c r="Z497" s="15"/>
    </row>
    <row r="498" spans="1:26" ht="212.25" customHeight="1">
      <c r="A498" s="143" t="s">
        <v>736</v>
      </c>
      <c r="B498" s="194" t="s">
        <v>3639</v>
      </c>
      <c r="C498" s="407">
        <v>0</v>
      </c>
      <c r="D498" s="195">
        <v>0.5</v>
      </c>
      <c r="E498" s="195">
        <v>0</v>
      </c>
      <c r="F498" s="195">
        <v>0.5</v>
      </c>
      <c r="G498" s="195">
        <v>0</v>
      </c>
      <c r="H498" s="195">
        <v>0</v>
      </c>
      <c r="I498" s="135" t="s">
        <v>3582</v>
      </c>
      <c r="J498" s="81" t="s">
        <v>3640</v>
      </c>
      <c r="K498" s="81" t="s">
        <v>1836</v>
      </c>
      <c r="L498" s="81" t="s">
        <v>3641</v>
      </c>
      <c r="M498" s="81" t="s">
        <v>3642</v>
      </c>
      <c r="N498" s="81" t="s">
        <v>3643</v>
      </c>
      <c r="O498" s="81" t="s">
        <v>3644</v>
      </c>
      <c r="P498" s="146"/>
      <c r="Q498" s="146"/>
      <c r="R498" s="146"/>
      <c r="S498" s="149"/>
      <c r="T498" s="149"/>
      <c r="U498" s="149"/>
      <c r="V498" s="149"/>
      <c r="W498" s="149"/>
      <c r="X498" s="149"/>
      <c r="Y498" s="149"/>
      <c r="Z498" s="149"/>
    </row>
    <row r="499" spans="1:26" ht="13.5" customHeight="1">
      <c r="A499" s="2"/>
      <c r="B499" s="950"/>
      <c r="C499" s="195"/>
      <c r="D499" s="195"/>
      <c r="E499" s="195"/>
      <c r="F499" s="195"/>
      <c r="G499" s="195"/>
      <c r="H499" s="195"/>
      <c r="I499" s="18"/>
      <c r="J499" s="156"/>
      <c r="K499" s="945"/>
      <c r="L499" s="945"/>
      <c r="M499" s="156"/>
      <c r="N499" s="945"/>
      <c r="O499" s="945"/>
      <c r="P499" s="15"/>
      <c r="Q499" s="15"/>
      <c r="R499" s="15"/>
      <c r="S499" s="15"/>
      <c r="T499" s="15"/>
      <c r="U499" s="15"/>
      <c r="V499" s="15"/>
      <c r="W499" s="15"/>
      <c r="X499" s="15"/>
      <c r="Y499" s="15"/>
      <c r="Z499" s="15"/>
    </row>
    <row r="500" spans="1:26" ht="174.75" customHeight="1">
      <c r="A500" s="143" t="s">
        <v>736</v>
      </c>
      <c r="B500" s="194" t="s">
        <v>1841</v>
      </c>
      <c r="C500" s="195">
        <v>1</v>
      </c>
      <c r="D500" s="195">
        <v>1</v>
      </c>
      <c r="E500" s="195">
        <v>0</v>
      </c>
      <c r="F500" s="195">
        <v>1</v>
      </c>
      <c r="G500" s="195">
        <v>1</v>
      </c>
      <c r="H500" s="195">
        <v>0</v>
      </c>
      <c r="I500" s="135" t="s">
        <v>38</v>
      </c>
      <c r="J500" s="81" t="s">
        <v>3645</v>
      </c>
      <c r="K500" s="188" t="s">
        <v>3646</v>
      </c>
      <c r="L500" s="81" t="s">
        <v>3647</v>
      </c>
      <c r="M500" s="83" t="s">
        <v>3648</v>
      </c>
      <c r="N500" s="81" t="s">
        <v>3649</v>
      </c>
      <c r="O500" s="81" t="s">
        <v>3650</v>
      </c>
      <c r="P500" s="146"/>
      <c r="Q500" s="146"/>
      <c r="R500" s="146"/>
      <c r="S500" s="149"/>
      <c r="T500" s="149"/>
      <c r="U500" s="149"/>
      <c r="V500" s="149"/>
      <c r="W500" s="149"/>
      <c r="X500" s="149"/>
      <c r="Y500" s="149"/>
      <c r="Z500" s="149"/>
    </row>
    <row r="501" spans="1:26" ht="27" customHeight="1">
      <c r="A501" s="143"/>
      <c r="B501" s="421"/>
      <c r="C501" s="80"/>
      <c r="D501" s="80"/>
      <c r="E501" s="80"/>
      <c r="F501" s="80"/>
      <c r="G501" s="80"/>
      <c r="H501" s="80"/>
      <c r="I501" s="149"/>
      <c r="J501" s="81"/>
      <c r="K501" s="81"/>
      <c r="L501" s="81"/>
      <c r="M501" s="83"/>
      <c r="N501" s="81"/>
      <c r="O501" s="81"/>
      <c r="P501" s="146"/>
      <c r="Q501" s="146"/>
      <c r="R501" s="146"/>
      <c r="S501" s="149"/>
      <c r="T501" s="149"/>
      <c r="U501" s="149"/>
      <c r="V501" s="149"/>
      <c r="W501" s="149"/>
      <c r="X501" s="149"/>
      <c r="Y501" s="149"/>
      <c r="Z501" s="149"/>
    </row>
    <row r="502" spans="1:26" ht="145.5" customHeight="1">
      <c r="A502" s="143" t="s">
        <v>736</v>
      </c>
      <c r="B502" s="194" t="s">
        <v>1848</v>
      </c>
      <c r="C502" s="195">
        <v>0.5</v>
      </c>
      <c r="D502" s="195">
        <v>0</v>
      </c>
      <c r="E502" s="195">
        <v>0</v>
      </c>
      <c r="F502" s="195">
        <v>0.5</v>
      </c>
      <c r="G502" s="195">
        <v>0.5</v>
      </c>
      <c r="H502" s="195">
        <v>0</v>
      </c>
      <c r="I502" s="135" t="s">
        <v>3582</v>
      </c>
      <c r="J502" s="81" t="s">
        <v>3651</v>
      </c>
      <c r="K502" s="81" t="s">
        <v>748</v>
      </c>
      <c r="L502" s="81" t="s">
        <v>748</v>
      </c>
      <c r="M502" s="81" t="s">
        <v>3652</v>
      </c>
      <c r="N502" s="81" t="s">
        <v>3653</v>
      </c>
      <c r="O502" s="81" t="s">
        <v>3654</v>
      </c>
      <c r="P502" s="146"/>
      <c r="Q502" s="146"/>
      <c r="R502" s="146"/>
      <c r="S502" s="149"/>
      <c r="T502" s="149"/>
      <c r="U502" s="149"/>
      <c r="V502" s="149"/>
      <c r="W502" s="149"/>
      <c r="X502" s="149"/>
      <c r="Y502" s="149"/>
      <c r="Z502" s="149"/>
    </row>
    <row r="503" spans="1:26" ht="13.5" customHeight="1">
      <c r="A503" s="143"/>
      <c r="B503" s="194"/>
      <c r="C503" s="195"/>
      <c r="D503" s="195"/>
      <c r="E503" s="195"/>
      <c r="F503" s="195"/>
      <c r="G503" s="195"/>
      <c r="H503" s="195"/>
      <c r="I503" s="135"/>
      <c r="J503" s="81"/>
      <c r="K503" s="80"/>
      <c r="L503" s="80"/>
      <c r="M503" s="80"/>
      <c r="N503" s="80"/>
      <c r="O503" s="170"/>
      <c r="P503" s="146"/>
      <c r="Q503" s="146"/>
      <c r="R503" s="146"/>
      <c r="S503" s="149"/>
      <c r="T503" s="149"/>
      <c r="U503" s="149"/>
      <c r="V503" s="149"/>
      <c r="W503" s="149"/>
      <c r="X503" s="149"/>
      <c r="Y503" s="149"/>
      <c r="Z503" s="149"/>
    </row>
    <row r="504" spans="1:26" ht="147.75" customHeight="1">
      <c r="A504" s="143" t="s">
        <v>736</v>
      </c>
      <c r="B504" s="194" t="s">
        <v>3655</v>
      </c>
      <c r="C504" s="195">
        <v>1</v>
      </c>
      <c r="D504" s="195">
        <v>1</v>
      </c>
      <c r="E504" s="195">
        <v>0</v>
      </c>
      <c r="F504" s="195">
        <v>0.5</v>
      </c>
      <c r="G504" s="407">
        <v>0.5</v>
      </c>
      <c r="H504" s="195">
        <v>0</v>
      </c>
      <c r="I504" s="135" t="s">
        <v>3582</v>
      </c>
      <c r="J504" s="81" t="s">
        <v>3656</v>
      </c>
      <c r="K504" s="81" t="s">
        <v>3657</v>
      </c>
      <c r="L504" s="81" t="s">
        <v>3658</v>
      </c>
      <c r="M504" s="182" t="s">
        <v>3659</v>
      </c>
      <c r="N504" s="81" t="s">
        <v>3660</v>
      </c>
      <c r="O504" s="81" t="s">
        <v>3661</v>
      </c>
      <c r="P504" s="146"/>
      <c r="Q504" s="146"/>
      <c r="R504" s="146"/>
      <c r="S504" s="149"/>
      <c r="T504" s="149"/>
      <c r="U504" s="149"/>
      <c r="V504" s="149"/>
      <c r="W504" s="149"/>
      <c r="X504" s="149"/>
      <c r="Y504" s="149"/>
      <c r="Z504" s="149"/>
    </row>
    <row r="505" spans="1:26" ht="13.5" customHeight="1">
      <c r="A505" s="2"/>
      <c r="B505" s="950"/>
      <c r="C505" s="195"/>
      <c r="D505" s="195"/>
      <c r="E505" s="195"/>
      <c r="F505" s="195"/>
      <c r="G505" s="195"/>
      <c r="H505" s="195"/>
      <c r="I505" s="18"/>
      <c r="J505" s="156"/>
      <c r="K505" s="945"/>
      <c r="L505" s="945"/>
      <c r="M505" s="156"/>
      <c r="N505" s="945"/>
      <c r="O505" s="945"/>
      <c r="P505" s="15"/>
      <c r="Q505" s="15"/>
      <c r="R505" s="15"/>
      <c r="S505" s="15"/>
      <c r="T505" s="15"/>
      <c r="U505" s="15"/>
      <c r="V505" s="15"/>
      <c r="W505" s="15"/>
      <c r="X505" s="15"/>
      <c r="Y505" s="15"/>
      <c r="Z505" s="15"/>
    </row>
    <row r="506" spans="1:26" ht="150" customHeight="1">
      <c r="A506" s="143" t="s">
        <v>736</v>
      </c>
      <c r="B506" s="194" t="s">
        <v>162</v>
      </c>
      <c r="C506" s="195">
        <v>1</v>
      </c>
      <c r="D506" s="195">
        <v>1</v>
      </c>
      <c r="E506" s="195">
        <v>0</v>
      </c>
      <c r="F506" s="951">
        <v>1</v>
      </c>
      <c r="G506" s="195">
        <v>1</v>
      </c>
      <c r="H506" s="951">
        <v>0.5</v>
      </c>
      <c r="I506" s="135" t="s">
        <v>3582</v>
      </c>
      <c r="J506" s="81" t="s">
        <v>3662</v>
      </c>
      <c r="K506" s="81" t="s">
        <v>811</v>
      </c>
      <c r="L506" s="81" t="s">
        <v>3663</v>
      </c>
      <c r="M506" s="81" t="s">
        <v>1862</v>
      </c>
      <c r="N506" s="83" t="s">
        <v>1863</v>
      </c>
      <c r="O506" s="81" t="s">
        <v>3664</v>
      </c>
      <c r="P506" s="146"/>
      <c r="Q506" s="146"/>
      <c r="R506" s="146"/>
      <c r="S506" s="149"/>
      <c r="T506" s="149"/>
      <c r="U506" s="149"/>
      <c r="V506" s="149"/>
      <c r="W506" s="149"/>
      <c r="X506" s="149"/>
      <c r="Y506" s="149"/>
      <c r="Z506" s="149"/>
    </row>
    <row r="507" spans="1:26" ht="13.5" customHeight="1">
      <c r="A507" s="2"/>
      <c r="B507" s="950"/>
      <c r="C507" s="195"/>
      <c r="D507" s="195"/>
      <c r="E507" s="195"/>
      <c r="F507" s="195"/>
      <c r="G507" s="195"/>
      <c r="H507" s="195"/>
      <c r="I507" s="18"/>
      <c r="J507" s="156"/>
      <c r="K507" s="945"/>
      <c r="L507" s="945"/>
      <c r="M507" s="156"/>
      <c r="N507" s="945"/>
      <c r="O507" s="945"/>
      <c r="P507" s="15"/>
      <c r="Q507" s="15"/>
      <c r="R507" s="15"/>
      <c r="S507" s="15"/>
      <c r="T507" s="15"/>
      <c r="U507" s="15"/>
      <c r="V507" s="15"/>
      <c r="W507" s="15"/>
      <c r="X507" s="15"/>
      <c r="Y507" s="15"/>
      <c r="Z507" s="15"/>
    </row>
    <row r="508" spans="1:26" ht="61.5" customHeight="1">
      <c r="A508" s="143" t="s">
        <v>736</v>
      </c>
      <c r="B508" s="194" t="s">
        <v>3665</v>
      </c>
      <c r="C508" s="195">
        <v>1</v>
      </c>
      <c r="D508" s="195">
        <v>1</v>
      </c>
      <c r="E508" s="195">
        <v>0</v>
      </c>
      <c r="F508" s="195">
        <v>1</v>
      </c>
      <c r="G508" s="195">
        <v>1</v>
      </c>
      <c r="H508" s="951">
        <v>0</v>
      </c>
      <c r="I508" s="135"/>
      <c r="J508" s="81" t="s">
        <v>3666</v>
      </c>
      <c r="K508" s="188" t="s">
        <v>3667</v>
      </c>
      <c r="L508" s="81" t="s">
        <v>3663</v>
      </c>
      <c r="M508" s="81" t="s">
        <v>3668</v>
      </c>
      <c r="N508" s="412" t="s">
        <v>1867</v>
      </c>
      <c r="O508" s="81" t="s">
        <v>3669</v>
      </c>
      <c r="P508" s="146"/>
      <c r="Q508" s="146"/>
      <c r="R508" s="146"/>
      <c r="S508" s="149"/>
      <c r="T508" s="149"/>
      <c r="U508" s="149"/>
      <c r="V508" s="149"/>
      <c r="W508" s="149"/>
      <c r="X508" s="149"/>
      <c r="Y508" s="149"/>
      <c r="Z508" s="149"/>
    </row>
    <row r="509" spans="1:26" ht="24" customHeight="1">
      <c r="A509" s="143"/>
      <c r="B509" s="449"/>
      <c r="C509" s="195"/>
      <c r="D509" s="195"/>
      <c r="E509" s="195"/>
      <c r="F509" s="195"/>
      <c r="G509" s="195"/>
      <c r="H509" s="195"/>
      <c r="I509" s="18"/>
      <c r="J509" s="156"/>
      <c r="K509" s="945"/>
      <c r="L509" s="945"/>
      <c r="M509" s="156"/>
      <c r="N509" s="945"/>
      <c r="O509" s="945"/>
      <c r="P509" s="146"/>
      <c r="Q509" s="146"/>
      <c r="R509" s="146"/>
      <c r="S509" s="149"/>
      <c r="T509" s="149"/>
      <c r="U509" s="149"/>
      <c r="V509" s="149"/>
      <c r="W509" s="149"/>
      <c r="X509" s="149"/>
      <c r="Y509" s="149"/>
      <c r="Z509" s="149"/>
    </row>
    <row r="510" spans="1:26" ht="13.5" customHeight="1">
      <c r="A510" s="130" t="s">
        <v>1869</v>
      </c>
      <c r="B510" s="409" t="s">
        <v>165</v>
      </c>
      <c r="C510" s="175">
        <f t="shared" ref="C510:H510" si="68">AVERAGE(C511,C516,C521,C523,C528)</f>
        <v>0.5</v>
      </c>
      <c r="D510" s="175">
        <f t="shared" si="68"/>
        <v>0.76666666666666672</v>
      </c>
      <c r="E510" s="175">
        <f t="shared" si="68"/>
        <v>0.2</v>
      </c>
      <c r="F510" s="175">
        <f t="shared" si="68"/>
        <v>0.53333333333333333</v>
      </c>
      <c r="G510" s="175">
        <f t="shared" si="68"/>
        <v>0.23333333333333331</v>
      </c>
      <c r="H510" s="175">
        <f t="shared" si="68"/>
        <v>0.23333333333333334</v>
      </c>
      <c r="I510" s="135"/>
      <c r="J510" s="81"/>
      <c r="K510" s="80"/>
      <c r="L510" s="80"/>
      <c r="M510" s="80"/>
      <c r="N510" s="80"/>
      <c r="O510" s="221"/>
      <c r="P510" s="205"/>
      <c r="Q510" s="205"/>
      <c r="R510" s="205"/>
      <c r="S510" s="206"/>
      <c r="T510" s="206"/>
      <c r="U510" s="206"/>
      <c r="V510" s="206"/>
      <c r="W510" s="206"/>
      <c r="X510" s="206"/>
      <c r="Y510" s="206"/>
      <c r="Z510" s="206"/>
    </row>
    <row r="511" spans="1:26" ht="85.5" customHeight="1">
      <c r="A511" s="143" t="s">
        <v>736</v>
      </c>
      <c r="B511" s="194" t="s">
        <v>166</v>
      </c>
      <c r="C511" s="195">
        <f t="shared" ref="C511:H511" si="69">AVERAGE(C512:C514)</f>
        <v>1</v>
      </c>
      <c r="D511" s="195">
        <f t="shared" si="69"/>
        <v>1</v>
      </c>
      <c r="E511" s="195">
        <f t="shared" si="69"/>
        <v>0.5</v>
      </c>
      <c r="F511" s="195">
        <f t="shared" si="69"/>
        <v>1</v>
      </c>
      <c r="G511" s="195">
        <f t="shared" si="69"/>
        <v>0.66666666666666663</v>
      </c>
      <c r="H511" s="195">
        <f t="shared" si="69"/>
        <v>1</v>
      </c>
      <c r="I511" s="135"/>
      <c r="J511" s="81"/>
      <c r="K511" s="80"/>
      <c r="L511" s="80"/>
      <c r="M511" s="80"/>
      <c r="N511" s="80"/>
      <c r="O511" s="170"/>
      <c r="P511" s="146"/>
      <c r="Q511" s="146"/>
      <c r="R511" s="146"/>
      <c r="S511" s="149"/>
      <c r="T511" s="149"/>
      <c r="U511" s="149"/>
      <c r="V511" s="149"/>
      <c r="W511" s="149"/>
      <c r="X511" s="149"/>
      <c r="Y511" s="149"/>
      <c r="Z511" s="149"/>
    </row>
    <row r="512" spans="1:26" ht="45.75" customHeight="1">
      <c r="A512" s="143"/>
      <c r="B512" s="217" t="s">
        <v>3670</v>
      </c>
      <c r="C512" s="195">
        <v>1</v>
      </c>
      <c r="D512" s="195">
        <v>1</v>
      </c>
      <c r="E512" s="195">
        <v>0.5</v>
      </c>
      <c r="F512" s="195">
        <v>1</v>
      </c>
      <c r="G512" s="195">
        <v>1</v>
      </c>
      <c r="H512" s="195">
        <v>1</v>
      </c>
      <c r="I512" s="135" t="s">
        <v>3582</v>
      </c>
      <c r="J512" s="81" t="s">
        <v>3671</v>
      </c>
      <c r="K512" s="81" t="s">
        <v>811</v>
      </c>
      <c r="L512" s="188" t="s">
        <v>3672</v>
      </c>
      <c r="M512" s="178" t="s">
        <v>1871</v>
      </c>
      <c r="N512" s="81" t="s">
        <v>1872</v>
      </c>
      <c r="O512" s="81" t="s">
        <v>3673</v>
      </c>
      <c r="P512" s="146"/>
      <c r="Q512" s="146"/>
      <c r="R512" s="146"/>
      <c r="S512" s="149"/>
      <c r="T512" s="149"/>
      <c r="U512" s="149"/>
      <c r="V512" s="149"/>
      <c r="W512" s="149"/>
      <c r="X512" s="149"/>
      <c r="Y512" s="149"/>
      <c r="Z512" s="149"/>
    </row>
    <row r="513" spans="1:26" ht="57.75" customHeight="1">
      <c r="A513" s="143"/>
      <c r="B513" s="217" t="s">
        <v>168</v>
      </c>
      <c r="C513" s="195">
        <v>1</v>
      </c>
      <c r="D513" s="195">
        <v>1</v>
      </c>
      <c r="E513" s="195">
        <v>0.5</v>
      </c>
      <c r="F513" s="195">
        <v>1</v>
      </c>
      <c r="G513" s="195">
        <v>1</v>
      </c>
      <c r="H513" s="195">
        <v>1</v>
      </c>
      <c r="I513" s="135" t="s">
        <v>38</v>
      </c>
      <c r="J513" s="81" t="s">
        <v>3674</v>
      </c>
      <c r="K513" s="81" t="s">
        <v>811</v>
      </c>
      <c r="L513" s="188" t="s">
        <v>3675</v>
      </c>
      <c r="M513" s="178" t="s">
        <v>3676</v>
      </c>
      <c r="N513" s="411" t="s">
        <v>1876</v>
      </c>
      <c r="O513" s="81" t="s">
        <v>3677</v>
      </c>
      <c r="P513" s="146"/>
      <c r="Q513" s="146"/>
      <c r="R513" s="146"/>
      <c r="S513" s="149"/>
      <c r="T513" s="149"/>
      <c r="U513" s="149"/>
      <c r="V513" s="149"/>
      <c r="W513" s="149"/>
      <c r="X513" s="149"/>
      <c r="Y513" s="149"/>
      <c r="Z513" s="149"/>
    </row>
    <row r="514" spans="1:26" ht="63.75" customHeight="1">
      <c r="A514" s="143"/>
      <c r="B514" s="217" t="s">
        <v>169</v>
      </c>
      <c r="C514" s="195">
        <v>1</v>
      </c>
      <c r="D514" s="195">
        <v>1</v>
      </c>
      <c r="E514" s="195">
        <v>0.5</v>
      </c>
      <c r="F514" s="195">
        <v>1</v>
      </c>
      <c r="G514" s="195">
        <v>0</v>
      </c>
      <c r="H514" s="195">
        <v>1</v>
      </c>
      <c r="I514" s="135" t="s">
        <v>38</v>
      </c>
      <c r="J514" s="81" t="s">
        <v>3678</v>
      </c>
      <c r="K514" s="81" t="s">
        <v>811</v>
      </c>
      <c r="L514" s="188" t="s">
        <v>3675</v>
      </c>
      <c r="M514" s="399" t="s">
        <v>3679</v>
      </c>
      <c r="N514" s="170" t="s">
        <v>3594</v>
      </c>
      <c r="O514" s="81" t="s">
        <v>3680</v>
      </c>
      <c r="P514" s="146"/>
      <c r="Q514" s="146"/>
      <c r="R514" s="146"/>
      <c r="S514" s="149"/>
      <c r="T514" s="149"/>
      <c r="U514" s="149"/>
      <c r="V514" s="149"/>
      <c r="W514" s="149"/>
      <c r="X514" s="149"/>
      <c r="Y514" s="149"/>
      <c r="Z514" s="149"/>
    </row>
    <row r="515" spans="1:26" ht="13.5" customHeight="1">
      <c r="A515" s="143"/>
      <c r="B515" s="957"/>
      <c r="C515" s="195"/>
      <c r="D515" s="195"/>
      <c r="E515" s="195"/>
      <c r="F515" s="195"/>
      <c r="G515" s="195"/>
      <c r="H515" s="195"/>
      <c r="I515" s="135"/>
      <c r="J515" s="81"/>
      <c r="K515" s="80"/>
      <c r="L515" s="80"/>
      <c r="M515" s="178"/>
      <c r="N515" s="80"/>
      <c r="O515" s="170"/>
      <c r="P515" s="146"/>
      <c r="Q515" s="146"/>
      <c r="R515" s="146"/>
      <c r="S515" s="149"/>
      <c r="T515" s="149"/>
      <c r="U515" s="149"/>
      <c r="V515" s="149"/>
      <c r="W515" s="149"/>
      <c r="X515" s="149"/>
      <c r="Y515" s="149"/>
      <c r="Z515" s="149"/>
    </row>
    <row r="516" spans="1:26" ht="122.25" customHeight="1">
      <c r="A516" s="143" t="s">
        <v>736</v>
      </c>
      <c r="B516" s="194" t="s">
        <v>170</v>
      </c>
      <c r="C516" s="195">
        <f t="shared" ref="C516:H516" si="70">AVERAGE(C517:C519)</f>
        <v>0.5</v>
      </c>
      <c r="D516" s="195">
        <f t="shared" si="70"/>
        <v>0.83333333333333337</v>
      </c>
      <c r="E516" s="195">
        <f t="shared" si="70"/>
        <v>0.5</v>
      </c>
      <c r="F516" s="195">
        <f t="shared" si="70"/>
        <v>0.5</v>
      </c>
      <c r="G516" s="195">
        <f t="shared" si="70"/>
        <v>0.5</v>
      </c>
      <c r="H516" s="195">
        <f t="shared" si="70"/>
        <v>0.16666666666666666</v>
      </c>
      <c r="I516" s="135"/>
      <c r="J516" s="81"/>
      <c r="K516" s="80"/>
      <c r="L516" s="80"/>
      <c r="M516" s="178"/>
      <c r="N516" s="81" t="s">
        <v>3681</v>
      </c>
      <c r="O516" s="81" t="s">
        <v>748</v>
      </c>
      <c r="P516" s="146"/>
      <c r="Q516" s="146"/>
      <c r="R516" s="146"/>
      <c r="S516" s="149"/>
      <c r="T516" s="149"/>
      <c r="U516" s="149"/>
      <c r="V516" s="149"/>
      <c r="W516" s="149"/>
      <c r="X516" s="149"/>
      <c r="Y516" s="149"/>
      <c r="Z516" s="149"/>
    </row>
    <row r="517" spans="1:26" ht="97.5" customHeight="1">
      <c r="A517" s="143"/>
      <c r="B517" s="217" t="s">
        <v>3670</v>
      </c>
      <c r="C517" s="195">
        <v>0.5</v>
      </c>
      <c r="D517" s="195">
        <v>1</v>
      </c>
      <c r="E517" s="195">
        <v>0.5</v>
      </c>
      <c r="F517" s="195">
        <v>0.5</v>
      </c>
      <c r="G517" s="195">
        <v>0.5</v>
      </c>
      <c r="H517" s="195">
        <v>0</v>
      </c>
      <c r="I517" s="135" t="s">
        <v>3582</v>
      </c>
      <c r="J517" s="81" t="s">
        <v>3682</v>
      </c>
      <c r="K517" s="81" t="s">
        <v>811</v>
      </c>
      <c r="L517" s="81" t="s">
        <v>3683</v>
      </c>
      <c r="M517" s="178" t="s">
        <v>3684</v>
      </c>
      <c r="N517" s="81" t="s">
        <v>1885</v>
      </c>
      <c r="O517" s="81" t="s">
        <v>3685</v>
      </c>
      <c r="P517" s="146"/>
      <c r="Q517" s="146"/>
      <c r="R517" s="146"/>
      <c r="S517" s="149"/>
      <c r="T517" s="149"/>
      <c r="U517" s="149"/>
      <c r="V517" s="149"/>
      <c r="W517" s="149"/>
      <c r="X517" s="149"/>
      <c r="Y517" s="149"/>
      <c r="Z517" s="149"/>
    </row>
    <row r="518" spans="1:26" ht="54" customHeight="1">
      <c r="A518" s="143"/>
      <c r="B518" s="217" t="s">
        <v>168</v>
      </c>
      <c r="C518" s="195">
        <v>0.5</v>
      </c>
      <c r="D518" s="195">
        <v>1</v>
      </c>
      <c r="E518" s="195">
        <v>0.5</v>
      </c>
      <c r="F518" s="195">
        <v>0.5</v>
      </c>
      <c r="G518" s="195">
        <v>1</v>
      </c>
      <c r="H518" s="195">
        <v>0.5</v>
      </c>
      <c r="I518" s="135" t="s">
        <v>3582</v>
      </c>
      <c r="J518" s="81" t="s">
        <v>3686</v>
      </c>
      <c r="K518" s="81" t="s">
        <v>811</v>
      </c>
      <c r="L518" s="81" t="s">
        <v>3683</v>
      </c>
      <c r="M518" s="178" t="s">
        <v>3687</v>
      </c>
      <c r="N518" s="81" t="s">
        <v>3688</v>
      </c>
      <c r="O518" s="81" t="s">
        <v>3689</v>
      </c>
      <c r="P518" s="146"/>
      <c r="Q518" s="146"/>
      <c r="R518" s="146"/>
      <c r="S518" s="149"/>
      <c r="T518" s="149"/>
      <c r="U518" s="149"/>
      <c r="V518" s="149"/>
      <c r="W518" s="149"/>
      <c r="X518" s="149"/>
      <c r="Y518" s="149"/>
      <c r="Z518" s="149"/>
    </row>
    <row r="519" spans="1:26" ht="72.75" customHeight="1">
      <c r="A519" s="143"/>
      <c r="B519" s="217" t="s">
        <v>169</v>
      </c>
      <c r="C519" s="195">
        <v>0.5</v>
      </c>
      <c r="D519" s="195">
        <v>0.5</v>
      </c>
      <c r="E519" s="195">
        <v>0.5</v>
      </c>
      <c r="F519" s="195">
        <v>0.5</v>
      </c>
      <c r="G519" s="195">
        <v>0</v>
      </c>
      <c r="H519" s="958">
        <v>0</v>
      </c>
      <c r="I519" s="135" t="s">
        <v>3582</v>
      </c>
      <c r="J519" s="81" t="s">
        <v>3690</v>
      </c>
      <c r="K519" s="442" t="s">
        <v>3691</v>
      </c>
      <c r="L519" s="81" t="s">
        <v>3692</v>
      </c>
      <c r="M519" s="178" t="s">
        <v>3693</v>
      </c>
      <c r="N519" s="81" t="s">
        <v>1895</v>
      </c>
      <c r="O519" s="458" t="s">
        <v>3694</v>
      </c>
      <c r="P519" s="146"/>
      <c r="Q519" s="146"/>
      <c r="R519" s="146"/>
      <c r="S519" s="149"/>
      <c r="T519" s="149"/>
      <c r="U519" s="149"/>
      <c r="V519" s="149"/>
      <c r="W519" s="149"/>
      <c r="X519" s="149"/>
      <c r="Y519" s="149"/>
      <c r="Z519" s="149"/>
    </row>
    <row r="520" spans="1:26" ht="13.5" customHeight="1">
      <c r="A520" s="143"/>
      <c r="B520" s="957"/>
      <c r="C520" s="195"/>
      <c r="D520" s="195"/>
      <c r="E520" s="195"/>
      <c r="F520" s="195"/>
      <c r="G520" s="195"/>
      <c r="H520" s="195"/>
      <c r="I520" s="135"/>
      <c r="J520" s="81"/>
      <c r="K520" s="80"/>
      <c r="L520" s="80"/>
      <c r="M520" s="80"/>
      <c r="N520" s="80"/>
      <c r="O520" s="170"/>
      <c r="P520" s="146"/>
      <c r="Q520" s="146"/>
      <c r="R520" s="146"/>
      <c r="S520" s="149"/>
      <c r="T520" s="149"/>
      <c r="U520" s="149"/>
      <c r="V520" s="149"/>
      <c r="W520" s="149"/>
      <c r="X520" s="149"/>
      <c r="Y520" s="149"/>
      <c r="Z520" s="149"/>
    </row>
    <row r="521" spans="1:26" ht="132" customHeight="1">
      <c r="A521" s="143" t="s">
        <v>736</v>
      </c>
      <c r="B521" s="194" t="s">
        <v>171</v>
      </c>
      <c r="C521" s="951">
        <v>0.5</v>
      </c>
      <c r="D521" s="195">
        <v>1</v>
      </c>
      <c r="E521" s="195">
        <v>0</v>
      </c>
      <c r="F521" s="951">
        <v>0.5</v>
      </c>
      <c r="G521" s="951">
        <v>0</v>
      </c>
      <c r="H521" s="951">
        <v>0</v>
      </c>
      <c r="I521" s="135" t="s">
        <v>3582</v>
      </c>
      <c r="J521" s="81" t="s">
        <v>3695</v>
      </c>
      <c r="K521" s="81" t="s">
        <v>811</v>
      </c>
      <c r="L521" s="442" t="s">
        <v>3696</v>
      </c>
      <c r="M521" s="399" t="s">
        <v>3697</v>
      </c>
      <c r="N521" s="81" t="s">
        <v>3698</v>
      </c>
      <c r="O521" s="81" t="s">
        <v>3699</v>
      </c>
      <c r="P521" s="146"/>
      <c r="Q521" s="146"/>
      <c r="R521" s="146"/>
      <c r="S521" s="149"/>
      <c r="T521" s="149"/>
      <c r="U521" s="149"/>
      <c r="V521" s="149"/>
      <c r="W521" s="149"/>
      <c r="X521" s="149"/>
      <c r="Y521" s="149"/>
      <c r="Z521" s="149"/>
    </row>
    <row r="522" spans="1:26" ht="13.5" customHeight="1">
      <c r="A522" s="143"/>
      <c r="B522" s="194"/>
      <c r="C522" s="195"/>
      <c r="D522" s="195"/>
      <c r="E522" s="195"/>
      <c r="F522" s="195"/>
      <c r="G522" s="195"/>
      <c r="H522" s="195"/>
      <c r="I522" s="135"/>
      <c r="J522" s="81"/>
      <c r="K522" s="80"/>
      <c r="L522" s="80"/>
      <c r="M522" s="80"/>
      <c r="N522" s="80"/>
      <c r="O522" s="170"/>
      <c r="P522" s="146"/>
      <c r="Q522" s="146"/>
      <c r="R522" s="146"/>
      <c r="S522" s="149"/>
      <c r="T522" s="149"/>
      <c r="U522" s="149"/>
      <c r="V522" s="149"/>
      <c r="W522" s="149"/>
      <c r="X522" s="149"/>
      <c r="Y522" s="149"/>
      <c r="Z522" s="149"/>
    </row>
    <row r="523" spans="1:26" ht="121.5" customHeight="1">
      <c r="A523" s="143" t="s">
        <v>736</v>
      </c>
      <c r="B523" s="194" t="s">
        <v>172</v>
      </c>
      <c r="C523" s="195">
        <f t="shared" ref="C523:H523" si="71">AVERAGE(C524:C526)</f>
        <v>0.5</v>
      </c>
      <c r="D523" s="195">
        <f t="shared" si="71"/>
        <v>0.66666666666666663</v>
      </c>
      <c r="E523" s="195">
        <f t="shared" si="71"/>
        <v>0</v>
      </c>
      <c r="F523" s="195">
        <f t="shared" si="71"/>
        <v>0.66666666666666663</v>
      </c>
      <c r="G523" s="195">
        <f t="shared" si="71"/>
        <v>0</v>
      </c>
      <c r="H523" s="195">
        <f t="shared" si="71"/>
        <v>0</v>
      </c>
      <c r="I523" s="135"/>
      <c r="J523" s="81"/>
      <c r="K523" s="80"/>
      <c r="L523" s="80"/>
      <c r="M523" s="80"/>
      <c r="N523" s="80"/>
      <c r="O523" s="81" t="s">
        <v>3700</v>
      </c>
      <c r="P523" s="146"/>
      <c r="Q523" s="146"/>
      <c r="R523" s="146"/>
      <c r="S523" s="149"/>
      <c r="T523" s="149"/>
      <c r="U523" s="149"/>
      <c r="V523" s="149"/>
      <c r="W523" s="149"/>
      <c r="X523" s="149"/>
      <c r="Y523" s="149"/>
      <c r="Z523" s="149"/>
    </row>
    <row r="524" spans="1:26" ht="88.5" customHeight="1">
      <c r="A524" s="143"/>
      <c r="B524" s="217" t="s">
        <v>3670</v>
      </c>
      <c r="C524" s="407">
        <v>0.5</v>
      </c>
      <c r="D524" s="195">
        <v>1</v>
      </c>
      <c r="E524" s="195">
        <v>0</v>
      </c>
      <c r="F524" s="195">
        <v>1</v>
      </c>
      <c r="G524" s="407">
        <v>0</v>
      </c>
      <c r="H524" s="195">
        <v>0</v>
      </c>
      <c r="I524" s="135" t="s">
        <v>3582</v>
      </c>
      <c r="J524" s="81" t="s">
        <v>3701</v>
      </c>
      <c r="K524" s="81" t="s">
        <v>811</v>
      </c>
      <c r="L524" s="81" t="s">
        <v>3702</v>
      </c>
      <c r="M524" s="399" t="s">
        <v>3703</v>
      </c>
      <c r="N524" s="81" t="s">
        <v>3704</v>
      </c>
      <c r="O524" s="81" t="s">
        <v>3705</v>
      </c>
      <c r="P524" s="146"/>
      <c r="Q524" s="146"/>
      <c r="R524" s="146"/>
      <c r="S524" s="149"/>
      <c r="T524" s="149"/>
      <c r="U524" s="149"/>
      <c r="V524" s="149"/>
      <c r="W524" s="149"/>
      <c r="X524" s="149"/>
      <c r="Y524" s="149"/>
      <c r="Z524" s="149"/>
    </row>
    <row r="525" spans="1:26" ht="57.75" customHeight="1">
      <c r="A525" s="143"/>
      <c r="B525" s="217" t="s">
        <v>168</v>
      </c>
      <c r="C525" s="951">
        <v>0.5</v>
      </c>
      <c r="D525" s="195">
        <v>1</v>
      </c>
      <c r="E525" s="195">
        <v>0</v>
      </c>
      <c r="F525" s="195">
        <v>1</v>
      </c>
      <c r="G525" s="407">
        <v>0</v>
      </c>
      <c r="H525" s="195">
        <v>0</v>
      </c>
      <c r="I525" s="135" t="s">
        <v>3582</v>
      </c>
      <c r="J525" s="81" t="s">
        <v>3701</v>
      </c>
      <c r="K525" s="81" t="s">
        <v>811</v>
      </c>
      <c r="L525" s="81" t="s">
        <v>3702</v>
      </c>
      <c r="M525" s="178" t="s">
        <v>3706</v>
      </c>
      <c r="N525" s="81" t="s">
        <v>3704</v>
      </c>
      <c r="O525" s="81" t="s">
        <v>3707</v>
      </c>
      <c r="P525" s="146"/>
      <c r="Q525" s="146"/>
      <c r="R525" s="146"/>
      <c r="S525" s="149"/>
      <c r="T525" s="149"/>
      <c r="U525" s="149"/>
      <c r="V525" s="149"/>
      <c r="W525" s="149"/>
      <c r="X525" s="149"/>
      <c r="Y525" s="149"/>
      <c r="Z525" s="149"/>
    </row>
    <row r="526" spans="1:26" ht="48.75" customHeight="1">
      <c r="A526" s="143"/>
      <c r="B526" s="217" t="s">
        <v>169</v>
      </c>
      <c r="C526" s="195">
        <v>0.5</v>
      </c>
      <c r="D526" s="195">
        <v>0</v>
      </c>
      <c r="E526" s="195">
        <v>0</v>
      </c>
      <c r="F526" s="195">
        <v>0</v>
      </c>
      <c r="G526" s="407">
        <v>0</v>
      </c>
      <c r="H526" s="951">
        <v>0</v>
      </c>
      <c r="I526" s="135" t="s">
        <v>3582</v>
      </c>
      <c r="J526" s="81" t="s">
        <v>3701</v>
      </c>
      <c r="K526" s="81" t="s">
        <v>3708</v>
      </c>
      <c r="L526" s="81" t="s">
        <v>3702</v>
      </c>
      <c r="M526" s="399" t="s">
        <v>3709</v>
      </c>
      <c r="N526" s="81" t="s">
        <v>3710</v>
      </c>
      <c r="O526" s="81" t="s">
        <v>3711</v>
      </c>
      <c r="P526" s="146"/>
      <c r="Q526" s="146"/>
      <c r="R526" s="146"/>
      <c r="S526" s="149"/>
      <c r="T526" s="149"/>
      <c r="U526" s="149"/>
      <c r="V526" s="149"/>
      <c r="W526" s="149"/>
      <c r="X526" s="149"/>
      <c r="Y526" s="149"/>
      <c r="Z526" s="149"/>
    </row>
    <row r="527" spans="1:26" ht="13.5" customHeight="1">
      <c r="A527" s="143"/>
      <c r="B527" s="957"/>
      <c r="C527" s="195"/>
      <c r="D527" s="195"/>
      <c r="E527" s="195"/>
      <c r="F527" s="195"/>
      <c r="G527" s="195"/>
      <c r="H527" s="195"/>
      <c r="I527" s="135"/>
      <c r="J527" s="81"/>
      <c r="K527" s="80"/>
      <c r="L527" s="80"/>
      <c r="M527" s="80"/>
      <c r="N527" s="80"/>
      <c r="O527" s="170"/>
      <c r="P527" s="146"/>
      <c r="Q527" s="146"/>
      <c r="R527" s="146"/>
      <c r="S527" s="149"/>
      <c r="T527" s="149"/>
      <c r="U527" s="149"/>
      <c r="V527" s="149"/>
      <c r="W527" s="149"/>
      <c r="X527" s="149"/>
      <c r="Y527" s="149"/>
      <c r="Z527" s="149"/>
    </row>
    <row r="528" spans="1:26" ht="97.5" customHeight="1">
      <c r="A528" s="143" t="s">
        <v>736</v>
      </c>
      <c r="B528" s="194" t="s">
        <v>1914</v>
      </c>
      <c r="C528" s="195">
        <f t="shared" ref="C528:H528" si="72">AVERAGE(C529:C531)</f>
        <v>0</v>
      </c>
      <c r="D528" s="195">
        <f t="shared" si="72"/>
        <v>0.33333333333333331</v>
      </c>
      <c r="E528" s="195">
        <f t="shared" si="72"/>
        <v>0</v>
      </c>
      <c r="F528" s="195">
        <f t="shared" si="72"/>
        <v>0</v>
      </c>
      <c r="G528" s="195">
        <f t="shared" si="72"/>
        <v>0</v>
      </c>
      <c r="H528" s="195">
        <f t="shared" si="72"/>
        <v>0</v>
      </c>
      <c r="I528" s="135"/>
      <c r="J528" s="81"/>
      <c r="K528" s="80"/>
      <c r="L528" s="80"/>
      <c r="M528" s="80"/>
      <c r="N528" s="465" t="s">
        <v>3712</v>
      </c>
      <c r="O528" s="81" t="s">
        <v>748</v>
      </c>
      <c r="P528" s="146"/>
      <c r="Q528" s="146"/>
      <c r="R528" s="146"/>
      <c r="S528" s="149"/>
      <c r="T528" s="149"/>
      <c r="U528" s="149"/>
      <c r="V528" s="149"/>
      <c r="W528" s="149"/>
      <c r="X528" s="149"/>
      <c r="Y528" s="149"/>
      <c r="Z528" s="149"/>
    </row>
    <row r="529" spans="1:26" ht="87" customHeight="1">
      <c r="A529" s="143"/>
      <c r="B529" s="217" t="s">
        <v>3713</v>
      </c>
      <c r="C529" s="195">
        <v>0</v>
      </c>
      <c r="D529" s="195">
        <v>0</v>
      </c>
      <c r="E529" s="195">
        <v>0</v>
      </c>
      <c r="F529" s="195">
        <v>0</v>
      </c>
      <c r="G529" s="195">
        <v>0</v>
      </c>
      <c r="H529" s="195">
        <v>0</v>
      </c>
      <c r="I529" s="135" t="s">
        <v>38</v>
      </c>
      <c r="J529" s="81" t="s">
        <v>3714</v>
      </c>
      <c r="K529" s="81" t="s">
        <v>748</v>
      </c>
      <c r="L529" s="80" t="s">
        <v>748</v>
      </c>
      <c r="M529" s="178" t="s">
        <v>3715</v>
      </c>
      <c r="N529" s="467" t="s">
        <v>3716</v>
      </c>
      <c r="O529" s="81" t="s">
        <v>3717</v>
      </c>
      <c r="P529" s="146"/>
      <c r="Q529" s="146"/>
      <c r="R529" s="146"/>
      <c r="S529" s="149"/>
      <c r="T529" s="149"/>
      <c r="U529" s="149"/>
      <c r="V529" s="149"/>
      <c r="W529" s="149"/>
      <c r="X529" s="149"/>
      <c r="Y529" s="149"/>
      <c r="Z529" s="149"/>
    </row>
    <row r="530" spans="1:26" ht="83.25" customHeight="1">
      <c r="A530" s="143"/>
      <c r="B530" s="217" t="s">
        <v>168</v>
      </c>
      <c r="C530" s="195">
        <v>0</v>
      </c>
      <c r="D530" s="195">
        <v>1</v>
      </c>
      <c r="E530" s="195">
        <v>0</v>
      </c>
      <c r="F530" s="951">
        <v>0</v>
      </c>
      <c r="G530" s="195">
        <v>0</v>
      </c>
      <c r="H530" s="195">
        <v>0</v>
      </c>
      <c r="I530" s="135" t="s">
        <v>3582</v>
      </c>
      <c r="J530" s="81" t="s">
        <v>3714</v>
      </c>
      <c r="K530" s="81" t="s">
        <v>811</v>
      </c>
      <c r="L530" s="80" t="s">
        <v>748</v>
      </c>
      <c r="M530" s="178" t="s">
        <v>3718</v>
      </c>
      <c r="N530" s="245" t="s">
        <v>3719</v>
      </c>
      <c r="O530" s="81" t="s">
        <v>3720</v>
      </c>
      <c r="P530" s="146"/>
      <c r="Q530" s="146"/>
      <c r="R530" s="146"/>
      <c r="S530" s="149"/>
      <c r="T530" s="149"/>
      <c r="U530" s="149"/>
      <c r="V530" s="149"/>
      <c r="W530" s="149"/>
      <c r="X530" s="149"/>
      <c r="Y530" s="149"/>
      <c r="Z530" s="149"/>
    </row>
    <row r="531" spans="1:26" ht="72" customHeight="1">
      <c r="A531" s="143"/>
      <c r="B531" s="217" t="s">
        <v>169</v>
      </c>
      <c r="C531" s="195">
        <v>0</v>
      </c>
      <c r="D531" s="195">
        <v>0</v>
      </c>
      <c r="E531" s="195">
        <v>0</v>
      </c>
      <c r="F531" s="195">
        <v>0</v>
      </c>
      <c r="G531" s="195">
        <v>0</v>
      </c>
      <c r="H531" s="195">
        <v>0</v>
      </c>
      <c r="I531" s="135" t="s">
        <v>38</v>
      </c>
      <c r="J531" s="81" t="s">
        <v>3714</v>
      </c>
      <c r="K531" s="81" t="s">
        <v>748</v>
      </c>
      <c r="L531" s="80" t="s">
        <v>748</v>
      </c>
      <c r="M531" s="178" t="s">
        <v>3721</v>
      </c>
      <c r="N531" s="239" t="s">
        <v>748</v>
      </c>
      <c r="O531" s="81" t="s">
        <v>3722</v>
      </c>
      <c r="P531" s="146"/>
      <c r="Q531" s="146"/>
      <c r="R531" s="146"/>
      <c r="S531" s="149"/>
      <c r="T531" s="149"/>
      <c r="U531" s="149"/>
      <c r="V531" s="149"/>
      <c r="W531" s="149"/>
      <c r="X531" s="149"/>
      <c r="Y531" s="149"/>
      <c r="Z531" s="149"/>
    </row>
    <row r="532" spans="1:26" ht="13.5" customHeight="1">
      <c r="A532" s="143"/>
      <c r="B532" s="217"/>
      <c r="C532" s="195"/>
      <c r="D532" s="195"/>
      <c r="E532" s="195"/>
      <c r="F532" s="195"/>
      <c r="G532" s="195"/>
      <c r="H532" s="195"/>
      <c r="I532" s="135"/>
      <c r="J532" s="81"/>
      <c r="K532" s="81"/>
      <c r="L532" s="80"/>
      <c r="M532" s="178"/>
      <c r="N532" s="239"/>
      <c r="O532" s="81"/>
      <c r="P532" s="146"/>
      <c r="Q532" s="146"/>
      <c r="R532" s="146"/>
      <c r="S532" s="149"/>
      <c r="T532" s="149"/>
      <c r="U532" s="149"/>
      <c r="V532" s="149"/>
      <c r="W532" s="149"/>
      <c r="X532" s="149"/>
      <c r="Y532" s="149"/>
      <c r="Z532" s="149"/>
    </row>
    <row r="533" spans="1:26" ht="13.5" customHeight="1">
      <c r="A533" s="130" t="s">
        <v>1920</v>
      </c>
      <c r="B533" s="409" t="s">
        <v>175</v>
      </c>
      <c r="C533" s="80">
        <f t="shared" ref="C533:H533" si="73">AVERAGE(C534,C539,C541,C546,C548,C548,C550)</f>
        <v>0.8571428571428571</v>
      </c>
      <c r="D533" s="80">
        <f t="shared" si="73"/>
        <v>0.8571428571428571</v>
      </c>
      <c r="E533" s="80">
        <f t="shared" si="73"/>
        <v>4.7619047619047616E-2</v>
      </c>
      <c r="F533" s="80">
        <f t="shared" si="73"/>
        <v>0.5714285714285714</v>
      </c>
      <c r="G533" s="80">
        <f t="shared" si="73"/>
        <v>0.5</v>
      </c>
      <c r="H533" s="80">
        <f t="shared" si="73"/>
        <v>0.16666666666666666</v>
      </c>
      <c r="I533" s="138"/>
      <c r="J533" s="81"/>
      <c r="K533" s="221"/>
      <c r="L533" s="221"/>
      <c r="M533" s="410"/>
      <c r="N533" s="410"/>
      <c r="O533" s="221"/>
      <c r="P533" s="205"/>
      <c r="Q533" s="205"/>
      <c r="R533" s="205"/>
      <c r="S533" s="206"/>
      <c r="T533" s="206"/>
      <c r="U533" s="206"/>
      <c r="V533" s="206"/>
      <c r="W533" s="206"/>
      <c r="X533" s="206"/>
      <c r="Y533" s="206"/>
      <c r="Z533" s="206"/>
    </row>
    <row r="534" spans="1:26" ht="111.75" customHeight="1">
      <c r="A534" s="419" t="s">
        <v>736</v>
      </c>
      <c r="B534" s="194" t="s">
        <v>1921</v>
      </c>
      <c r="C534" s="178">
        <f t="shared" ref="C534:H534" si="74">AVERAGE(C535:C537)</f>
        <v>0.5</v>
      </c>
      <c r="D534" s="178">
        <f t="shared" si="74"/>
        <v>1</v>
      </c>
      <c r="E534" s="178">
        <f t="shared" si="74"/>
        <v>0</v>
      </c>
      <c r="F534" s="178">
        <f t="shared" si="74"/>
        <v>0.83333333333333337</v>
      </c>
      <c r="G534" s="178">
        <f t="shared" si="74"/>
        <v>0.16666666666666666</v>
      </c>
      <c r="H534" s="178">
        <f t="shared" si="74"/>
        <v>0.16666666666666666</v>
      </c>
      <c r="I534" s="149"/>
      <c r="J534" s="81"/>
      <c r="K534" s="170"/>
      <c r="L534" s="170"/>
      <c r="M534" s="81"/>
      <c r="N534" s="81" t="s">
        <v>3723</v>
      </c>
      <c r="O534" s="170" t="s">
        <v>748</v>
      </c>
      <c r="P534" s="146"/>
      <c r="Q534" s="146"/>
      <c r="R534" s="146"/>
      <c r="S534" s="149"/>
      <c r="T534" s="149"/>
      <c r="U534" s="149"/>
      <c r="V534" s="149"/>
      <c r="W534" s="149"/>
      <c r="X534" s="149"/>
      <c r="Y534" s="149"/>
      <c r="Z534" s="149"/>
    </row>
    <row r="535" spans="1:26" ht="126.75" customHeight="1">
      <c r="A535" s="419"/>
      <c r="B535" s="212" t="s">
        <v>3713</v>
      </c>
      <c r="C535" s="178">
        <v>0.5</v>
      </c>
      <c r="D535" s="80">
        <v>1</v>
      </c>
      <c r="E535" s="80">
        <v>0</v>
      </c>
      <c r="F535" s="80">
        <v>0.5</v>
      </c>
      <c r="G535" s="80">
        <v>0.5</v>
      </c>
      <c r="H535" s="80">
        <v>0</v>
      </c>
      <c r="I535" s="149" t="s">
        <v>3613</v>
      </c>
      <c r="J535" s="81" t="s">
        <v>3724</v>
      </c>
      <c r="K535" s="81" t="s">
        <v>811</v>
      </c>
      <c r="L535" s="81" t="s">
        <v>3725</v>
      </c>
      <c r="M535" s="83" t="s">
        <v>3726</v>
      </c>
      <c r="N535" s="83" t="s">
        <v>3727</v>
      </c>
      <c r="O535" s="81" t="s">
        <v>3728</v>
      </c>
      <c r="P535" s="146"/>
      <c r="Q535" s="146"/>
      <c r="R535" s="146"/>
      <c r="S535" s="149"/>
      <c r="T535" s="149"/>
      <c r="U535" s="149"/>
      <c r="V535" s="149"/>
      <c r="W535" s="149"/>
      <c r="X535" s="149"/>
      <c r="Y535" s="149"/>
      <c r="Z535" s="149"/>
    </row>
    <row r="536" spans="1:26" ht="120" customHeight="1">
      <c r="A536" s="419"/>
      <c r="B536" s="212" t="s">
        <v>168</v>
      </c>
      <c r="C536" s="195">
        <v>0.5</v>
      </c>
      <c r="D536" s="195">
        <v>1</v>
      </c>
      <c r="E536" s="195">
        <v>0</v>
      </c>
      <c r="F536" s="195">
        <v>1</v>
      </c>
      <c r="G536" s="195">
        <v>0</v>
      </c>
      <c r="H536" s="195">
        <v>0.5</v>
      </c>
      <c r="I536" s="135" t="s">
        <v>3613</v>
      </c>
      <c r="J536" s="81" t="s">
        <v>3724</v>
      </c>
      <c r="K536" s="81" t="s">
        <v>811</v>
      </c>
      <c r="L536" s="81" t="s">
        <v>3725</v>
      </c>
      <c r="M536" s="399" t="s">
        <v>3729</v>
      </c>
      <c r="N536" s="81" t="s">
        <v>748</v>
      </c>
      <c r="O536" s="81" t="s">
        <v>3730</v>
      </c>
      <c r="P536" s="146"/>
      <c r="Q536" s="146"/>
      <c r="R536" s="146"/>
      <c r="S536" s="149"/>
      <c r="T536" s="149"/>
      <c r="U536" s="149"/>
      <c r="V536" s="149"/>
      <c r="W536" s="149"/>
      <c r="X536" s="149"/>
      <c r="Y536" s="149"/>
      <c r="Z536" s="149"/>
    </row>
    <row r="537" spans="1:26" ht="97.5" customHeight="1">
      <c r="A537" s="419"/>
      <c r="B537" s="212" t="s">
        <v>169</v>
      </c>
      <c r="C537" s="195">
        <v>0.5</v>
      </c>
      <c r="D537" s="195">
        <v>1</v>
      </c>
      <c r="E537" s="195">
        <v>0</v>
      </c>
      <c r="F537" s="195">
        <v>1</v>
      </c>
      <c r="G537" s="195">
        <v>0</v>
      </c>
      <c r="H537" s="195">
        <v>0</v>
      </c>
      <c r="I537" s="135" t="s">
        <v>3613</v>
      </c>
      <c r="J537" s="81" t="s">
        <v>3724</v>
      </c>
      <c r="K537" s="182" t="s">
        <v>811</v>
      </c>
      <c r="L537" s="81" t="s">
        <v>3725</v>
      </c>
      <c r="M537" s="399" t="s">
        <v>3731</v>
      </c>
      <c r="N537" s="81" t="s">
        <v>748</v>
      </c>
      <c r="O537" s="81" t="s">
        <v>1934</v>
      </c>
      <c r="P537" s="146"/>
      <c r="Q537" s="146"/>
      <c r="R537" s="146"/>
      <c r="S537" s="149"/>
      <c r="T537" s="149"/>
      <c r="U537" s="149"/>
      <c r="V537" s="149"/>
      <c r="W537" s="149"/>
      <c r="X537" s="149"/>
      <c r="Y537" s="149"/>
      <c r="Z537" s="149"/>
    </row>
    <row r="538" spans="1:26" ht="13.5" customHeight="1">
      <c r="A538" s="419"/>
      <c r="B538" s="471"/>
      <c r="C538" s="195"/>
      <c r="D538" s="195"/>
      <c r="E538" s="195"/>
      <c r="F538" s="195"/>
      <c r="G538" s="195"/>
      <c r="H538" s="195"/>
      <c r="I538" s="135"/>
      <c r="J538" s="81"/>
      <c r="K538" s="80"/>
      <c r="L538" s="80"/>
      <c r="M538" s="80"/>
      <c r="N538" s="80"/>
      <c r="O538" s="170"/>
      <c r="P538" s="146"/>
      <c r="Q538" s="146"/>
      <c r="R538" s="146"/>
      <c r="S538" s="149"/>
      <c r="T538" s="149"/>
      <c r="U538" s="149"/>
      <c r="V538" s="149"/>
      <c r="W538" s="149"/>
      <c r="X538" s="149"/>
      <c r="Y538" s="149"/>
      <c r="Z538" s="149"/>
    </row>
    <row r="539" spans="1:26" ht="213" customHeight="1">
      <c r="A539" s="419" t="s">
        <v>736</v>
      </c>
      <c r="B539" s="194" t="s">
        <v>177</v>
      </c>
      <c r="C539" s="195">
        <v>1</v>
      </c>
      <c r="D539" s="195">
        <v>1</v>
      </c>
      <c r="E539" s="195">
        <v>0</v>
      </c>
      <c r="F539" s="195">
        <v>0</v>
      </c>
      <c r="G539" s="951">
        <v>0</v>
      </c>
      <c r="H539" s="195">
        <v>0</v>
      </c>
      <c r="I539" s="135" t="s">
        <v>178</v>
      </c>
      <c r="J539" s="81" t="s">
        <v>3732</v>
      </c>
      <c r="K539" s="81" t="s">
        <v>3733</v>
      </c>
      <c r="L539" s="81" t="s">
        <v>1936</v>
      </c>
      <c r="M539" s="178" t="s">
        <v>3734</v>
      </c>
      <c r="N539" s="472" t="s">
        <v>3735</v>
      </c>
      <c r="O539" s="81" t="s">
        <v>3736</v>
      </c>
      <c r="P539" s="146"/>
      <c r="Q539" s="146"/>
      <c r="R539" s="146"/>
      <c r="S539" s="149"/>
      <c r="T539" s="149"/>
      <c r="U539" s="149"/>
      <c r="V539" s="149"/>
      <c r="W539" s="149"/>
      <c r="X539" s="149"/>
      <c r="Y539" s="149"/>
      <c r="Z539" s="149"/>
    </row>
    <row r="540" spans="1:26" ht="13.5" customHeight="1">
      <c r="A540" s="2"/>
      <c r="B540" s="950"/>
      <c r="C540" s="195"/>
      <c r="D540" s="195"/>
      <c r="E540" s="195"/>
      <c r="F540" s="195"/>
      <c r="G540" s="195"/>
      <c r="H540" s="195"/>
      <c r="I540" s="18"/>
      <c r="J540" s="156"/>
      <c r="K540" s="945"/>
      <c r="L540" s="945"/>
      <c r="M540" s="156"/>
      <c r="N540" s="945"/>
      <c r="O540" s="945"/>
      <c r="P540" s="15"/>
      <c r="Q540" s="15"/>
      <c r="R540" s="15"/>
      <c r="S540" s="15"/>
      <c r="T540" s="15"/>
      <c r="U540" s="15"/>
      <c r="V540" s="15"/>
      <c r="W540" s="15"/>
      <c r="X540" s="15"/>
      <c r="Y540" s="15"/>
      <c r="Z540" s="15"/>
    </row>
    <row r="541" spans="1:26" ht="171" customHeight="1">
      <c r="A541" s="419" t="s">
        <v>736</v>
      </c>
      <c r="B541" s="194" t="s">
        <v>179</v>
      </c>
      <c r="C541" s="195">
        <f t="shared" ref="C541:H541" si="75">AVERAGE(C542:C544)</f>
        <v>1</v>
      </c>
      <c r="D541" s="195">
        <f t="shared" si="75"/>
        <v>1</v>
      </c>
      <c r="E541" s="195">
        <f t="shared" si="75"/>
        <v>0.33333333333333331</v>
      </c>
      <c r="F541" s="195">
        <f t="shared" si="75"/>
        <v>0.16666666666666666</v>
      </c>
      <c r="G541" s="195">
        <f t="shared" si="75"/>
        <v>0.33333333333333331</v>
      </c>
      <c r="H541" s="195">
        <f t="shared" si="75"/>
        <v>0</v>
      </c>
      <c r="I541" s="135"/>
      <c r="J541" s="81"/>
      <c r="K541" s="81"/>
      <c r="L541" s="178"/>
      <c r="M541" s="178"/>
      <c r="N541" s="80"/>
      <c r="O541" s="81" t="s">
        <v>748</v>
      </c>
      <c r="P541" s="473"/>
      <c r="Q541" s="473"/>
      <c r="R541" s="146"/>
      <c r="S541" s="149"/>
      <c r="T541" s="149"/>
      <c r="U541" s="149"/>
      <c r="V541" s="149"/>
      <c r="W541" s="149"/>
      <c r="X541" s="149"/>
      <c r="Y541" s="149"/>
      <c r="Z541" s="149"/>
    </row>
    <row r="542" spans="1:26" ht="111.75" customHeight="1">
      <c r="A542" s="419"/>
      <c r="B542" s="212" t="s">
        <v>3713</v>
      </c>
      <c r="C542" s="195">
        <v>1</v>
      </c>
      <c r="D542" s="195">
        <v>1</v>
      </c>
      <c r="E542" s="195">
        <v>0.5</v>
      </c>
      <c r="F542" s="951">
        <v>0.5</v>
      </c>
      <c r="G542" s="195">
        <v>0.5</v>
      </c>
      <c r="H542" s="195">
        <v>0</v>
      </c>
      <c r="I542" s="73" t="s">
        <v>3582</v>
      </c>
      <c r="J542" s="81" t="s">
        <v>3737</v>
      </c>
      <c r="K542" s="81" t="s">
        <v>3738</v>
      </c>
      <c r="L542" s="188" t="s">
        <v>3739</v>
      </c>
      <c r="M542" s="399" t="s">
        <v>3740</v>
      </c>
      <c r="N542" s="83" t="s">
        <v>3741</v>
      </c>
      <c r="O542" s="81" t="s">
        <v>3742</v>
      </c>
      <c r="P542" s="473"/>
      <c r="Q542" s="473"/>
      <c r="R542" s="146"/>
      <c r="S542" s="149"/>
      <c r="T542" s="149"/>
      <c r="U542" s="149"/>
      <c r="V542" s="149"/>
      <c r="W542" s="149"/>
      <c r="X542" s="149"/>
      <c r="Y542" s="149"/>
      <c r="Z542" s="149"/>
    </row>
    <row r="543" spans="1:26" ht="138.75" customHeight="1">
      <c r="A543" s="419"/>
      <c r="B543" s="212" t="s">
        <v>168</v>
      </c>
      <c r="C543" s="195">
        <v>1</v>
      </c>
      <c r="D543" s="195">
        <v>1</v>
      </c>
      <c r="E543" s="195">
        <v>0.5</v>
      </c>
      <c r="F543" s="951">
        <v>0</v>
      </c>
      <c r="G543" s="195">
        <v>0.5</v>
      </c>
      <c r="H543" s="195">
        <v>0</v>
      </c>
      <c r="I543" s="73" t="s">
        <v>3582</v>
      </c>
      <c r="J543" s="81" t="s">
        <v>3743</v>
      </c>
      <c r="K543" s="188" t="s">
        <v>3738</v>
      </c>
      <c r="L543" s="188" t="s">
        <v>3739</v>
      </c>
      <c r="M543" s="178" t="s">
        <v>3744</v>
      </c>
      <c r="N543" s="81" t="s">
        <v>3745</v>
      </c>
      <c r="O543" s="81" t="s">
        <v>3746</v>
      </c>
      <c r="P543" s="146"/>
      <c r="Q543" s="146"/>
      <c r="R543" s="146"/>
      <c r="S543" s="149"/>
      <c r="T543" s="149"/>
      <c r="U543" s="149"/>
      <c r="V543" s="149"/>
      <c r="W543" s="149"/>
      <c r="X543" s="149"/>
      <c r="Y543" s="149"/>
      <c r="Z543" s="149"/>
    </row>
    <row r="544" spans="1:26" ht="109.5" customHeight="1">
      <c r="A544" s="419"/>
      <c r="B544" s="212" t="s">
        <v>180</v>
      </c>
      <c r="C544" s="195">
        <v>1</v>
      </c>
      <c r="D544" s="195">
        <v>1</v>
      </c>
      <c r="E544" s="195">
        <v>0</v>
      </c>
      <c r="F544" s="951">
        <v>0</v>
      </c>
      <c r="G544" s="195">
        <v>0</v>
      </c>
      <c r="H544" s="195">
        <v>0</v>
      </c>
      <c r="I544" s="135" t="s">
        <v>38</v>
      </c>
      <c r="J544" s="81" t="s">
        <v>3747</v>
      </c>
      <c r="K544" s="442" t="s">
        <v>3748</v>
      </c>
      <c r="L544" s="188" t="s">
        <v>3749</v>
      </c>
      <c r="M544" s="178" t="s">
        <v>3750</v>
      </c>
      <c r="N544" s="81" t="s">
        <v>748</v>
      </c>
      <c r="O544" s="81" t="s">
        <v>1951</v>
      </c>
      <c r="P544" s="146"/>
      <c r="Q544" s="146"/>
      <c r="R544" s="146"/>
      <c r="S544" s="149"/>
      <c r="T544" s="149"/>
      <c r="U544" s="149"/>
      <c r="V544" s="149"/>
      <c r="W544" s="149"/>
      <c r="X544" s="149"/>
      <c r="Y544" s="149"/>
      <c r="Z544" s="149"/>
    </row>
    <row r="545" spans="1:26" ht="13.5" customHeight="1">
      <c r="A545" s="419"/>
      <c r="B545" s="957"/>
      <c r="C545" s="195"/>
      <c r="D545" s="195"/>
      <c r="E545" s="195"/>
      <c r="F545" s="195"/>
      <c r="G545" s="195"/>
      <c r="H545" s="195"/>
      <c r="I545" s="135"/>
      <c r="J545" s="81"/>
      <c r="K545" s="80"/>
      <c r="L545" s="80"/>
      <c r="M545" s="80"/>
      <c r="N545" s="80"/>
      <c r="O545" s="170"/>
      <c r="P545" s="146"/>
      <c r="Q545" s="146"/>
      <c r="R545" s="146"/>
      <c r="S545" s="149"/>
      <c r="T545" s="149"/>
      <c r="U545" s="149"/>
      <c r="V545" s="149"/>
      <c r="W545" s="149"/>
      <c r="X545" s="149"/>
      <c r="Y545" s="149"/>
      <c r="Z545" s="149"/>
    </row>
    <row r="546" spans="1:26" ht="153.75" customHeight="1">
      <c r="A546" s="419" t="s">
        <v>736</v>
      </c>
      <c r="B546" s="194" t="s">
        <v>181</v>
      </c>
      <c r="C546" s="195">
        <v>0.5</v>
      </c>
      <c r="D546" s="195">
        <v>0</v>
      </c>
      <c r="E546" s="195">
        <v>0</v>
      </c>
      <c r="F546" s="195">
        <v>0.5</v>
      </c>
      <c r="G546" s="195">
        <v>0.5</v>
      </c>
      <c r="H546" s="195">
        <v>0</v>
      </c>
      <c r="I546" s="73" t="s">
        <v>3582</v>
      </c>
      <c r="J546" s="81" t="s">
        <v>1952</v>
      </c>
      <c r="K546" s="188" t="s">
        <v>3751</v>
      </c>
      <c r="L546" s="81" t="s">
        <v>3752</v>
      </c>
      <c r="M546" s="399" t="s">
        <v>3753</v>
      </c>
      <c r="N546" s="188" t="s">
        <v>3754</v>
      </c>
      <c r="O546" s="170" t="s">
        <v>748</v>
      </c>
      <c r="P546" s="146"/>
      <c r="Q546" s="146"/>
      <c r="R546" s="146"/>
      <c r="S546" s="149"/>
      <c r="T546" s="149"/>
      <c r="U546" s="149"/>
      <c r="V546" s="149"/>
      <c r="W546" s="149"/>
      <c r="X546" s="149"/>
      <c r="Y546" s="149"/>
      <c r="Z546" s="149"/>
    </row>
    <row r="547" spans="1:26" ht="13.5" customHeight="1">
      <c r="A547" s="2"/>
      <c r="B547" s="950"/>
      <c r="C547" s="195"/>
      <c r="D547" s="195"/>
      <c r="E547" s="195"/>
      <c r="F547" s="195"/>
      <c r="G547" s="195"/>
      <c r="H547" s="195"/>
      <c r="I547" s="18"/>
      <c r="J547" s="156"/>
      <c r="K547" s="945"/>
      <c r="L547" s="945"/>
      <c r="M547" s="156"/>
      <c r="N547" s="945"/>
      <c r="O547" s="945"/>
      <c r="P547" s="15"/>
      <c r="Q547" s="15"/>
      <c r="R547" s="15"/>
      <c r="S547" s="15"/>
      <c r="T547" s="15"/>
      <c r="U547" s="15"/>
      <c r="V547" s="15"/>
      <c r="W547" s="15"/>
      <c r="X547" s="15"/>
      <c r="Y547" s="15"/>
      <c r="Z547" s="15"/>
    </row>
    <row r="548" spans="1:26" ht="180.75" customHeight="1">
      <c r="A548" s="419" t="s">
        <v>736</v>
      </c>
      <c r="B548" s="194" t="s">
        <v>182</v>
      </c>
      <c r="C548" s="951">
        <v>1</v>
      </c>
      <c r="D548" s="195">
        <v>1</v>
      </c>
      <c r="E548" s="195">
        <v>0</v>
      </c>
      <c r="F548" s="195">
        <v>1</v>
      </c>
      <c r="G548" s="195">
        <v>1</v>
      </c>
      <c r="H548" s="195">
        <v>0.5</v>
      </c>
      <c r="I548" s="73" t="s">
        <v>3582</v>
      </c>
      <c r="J548" s="400" t="s">
        <v>3755</v>
      </c>
      <c r="K548" s="188" t="s">
        <v>948</v>
      </c>
      <c r="L548" s="81" t="s">
        <v>748</v>
      </c>
      <c r="M548" s="178" t="s">
        <v>3756</v>
      </c>
      <c r="N548" s="411" t="s">
        <v>3757</v>
      </c>
      <c r="O548" s="81" t="s">
        <v>3758</v>
      </c>
      <c r="P548" s="146"/>
      <c r="Q548" s="146"/>
      <c r="R548" s="146"/>
      <c r="S548" s="149"/>
      <c r="T548" s="149"/>
      <c r="U548" s="149"/>
      <c r="V548" s="149"/>
      <c r="W548" s="149"/>
      <c r="X548" s="149"/>
      <c r="Y548" s="149"/>
      <c r="Z548" s="149"/>
    </row>
    <row r="549" spans="1:26" ht="12.75" customHeight="1">
      <c r="A549" s="419"/>
      <c r="B549" s="194"/>
      <c r="C549" s="195"/>
      <c r="D549" s="195"/>
      <c r="E549" s="195"/>
      <c r="F549" s="195"/>
      <c r="G549" s="195"/>
      <c r="H549" s="195"/>
      <c r="I549" s="73"/>
      <c r="J549" s="81"/>
      <c r="K549" s="80"/>
      <c r="L549" s="80"/>
      <c r="M549" s="80"/>
      <c r="N549" s="80"/>
      <c r="O549" s="81"/>
      <c r="P549" s="146"/>
      <c r="Q549" s="146"/>
      <c r="R549" s="146"/>
      <c r="S549" s="149"/>
      <c r="T549" s="149"/>
      <c r="U549" s="149"/>
      <c r="V549" s="149"/>
      <c r="W549" s="149"/>
      <c r="X549" s="149"/>
      <c r="Y549" s="149"/>
      <c r="Z549" s="149"/>
    </row>
    <row r="550" spans="1:26" ht="156" customHeight="1">
      <c r="A550" s="419" t="s">
        <v>736</v>
      </c>
      <c r="B550" s="194" t="s">
        <v>183</v>
      </c>
      <c r="C550" s="951">
        <v>1</v>
      </c>
      <c r="D550" s="195">
        <v>1</v>
      </c>
      <c r="E550" s="195">
        <v>0</v>
      </c>
      <c r="F550" s="195">
        <v>0.5</v>
      </c>
      <c r="G550" s="195">
        <v>0.5</v>
      </c>
      <c r="H550" s="195">
        <v>0</v>
      </c>
      <c r="I550" s="73" t="s">
        <v>3582</v>
      </c>
      <c r="J550" s="400" t="s">
        <v>3759</v>
      </c>
      <c r="K550" s="188" t="s">
        <v>948</v>
      </c>
      <c r="L550" s="81" t="s">
        <v>748</v>
      </c>
      <c r="M550" s="178" t="s">
        <v>3760</v>
      </c>
      <c r="N550" s="83" t="s">
        <v>3761</v>
      </c>
      <c r="O550" s="81" t="s">
        <v>3762</v>
      </c>
      <c r="P550" s="146"/>
      <c r="Q550" s="146"/>
      <c r="R550" s="146"/>
      <c r="S550" s="149"/>
      <c r="T550" s="149"/>
      <c r="U550" s="149"/>
      <c r="V550" s="149"/>
      <c r="W550" s="149"/>
      <c r="X550" s="149"/>
      <c r="Y550" s="149"/>
      <c r="Z550" s="149"/>
    </row>
    <row r="551" spans="1:26" ht="13.5" customHeight="1">
      <c r="A551" s="2"/>
      <c r="B551" s="952"/>
      <c r="C551" s="271"/>
      <c r="D551" s="271"/>
      <c r="E551" s="271"/>
      <c r="F551" s="271"/>
      <c r="G551" s="271"/>
      <c r="H551" s="477"/>
      <c r="I551" s="18"/>
      <c r="J551" s="75"/>
      <c r="K551" s="953"/>
      <c r="L551" s="953"/>
      <c r="M551" s="291"/>
      <c r="N551" s="953"/>
      <c r="O551" s="953"/>
      <c r="P551" s="15"/>
      <c r="Q551" s="15"/>
      <c r="R551" s="15"/>
      <c r="S551" s="15"/>
      <c r="T551" s="15"/>
      <c r="U551" s="15"/>
      <c r="V551" s="15"/>
      <c r="W551" s="15"/>
      <c r="X551" s="15"/>
      <c r="Y551" s="15"/>
      <c r="Z551" s="15"/>
    </row>
    <row r="552" spans="1:26" ht="18.75" customHeight="1">
      <c r="A552" s="478">
        <v>2</v>
      </c>
      <c r="B552" s="2608" t="s">
        <v>3763</v>
      </c>
      <c r="C552" s="2600"/>
      <c r="D552" s="2600"/>
      <c r="E552" s="2600"/>
      <c r="F552" s="2600"/>
      <c r="G552" s="2600"/>
      <c r="H552" s="2600"/>
      <c r="I552" s="479"/>
      <c r="J552" s="2610"/>
      <c r="K552" s="2600"/>
      <c r="L552" s="2600"/>
      <c r="M552" s="2600"/>
      <c r="N552" s="2600"/>
      <c r="O552" s="2600"/>
      <c r="P552" s="480"/>
      <c r="Q552" s="480"/>
      <c r="R552" s="480"/>
      <c r="S552" s="479"/>
      <c r="T552" s="479"/>
      <c r="U552" s="479"/>
      <c r="V552" s="479"/>
      <c r="W552" s="479"/>
      <c r="X552" s="479"/>
      <c r="Y552" s="479"/>
      <c r="Z552" s="479"/>
    </row>
    <row r="553" spans="1:26" ht="18" customHeight="1">
      <c r="A553" s="373"/>
      <c r="B553" s="481" t="s">
        <v>732</v>
      </c>
      <c r="C553" s="299">
        <f t="shared" ref="C553:H553" si="76">AVERAGE(C554,C600,C625)</f>
        <v>0.54363592895659429</v>
      </c>
      <c r="D553" s="299">
        <f t="shared" si="76"/>
        <v>0.61128315063735328</v>
      </c>
      <c r="E553" s="299">
        <f t="shared" si="76"/>
        <v>0.38107382073980817</v>
      </c>
      <c r="F553" s="299">
        <f t="shared" si="76"/>
        <v>0.65789952620086412</v>
      </c>
      <c r="G553" s="299">
        <f t="shared" si="76"/>
        <v>0.57352221350049737</v>
      </c>
      <c r="H553" s="299">
        <f t="shared" si="76"/>
        <v>0.42556345920966798</v>
      </c>
      <c r="I553" s="482"/>
      <c r="J553" s="202"/>
      <c r="K553" s="202"/>
      <c r="L553" s="202"/>
      <c r="M553" s="202"/>
      <c r="N553" s="202"/>
      <c r="O553" s="202"/>
      <c r="P553" s="205"/>
      <c r="Q553" s="205"/>
      <c r="R553" s="205"/>
      <c r="S553" s="206"/>
      <c r="T553" s="206"/>
      <c r="U553" s="206"/>
      <c r="V553" s="206"/>
      <c r="W553" s="206"/>
      <c r="X553" s="206"/>
      <c r="Y553" s="206"/>
      <c r="Z553" s="206"/>
    </row>
    <row r="554" spans="1:26" ht="20.25" customHeight="1">
      <c r="A554" s="483" t="s">
        <v>436</v>
      </c>
      <c r="B554" s="123" t="s">
        <v>529</v>
      </c>
      <c r="C554" s="350">
        <f t="shared" ref="C554:H554" si="77">AVERAGE(C555,C562,C568,C574,C580,C585,C590,C594,C596,C598)</f>
        <v>0.49539888307687202</v>
      </c>
      <c r="D554" s="350">
        <f t="shared" si="77"/>
        <v>0.58403058671247432</v>
      </c>
      <c r="E554" s="350">
        <f t="shared" si="77"/>
        <v>0.50293079062426949</v>
      </c>
      <c r="F554" s="350">
        <f t="shared" si="77"/>
        <v>0.71183066283697582</v>
      </c>
      <c r="G554" s="350">
        <f t="shared" si="77"/>
        <v>0.56032930603309139</v>
      </c>
      <c r="H554" s="350">
        <f t="shared" si="77"/>
        <v>0.51352794693436921</v>
      </c>
      <c r="I554" s="161"/>
      <c r="J554" s="163"/>
      <c r="K554" s="163"/>
      <c r="L554" s="163"/>
      <c r="M554" s="163"/>
      <c r="N554" s="163"/>
      <c r="O554" s="163"/>
      <c r="P554" s="165"/>
      <c r="Q554" s="165"/>
      <c r="R554" s="165"/>
      <c r="S554" s="161"/>
      <c r="T554" s="161"/>
      <c r="U554" s="161"/>
      <c r="V554" s="161"/>
      <c r="W554" s="161"/>
      <c r="X554" s="161"/>
      <c r="Y554" s="161"/>
      <c r="Z554" s="161"/>
    </row>
    <row r="555" spans="1:26" ht="27.75" customHeight="1">
      <c r="A555" s="143" t="s">
        <v>736</v>
      </c>
      <c r="B555" s="95" t="s">
        <v>3764</v>
      </c>
      <c r="C555" s="175">
        <f t="shared" ref="C555:H555" si="78">AVERAGE(C556:C560)</f>
        <v>0.75907337982164824</v>
      </c>
      <c r="D555" s="175">
        <f t="shared" si="78"/>
        <v>0.69468308406009371</v>
      </c>
      <c r="E555" s="175">
        <f t="shared" si="78"/>
        <v>0.91111757922049841</v>
      </c>
      <c r="F555" s="175">
        <f t="shared" si="78"/>
        <v>0.97685602333730337</v>
      </c>
      <c r="G555" s="175">
        <f t="shared" si="78"/>
        <v>0.93616504296277192</v>
      </c>
      <c r="H555" s="175">
        <f t="shared" si="78"/>
        <v>0.86833185635065102</v>
      </c>
      <c r="I555" s="261"/>
      <c r="J555" s="81"/>
      <c r="K555" s="81"/>
      <c r="L555" s="81"/>
      <c r="M555" s="81"/>
      <c r="N555" s="81"/>
      <c r="O555" s="81"/>
      <c r="P555" s="146"/>
      <c r="Q555" s="146"/>
      <c r="R555" s="146"/>
      <c r="S555" s="149"/>
      <c r="T555" s="149"/>
      <c r="U555" s="149"/>
      <c r="V555" s="149"/>
      <c r="W555" s="149"/>
      <c r="X555" s="149"/>
      <c r="Y555" s="149"/>
      <c r="Z555" s="149"/>
    </row>
    <row r="556" spans="1:26" ht="13.5" customHeight="1">
      <c r="A556" s="143"/>
      <c r="B556" s="947" t="s">
        <v>530</v>
      </c>
      <c r="C556" s="80">
        <f t="shared" ref="C556:H556" si="79">(J556-162)/(5-162)</f>
        <v>0.7133757961783439</v>
      </c>
      <c r="D556" s="80">
        <f t="shared" si="79"/>
        <v>0.44585987261146498</v>
      </c>
      <c r="E556" s="80">
        <f t="shared" si="79"/>
        <v>0.97452229299363058</v>
      </c>
      <c r="F556" s="80">
        <f t="shared" si="79"/>
        <v>0.98726114649681529</v>
      </c>
      <c r="G556" s="80">
        <f t="shared" si="79"/>
        <v>0.96178343949044587</v>
      </c>
      <c r="H556" s="80">
        <f t="shared" si="79"/>
        <v>0.91719745222929938</v>
      </c>
      <c r="I556" s="261" t="s">
        <v>3765</v>
      </c>
      <c r="J556" s="959">
        <v>50</v>
      </c>
      <c r="K556" s="959">
        <v>92</v>
      </c>
      <c r="L556" s="959">
        <v>9</v>
      </c>
      <c r="M556" s="959">
        <v>7</v>
      </c>
      <c r="N556" s="959">
        <v>11</v>
      </c>
      <c r="O556" s="959">
        <v>18</v>
      </c>
      <c r="P556" s="146"/>
      <c r="Q556" s="146"/>
      <c r="R556" s="146"/>
      <c r="S556" s="149"/>
      <c r="T556" s="149"/>
      <c r="U556" s="149"/>
      <c r="V556" s="149"/>
      <c r="W556" s="149"/>
      <c r="X556" s="149"/>
      <c r="Y556" s="149"/>
      <c r="Z556" s="149"/>
    </row>
    <row r="557" spans="1:26" ht="13.5" customHeight="1">
      <c r="A557" s="143"/>
      <c r="B557" s="947" t="s">
        <v>531</v>
      </c>
      <c r="C557" s="80">
        <f t="shared" ref="C557:H557" si="80">(J557-55)/(2-55)</f>
        <v>0.62264150943396224</v>
      </c>
      <c r="D557" s="80">
        <f t="shared" si="80"/>
        <v>0.86792452830188682</v>
      </c>
      <c r="E557" s="80">
        <f t="shared" si="80"/>
        <v>0.94339622641509435</v>
      </c>
      <c r="F557" s="80">
        <f t="shared" si="80"/>
        <v>1</v>
      </c>
      <c r="G557" s="80">
        <f t="shared" si="80"/>
        <v>0.8867924528301887</v>
      </c>
      <c r="H557" s="80">
        <f t="shared" si="80"/>
        <v>0.8867924528301887</v>
      </c>
      <c r="I557" s="960" t="s">
        <v>3766</v>
      </c>
      <c r="J557" s="959">
        <v>22</v>
      </c>
      <c r="K557" s="959">
        <v>9</v>
      </c>
      <c r="L557" s="959">
        <v>5</v>
      </c>
      <c r="M557" s="959">
        <v>2</v>
      </c>
      <c r="N557" s="959">
        <v>8</v>
      </c>
      <c r="O557" s="959">
        <v>8</v>
      </c>
      <c r="P557" s="146"/>
      <c r="Q557" s="146"/>
      <c r="R557" s="146"/>
      <c r="S557" s="149"/>
      <c r="T557" s="149"/>
      <c r="U557" s="149"/>
      <c r="V557" s="149"/>
      <c r="W557" s="149"/>
      <c r="X557" s="149"/>
      <c r="Y557" s="149"/>
      <c r="Z557" s="149"/>
    </row>
    <row r="558" spans="1:26" ht="13.5" customHeight="1">
      <c r="A558" s="143"/>
      <c r="B558" s="947" t="s">
        <v>532</v>
      </c>
      <c r="C558" s="80">
        <f t="shared" ref="C558:H558" si="81">(J558-12)/(2-12)</f>
        <v>0.5</v>
      </c>
      <c r="D558" s="80">
        <f t="shared" si="81"/>
        <v>0.5</v>
      </c>
      <c r="E558" s="80">
        <f t="shared" si="81"/>
        <v>0.7</v>
      </c>
      <c r="F558" s="80">
        <f t="shared" si="81"/>
        <v>1</v>
      </c>
      <c r="G558" s="80">
        <f t="shared" si="81"/>
        <v>0.9</v>
      </c>
      <c r="H558" s="80">
        <f t="shared" si="81"/>
        <v>0.6</v>
      </c>
      <c r="I558" s="960" t="s">
        <v>3767</v>
      </c>
      <c r="J558" s="959">
        <v>7</v>
      </c>
      <c r="K558" s="959">
        <v>7</v>
      </c>
      <c r="L558" s="959">
        <v>5</v>
      </c>
      <c r="M558" s="959">
        <v>2</v>
      </c>
      <c r="N558" s="959">
        <v>3</v>
      </c>
      <c r="O558" s="959">
        <v>6</v>
      </c>
      <c r="P558" s="146"/>
      <c r="Q558" s="146"/>
      <c r="R558" s="146"/>
      <c r="S558" s="149"/>
      <c r="T558" s="149"/>
      <c r="U558" s="149"/>
      <c r="V558" s="149"/>
      <c r="W558" s="149"/>
      <c r="X558" s="149"/>
      <c r="Y558" s="149"/>
      <c r="Z558" s="149"/>
    </row>
    <row r="559" spans="1:26" ht="13.5" customHeight="1">
      <c r="A559" s="143"/>
      <c r="B559" s="947" t="s">
        <v>533</v>
      </c>
      <c r="C559" s="80">
        <f t="shared" ref="C559:H559" si="82">(J559-36.9)/(0-36.9)</f>
        <v>0.95934959349593496</v>
      </c>
      <c r="D559" s="80">
        <f t="shared" si="82"/>
        <v>0.84552845528455289</v>
      </c>
      <c r="E559" s="80">
        <f t="shared" si="82"/>
        <v>0.93766937669376704</v>
      </c>
      <c r="F559" s="80">
        <f t="shared" si="82"/>
        <v>0.897018970189702</v>
      </c>
      <c r="G559" s="80">
        <f t="shared" si="82"/>
        <v>0.9322493224932249</v>
      </c>
      <c r="H559" s="80">
        <f t="shared" si="82"/>
        <v>0.93766937669376704</v>
      </c>
      <c r="I559" s="261" t="s">
        <v>3768</v>
      </c>
      <c r="J559" s="959">
        <v>1.5</v>
      </c>
      <c r="K559" s="959">
        <v>5.7</v>
      </c>
      <c r="L559" s="959">
        <v>2.2999999999999998</v>
      </c>
      <c r="M559" s="959">
        <v>3.8</v>
      </c>
      <c r="N559" s="959">
        <v>2.5</v>
      </c>
      <c r="O559" s="959">
        <v>2.2999999999999998</v>
      </c>
      <c r="P559" s="146"/>
      <c r="Q559" s="146"/>
      <c r="R559" s="146"/>
      <c r="S559" s="149"/>
      <c r="T559" s="149"/>
      <c r="U559" s="149"/>
      <c r="V559" s="149"/>
      <c r="W559" s="149"/>
      <c r="X559" s="149"/>
      <c r="Y559" s="149"/>
      <c r="Z559" s="149"/>
    </row>
    <row r="560" spans="1:26" ht="42" customHeight="1">
      <c r="A560" s="143"/>
      <c r="B560" s="947" t="s">
        <v>534</v>
      </c>
      <c r="C560" s="80">
        <f t="shared" ref="C560:H560" si="83">(J560-46.8)/(0-46.8)</f>
        <v>1</v>
      </c>
      <c r="D560" s="80">
        <f t="shared" si="83"/>
        <v>0.81410256410256399</v>
      </c>
      <c r="E560" s="80">
        <f t="shared" si="83"/>
        <v>1</v>
      </c>
      <c r="F560" s="80">
        <f t="shared" si="83"/>
        <v>1</v>
      </c>
      <c r="G560" s="80">
        <f t="shared" si="83"/>
        <v>1</v>
      </c>
      <c r="H560" s="80">
        <f t="shared" si="83"/>
        <v>1</v>
      </c>
      <c r="I560" s="261" t="s">
        <v>3769</v>
      </c>
      <c r="J560" s="959">
        <v>0</v>
      </c>
      <c r="K560" s="959">
        <v>8.6999999999999993</v>
      </c>
      <c r="L560" s="959">
        <v>0</v>
      </c>
      <c r="M560" s="959">
        <v>0</v>
      </c>
      <c r="N560" s="959">
        <v>0</v>
      </c>
      <c r="O560" s="959">
        <v>0</v>
      </c>
      <c r="P560" s="146"/>
      <c r="Q560" s="146"/>
      <c r="R560" s="146"/>
      <c r="S560" s="149"/>
      <c r="T560" s="149"/>
      <c r="U560" s="149"/>
      <c r="V560" s="149"/>
      <c r="W560" s="149"/>
      <c r="X560" s="149"/>
      <c r="Y560" s="149"/>
      <c r="Z560" s="149"/>
    </row>
    <row r="561" spans="1:26" ht="13.5" customHeight="1">
      <c r="A561" s="143"/>
      <c r="B561" s="168"/>
      <c r="C561" s="959"/>
      <c r="D561" s="959"/>
      <c r="E561" s="959"/>
      <c r="F561" s="959"/>
      <c r="G561" s="959"/>
      <c r="H561" s="959"/>
      <c r="I561" s="261"/>
      <c r="J561" s="81"/>
      <c r="K561" s="81"/>
      <c r="L561" s="81"/>
      <c r="M561" s="81"/>
      <c r="N561" s="81"/>
      <c r="O561" s="81"/>
      <c r="P561" s="146"/>
      <c r="Q561" s="146"/>
      <c r="R561" s="146"/>
      <c r="S561" s="149"/>
      <c r="T561" s="149"/>
      <c r="U561" s="149"/>
      <c r="V561" s="149"/>
      <c r="W561" s="149"/>
      <c r="X561" s="149"/>
      <c r="Y561" s="149"/>
      <c r="Z561" s="149"/>
    </row>
    <row r="562" spans="1:26" ht="48" customHeight="1">
      <c r="A562" s="143" t="s">
        <v>736</v>
      </c>
      <c r="B562" s="95" t="s">
        <v>3770</v>
      </c>
      <c r="C562" s="175">
        <f t="shared" ref="C562:H562" si="84">AVERAGE(C563:C566)</f>
        <v>0.25126890673843866</v>
      </c>
      <c r="D562" s="175">
        <f t="shared" si="84"/>
        <v>0.68952266226354819</v>
      </c>
      <c r="E562" s="175">
        <f t="shared" si="84"/>
        <v>0.70043052509106141</v>
      </c>
      <c r="F562" s="175">
        <f t="shared" si="84"/>
        <v>0.80232263762143075</v>
      </c>
      <c r="G562" s="175">
        <f t="shared" si="84"/>
        <v>0.86300096724000164</v>
      </c>
      <c r="H562" s="175">
        <f t="shared" si="84"/>
        <v>0.68891978252962405</v>
      </c>
      <c r="I562" s="261"/>
      <c r="J562" s="81"/>
      <c r="K562" s="81"/>
      <c r="L562" s="81"/>
      <c r="M562" s="81"/>
      <c r="N562" s="81"/>
      <c r="O562" s="81"/>
      <c r="P562" s="146"/>
      <c r="Q562" s="146"/>
      <c r="R562" s="146"/>
      <c r="S562" s="149"/>
      <c r="T562" s="149"/>
      <c r="U562" s="149"/>
      <c r="V562" s="149"/>
      <c r="W562" s="149"/>
      <c r="X562" s="149"/>
      <c r="Y562" s="149"/>
      <c r="Z562" s="149"/>
    </row>
    <row r="563" spans="1:26" ht="13.5" customHeight="1">
      <c r="A563" s="143"/>
      <c r="B563" s="947" t="s">
        <v>530</v>
      </c>
      <c r="C563" s="80">
        <f t="shared" ref="C563:H563" si="85">(J563-183)/(33-183)</f>
        <v>0.17333333333333334</v>
      </c>
      <c r="D563" s="80">
        <f t="shared" si="85"/>
        <v>0.61333333333333329</v>
      </c>
      <c r="E563" s="80">
        <f t="shared" si="85"/>
        <v>0.84666666666666668</v>
      </c>
      <c r="F563" s="80">
        <f t="shared" si="85"/>
        <v>0.68</v>
      </c>
      <c r="G563" s="80">
        <f t="shared" si="85"/>
        <v>0.8</v>
      </c>
      <c r="H563" s="80">
        <f t="shared" si="85"/>
        <v>0.58666666666666667</v>
      </c>
      <c r="I563" s="261" t="s">
        <v>3771</v>
      </c>
      <c r="J563" s="959">
        <v>157</v>
      </c>
      <c r="K563" s="959">
        <v>91</v>
      </c>
      <c r="L563" s="959">
        <v>56</v>
      </c>
      <c r="M563" s="959">
        <v>81</v>
      </c>
      <c r="N563" s="959">
        <v>63</v>
      </c>
      <c r="O563" s="959">
        <v>95</v>
      </c>
      <c r="P563" s="146"/>
      <c r="Q563" s="146"/>
      <c r="R563" s="146"/>
      <c r="S563" s="149"/>
      <c r="T563" s="149"/>
      <c r="U563" s="149"/>
      <c r="V563" s="149"/>
      <c r="W563" s="149"/>
      <c r="X563" s="149"/>
      <c r="Y563" s="149"/>
      <c r="Z563" s="149"/>
    </row>
    <row r="564" spans="1:26" ht="27.75" customHeight="1">
      <c r="A564" s="143"/>
      <c r="B564" s="947" t="s">
        <v>536</v>
      </c>
      <c r="C564" s="80">
        <f t="shared" ref="C564:H564" si="86">(J564-0)/(55.3-0)</f>
        <v>0.15732368896925858</v>
      </c>
      <c r="D564" s="80">
        <f t="shared" si="86"/>
        <v>0.57866184448462932</v>
      </c>
      <c r="E564" s="80">
        <f t="shared" si="86"/>
        <v>0.77757685352622063</v>
      </c>
      <c r="F564" s="80">
        <f t="shared" si="86"/>
        <v>0.64556962025316467</v>
      </c>
      <c r="G564" s="80">
        <f t="shared" si="86"/>
        <v>0.74502712477396027</v>
      </c>
      <c r="H564" s="80">
        <f t="shared" si="86"/>
        <v>0.55334538878842676</v>
      </c>
      <c r="I564" s="261" t="s">
        <v>3772</v>
      </c>
      <c r="J564" s="959">
        <v>8.6999999999999993</v>
      </c>
      <c r="K564" s="959">
        <v>32</v>
      </c>
      <c r="L564" s="959">
        <v>43</v>
      </c>
      <c r="M564" s="959">
        <v>35.700000000000003</v>
      </c>
      <c r="N564" s="959">
        <v>41.2</v>
      </c>
      <c r="O564" s="959">
        <v>30.6</v>
      </c>
      <c r="P564" s="146"/>
      <c r="Q564" s="146"/>
      <c r="R564" s="146"/>
      <c r="S564" s="149"/>
      <c r="T564" s="149"/>
      <c r="U564" s="149"/>
      <c r="V564" s="149"/>
      <c r="W564" s="149"/>
      <c r="X564" s="149"/>
      <c r="Y564" s="149"/>
      <c r="Z564" s="149"/>
    </row>
    <row r="565" spans="1:26" ht="13.5" customHeight="1">
      <c r="A565" s="961"/>
      <c r="B565" s="947" t="s">
        <v>537</v>
      </c>
      <c r="C565" s="80">
        <f t="shared" ref="C565:H565" si="87">(J565-5.8)/(1.5-5.8)</f>
        <v>0.67441860465116277</v>
      </c>
      <c r="D565" s="80">
        <f t="shared" si="87"/>
        <v>0.69767441860465118</v>
      </c>
      <c r="E565" s="80">
        <f t="shared" si="87"/>
        <v>0.65116279069767435</v>
      </c>
      <c r="F565" s="80">
        <f t="shared" si="87"/>
        <v>0.88372093023255816</v>
      </c>
      <c r="G565" s="80">
        <f t="shared" si="87"/>
        <v>0.90697674418604657</v>
      </c>
      <c r="H565" s="80">
        <f t="shared" si="87"/>
        <v>0.72093023255813948</v>
      </c>
      <c r="I565" s="960" t="s">
        <v>3773</v>
      </c>
      <c r="J565" s="959">
        <v>2.9</v>
      </c>
      <c r="K565" s="959">
        <v>2.8</v>
      </c>
      <c r="L565" s="959">
        <v>3</v>
      </c>
      <c r="M565" s="959">
        <v>2</v>
      </c>
      <c r="N565" s="959">
        <v>1.9</v>
      </c>
      <c r="O565" s="959">
        <v>2.7</v>
      </c>
      <c r="P565" s="484"/>
      <c r="Q565" s="484"/>
      <c r="R565" s="484"/>
      <c r="S565" s="929"/>
      <c r="T565" s="929"/>
      <c r="U565" s="929"/>
      <c r="V565" s="929"/>
      <c r="W565" s="929"/>
      <c r="X565" s="929"/>
      <c r="Y565" s="929"/>
      <c r="Z565" s="929"/>
    </row>
    <row r="566" spans="1:26" ht="13.5" customHeight="1">
      <c r="A566" s="143"/>
      <c r="B566" s="947" t="s">
        <v>538</v>
      </c>
      <c r="C566" s="80">
        <f t="shared" ref="C566:H566" si="88">(J566-42)/(4-42)</f>
        <v>0</v>
      </c>
      <c r="D566" s="80">
        <f t="shared" si="88"/>
        <v>0.86842105263157898</v>
      </c>
      <c r="E566" s="80">
        <f t="shared" si="88"/>
        <v>0.52631578947368418</v>
      </c>
      <c r="F566" s="80">
        <f t="shared" si="88"/>
        <v>1</v>
      </c>
      <c r="G566" s="80">
        <f t="shared" si="88"/>
        <v>1</v>
      </c>
      <c r="H566" s="80">
        <f t="shared" si="88"/>
        <v>0.89473684210526316</v>
      </c>
      <c r="I566" s="261" t="s">
        <v>1976</v>
      </c>
      <c r="J566" s="959">
        <v>42</v>
      </c>
      <c r="K566" s="959">
        <v>9</v>
      </c>
      <c r="L566" s="959">
        <v>22</v>
      </c>
      <c r="M566" s="959">
        <v>4</v>
      </c>
      <c r="N566" s="959">
        <v>4</v>
      </c>
      <c r="O566" s="959">
        <v>8</v>
      </c>
      <c r="P566" s="146"/>
      <c r="Q566" s="146"/>
      <c r="R566" s="146"/>
      <c r="S566" s="149"/>
      <c r="T566" s="149"/>
      <c r="U566" s="149"/>
      <c r="V566" s="149"/>
      <c r="W566" s="149"/>
      <c r="X566" s="149"/>
      <c r="Y566" s="149"/>
      <c r="Z566" s="149"/>
    </row>
    <row r="567" spans="1:26" ht="13.5" customHeight="1">
      <c r="A567" s="143"/>
      <c r="B567" s="168"/>
      <c r="C567" s="959"/>
      <c r="D567" s="959"/>
      <c r="E567" s="959"/>
      <c r="F567" s="959"/>
      <c r="G567" s="959"/>
      <c r="H567" s="959"/>
      <c r="I567" s="960"/>
      <c r="J567" s="81"/>
      <c r="K567" s="81"/>
      <c r="L567" s="81"/>
      <c r="M567" s="81"/>
      <c r="N567" s="81"/>
      <c r="O567" s="81"/>
      <c r="P567" s="146"/>
      <c r="Q567" s="146"/>
      <c r="R567" s="146"/>
      <c r="S567" s="149"/>
      <c r="T567" s="149"/>
      <c r="U567" s="149"/>
      <c r="V567" s="149"/>
      <c r="W567" s="149"/>
      <c r="X567" s="149"/>
      <c r="Y567" s="149"/>
      <c r="Z567" s="149"/>
    </row>
    <row r="568" spans="1:26" ht="27.75" customHeight="1">
      <c r="A568" s="143" t="s">
        <v>736</v>
      </c>
      <c r="B568" s="95" t="s">
        <v>3774</v>
      </c>
      <c r="C568" s="175">
        <f t="shared" ref="C568:H568" si="89">AVERAGE(C569:C572)</f>
        <v>0.45888876781029569</v>
      </c>
      <c r="D568" s="175">
        <f t="shared" si="89"/>
        <v>0.67789150189018299</v>
      </c>
      <c r="E568" s="175">
        <f t="shared" si="89"/>
        <v>0.58982248730083875</v>
      </c>
      <c r="F568" s="175">
        <f t="shared" si="89"/>
        <v>0.90645036915401767</v>
      </c>
      <c r="G568" s="175">
        <f t="shared" si="89"/>
        <v>0.6681784351927873</v>
      </c>
      <c r="H568" s="175">
        <f t="shared" si="89"/>
        <v>0.76527467618260903</v>
      </c>
      <c r="I568" s="261"/>
      <c r="J568" s="81"/>
      <c r="K568" s="81"/>
      <c r="L568" s="81"/>
      <c r="M568" s="81"/>
      <c r="N568" s="81"/>
      <c r="O568" s="81"/>
      <c r="P568" s="146"/>
      <c r="Q568" s="146"/>
      <c r="R568" s="146"/>
      <c r="S568" s="149"/>
      <c r="T568" s="149"/>
      <c r="U568" s="149"/>
      <c r="V568" s="149"/>
      <c r="W568" s="149"/>
      <c r="X568" s="149"/>
      <c r="Y568" s="149"/>
      <c r="Z568" s="149"/>
    </row>
    <row r="569" spans="1:26" ht="13.5" customHeight="1">
      <c r="A569" s="143"/>
      <c r="B569" s="947" t="s">
        <v>530</v>
      </c>
      <c r="C569" s="80">
        <f t="shared" ref="C569:H569" si="90">(J569-183)/(30-183)</f>
        <v>0.11764705882352941</v>
      </c>
      <c r="D569" s="80">
        <f t="shared" si="90"/>
        <v>0.48366013071895425</v>
      </c>
      <c r="E569" s="80">
        <f t="shared" si="90"/>
        <v>0.35294117647058826</v>
      </c>
      <c r="F569" s="80">
        <f t="shared" si="90"/>
        <v>0.98039215686274506</v>
      </c>
      <c r="G569" s="80">
        <f t="shared" si="90"/>
        <v>0.49019607843137253</v>
      </c>
      <c r="H569" s="80">
        <f t="shared" si="90"/>
        <v>0.69934640522875813</v>
      </c>
      <c r="I569" s="261" t="s">
        <v>3775</v>
      </c>
      <c r="J569" s="399">
        <v>165</v>
      </c>
      <c r="K569" s="399">
        <v>109</v>
      </c>
      <c r="L569" s="399">
        <v>129</v>
      </c>
      <c r="M569" s="399">
        <v>33</v>
      </c>
      <c r="N569" s="399">
        <v>108</v>
      </c>
      <c r="O569" s="399">
        <v>76</v>
      </c>
      <c r="P569" s="146"/>
      <c r="Q569" s="146"/>
      <c r="R569" s="146"/>
      <c r="S569" s="149"/>
      <c r="T569" s="149"/>
      <c r="U569" s="149"/>
      <c r="V569" s="149"/>
      <c r="W569" s="149"/>
      <c r="X569" s="149"/>
      <c r="Y569" s="149"/>
      <c r="Z569" s="149"/>
    </row>
    <row r="570" spans="1:26" ht="13.5" customHeight="1">
      <c r="A570" s="143"/>
      <c r="B570" s="947" t="s">
        <v>540</v>
      </c>
      <c r="C570" s="80">
        <f t="shared" ref="C570:H570" si="91">(J570-798)/(81-798)</f>
        <v>0.42817294281729429</v>
      </c>
      <c r="D570" s="80">
        <f t="shared" si="91"/>
        <v>0.80613668061366806</v>
      </c>
      <c r="E570" s="80">
        <f t="shared" si="91"/>
        <v>0.64156206415620642</v>
      </c>
      <c r="F570" s="80">
        <f t="shared" si="91"/>
        <v>0.72245467224546722</v>
      </c>
      <c r="G570" s="80">
        <f t="shared" si="91"/>
        <v>0.5829846582984658</v>
      </c>
      <c r="H570" s="80">
        <f t="shared" si="91"/>
        <v>0.81450488145048816</v>
      </c>
      <c r="I570" s="261" t="s">
        <v>3776</v>
      </c>
      <c r="J570" s="399">
        <v>491</v>
      </c>
      <c r="K570" s="399">
        <v>220</v>
      </c>
      <c r="L570" s="399">
        <v>338</v>
      </c>
      <c r="M570" s="399">
        <v>280</v>
      </c>
      <c r="N570" s="399">
        <v>380</v>
      </c>
      <c r="O570" s="399">
        <v>214</v>
      </c>
      <c r="P570" s="146"/>
      <c r="Q570" s="146"/>
      <c r="R570" s="146"/>
      <c r="S570" s="149"/>
      <c r="T570" s="149"/>
      <c r="U570" s="149"/>
      <c r="V570" s="149"/>
      <c r="W570" s="149"/>
      <c r="X570" s="149"/>
      <c r="Y570" s="149"/>
      <c r="Z570" s="149"/>
    </row>
    <row r="571" spans="1:26" ht="27.75" customHeight="1">
      <c r="A571" s="961"/>
      <c r="B571" s="947" t="s">
        <v>541</v>
      </c>
      <c r="C571" s="80">
        <f t="shared" ref="C571:H571" si="92">(J571-135)/(4-135)</f>
        <v>0.81679389312977102</v>
      </c>
      <c r="D571" s="80">
        <f t="shared" si="92"/>
        <v>0.66412213740458015</v>
      </c>
      <c r="E571" s="80">
        <f t="shared" si="92"/>
        <v>0.95419847328244278</v>
      </c>
      <c r="F571" s="80">
        <f t="shared" si="92"/>
        <v>0.99236641221374045</v>
      </c>
      <c r="G571" s="80">
        <f t="shared" si="92"/>
        <v>0.93129770992366412</v>
      </c>
      <c r="H571" s="80">
        <f t="shared" si="92"/>
        <v>0.89312977099236646</v>
      </c>
      <c r="I571" s="960" t="s">
        <v>3777</v>
      </c>
      <c r="J571" s="399">
        <v>28</v>
      </c>
      <c r="K571" s="962">
        <v>48</v>
      </c>
      <c r="L571" s="399">
        <v>10</v>
      </c>
      <c r="M571" s="399">
        <v>5</v>
      </c>
      <c r="N571" s="399">
        <v>13</v>
      </c>
      <c r="O571" s="962">
        <v>18</v>
      </c>
      <c r="P571" s="146"/>
      <c r="Q571" s="146"/>
      <c r="R571" s="146"/>
      <c r="S571" s="149"/>
      <c r="T571" s="149"/>
      <c r="U571" s="149"/>
      <c r="V571" s="149"/>
      <c r="W571" s="149"/>
      <c r="X571" s="149"/>
      <c r="Y571" s="149"/>
      <c r="Z571" s="149"/>
    </row>
    <row r="572" spans="1:26" ht="27.75" customHeight="1">
      <c r="A572" s="143"/>
      <c r="B572" s="947" t="s">
        <v>542</v>
      </c>
      <c r="C572" s="80">
        <f t="shared" ref="C572:H572" si="93">(J572-95.6)/(10.6-95.6)</f>
        <v>0.4729411764705882</v>
      </c>
      <c r="D572" s="80">
        <f t="shared" si="93"/>
        <v>0.75764705882352934</v>
      </c>
      <c r="E572" s="80">
        <f t="shared" si="93"/>
        <v>0.41058823529411753</v>
      </c>
      <c r="F572" s="80">
        <f t="shared" si="93"/>
        <v>0.93058823529411761</v>
      </c>
      <c r="G572" s="80">
        <f t="shared" si="93"/>
        <v>0.66823529411764704</v>
      </c>
      <c r="H572" s="80">
        <f t="shared" si="93"/>
        <v>0.65411764705882347</v>
      </c>
      <c r="I572" s="261" t="s">
        <v>3778</v>
      </c>
      <c r="J572" s="399">
        <v>55.4</v>
      </c>
      <c r="K572" s="962">
        <v>31.2</v>
      </c>
      <c r="L572" s="399">
        <v>60.7</v>
      </c>
      <c r="M572" s="962">
        <v>16.5</v>
      </c>
      <c r="N572" s="399">
        <v>38.799999999999997</v>
      </c>
      <c r="O572" s="962">
        <v>40</v>
      </c>
      <c r="P572" s="146"/>
      <c r="Q572" s="146"/>
      <c r="R572" s="146"/>
      <c r="S572" s="149"/>
      <c r="T572" s="149"/>
      <c r="U572" s="149"/>
      <c r="V572" s="149"/>
      <c r="W572" s="149"/>
      <c r="X572" s="149"/>
      <c r="Y572" s="149"/>
      <c r="Z572" s="149"/>
    </row>
    <row r="573" spans="1:26" ht="13.5" customHeight="1">
      <c r="A573" s="143"/>
      <c r="B573" s="168"/>
      <c r="C573" s="962"/>
      <c r="D573" s="962"/>
      <c r="E573" s="962"/>
      <c r="F573" s="962"/>
      <c r="G573" s="962"/>
      <c r="H573" s="962"/>
      <c r="I573" s="261"/>
      <c r="J573" s="81"/>
      <c r="K573" s="81"/>
      <c r="L573" s="81"/>
      <c r="M573" s="81"/>
      <c r="N573" s="81"/>
      <c r="O573" s="81"/>
      <c r="P573" s="146"/>
      <c r="Q573" s="146"/>
      <c r="R573" s="146"/>
      <c r="S573" s="149"/>
      <c r="T573" s="149"/>
      <c r="U573" s="149"/>
      <c r="V573" s="149"/>
      <c r="W573" s="149"/>
      <c r="X573" s="149"/>
      <c r="Y573" s="149"/>
      <c r="Z573" s="149"/>
    </row>
    <row r="574" spans="1:26" ht="27.75" customHeight="1">
      <c r="A574" s="143" t="s">
        <v>736</v>
      </c>
      <c r="B574" s="95" t="s">
        <v>3779</v>
      </c>
      <c r="C574" s="175">
        <f t="shared" ref="C574:H574" si="94">AVERAGE(C575:C578)</f>
        <v>0.62114352681509377</v>
      </c>
      <c r="D574" s="175">
        <f t="shared" si="94"/>
        <v>0.7552752175895443</v>
      </c>
      <c r="E574" s="175">
        <f t="shared" si="94"/>
        <v>0.86036519727335015</v>
      </c>
      <c r="F574" s="175">
        <f t="shared" si="94"/>
        <v>0.7229899555048066</v>
      </c>
      <c r="G574" s="175">
        <f t="shared" si="94"/>
        <v>0.47417278735127727</v>
      </c>
      <c r="H574" s="175">
        <f t="shared" si="94"/>
        <v>0.77253981255011916</v>
      </c>
      <c r="I574" s="261"/>
      <c r="J574" s="81"/>
      <c r="K574" s="81"/>
      <c r="L574" s="81"/>
      <c r="M574" s="81"/>
      <c r="N574" s="81"/>
      <c r="O574" s="81"/>
      <c r="P574" s="146"/>
      <c r="Q574" s="146"/>
      <c r="R574" s="146"/>
      <c r="S574" s="149"/>
      <c r="T574" s="149"/>
      <c r="U574" s="149"/>
      <c r="V574" s="149"/>
      <c r="W574" s="149"/>
      <c r="X574" s="149"/>
      <c r="Y574" s="149"/>
      <c r="Z574" s="149"/>
    </row>
    <row r="575" spans="1:26" ht="13.5" customHeight="1">
      <c r="A575" s="143"/>
      <c r="B575" s="947" t="s">
        <v>530</v>
      </c>
      <c r="C575" s="80">
        <f t="shared" ref="C575:H575" si="95">(J575-135)/(12-135)</f>
        <v>0.75609756097560976</v>
      </c>
      <c r="D575" s="80">
        <f t="shared" si="95"/>
        <v>0.88617886178861793</v>
      </c>
      <c r="E575" s="80">
        <f t="shared" si="95"/>
        <v>0.99186991869918695</v>
      </c>
      <c r="F575" s="80">
        <f t="shared" si="95"/>
        <v>0.85365853658536583</v>
      </c>
      <c r="G575" s="80">
        <f t="shared" si="95"/>
        <v>0.35772357723577236</v>
      </c>
      <c r="H575" s="80">
        <f t="shared" si="95"/>
        <v>0.89430894308943087</v>
      </c>
      <c r="I575" s="261" t="s">
        <v>3780</v>
      </c>
      <c r="J575" s="495">
        <v>42</v>
      </c>
      <c r="K575" s="959">
        <v>26</v>
      </c>
      <c r="L575" s="495">
        <v>13</v>
      </c>
      <c r="M575" s="495">
        <v>30</v>
      </c>
      <c r="N575" s="959">
        <v>91</v>
      </c>
      <c r="O575" s="959">
        <v>25</v>
      </c>
      <c r="P575" s="146"/>
      <c r="Q575" s="146"/>
      <c r="R575" s="146"/>
      <c r="S575" s="149"/>
      <c r="T575" s="149"/>
      <c r="U575" s="149"/>
      <c r="V575" s="149"/>
      <c r="W575" s="149"/>
      <c r="X575" s="149"/>
      <c r="Y575" s="149"/>
      <c r="Z575" s="149"/>
    </row>
    <row r="576" spans="1:26" ht="13.5" customHeight="1">
      <c r="A576" s="143"/>
      <c r="B576" s="947" t="s">
        <v>532</v>
      </c>
      <c r="C576" s="80">
        <f t="shared" ref="C576:H576" si="96">(J576-49)/(27-49)</f>
        <v>0.86363636363636365</v>
      </c>
      <c r="D576" s="80">
        <f t="shared" si="96"/>
        <v>0.81818181818181823</v>
      </c>
      <c r="E576" s="80">
        <f t="shared" si="96"/>
        <v>0.90909090909090906</v>
      </c>
      <c r="F576" s="80">
        <f t="shared" si="96"/>
        <v>0.72727272727272729</v>
      </c>
      <c r="G576" s="80">
        <f t="shared" si="96"/>
        <v>0</v>
      </c>
      <c r="H576" s="80">
        <f t="shared" si="96"/>
        <v>0.45454545454545453</v>
      </c>
      <c r="I576" s="261" t="s">
        <v>3781</v>
      </c>
      <c r="J576" s="959">
        <v>30</v>
      </c>
      <c r="K576" s="495">
        <v>31</v>
      </c>
      <c r="L576" s="959">
        <v>29</v>
      </c>
      <c r="M576" s="495">
        <v>33</v>
      </c>
      <c r="N576" s="959">
        <v>49</v>
      </c>
      <c r="O576" s="959">
        <v>39</v>
      </c>
      <c r="P576" s="146"/>
      <c r="Q576" s="146"/>
      <c r="R576" s="146"/>
      <c r="S576" s="149"/>
      <c r="T576" s="149"/>
      <c r="U576" s="149"/>
      <c r="V576" s="149"/>
      <c r="W576" s="149"/>
      <c r="X576" s="149"/>
      <c r="Y576" s="149"/>
      <c r="Z576" s="149"/>
    </row>
    <row r="577" spans="1:26" ht="13.5" customHeight="1">
      <c r="A577" s="143"/>
      <c r="B577" s="947" t="s">
        <v>531</v>
      </c>
      <c r="C577" s="80">
        <f t="shared" ref="C577:H577" si="97">(J577-1290)/(195-1290)</f>
        <v>0.86484018264840179</v>
      </c>
      <c r="D577" s="80">
        <f t="shared" si="97"/>
        <v>0.8794520547945206</v>
      </c>
      <c r="E577" s="80">
        <f t="shared" si="97"/>
        <v>0.9269406392694064</v>
      </c>
      <c r="F577" s="80">
        <f t="shared" si="97"/>
        <v>0.9178082191780822</v>
      </c>
      <c r="G577" s="80">
        <f t="shared" si="97"/>
        <v>0.77625570776255703</v>
      </c>
      <c r="H577" s="80">
        <f t="shared" si="97"/>
        <v>0.9616438356164384</v>
      </c>
      <c r="I577" s="261" t="s">
        <v>3782</v>
      </c>
      <c r="J577" s="959">
        <v>343</v>
      </c>
      <c r="K577" s="495">
        <v>327</v>
      </c>
      <c r="L577" s="959">
        <v>275</v>
      </c>
      <c r="M577" s="959">
        <v>285</v>
      </c>
      <c r="N577" s="959">
        <v>440</v>
      </c>
      <c r="O577" s="959">
        <v>237</v>
      </c>
      <c r="P577" s="146"/>
      <c r="Q577" s="146"/>
      <c r="R577" s="146"/>
      <c r="S577" s="149"/>
      <c r="T577" s="149"/>
      <c r="U577" s="149"/>
      <c r="V577" s="149"/>
      <c r="W577" s="149"/>
      <c r="X577" s="149"/>
      <c r="Y577" s="149"/>
      <c r="Z577" s="149"/>
    </row>
    <row r="578" spans="1:26" ht="13.5" customHeight="1">
      <c r="A578" s="143"/>
      <c r="B578" s="947" t="s">
        <v>544</v>
      </c>
      <c r="C578" s="80">
        <f t="shared" ref="C578:H578" si="98">(J578-41.5)/(12-41.5)</f>
        <v>0</v>
      </c>
      <c r="D578" s="80">
        <f t="shared" si="98"/>
        <v>0.43728813559322027</v>
      </c>
      <c r="E578" s="80">
        <f t="shared" si="98"/>
        <v>0.6135593220338984</v>
      </c>
      <c r="F578" s="80">
        <f t="shared" si="98"/>
        <v>0.39322033898305092</v>
      </c>
      <c r="G578" s="80">
        <f t="shared" si="98"/>
        <v>0.76271186440677963</v>
      </c>
      <c r="H578" s="80">
        <f t="shared" si="98"/>
        <v>0.77966101694915257</v>
      </c>
      <c r="I578" s="261" t="s">
        <v>3783</v>
      </c>
      <c r="J578" s="959">
        <v>41.5</v>
      </c>
      <c r="K578" s="959">
        <v>28.6</v>
      </c>
      <c r="L578" s="959">
        <v>23.4</v>
      </c>
      <c r="M578" s="495">
        <v>29.9</v>
      </c>
      <c r="N578" s="495">
        <v>19</v>
      </c>
      <c r="O578" s="959">
        <v>18.5</v>
      </c>
      <c r="P578" s="146"/>
      <c r="Q578" s="146"/>
      <c r="R578" s="146"/>
      <c r="S578" s="149"/>
      <c r="T578" s="149"/>
      <c r="U578" s="149"/>
      <c r="V578" s="149"/>
      <c r="W578" s="149"/>
      <c r="X578" s="149"/>
      <c r="Y578" s="149"/>
      <c r="Z578" s="149"/>
    </row>
    <row r="579" spans="1:26" ht="13.5" customHeight="1">
      <c r="A579" s="143"/>
      <c r="B579" s="947"/>
      <c r="C579" s="959"/>
      <c r="D579" s="959"/>
      <c r="E579" s="959"/>
      <c r="F579" s="959"/>
      <c r="G579" s="959"/>
      <c r="H579" s="959"/>
      <c r="I579" s="261"/>
      <c r="J579" s="81"/>
      <c r="K579" s="81"/>
      <c r="L579" s="81"/>
      <c r="M579" s="81"/>
      <c r="N579" s="81"/>
      <c r="O579" s="81"/>
      <c r="P579" s="146"/>
      <c r="Q579" s="146"/>
      <c r="R579" s="146"/>
      <c r="S579" s="149"/>
      <c r="T579" s="149"/>
      <c r="U579" s="149"/>
      <c r="V579" s="149"/>
      <c r="W579" s="149"/>
      <c r="X579" s="149"/>
      <c r="Y579" s="149"/>
      <c r="Z579" s="149"/>
    </row>
    <row r="580" spans="1:26" ht="27.75" customHeight="1">
      <c r="A580" s="500" t="s">
        <v>736</v>
      </c>
      <c r="B580" s="168" t="s">
        <v>3784</v>
      </c>
      <c r="C580" s="505">
        <f t="shared" ref="C580:H580" si="99">AVERAGE(C581:C583)</f>
        <v>0.61555555555555552</v>
      </c>
      <c r="D580" s="505">
        <f t="shared" si="99"/>
        <v>0.56055555555555558</v>
      </c>
      <c r="E580" s="505">
        <f t="shared" si="99"/>
        <v>7.944444444444447E-2</v>
      </c>
      <c r="F580" s="505">
        <f t="shared" si="99"/>
        <v>0.72666666666666668</v>
      </c>
      <c r="G580" s="505">
        <f t="shared" si="99"/>
        <v>0.69000000000000006</v>
      </c>
      <c r="H580" s="505">
        <f t="shared" si="99"/>
        <v>0.39444444444444443</v>
      </c>
      <c r="I580" s="261"/>
      <c r="J580" s="81"/>
      <c r="K580" s="410"/>
      <c r="L580" s="410"/>
      <c r="M580" s="410"/>
      <c r="N580" s="410"/>
      <c r="O580" s="410"/>
      <c r="P580" s="208"/>
      <c r="Q580" s="208"/>
      <c r="R580" s="208"/>
      <c r="S580" s="210"/>
      <c r="T580" s="210"/>
      <c r="U580" s="210"/>
      <c r="V580" s="210"/>
      <c r="W580" s="210"/>
      <c r="X580" s="210"/>
      <c r="Y580" s="210"/>
      <c r="Z580" s="210"/>
    </row>
    <row r="581" spans="1:26" ht="27.75" customHeight="1">
      <c r="A581" s="143"/>
      <c r="B581" s="963" t="s">
        <v>3785</v>
      </c>
      <c r="C581" s="962">
        <f t="shared" ref="C581:H581" si="100">(J581-1)/(4-1)</f>
        <v>0.66666666666666663</v>
      </c>
      <c r="D581" s="962">
        <f t="shared" si="100"/>
        <v>0.66666666666666663</v>
      </c>
      <c r="E581" s="962">
        <f t="shared" si="100"/>
        <v>0.2233333333333333</v>
      </c>
      <c r="F581" s="962">
        <f t="shared" si="100"/>
        <v>1</v>
      </c>
      <c r="G581" s="962">
        <f t="shared" si="100"/>
        <v>0.89</v>
      </c>
      <c r="H581" s="962">
        <f t="shared" si="100"/>
        <v>0.33333333333333331</v>
      </c>
      <c r="I581" s="261" t="s">
        <v>546</v>
      </c>
      <c r="J581" s="959">
        <v>3</v>
      </c>
      <c r="K581" s="959">
        <v>3</v>
      </c>
      <c r="L581" s="959">
        <v>1.67</v>
      </c>
      <c r="M581" s="959">
        <v>4</v>
      </c>
      <c r="N581" s="959">
        <v>3.67</v>
      </c>
      <c r="O581" s="959">
        <v>2</v>
      </c>
      <c r="P581" s="146"/>
      <c r="Q581" s="146"/>
      <c r="R581" s="146"/>
      <c r="S581" s="149"/>
      <c r="T581" s="149"/>
      <c r="U581" s="149"/>
      <c r="V581" s="149"/>
      <c r="W581" s="149"/>
      <c r="X581" s="149"/>
      <c r="Y581" s="149"/>
      <c r="Z581" s="149"/>
    </row>
    <row r="582" spans="1:26" ht="27.75" customHeight="1">
      <c r="A582" s="143"/>
      <c r="B582" s="963" t="s">
        <v>3786</v>
      </c>
      <c r="C582" s="962">
        <f t="shared" ref="C582:H582" si="101">(J582-2.3)/(4.3-2.3)</f>
        <v>0.85000000000000009</v>
      </c>
      <c r="D582" s="962">
        <f t="shared" si="101"/>
        <v>0.85000000000000009</v>
      </c>
      <c r="E582" s="962">
        <f t="shared" si="101"/>
        <v>1.5000000000000124E-2</v>
      </c>
      <c r="F582" s="962">
        <f t="shared" si="101"/>
        <v>0.85000000000000009</v>
      </c>
      <c r="G582" s="962">
        <f t="shared" si="101"/>
        <v>0.85000000000000009</v>
      </c>
      <c r="H582" s="962">
        <f t="shared" si="101"/>
        <v>0.68500000000000005</v>
      </c>
      <c r="I582" s="261" t="s">
        <v>548</v>
      </c>
      <c r="J582" s="959">
        <v>4</v>
      </c>
      <c r="K582" s="959">
        <v>4</v>
      </c>
      <c r="L582" s="959">
        <v>2.33</v>
      </c>
      <c r="M582" s="959">
        <v>4</v>
      </c>
      <c r="N582" s="959">
        <v>4</v>
      </c>
      <c r="O582" s="959">
        <v>3.67</v>
      </c>
      <c r="P582" s="146"/>
      <c r="Q582" s="146"/>
      <c r="R582" s="146"/>
      <c r="S582" s="149"/>
      <c r="T582" s="149"/>
      <c r="U582" s="149"/>
      <c r="V582" s="149"/>
      <c r="W582" s="149"/>
      <c r="X582" s="149"/>
      <c r="Y582" s="149"/>
      <c r="Z582" s="149"/>
    </row>
    <row r="583" spans="1:26" ht="42" customHeight="1">
      <c r="A583" s="143"/>
      <c r="B583" s="963" t="s">
        <v>549</v>
      </c>
      <c r="C583" s="962">
        <f t="shared" ref="C583:H583" si="102">(J583-1.67)/(3.67-1.67)</f>
        <v>0.33000000000000007</v>
      </c>
      <c r="D583" s="962">
        <f t="shared" si="102"/>
        <v>0.16500000000000004</v>
      </c>
      <c r="E583" s="962">
        <f t="shared" si="102"/>
        <v>0</v>
      </c>
      <c r="F583" s="962">
        <f t="shared" si="102"/>
        <v>0.33000000000000007</v>
      </c>
      <c r="G583" s="962">
        <f t="shared" si="102"/>
        <v>0.33000000000000007</v>
      </c>
      <c r="H583" s="962">
        <f t="shared" si="102"/>
        <v>0.16500000000000004</v>
      </c>
      <c r="I583" s="261" t="s">
        <v>550</v>
      </c>
      <c r="J583" s="959">
        <v>2.33</v>
      </c>
      <c r="K583" s="959">
        <v>2</v>
      </c>
      <c r="L583" s="959">
        <v>1.67</v>
      </c>
      <c r="M583" s="959">
        <v>2.33</v>
      </c>
      <c r="N583" s="959">
        <v>2.33</v>
      </c>
      <c r="O583" s="959">
        <v>2</v>
      </c>
      <c r="P583" s="146"/>
      <c r="Q583" s="146"/>
      <c r="R583" s="146"/>
      <c r="S583" s="149"/>
      <c r="T583" s="149"/>
      <c r="U583" s="149"/>
      <c r="V583" s="149"/>
      <c r="W583" s="149"/>
      <c r="X583" s="149"/>
      <c r="Y583" s="149"/>
      <c r="Z583" s="149"/>
    </row>
    <row r="584" spans="1:26" ht="13.5" customHeight="1">
      <c r="A584" s="143"/>
      <c r="B584" s="964"/>
      <c r="C584" s="959"/>
      <c r="D584" s="959"/>
      <c r="E584" s="959"/>
      <c r="F584" s="959"/>
      <c r="G584" s="959"/>
      <c r="H584" s="959"/>
      <c r="I584" s="261"/>
      <c r="J584" s="511"/>
      <c r="K584" s="511"/>
      <c r="L584" s="511"/>
      <c r="M584" s="511"/>
      <c r="N584" s="511"/>
      <c r="O584" s="511"/>
      <c r="P584" s="146"/>
      <c r="Q584" s="146"/>
      <c r="R584" s="146"/>
      <c r="S584" s="149"/>
      <c r="T584" s="149"/>
      <c r="U584" s="149"/>
      <c r="V584" s="149"/>
      <c r="W584" s="149"/>
      <c r="X584" s="149"/>
      <c r="Y584" s="149"/>
      <c r="Z584" s="149"/>
    </row>
    <row r="585" spans="1:26" ht="27.75" customHeight="1">
      <c r="A585" s="500" t="s">
        <v>736</v>
      </c>
      <c r="B585" s="168" t="s">
        <v>3787</v>
      </c>
      <c r="C585" s="505">
        <f t="shared" ref="C585:H585" si="103">AVERAGE(C586:C587)</f>
        <v>0.83857233445058421</v>
      </c>
      <c r="D585" s="505">
        <f t="shared" si="103"/>
        <v>0.9006024096385542</v>
      </c>
      <c r="E585" s="505">
        <f t="shared" si="103"/>
        <v>0.22345774073738567</v>
      </c>
      <c r="F585" s="505">
        <f t="shared" si="103"/>
        <v>1</v>
      </c>
      <c r="G585" s="505">
        <f t="shared" si="103"/>
        <v>0.9006024096385542</v>
      </c>
      <c r="H585" s="505">
        <f t="shared" si="103"/>
        <v>0.83857233445058421</v>
      </c>
      <c r="I585" s="261"/>
      <c r="J585" s="512"/>
      <c r="K585" s="513"/>
      <c r="L585" s="513"/>
      <c r="M585" s="513"/>
      <c r="N585" s="513"/>
      <c r="O585" s="513"/>
      <c r="P585" s="208"/>
      <c r="Q585" s="208"/>
      <c r="R585" s="208"/>
      <c r="S585" s="210"/>
      <c r="T585" s="210"/>
      <c r="U585" s="210"/>
      <c r="V585" s="210"/>
      <c r="W585" s="210"/>
      <c r="X585" s="210"/>
      <c r="Y585" s="210"/>
      <c r="Z585" s="210"/>
    </row>
    <row r="586" spans="1:26" ht="13.5" customHeight="1">
      <c r="A586" s="143"/>
      <c r="B586" s="963" t="s">
        <v>551</v>
      </c>
      <c r="C586" s="962">
        <f t="shared" ref="C586:H586" si="104">(J586-2.67)/(4.33-2.67)</f>
        <v>0.8012048192771084</v>
      </c>
      <c r="D586" s="962">
        <f t="shared" si="104"/>
        <v>0.8012048192771084</v>
      </c>
      <c r="E586" s="962">
        <f t="shared" si="104"/>
        <v>0.1987951807228916</v>
      </c>
      <c r="F586" s="962">
        <f t="shared" si="104"/>
        <v>1</v>
      </c>
      <c r="G586" s="962">
        <f t="shared" si="104"/>
        <v>0.8012048192771084</v>
      </c>
      <c r="H586" s="962">
        <f t="shared" si="104"/>
        <v>0.8012048192771084</v>
      </c>
      <c r="I586" s="261" t="s">
        <v>1989</v>
      </c>
      <c r="J586" s="959">
        <v>4</v>
      </c>
      <c r="K586" s="959">
        <v>4</v>
      </c>
      <c r="L586" s="959">
        <v>3</v>
      </c>
      <c r="M586" s="959">
        <v>4.33</v>
      </c>
      <c r="N586" s="959">
        <v>4</v>
      </c>
      <c r="O586" s="959">
        <v>4</v>
      </c>
      <c r="P586" s="146"/>
      <c r="Q586" s="146"/>
      <c r="R586" s="146"/>
      <c r="S586" s="149"/>
      <c r="T586" s="149"/>
      <c r="U586" s="149"/>
      <c r="V586" s="149"/>
      <c r="W586" s="149"/>
      <c r="X586" s="149"/>
      <c r="Y586" s="149"/>
      <c r="Z586" s="149"/>
    </row>
    <row r="587" spans="1:26" ht="27.75" customHeight="1">
      <c r="A587" s="143"/>
      <c r="B587" s="963" t="s">
        <v>552</v>
      </c>
      <c r="C587" s="962">
        <f t="shared" ref="C587:H587" si="105">(J587-1.67)/(4.33-1.67)</f>
        <v>0.87593984962406013</v>
      </c>
      <c r="D587" s="962">
        <f t="shared" si="105"/>
        <v>1</v>
      </c>
      <c r="E587" s="962">
        <f t="shared" si="105"/>
        <v>0.24812030075187974</v>
      </c>
      <c r="F587" s="962">
        <f t="shared" si="105"/>
        <v>1</v>
      </c>
      <c r="G587" s="962">
        <f t="shared" si="105"/>
        <v>1</v>
      </c>
      <c r="H587" s="962">
        <f t="shared" si="105"/>
        <v>0.87593984962406013</v>
      </c>
      <c r="I587" s="261" t="s">
        <v>1990</v>
      </c>
      <c r="J587" s="959">
        <v>4</v>
      </c>
      <c r="K587" s="959">
        <v>4.33</v>
      </c>
      <c r="L587" s="495">
        <v>2.33</v>
      </c>
      <c r="M587" s="959">
        <v>4.33</v>
      </c>
      <c r="N587" s="959">
        <v>4.33</v>
      </c>
      <c r="O587" s="959">
        <v>4</v>
      </c>
      <c r="P587" s="146"/>
      <c r="Q587" s="146"/>
      <c r="R587" s="146"/>
      <c r="S587" s="149"/>
      <c r="T587" s="149"/>
      <c r="U587" s="149"/>
      <c r="V587" s="149"/>
      <c r="W587" s="149"/>
      <c r="X587" s="149"/>
      <c r="Y587" s="149"/>
      <c r="Z587" s="149"/>
    </row>
    <row r="588" spans="1:26" ht="13.5" customHeight="1">
      <c r="A588" s="143"/>
      <c r="B588" s="963" t="s">
        <v>553</v>
      </c>
      <c r="C588" s="514"/>
      <c r="D588" s="514"/>
      <c r="E588" s="514"/>
      <c r="F588" s="514"/>
      <c r="G588" s="514"/>
      <c r="H588" s="514"/>
      <c r="I588" s="261" t="s">
        <v>1991</v>
      </c>
      <c r="J588" s="959">
        <v>2.33</v>
      </c>
      <c r="K588" s="959">
        <v>2.33</v>
      </c>
      <c r="L588" s="959">
        <v>2</v>
      </c>
      <c r="M588" s="959">
        <v>2</v>
      </c>
      <c r="N588" s="959">
        <v>2.33</v>
      </c>
      <c r="O588" s="959">
        <v>1.67</v>
      </c>
      <c r="P588" s="146"/>
      <c r="Q588" s="146"/>
      <c r="R588" s="146"/>
      <c r="S588" s="149"/>
      <c r="T588" s="149"/>
      <c r="U588" s="149"/>
      <c r="V588" s="149"/>
      <c r="W588" s="149"/>
      <c r="X588" s="149"/>
      <c r="Y588" s="149"/>
      <c r="Z588" s="149"/>
    </row>
    <row r="589" spans="1:26" ht="12" customHeight="1">
      <c r="A589" s="143"/>
      <c r="B589" s="964"/>
      <c r="C589" s="959"/>
      <c r="D589" s="959"/>
      <c r="E589" s="959"/>
      <c r="F589" s="959"/>
      <c r="G589" s="959"/>
      <c r="H589" s="959"/>
      <c r="I589" s="261"/>
      <c r="J589" s="511"/>
      <c r="K589" s="511"/>
      <c r="L589" s="511"/>
      <c r="M589" s="511"/>
      <c r="N589" s="511"/>
      <c r="O589" s="511"/>
      <c r="P589" s="146"/>
      <c r="Q589" s="146"/>
      <c r="R589" s="146"/>
      <c r="S589" s="149"/>
      <c r="T589" s="149"/>
      <c r="U589" s="149"/>
      <c r="V589" s="149"/>
      <c r="W589" s="149"/>
      <c r="X589" s="149"/>
      <c r="Y589" s="149"/>
      <c r="Z589" s="149"/>
    </row>
    <row r="590" spans="1:26" ht="27.75" customHeight="1">
      <c r="A590" s="500" t="s">
        <v>736</v>
      </c>
      <c r="B590" s="168" t="s">
        <v>3788</v>
      </c>
      <c r="C590" s="505">
        <f t="shared" ref="C590:H590" si="106">AVERAGE(C591:C592)</f>
        <v>0.21428571428571427</v>
      </c>
      <c r="D590" s="505">
        <f t="shared" si="106"/>
        <v>0.34693877551020408</v>
      </c>
      <c r="E590" s="505">
        <f t="shared" si="106"/>
        <v>0.15306122448979592</v>
      </c>
      <c r="F590" s="505">
        <f t="shared" si="106"/>
        <v>0.50510204081632648</v>
      </c>
      <c r="G590" s="505">
        <f t="shared" si="106"/>
        <v>0.24489795918367346</v>
      </c>
      <c r="H590" s="505">
        <f t="shared" si="106"/>
        <v>0.18877551020408162</v>
      </c>
      <c r="I590" s="261"/>
      <c r="J590" s="512"/>
      <c r="K590" s="513"/>
      <c r="L590" s="513"/>
      <c r="M590" s="513"/>
      <c r="N590" s="513"/>
      <c r="O590" s="513"/>
      <c r="P590" s="208"/>
      <c r="Q590" s="208"/>
      <c r="R590" s="208"/>
      <c r="S590" s="210"/>
      <c r="T590" s="210"/>
      <c r="U590" s="210"/>
      <c r="V590" s="210"/>
      <c r="W590" s="210"/>
      <c r="X590" s="210"/>
      <c r="Y590" s="210"/>
      <c r="Z590" s="210"/>
    </row>
    <row r="591" spans="1:26" ht="13.5" customHeight="1">
      <c r="A591" s="143"/>
      <c r="B591" s="963" t="s">
        <v>554</v>
      </c>
      <c r="C591" s="962">
        <f t="shared" ref="C591:H591" si="107">(J591-10)/(80-10)</f>
        <v>0.2857142857142857</v>
      </c>
      <c r="D591" s="962">
        <f t="shared" si="107"/>
        <v>0.42857142857142855</v>
      </c>
      <c r="E591" s="962">
        <f t="shared" si="107"/>
        <v>0.14285714285714285</v>
      </c>
      <c r="F591" s="962">
        <f t="shared" si="107"/>
        <v>0.5</v>
      </c>
      <c r="G591" s="962">
        <f t="shared" si="107"/>
        <v>0.2857142857142857</v>
      </c>
      <c r="H591" s="962">
        <f t="shared" si="107"/>
        <v>0.21428571428571427</v>
      </c>
      <c r="I591" s="261" t="s">
        <v>3789</v>
      </c>
      <c r="J591" s="959">
        <v>30</v>
      </c>
      <c r="K591" s="959">
        <v>40</v>
      </c>
      <c r="L591" s="959">
        <v>20</v>
      </c>
      <c r="M591" s="495">
        <v>45</v>
      </c>
      <c r="N591" s="959">
        <v>30</v>
      </c>
      <c r="O591" s="495">
        <v>25</v>
      </c>
      <c r="P591" s="146"/>
      <c r="Q591" s="146"/>
      <c r="R591" s="146"/>
      <c r="S591" s="149"/>
      <c r="T591" s="149"/>
      <c r="U591" s="149"/>
      <c r="V591" s="149"/>
      <c r="W591" s="149"/>
      <c r="X591" s="149"/>
      <c r="Y591" s="149"/>
      <c r="Z591" s="149"/>
    </row>
    <row r="592" spans="1:26" ht="27.75" customHeight="1">
      <c r="A592" s="143"/>
      <c r="B592" s="963" t="s">
        <v>3790</v>
      </c>
      <c r="C592" s="962">
        <f t="shared" ref="C592:H592" si="108">(J592-16)/(65-16)</f>
        <v>0.14285714285714285</v>
      </c>
      <c r="D592" s="962">
        <f t="shared" si="108"/>
        <v>0.26530612244897961</v>
      </c>
      <c r="E592" s="962">
        <f t="shared" si="108"/>
        <v>0.16326530612244897</v>
      </c>
      <c r="F592" s="962">
        <f t="shared" si="108"/>
        <v>0.51020408163265307</v>
      </c>
      <c r="G592" s="962">
        <f t="shared" si="108"/>
        <v>0.20408163265306123</v>
      </c>
      <c r="H592" s="962">
        <f t="shared" si="108"/>
        <v>0.16326530612244897</v>
      </c>
      <c r="I592" s="261" t="s">
        <v>3791</v>
      </c>
      <c r="J592" s="495">
        <v>23</v>
      </c>
      <c r="K592" s="959">
        <v>29</v>
      </c>
      <c r="L592" s="495">
        <v>24</v>
      </c>
      <c r="M592" s="495">
        <v>41</v>
      </c>
      <c r="N592" s="959">
        <v>26</v>
      </c>
      <c r="O592" s="959">
        <v>24</v>
      </c>
      <c r="P592" s="146"/>
      <c r="Q592" s="146"/>
      <c r="R592" s="146"/>
      <c r="S592" s="149"/>
      <c r="T592" s="149"/>
      <c r="U592" s="149"/>
      <c r="V592" s="149"/>
      <c r="W592" s="149"/>
      <c r="X592" s="149"/>
      <c r="Y592" s="149"/>
      <c r="Z592" s="149"/>
    </row>
    <row r="593" spans="1:26" ht="13.5" customHeight="1">
      <c r="A593" s="143"/>
      <c r="B593" s="964"/>
      <c r="C593" s="962"/>
      <c r="D593" s="962"/>
      <c r="E593" s="962"/>
      <c r="F593" s="962"/>
      <c r="G593" s="962"/>
      <c r="H593" s="962"/>
      <c r="I593" s="261"/>
      <c r="J593" s="511"/>
      <c r="K593" s="511"/>
      <c r="L593" s="511"/>
      <c r="M593" s="511"/>
      <c r="N593" s="511"/>
      <c r="O593" s="511"/>
      <c r="P593" s="146"/>
      <c r="Q593" s="146"/>
      <c r="R593" s="146"/>
      <c r="S593" s="149"/>
      <c r="T593" s="149"/>
      <c r="U593" s="149"/>
      <c r="V593" s="149"/>
      <c r="W593" s="149"/>
      <c r="X593" s="149"/>
      <c r="Y593" s="149"/>
      <c r="Z593" s="149"/>
    </row>
    <row r="594" spans="1:26" ht="66" customHeight="1">
      <c r="A594" s="500" t="s">
        <v>736</v>
      </c>
      <c r="B594" s="168" t="s">
        <v>3792</v>
      </c>
      <c r="C594" s="962">
        <f>(J594-2.8)/(4.7-2.8)</f>
        <v>0.21052631578947384</v>
      </c>
      <c r="D594" s="962">
        <f>(K594-2.8)/(4.7-2.8)</f>
        <v>0.21052631578947384</v>
      </c>
      <c r="E594" s="516" t="s">
        <v>1073</v>
      </c>
      <c r="F594" s="962">
        <f>(M594-2.8)/(4.7-2.8)</f>
        <v>5.263157894736846E-2</v>
      </c>
      <c r="G594" s="962">
        <f>(N594-2.8)/(4.7-2.8)</f>
        <v>0.36842105263157898</v>
      </c>
      <c r="H594" s="962">
        <f>(O594-2.8)/(4.7-2.8)</f>
        <v>0.36842105263157898</v>
      </c>
      <c r="I594" s="261" t="s">
        <v>3793</v>
      </c>
      <c r="J594" s="516">
        <v>3.2</v>
      </c>
      <c r="K594" s="516">
        <v>3.2</v>
      </c>
      <c r="L594" s="516" t="s">
        <v>1073</v>
      </c>
      <c r="M594" s="516">
        <v>2.9</v>
      </c>
      <c r="N594" s="516">
        <v>3.5</v>
      </c>
      <c r="O594" s="516">
        <v>3.5</v>
      </c>
      <c r="P594" s="146"/>
      <c r="Q594" s="146"/>
      <c r="R594" s="146"/>
      <c r="S594" s="149"/>
      <c r="T594" s="149"/>
      <c r="U594" s="149"/>
      <c r="V594" s="149"/>
      <c r="W594" s="149"/>
      <c r="X594" s="149"/>
      <c r="Y594" s="149"/>
      <c r="Z594" s="149"/>
    </row>
    <row r="595" spans="1:26" ht="13.5" customHeight="1">
      <c r="A595" s="143"/>
      <c r="B595" s="964"/>
      <c r="C595" s="962"/>
      <c r="D595" s="962"/>
      <c r="E595" s="516"/>
      <c r="F595" s="962"/>
      <c r="G595" s="962"/>
      <c r="H595" s="962"/>
      <c r="I595" s="261"/>
      <c r="J595" s="516"/>
      <c r="K595" s="516"/>
      <c r="L595" s="516"/>
      <c r="M595" s="516"/>
      <c r="N595" s="516"/>
      <c r="O595" s="516"/>
      <c r="P595" s="146"/>
      <c r="Q595" s="146"/>
      <c r="R595" s="146"/>
      <c r="S595" s="149"/>
      <c r="T595" s="149"/>
      <c r="U595" s="149"/>
      <c r="V595" s="149"/>
      <c r="W595" s="149"/>
      <c r="X595" s="149"/>
      <c r="Y595" s="149"/>
      <c r="Z595" s="149"/>
    </row>
    <row r="596" spans="1:26" ht="68.25" customHeight="1">
      <c r="A596" s="500" t="s">
        <v>736</v>
      </c>
      <c r="B596" s="168" t="s">
        <v>3794</v>
      </c>
      <c r="C596" s="962">
        <f>(J596-2.8)/(5.2-2.8)</f>
        <v>0</v>
      </c>
      <c r="D596" s="962">
        <f>(K596-2.8)/(5.2-2.8)</f>
        <v>0.29166666666666669</v>
      </c>
      <c r="E596" s="516" t="s">
        <v>1073</v>
      </c>
      <c r="F596" s="962">
        <f>(M596-2.8)/(5.2-2.8)</f>
        <v>1</v>
      </c>
      <c r="G596" s="962">
        <f>(N596-2.8)/(5.2-2.8)</f>
        <v>0.1666666666666668</v>
      </c>
      <c r="H596" s="962">
        <f>(O596-2.8)/(5.2-2.8)</f>
        <v>0.25</v>
      </c>
      <c r="I596" s="261" t="s">
        <v>3795</v>
      </c>
      <c r="J596" s="516">
        <v>2.8</v>
      </c>
      <c r="K596" s="516">
        <v>3.5</v>
      </c>
      <c r="L596" s="516" t="s">
        <v>1073</v>
      </c>
      <c r="M596" s="516">
        <v>5.2</v>
      </c>
      <c r="N596" s="516">
        <v>3.2</v>
      </c>
      <c r="O596" s="516">
        <v>3.4</v>
      </c>
      <c r="P596" s="146"/>
      <c r="Q596" s="146"/>
      <c r="R596" s="146"/>
      <c r="S596" s="149"/>
      <c r="T596" s="149"/>
      <c r="U596" s="149"/>
      <c r="V596" s="149"/>
      <c r="W596" s="149"/>
      <c r="X596" s="149"/>
      <c r="Y596" s="149"/>
      <c r="Z596" s="149"/>
    </row>
    <row r="597" spans="1:26" ht="13.5" customHeight="1">
      <c r="A597" s="143"/>
      <c r="B597" s="964"/>
      <c r="C597" s="516"/>
      <c r="D597" s="516"/>
      <c r="E597" s="516"/>
      <c r="F597" s="516"/>
      <c r="G597" s="516"/>
      <c r="H597" s="516"/>
      <c r="I597" s="261"/>
      <c r="J597" s="511"/>
      <c r="K597" s="511"/>
      <c r="L597" s="511"/>
      <c r="M597" s="511"/>
      <c r="N597" s="511"/>
      <c r="O597" s="511"/>
      <c r="P597" s="146"/>
      <c r="Q597" s="146"/>
      <c r="R597" s="146"/>
      <c r="S597" s="149"/>
      <c r="T597" s="149"/>
      <c r="U597" s="149"/>
      <c r="V597" s="149"/>
      <c r="W597" s="149"/>
      <c r="X597" s="149"/>
      <c r="Y597" s="149"/>
      <c r="Z597" s="149"/>
    </row>
    <row r="598" spans="1:26" ht="42" customHeight="1">
      <c r="A598" s="500" t="s">
        <v>736</v>
      </c>
      <c r="B598" s="168" t="s">
        <v>3796</v>
      </c>
      <c r="C598" s="962">
        <f t="shared" ref="C598:H598" si="109">(J598-12.4)/(38.5-12.4)</f>
        <v>0.9846743295019158</v>
      </c>
      <c r="D598" s="962">
        <f t="shared" si="109"/>
        <v>0.71264367816091956</v>
      </c>
      <c r="E598" s="962">
        <f t="shared" si="109"/>
        <v>0.50574712643678166</v>
      </c>
      <c r="F598" s="962">
        <f t="shared" si="109"/>
        <v>0.42528735632183906</v>
      </c>
      <c r="G598" s="962">
        <f t="shared" si="109"/>
        <v>0.29118773946360149</v>
      </c>
      <c r="H598" s="962">
        <f t="shared" si="109"/>
        <v>0</v>
      </c>
      <c r="I598" s="261" t="s">
        <v>3797</v>
      </c>
      <c r="J598" s="959">
        <v>38.1</v>
      </c>
      <c r="K598" s="959">
        <v>31</v>
      </c>
      <c r="L598" s="959">
        <v>25.6</v>
      </c>
      <c r="M598" s="959">
        <v>23.5</v>
      </c>
      <c r="N598" s="959">
        <v>20</v>
      </c>
      <c r="O598" s="959">
        <v>12.4</v>
      </c>
      <c r="P598" s="146"/>
      <c r="Q598" s="146"/>
      <c r="R598" s="146"/>
      <c r="S598" s="149"/>
      <c r="T598" s="149"/>
      <c r="U598" s="149"/>
      <c r="V598" s="149"/>
      <c r="W598" s="149"/>
      <c r="X598" s="149"/>
      <c r="Y598" s="149"/>
      <c r="Z598" s="149"/>
    </row>
    <row r="599" spans="1:26" ht="13.5" customHeight="1">
      <c r="A599" s="143"/>
      <c r="B599" s="930"/>
      <c r="C599" s="910"/>
      <c r="D599" s="910"/>
      <c r="E599" s="910"/>
      <c r="F599" s="910"/>
      <c r="G599" s="910"/>
      <c r="H599" s="910"/>
      <c r="I599" s="261"/>
      <c r="J599" s="75"/>
      <c r="K599" s="75"/>
      <c r="L599" s="75"/>
      <c r="M599" s="75"/>
      <c r="N599" s="75"/>
      <c r="O599" s="75"/>
      <c r="P599" s="146"/>
      <c r="Q599" s="146"/>
      <c r="R599" s="146"/>
      <c r="S599" s="149"/>
      <c r="T599" s="149"/>
      <c r="U599" s="149"/>
      <c r="V599" s="149"/>
      <c r="W599" s="149"/>
      <c r="X599" s="149"/>
      <c r="Y599" s="149"/>
      <c r="Z599" s="149"/>
    </row>
    <row r="600" spans="1:26" ht="13.5" customHeight="1">
      <c r="A600" s="483" t="s">
        <v>1998</v>
      </c>
      <c r="B600" s="158" t="s">
        <v>555</v>
      </c>
      <c r="C600" s="518">
        <f t="shared" ref="C600:H600" si="110">AVERAGE(C601,C607,C612,C618)</f>
        <v>0.495222086875659</v>
      </c>
      <c r="D600" s="518">
        <f t="shared" si="110"/>
        <v>0.48868406642042539</v>
      </c>
      <c r="E600" s="518">
        <f t="shared" si="110"/>
        <v>0.23162062975595549</v>
      </c>
      <c r="F600" s="518">
        <f t="shared" si="110"/>
        <v>0.49538439928210026</v>
      </c>
      <c r="G600" s="518">
        <f t="shared" si="110"/>
        <v>0.52333675837794691</v>
      </c>
      <c r="H600" s="518">
        <f t="shared" si="110"/>
        <v>0.3438932148561254</v>
      </c>
      <c r="I600" s="519"/>
      <c r="J600" s="63"/>
      <c r="K600" s="63"/>
      <c r="L600" s="63"/>
      <c r="M600" s="63"/>
      <c r="N600" s="63"/>
      <c r="O600" s="63"/>
      <c r="P600" s="165"/>
      <c r="Q600" s="165"/>
      <c r="R600" s="165"/>
      <c r="S600" s="161"/>
      <c r="T600" s="161"/>
      <c r="U600" s="161"/>
      <c r="V600" s="161"/>
      <c r="W600" s="161"/>
      <c r="X600" s="161"/>
      <c r="Y600" s="161"/>
      <c r="Z600" s="161"/>
    </row>
    <row r="601" spans="1:26" ht="27.75" customHeight="1">
      <c r="A601" s="143" t="s">
        <v>736</v>
      </c>
      <c r="B601" s="168" t="s">
        <v>3798</v>
      </c>
      <c r="C601" s="505">
        <f t="shared" ref="C601:H601" si="111">AVERAGE(C602:C605)</f>
        <v>0.47168802923094771</v>
      </c>
      <c r="D601" s="505">
        <f t="shared" si="111"/>
        <v>0.43202067947776102</v>
      </c>
      <c r="E601" s="505">
        <f t="shared" si="111"/>
        <v>0.2963912088053719</v>
      </c>
      <c r="F601" s="505">
        <f t="shared" si="111"/>
        <v>0.49721355475647316</v>
      </c>
      <c r="G601" s="505">
        <f t="shared" si="111"/>
        <v>0.55739605485313648</v>
      </c>
      <c r="H601" s="505">
        <f t="shared" si="111"/>
        <v>0.26098348348348349</v>
      </c>
      <c r="I601" s="261"/>
      <c r="J601" s="81"/>
      <c r="K601" s="81"/>
      <c r="L601" s="81"/>
      <c r="M601" s="81"/>
      <c r="N601" s="81"/>
      <c r="O601" s="81"/>
      <c r="P601" s="146"/>
      <c r="Q601" s="146"/>
      <c r="R601" s="146"/>
      <c r="S601" s="149"/>
      <c r="T601" s="149"/>
      <c r="U601" s="149"/>
      <c r="V601" s="149"/>
      <c r="W601" s="149"/>
      <c r="X601" s="149"/>
      <c r="Y601" s="149"/>
      <c r="Z601" s="149"/>
    </row>
    <row r="602" spans="1:26" ht="13.5" customHeight="1">
      <c r="A602" s="143"/>
      <c r="B602" s="963" t="s">
        <v>557</v>
      </c>
      <c r="C602" s="962">
        <f t="shared" ref="C602:H602" si="112">(J602-1)/(4-1)</f>
        <v>0.55666666666666664</v>
      </c>
      <c r="D602" s="962">
        <f t="shared" si="112"/>
        <v>0.55666666666666664</v>
      </c>
      <c r="E602" s="962">
        <f t="shared" si="112"/>
        <v>0.44333333333333336</v>
      </c>
      <c r="F602" s="962">
        <f t="shared" si="112"/>
        <v>0.55666666666666664</v>
      </c>
      <c r="G602" s="962">
        <f t="shared" si="112"/>
        <v>0.55666666666666664</v>
      </c>
      <c r="H602" s="962">
        <f t="shared" si="112"/>
        <v>0.44333333333333336</v>
      </c>
      <c r="I602" s="261" t="s">
        <v>546</v>
      </c>
      <c r="J602" s="962">
        <v>2.67</v>
      </c>
      <c r="K602" s="962">
        <v>2.67</v>
      </c>
      <c r="L602" s="399">
        <v>2.33</v>
      </c>
      <c r="M602" s="962">
        <v>2.67</v>
      </c>
      <c r="N602" s="962">
        <v>2.67</v>
      </c>
      <c r="O602" s="962">
        <v>2.33</v>
      </c>
      <c r="P602" s="146"/>
      <c r="Q602" s="146"/>
      <c r="R602" s="146"/>
      <c r="S602" s="149"/>
      <c r="T602" s="149"/>
      <c r="U602" s="149"/>
      <c r="V602" s="149"/>
      <c r="W602" s="149"/>
      <c r="X602" s="149"/>
      <c r="Y602" s="149"/>
      <c r="Z602" s="149"/>
    </row>
    <row r="603" spans="1:26" ht="13.5" customHeight="1">
      <c r="A603" s="143"/>
      <c r="B603" s="963" t="s">
        <v>558</v>
      </c>
      <c r="C603" s="962">
        <f t="shared" ref="C603:H603" si="113">(J603-1)/(4.33-1)</f>
        <v>0.39939939939939939</v>
      </c>
      <c r="D603" s="962">
        <f t="shared" si="113"/>
        <v>0.20120120120120116</v>
      </c>
      <c r="E603" s="962">
        <f t="shared" si="113"/>
        <v>0.3003003003003003</v>
      </c>
      <c r="F603" s="962">
        <f t="shared" si="113"/>
        <v>0.50150150150150152</v>
      </c>
      <c r="G603" s="962">
        <f t="shared" si="113"/>
        <v>0.60060060060060061</v>
      </c>
      <c r="H603" s="962">
        <f t="shared" si="113"/>
        <v>0.3003003003003003</v>
      </c>
      <c r="I603" s="261" t="s">
        <v>2000</v>
      </c>
      <c r="J603" s="962">
        <v>2.33</v>
      </c>
      <c r="K603" s="962">
        <v>1.67</v>
      </c>
      <c r="L603" s="962">
        <v>2</v>
      </c>
      <c r="M603" s="962">
        <v>2.67</v>
      </c>
      <c r="N603" s="962">
        <v>3</v>
      </c>
      <c r="O603" s="962">
        <v>2</v>
      </c>
      <c r="P603" s="146"/>
      <c r="Q603" s="146"/>
      <c r="R603" s="146"/>
      <c r="S603" s="149"/>
      <c r="T603" s="149"/>
      <c r="U603" s="149"/>
      <c r="V603" s="149"/>
      <c r="W603" s="149"/>
      <c r="X603" s="149"/>
      <c r="Y603" s="149"/>
      <c r="Z603" s="149"/>
    </row>
    <row r="604" spans="1:26" ht="13.5" customHeight="1">
      <c r="A604" s="143"/>
      <c r="B604" s="963" t="s">
        <v>559</v>
      </c>
      <c r="C604" s="962">
        <f t="shared" ref="C604:H604" si="114">(J604-1)/(4.33-1)</f>
        <v>0.50150150150150152</v>
      </c>
      <c r="D604" s="962">
        <f t="shared" si="114"/>
        <v>0.39939939939939939</v>
      </c>
      <c r="E604" s="962">
        <f t="shared" si="114"/>
        <v>0.3003003003003003</v>
      </c>
      <c r="F604" s="962">
        <f t="shared" si="114"/>
        <v>0.50150150150150152</v>
      </c>
      <c r="G604" s="962">
        <f t="shared" si="114"/>
        <v>0.50150150150150152</v>
      </c>
      <c r="H604" s="962">
        <f t="shared" si="114"/>
        <v>0.3003003003003003</v>
      </c>
      <c r="I604" s="261" t="s">
        <v>2000</v>
      </c>
      <c r="J604" s="962">
        <v>2.67</v>
      </c>
      <c r="K604" s="962">
        <v>2.33</v>
      </c>
      <c r="L604" s="962">
        <v>2</v>
      </c>
      <c r="M604" s="962">
        <v>2.67</v>
      </c>
      <c r="N604" s="962">
        <v>2.67</v>
      </c>
      <c r="O604" s="962">
        <v>2</v>
      </c>
      <c r="P604" s="146"/>
      <c r="Q604" s="146"/>
      <c r="R604" s="146"/>
      <c r="S604" s="149"/>
      <c r="T604" s="149"/>
      <c r="U604" s="149"/>
      <c r="V604" s="149"/>
      <c r="W604" s="149"/>
      <c r="X604" s="149"/>
      <c r="Y604" s="149"/>
      <c r="Z604" s="149"/>
    </row>
    <row r="605" spans="1:26" ht="13.5" customHeight="1">
      <c r="A605" s="143"/>
      <c r="B605" s="963" t="s">
        <v>560</v>
      </c>
      <c r="C605" s="962">
        <f t="shared" ref="C605:H605" si="115">(J605-1.67)/(4-1.67)</f>
        <v>0.42918454935622319</v>
      </c>
      <c r="D605" s="962">
        <f t="shared" si="115"/>
        <v>0.57081545064377681</v>
      </c>
      <c r="E605" s="962">
        <f t="shared" si="115"/>
        <v>0.14163090128755368</v>
      </c>
      <c r="F605" s="962">
        <f t="shared" si="115"/>
        <v>0.42918454935622319</v>
      </c>
      <c r="G605" s="962">
        <f t="shared" si="115"/>
        <v>0.57081545064377681</v>
      </c>
      <c r="H605" s="962">
        <f t="shared" si="115"/>
        <v>0</v>
      </c>
      <c r="I605" s="261" t="s">
        <v>561</v>
      </c>
      <c r="J605" s="962">
        <v>2.67</v>
      </c>
      <c r="K605" s="962">
        <v>3</v>
      </c>
      <c r="L605" s="962">
        <v>2</v>
      </c>
      <c r="M605" s="962">
        <v>2.67</v>
      </c>
      <c r="N605" s="962">
        <v>3</v>
      </c>
      <c r="O605" s="962">
        <v>1.67</v>
      </c>
      <c r="P605" s="146"/>
      <c r="Q605" s="146"/>
      <c r="R605" s="146"/>
      <c r="S605" s="149"/>
      <c r="T605" s="149"/>
      <c r="U605" s="149"/>
      <c r="V605" s="149"/>
      <c r="W605" s="149"/>
      <c r="X605" s="149"/>
      <c r="Y605" s="149"/>
      <c r="Z605" s="149"/>
    </row>
    <row r="606" spans="1:26" ht="13.5" customHeight="1">
      <c r="A606" s="143"/>
      <c r="B606" s="964"/>
      <c r="C606" s="962"/>
      <c r="D606" s="962"/>
      <c r="E606" s="962"/>
      <c r="F606" s="962"/>
      <c r="G606" s="962"/>
      <c r="H606" s="962"/>
      <c r="I606" s="261"/>
      <c r="J606" s="511"/>
      <c r="K606" s="511"/>
      <c r="L606" s="170"/>
      <c r="M606" s="81"/>
      <c r="N606" s="170"/>
      <c r="O606" s="170"/>
      <c r="P606" s="146"/>
      <c r="Q606" s="146"/>
      <c r="R606" s="146"/>
      <c r="S606" s="149"/>
      <c r="T606" s="149"/>
      <c r="U606" s="149"/>
      <c r="V606" s="149"/>
      <c r="W606" s="149"/>
      <c r="X606" s="149"/>
      <c r="Y606" s="149"/>
      <c r="Z606" s="149"/>
    </row>
    <row r="607" spans="1:26" ht="27.75" customHeight="1">
      <c r="A607" s="143" t="s">
        <v>736</v>
      </c>
      <c r="B607" s="168" t="s">
        <v>3799</v>
      </c>
      <c r="C607" s="505">
        <f t="shared" ref="C607:H607" si="116">AVERAGE(C608:C610)</f>
        <v>0.48693848354792557</v>
      </c>
      <c r="D607" s="505">
        <f t="shared" si="116"/>
        <v>0.63471626132570336</v>
      </c>
      <c r="E607" s="505">
        <f t="shared" si="116"/>
        <v>0.14306151645207441</v>
      </c>
      <c r="F607" s="505">
        <f t="shared" si="116"/>
        <v>0.60891273247496425</v>
      </c>
      <c r="G607" s="505">
        <f t="shared" si="116"/>
        <v>0.68335717691940878</v>
      </c>
      <c r="H607" s="505">
        <f t="shared" si="116"/>
        <v>0.48582737243681451</v>
      </c>
      <c r="I607" s="261"/>
      <c r="J607" s="81"/>
      <c r="K607" s="170"/>
      <c r="L607" s="170"/>
      <c r="M607" s="81"/>
      <c r="N607" s="170"/>
      <c r="O607" s="170"/>
      <c r="P607" s="146"/>
      <c r="Q607" s="146"/>
      <c r="R607" s="146"/>
      <c r="S607" s="149"/>
      <c r="T607" s="149"/>
      <c r="U607" s="149"/>
      <c r="V607" s="149"/>
      <c r="W607" s="149"/>
      <c r="X607" s="149"/>
      <c r="Y607" s="149"/>
      <c r="Z607" s="149"/>
    </row>
    <row r="608" spans="1:26" ht="13.5" customHeight="1">
      <c r="A608" s="143"/>
      <c r="B608" s="963" t="s">
        <v>563</v>
      </c>
      <c r="C608" s="962">
        <f t="shared" ref="C608:H608" si="117">(J608-1)/(4-1)</f>
        <v>0.2233333333333333</v>
      </c>
      <c r="D608" s="962">
        <f t="shared" si="117"/>
        <v>0.66666666666666663</v>
      </c>
      <c r="E608" s="962">
        <f t="shared" si="117"/>
        <v>0</v>
      </c>
      <c r="F608" s="962">
        <f t="shared" si="117"/>
        <v>0.33333333333333331</v>
      </c>
      <c r="G608" s="962">
        <f t="shared" si="117"/>
        <v>0.55666666666666664</v>
      </c>
      <c r="H608" s="962">
        <f t="shared" si="117"/>
        <v>0.44333333333333336</v>
      </c>
      <c r="I608" s="261" t="s">
        <v>546</v>
      </c>
      <c r="J608" s="962">
        <v>1.67</v>
      </c>
      <c r="K608" s="962">
        <v>3</v>
      </c>
      <c r="L608" s="962">
        <v>1</v>
      </c>
      <c r="M608" s="962">
        <v>2</v>
      </c>
      <c r="N608" s="962">
        <v>2.67</v>
      </c>
      <c r="O608" s="962">
        <v>2.33</v>
      </c>
      <c r="P608" s="146"/>
      <c r="Q608" s="146"/>
      <c r="R608" s="146"/>
      <c r="S608" s="149"/>
      <c r="T608" s="149"/>
      <c r="U608" s="149"/>
      <c r="V608" s="149"/>
      <c r="W608" s="149"/>
      <c r="X608" s="149"/>
      <c r="Y608" s="149"/>
      <c r="Z608" s="149"/>
    </row>
    <row r="609" spans="1:26" ht="13.5" customHeight="1">
      <c r="A609" s="143"/>
      <c r="B609" s="963" t="s">
        <v>564</v>
      </c>
      <c r="C609" s="962">
        <f t="shared" ref="C609:H609" si="118">(J609-1)/(3.33-1)</f>
        <v>0.57081545064377681</v>
      </c>
      <c r="D609" s="962">
        <f t="shared" si="118"/>
        <v>0.57081545064377681</v>
      </c>
      <c r="E609" s="962">
        <f t="shared" si="118"/>
        <v>0.42918454935622319</v>
      </c>
      <c r="F609" s="962">
        <f t="shared" si="118"/>
        <v>0.71673819742489264</v>
      </c>
      <c r="G609" s="962">
        <f t="shared" si="118"/>
        <v>0.71673819742489264</v>
      </c>
      <c r="H609" s="962">
        <f t="shared" si="118"/>
        <v>0.57081545064377681</v>
      </c>
      <c r="I609" s="261" t="s">
        <v>2002</v>
      </c>
      <c r="J609" s="962">
        <v>2.33</v>
      </c>
      <c r="K609" s="962">
        <v>2.33</v>
      </c>
      <c r="L609" s="962">
        <v>2</v>
      </c>
      <c r="M609" s="962">
        <v>2.67</v>
      </c>
      <c r="N609" s="962">
        <v>2.67</v>
      </c>
      <c r="O609" s="962">
        <v>2.33</v>
      </c>
      <c r="P609" s="146"/>
      <c r="Q609" s="146"/>
      <c r="R609" s="146"/>
      <c r="S609" s="149"/>
      <c r="T609" s="149"/>
      <c r="U609" s="149"/>
      <c r="V609" s="149"/>
      <c r="W609" s="149"/>
      <c r="X609" s="149"/>
      <c r="Y609" s="149"/>
      <c r="Z609" s="149"/>
    </row>
    <row r="610" spans="1:26" ht="13.5" customHeight="1">
      <c r="A610" s="143"/>
      <c r="B610" s="963" t="s">
        <v>565</v>
      </c>
      <c r="C610" s="962">
        <f t="shared" ref="C610:H610" si="119">(J610-1)/(4-1)</f>
        <v>0.66666666666666663</v>
      </c>
      <c r="D610" s="962">
        <f t="shared" si="119"/>
        <v>0.66666666666666663</v>
      </c>
      <c r="E610" s="962">
        <f t="shared" si="119"/>
        <v>0</v>
      </c>
      <c r="F610" s="962">
        <f t="shared" si="119"/>
        <v>0.77666666666666673</v>
      </c>
      <c r="G610" s="962">
        <f t="shared" si="119"/>
        <v>0.77666666666666673</v>
      </c>
      <c r="H610" s="962">
        <f t="shared" si="119"/>
        <v>0.44333333333333336</v>
      </c>
      <c r="I610" s="261" t="s">
        <v>546</v>
      </c>
      <c r="J610" s="962">
        <v>3</v>
      </c>
      <c r="K610" s="962">
        <v>3</v>
      </c>
      <c r="L610" s="962">
        <v>1</v>
      </c>
      <c r="M610" s="962">
        <v>3.33</v>
      </c>
      <c r="N610" s="962">
        <v>3.33</v>
      </c>
      <c r="O610" s="962">
        <v>2.33</v>
      </c>
      <c r="P610" s="146"/>
      <c r="Q610" s="146"/>
      <c r="R610" s="146"/>
      <c r="S610" s="149"/>
      <c r="T610" s="149"/>
      <c r="U610" s="149"/>
      <c r="V610" s="149"/>
      <c r="W610" s="149"/>
      <c r="X610" s="149"/>
      <c r="Y610" s="149"/>
      <c r="Z610" s="149"/>
    </row>
    <row r="611" spans="1:26" ht="13.5" customHeight="1">
      <c r="A611" s="143"/>
      <c r="B611" s="963"/>
      <c r="C611" s="962"/>
      <c r="D611" s="962"/>
      <c r="E611" s="962"/>
      <c r="F611" s="962"/>
      <c r="G611" s="962"/>
      <c r="H611" s="962"/>
      <c r="I611" s="261"/>
      <c r="J611" s="81"/>
      <c r="K611" s="170"/>
      <c r="L611" s="170"/>
      <c r="M611" s="81"/>
      <c r="N611" s="170"/>
      <c r="O611" s="170"/>
      <c r="P611" s="146"/>
      <c r="Q611" s="146"/>
      <c r="R611" s="146"/>
      <c r="S611" s="149"/>
      <c r="T611" s="149"/>
      <c r="U611" s="149"/>
      <c r="V611" s="149"/>
      <c r="W611" s="149"/>
      <c r="X611" s="149"/>
      <c r="Y611" s="149"/>
      <c r="Z611" s="149"/>
    </row>
    <row r="612" spans="1:26" ht="27.75" customHeight="1">
      <c r="A612" s="143" t="s">
        <v>736</v>
      </c>
      <c r="B612" s="168" t="s">
        <v>3800</v>
      </c>
      <c r="C612" s="505">
        <f t="shared" ref="C612:H612" si="120">AVERAGE(C613:C616)</f>
        <v>0.53440074906367041</v>
      </c>
      <c r="D612" s="505">
        <f t="shared" si="120"/>
        <v>0.47940074906367036</v>
      </c>
      <c r="E612" s="505">
        <f t="shared" si="120"/>
        <v>0.24309925093632959</v>
      </c>
      <c r="F612" s="505">
        <f t="shared" si="120"/>
        <v>0.49906367041198507</v>
      </c>
      <c r="G612" s="505">
        <f t="shared" si="120"/>
        <v>0.5308988764044944</v>
      </c>
      <c r="H612" s="505">
        <f t="shared" si="120"/>
        <v>0.3848314606741573</v>
      </c>
      <c r="I612" s="261"/>
      <c r="J612" s="81"/>
      <c r="K612" s="170"/>
      <c r="L612" s="170"/>
      <c r="M612" s="81"/>
      <c r="N612" s="170"/>
      <c r="O612" s="170"/>
      <c r="P612" s="146"/>
      <c r="Q612" s="146"/>
      <c r="R612" s="146"/>
      <c r="S612" s="149"/>
      <c r="T612" s="149"/>
      <c r="U612" s="149"/>
      <c r="V612" s="149"/>
      <c r="W612" s="149"/>
      <c r="X612" s="149"/>
      <c r="Y612" s="149"/>
      <c r="Z612" s="149"/>
    </row>
    <row r="613" spans="1:26" ht="27.75" customHeight="1">
      <c r="A613" s="143"/>
      <c r="B613" s="963" t="s">
        <v>567</v>
      </c>
      <c r="C613" s="962">
        <f t="shared" ref="C613:H613" si="121">(J613-1)/(4-1)</f>
        <v>0.44333333333333336</v>
      </c>
      <c r="D613" s="962">
        <f t="shared" si="121"/>
        <v>0.33333333333333331</v>
      </c>
      <c r="E613" s="962">
        <f t="shared" si="121"/>
        <v>0.2233333333333333</v>
      </c>
      <c r="F613" s="962">
        <f t="shared" si="121"/>
        <v>0.33333333333333331</v>
      </c>
      <c r="G613" s="962">
        <f t="shared" si="121"/>
        <v>0.55666666666666664</v>
      </c>
      <c r="H613" s="962">
        <f t="shared" si="121"/>
        <v>0.2233333333333333</v>
      </c>
      <c r="I613" s="261" t="s">
        <v>546</v>
      </c>
      <c r="J613" s="962">
        <v>2.33</v>
      </c>
      <c r="K613" s="962">
        <v>2</v>
      </c>
      <c r="L613" s="962">
        <v>1.67</v>
      </c>
      <c r="M613" s="962">
        <v>2</v>
      </c>
      <c r="N613" s="962">
        <v>2.67</v>
      </c>
      <c r="O613" s="962">
        <v>1.67</v>
      </c>
      <c r="P613" s="146"/>
      <c r="Q613" s="146"/>
      <c r="R613" s="146"/>
      <c r="S613" s="149"/>
      <c r="T613" s="149"/>
      <c r="U613" s="149"/>
      <c r="V613" s="149"/>
      <c r="W613" s="149"/>
      <c r="X613" s="149"/>
      <c r="Y613" s="149"/>
      <c r="Z613" s="149"/>
    </row>
    <row r="614" spans="1:26" ht="13.5" customHeight="1">
      <c r="A614" s="143"/>
      <c r="B614" s="963" t="s">
        <v>568</v>
      </c>
      <c r="C614" s="962">
        <f t="shared" ref="C614:H614" si="122">(J614-1)/(3.67-1)</f>
        <v>0.62546816479400746</v>
      </c>
      <c r="D614" s="962">
        <f t="shared" si="122"/>
        <v>0.62546816479400746</v>
      </c>
      <c r="E614" s="962">
        <f t="shared" si="122"/>
        <v>0.37453183520599254</v>
      </c>
      <c r="F614" s="962">
        <f t="shared" si="122"/>
        <v>0.49812734082397009</v>
      </c>
      <c r="G614" s="962">
        <f t="shared" si="122"/>
        <v>0.49812734082397009</v>
      </c>
      <c r="H614" s="962">
        <f t="shared" si="122"/>
        <v>0.37453183520599254</v>
      </c>
      <c r="I614" s="261" t="s">
        <v>2004</v>
      </c>
      <c r="J614" s="962">
        <v>2.67</v>
      </c>
      <c r="K614" s="962">
        <v>2.67</v>
      </c>
      <c r="L614" s="962">
        <v>2</v>
      </c>
      <c r="M614" s="962">
        <v>2.33</v>
      </c>
      <c r="N614" s="962">
        <v>2.33</v>
      </c>
      <c r="O614" s="962">
        <v>2</v>
      </c>
      <c r="P614" s="146"/>
      <c r="Q614" s="146"/>
      <c r="R614" s="146"/>
      <c r="S614" s="149"/>
      <c r="T614" s="149"/>
      <c r="U614" s="149"/>
      <c r="V614" s="149"/>
      <c r="W614" s="149"/>
      <c r="X614" s="149"/>
      <c r="Y614" s="149"/>
      <c r="Z614" s="149"/>
    </row>
    <row r="615" spans="1:26" ht="13.5" customHeight="1">
      <c r="A615" s="143"/>
      <c r="B615" s="963" t="s">
        <v>569</v>
      </c>
      <c r="C615" s="962">
        <f t="shared" ref="C615:H615" si="123">(J615-1)/(3.67-1)</f>
        <v>0.62546816479400746</v>
      </c>
      <c r="D615" s="962">
        <f t="shared" si="123"/>
        <v>0.62546816479400746</v>
      </c>
      <c r="E615" s="962">
        <f t="shared" si="123"/>
        <v>0.37453183520599254</v>
      </c>
      <c r="F615" s="962">
        <f t="shared" si="123"/>
        <v>0.49812734082397009</v>
      </c>
      <c r="G615" s="962">
        <f t="shared" si="123"/>
        <v>0.62546816479400746</v>
      </c>
      <c r="H615" s="962">
        <f t="shared" si="123"/>
        <v>0.49812734082397009</v>
      </c>
      <c r="I615" s="261" t="s">
        <v>2004</v>
      </c>
      <c r="J615" s="962">
        <v>2.67</v>
      </c>
      <c r="K615" s="962">
        <v>2.67</v>
      </c>
      <c r="L615" s="962">
        <v>2</v>
      </c>
      <c r="M615" s="962">
        <v>2.33</v>
      </c>
      <c r="N615" s="962">
        <v>2.67</v>
      </c>
      <c r="O615" s="962">
        <v>2.33</v>
      </c>
      <c r="P615" s="146"/>
      <c r="Q615" s="146"/>
      <c r="R615" s="146"/>
      <c r="S615" s="149"/>
      <c r="T615" s="149"/>
      <c r="U615" s="149"/>
      <c r="V615" s="149"/>
      <c r="W615" s="149"/>
      <c r="X615" s="149"/>
      <c r="Y615" s="149"/>
      <c r="Z615" s="149"/>
    </row>
    <row r="616" spans="1:26" ht="13.5" customHeight="1">
      <c r="A616" s="143"/>
      <c r="B616" s="963" t="s">
        <v>570</v>
      </c>
      <c r="C616" s="962">
        <f t="shared" ref="C616:H616" si="124">(J616-1)/(4-1)</f>
        <v>0.44333333333333336</v>
      </c>
      <c r="D616" s="962">
        <f t="shared" si="124"/>
        <v>0.33333333333333331</v>
      </c>
      <c r="E616" s="962">
        <f t="shared" si="124"/>
        <v>0</v>
      </c>
      <c r="F616" s="962">
        <f t="shared" si="124"/>
        <v>0.66666666666666663</v>
      </c>
      <c r="G616" s="962">
        <f t="shared" si="124"/>
        <v>0.44333333333333336</v>
      </c>
      <c r="H616" s="962">
        <f t="shared" si="124"/>
        <v>0.44333333333333336</v>
      </c>
      <c r="I616" s="261" t="s">
        <v>546</v>
      </c>
      <c r="J616" s="962">
        <v>2.33</v>
      </c>
      <c r="K616" s="962">
        <v>2</v>
      </c>
      <c r="L616" s="962">
        <v>1</v>
      </c>
      <c r="M616" s="962">
        <v>3</v>
      </c>
      <c r="N616" s="962">
        <v>2.33</v>
      </c>
      <c r="O616" s="962">
        <v>2.33</v>
      </c>
      <c r="P616" s="146"/>
      <c r="Q616" s="146"/>
      <c r="R616" s="146"/>
      <c r="S616" s="149"/>
      <c r="T616" s="149"/>
      <c r="U616" s="149"/>
      <c r="V616" s="149"/>
      <c r="W616" s="149"/>
      <c r="X616" s="149"/>
      <c r="Y616" s="149"/>
      <c r="Z616" s="149"/>
    </row>
    <row r="617" spans="1:26" ht="13.5" customHeight="1">
      <c r="A617" s="143"/>
      <c r="B617" s="965"/>
      <c r="C617" s="962"/>
      <c r="D617" s="962"/>
      <c r="E617" s="962"/>
      <c r="F617" s="962"/>
      <c r="G617" s="962"/>
      <c r="H617" s="962"/>
      <c r="I617" s="261"/>
      <c r="J617" s="81"/>
      <c r="K617" s="170"/>
      <c r="L617" s="170"/>
      <c r="M617" s="81"/>
      <c r="N617" s="170"/>
      <c r="O617" s="170"/>
      <c r="P617" s="146"/>
      <c r="Q617" s="146"/>
      <c r="R617" s="146"/>
      <c r="S617" s="149"/>
      <c r="T617" s="149"/>
      <c r="U617" s="149"/>
      <c r="V617" s="149"/>
      <c r="W617" s="149"/>
      <c r="X617" s="149"/>
      <c r="Y617" s="149"/>
      <c r="Z617" s="149"/>
    </row>
    <row r="618" spans="1:26" ht="27.75" customHeight="1">
      <c r="A618" s="143" t="s">
        <v>736</v>
      </c>
      <c r="B618" s="168" t="s">
        <v>3801</v>
      </c>
      <c r="C618" s="505">
        <f t="shared" ref="C618:H618" si="125">AVERAGE(C619:C623)</f>
        <v>0.48786108566009229</v>
      </c>
      <c r="D618" s="505">
        <f t="shared" si="125"/>
        <v>0.4085985758145666</v>
      </c>
      <c r="E618" s="505">
        <f t="shared" si="125"/>
        <v>0.24393054283004614</v>
      </c>
      <c r="F618" s="505">
        <f t="shared" si="125"/>
        <v>0.37634763948497857</v>
      </c>
      <c r="G618" s="505">
        <f t="shared" si="125"/>
        <v>0.32169492533474792</v>
      </c>
      <c r="H618" s="505">
        <f t="shared" si="125"/>
        <v>0.24393054283004614</v>
      </c>
      <c r="I618" s="261"/>
      <c r="J618" s="81"/>
      <c r="K618" s="170"/>
      <c r="L618" s="170"/>
      <c r="M618" s="81"/>
      <c r="N618" s="170"/>
      <c r="O618" s="170"/>
      <c r="P618" s="146"/>
      <c r="Q618" s="146"/>
      <c r="R618" s="146"/>
      <c r="S618" s="149"/>
      <c r="T618" s="149"/>
      <c r="U618" s="149"/>
      <c r="V618" s="149"/>
      <c r="W618" s="149"/>
      <c r="X618" s="149"/>
      <c r="Y618" s="149"/>
      <c r="Z618" s="149"/>
    </row>
    <row r="619" spans="1:26" ht="13.5" customHeight="1">
      <c r="A619" s="143"/>
      <c r="B619" s="963" t="s">
        <v>572</v>
      </c>
      <c r="C619" s="962">
        <f t="shared" ref="C619:H619" si="126">(J619-1)/(3.67-1)</f>
        <v>0.62546816479400746</v>
      </c>
      <c r="D619" s="962">
        <f t="shared" si="126"/>
        <v>0.49812734082397009</v>
      </c>
      <c r="E619" s="962">
        <f t="shared" si="126"/>
        <v>0.37453183520599254</v>
      </c>
      <c r="F619" s="962">
        <f t="shared" si="126"/>
        <v>0.62546816479400746</v>
      </c>
      <c r="G619" s="962">
        <f t="shared" si="126"/>
        <v>0.49812734082397009</v>
      </c>
      <c r="H619" s="962">
        <f t="shared" si="126"/>
        <v>0.37453183520599254</v>
      </c>
      <c r="I619" s="261" t="s">
        <v>2004</v>
      </c>
      <c r="J619" s="962">
        <v>2.67</v>
      </c>
      <c r="K619" s="962">
        <v>2.33</v>
      </c>
      <c r="L619" s="962">
        <v>2</v>
      </c>
      <c r="M619" s="962">
        <v>2.67</v>
      </c>
      <c r="N619" s="962">
        <v>2.33</v>
      </c>
      <c r="O619" s="962">
        <v>2</v>
      </c>
      <c r="P619" s="146"/>
      <c r="Q619" s="146"/>
      <c r="R619" s="146"/>
      <c r="S619" s="149"/>
      <c r="T619" s="149"/>
      <c r="U619" s="149"/>
      <c r="V619" s="149"/>
      <c r="W619" s="149"/>
      <c r="X619" s="149"/>
      <c r="Y619" s="149"/>
      <c r="Z619" s="149"/>
    </row>
    <row r="620" spans="1:26" ht="27.75" customHeight="1">
      <c r="A620" s="143"/>
      <c r="B620" s="963" t="s">
        <v>573</v>
      </c>
      <c r="C620" s="962">
        <f t="shared" ref="C620:H620" si="127">(J620-1.67)/(3.67-1.67)</f>
        <v>0.33000000000000007</v>
      </c>
      <c r="D620" s="962">
        <f t="shared" si="127"/>
        <v>0.33000000000000007</v>
      </c>
      <c r="E620" s="962">
        <f t="shared" si="127"/>
        <v>0.16500000000000004</v>
      </c>
      <c r="F620" s="962">
        <f t="shared" si="127"/>
        <v>0.16500000000000004</v>
      </c>
      <c r="G620" s="962">
        <f t="shared" si="127"/>
        <v>0.16500000000000004</v>
      </c>
      <c r="H620" s="962">
        <f t="shared" si="127"/>
        <v>0.16500000000000004</v>
      </c>
      <c r="I620" s="261" t="s">
        <v>1991</v>
      </c>
      <c r="J620" s="399">
        <v>2.33</v>
      </c>
      <c r="K620" s="399">
        <v>2.33</v>
      </c>
      <c r="L620" s="962">
        <v>2</v>
      </c>
      <c r="M620" s="962">
        <v>2</v>
      </c>
      <c r="N620" s="962">
        <v>2</v>
      </c>
      <c r="O620" s="962">
        <v>2</v>
      </c>
      <c r="P620" s="146"/>
      <c r="Q620" s="146"/>
      <c r="R620" s="146"/>
      <c r="S620" s="149"/>
      <c r="T620" s="149"/>
      <c r="U620" s="149"/>
      <c r="V620" s="149"/>
      <c r="W620" s="149"/>
      <c r="X620" s="149"/>
      <c r="Y620" s="149"/>
      <c r="Z620" s="149"/>
    </row>
    <row r="621" spans="1:26" ht="42" customHeight="1">
      <c r="A621" s="143"/>
      <c r="B621" s="963" t="s">
        <v>574</v>
      </c>
      <c r="C621" s="962">
        <f t="shared" ref="C621:H621" si="128">(J621-1)/(3.33-1)</f>
        <v>0.42918454935622319</v>
      </c>
      <c r="D621" s="962">
        <f t="shared" si="128"/>
        <v>0.42918454935622319</v>
      </c>
      <c r="E621" s="962">
        <f t="shared" si="128"/>
        <v>0.42918454935622319</v>
      </c>
      <c r="F621" s="962">
        <f t="shared" si="128"/>
        <v>0.71673819742489264</v>
      </c>
      <c r="G621" s="962">
        <f t="shared" si="128"/>
        <v>0.57081545064377681</v>
      </c>
      <c r="H621" s="962">
        <f t="shared" si="128"/>
        <v>0.42918454935622319</v>
      </c>
      <c r="I621" s="261" t="s">
        <v>2002</v>
      </c>
      <c r="J621" s="962">
        <v>2</v>
      </c>
      <c r="K621" s="962">
        <v>2</v>
      </c>
      <c r="L621" s="962">
        <v>2</v>
      </c>
      <c r="M621" s="962">
        <v>2.67</v>
      </c>
      <c r="N621" s="962">
        <v>2.33</v>
      </c>
      <c r="O621" s="962">
        <v>2</v>
      </c>
      <c r="P621" s="146"/>
      <c r="Q621" s="146"/>
      <c r="R621" s="146"/>
      <c r="S621" s="149"/>
      <c r="T621" s="149"/>
      <c r="U621" s="149"/>
      <c r="V621" s="149"/>
      <c r="W621" s="149"/>
      <c r="X621" s="149"/>
      <c r="Y621" s="149"/>
      <c r="Z621" s="149"/>
    </row>
    <row r="622" spans="1:26" ht="13.5" customHeight="1">
      <c r="A622" s="143"/>
      <c r="B622" s="963" t="s">
        <v>575</v>
      </c>
      <c r="C622" s="962">
        <f t="shared" ref="C622:H622" si="129">(J622-1)/(3.33-1)</f>
        <v>0.42918454935622319</v>
      </c>
      <c r="D622" s="962">
        <f t="shared" si="129"/>
        <v>0.28755364806866951</v>
      </c>
      <c r="E622" s="962">
        <f t="shared" si="129"/>
        <v>0</v>
      </c>
      <c r="F622" s="962">
        <f t="shared" si="129"/>
        <v>0</v>
      </c>
      <c r="G622" s="962">
        <f t="shared" si="129"/>
        <v>0</v>
      </c>
      <c r="H622" s="962">
        <f t="shared" si="129"/>
        <v>0</v>
      </c>
      <c r="I622" s="261" t="s">
        <v>2002</v>
      </c>
      <c r="J622" s="962">
        <v>2</v>
      </c>
      <c r="K622" s="962">
        <v>1.67</v>
      </c>
      <c r="L622" s="962">
        <v>1</v>
      </c>
      <c r="M622" s="962">
        <v>1</v>
      </c>
      <c r="N622" s="962">
        <v>1</v>
      </c>
      <c r="O622" s="962">
        <v>1</v>
      </c>
      <c r="P622" s="146"/>
      <c r="Q622" s="146"/>
      <c r="R622" s="146"/>
      <c r="S622" s="149"/>
      <c r="T622" s="149"/>
      <c r="U622" s="149"/>
      <c r="V622" s="149"/>
      <c r="W622" s="149"/>
      <c r="X622" s="149"/>
      <c r="Y622" s="149"/>
      <c r="Z622" s="149"/>
    </row>
    <row r="623" spans="1:26" ht="13.5" customHeight="1">
      <c r="A623" s="143"/>
      <c r="B623" s="963" t="s">
        <v>576</v>
      </c>
      <c r="C623" s="962">
        <f t="shared" ref="C623:H623" si="130">(J623-1)/(3.67-1)</f>
        <v>0.62546816479400746</v>
      </c>
      <c r="D623" s="962">
        <f t="shared" si="130"/>
        <v>0.49812734082397009</v>
      </c>
      <c r="E623" s="962">
        <f t="shared" si="130"/>
        <v>0.25093632958801498</v>
      </c>
      <c r="F623" s="962">
        <f t="shared" si="130"/>
        <v>0.37453183520599254</v>
      </c>
      <c r="G623" s="962">
        <f t="shared" si="130"/>
        <v>0.37453183520599254</v>
      </c>
      <c r="H623" s="962">
        <f t="shared" si="130"/>
        <v>0.25093632958801498</v>
      </c>
      <c r="I623" s="261" t="s">
        <v>2004</v>
      </c>
      <c r="J623" s="962">
        <v>2.67</v>
      </c>
      <c r="K623" s="962">
        <v>2.33</v>
      </c>
      <c r="L623" s="962">
        <v>1.67</v>
      </c>
      <c r="M623" s="399">
        <v>2</v>
      </c>
      <c r="N623" s="962">
        <v>2</v>
      </c>
      <c r="O623" s="962">
        <v>1.67</v>
      </c>
      <c r="P623" s="146"/>
      <c r="Q623" s="146"/>
      <c r="R623" s="146"/>
      <c r="S623" s="149"/>
      <c r="T623" s="149"/>
      <c r="U623" s="149"/>
      <c r="V623" s="149"/>
      <c r="W623" s="149"/>
      <c r="X623" s="149"/>
      <c r="Y623" s="149"/>
      <c r="Z623" s="149"/>
    </row>
    <row r="624" spans="1:26" ht="18" customHeight="1">
      <c r="A624" s="500"/>
      <c r="B624" s="538"/>
      <c r="C624" s="539"/>
      <c r="D624" s="539"/>
      <c r="E624" s="539"/>
      <c r="F624" s="539"/>
      <c r="G624" s="539"/>
      <c r="H624" s="539"/>
      <c r="I624" s="482"/>
      <c r="J624" s="541"/>
      <c r="K624" s="541"/>
      <c r="L624" s="541"/>
      <c r="M624" s="541"/>
      <c r="N624" s="541"/>
      <c r="O624" s="541"/>
      <c r="P624" s="208"/>
      <c r="Q624" s="208"/>
      <c r="R624" s="208"/>
      <c r="S624" s="210"/>
      <c r="T624" s="210"/>
      <c r="U624" s="210"/>
      <c r="V624" s="210"/>
      <c r="W624" s="210"/>
      <c r="X624" s="210"/>
      <c r="Y624" s="210"/>
      <c r="Z624" s="210"/>
    </row>
    <row r="625" spans="1:26" ht="13.5" customHeight="1">
      <c r="A625" s="543" t="s">
        <v>2006</v>
      </c>
      <c r="B625" s="544" t="s">
        <v>577</v>
      </c>
      <c r="C625" s="545">
        <f t="shared" ref="C625:H625" si="131">AVERAGE(C626,C645,C660,C679,C700,C709,C716,C725)</f>
        <v>0.64028681691725164</v>
      </c>
      <c r="D625" s="545">
        <f t="shared" si="131"/>
        <v>0.76113479877916013</v>
      </c>
      <c r="E625" s="545">
        <f t="shared" si="131"/>
        <v>0.40867004183919942</v>
      </c>
      <c r="F625" s="545">
        <f t="shared" si="131"/>
        <v>0.76648351648351642</v>
      </c>
      <c r="G625" s="545">
        <f t="shared" si="131"/>
        <v>0.63690057609045392</v>
      </c>
      <c r="H625" s="545">
        <f t="shared" si="131"/>
        <v>0.41926921583850929</v>
      </c>
      <c r="I625" s="546"/>
      <c r="J625" s="63"/>
      <c r="K625" s="163"/>
      <c r="L625" s="163"/>
      <c r="M625" s="63"/>
      <c r="N625" s="163"/>
      <c r="O625" s="163"/>
      <c r="P625" s="549"/>
      <c r="Q625" s="549"/>
      <c r="R625" s="549"/>
      <c r="S625" s="546"/>
      <c r="T625" s="546"/>
      <c r="U625" s="546"/>
      <c r="V625" s="546"/>
      <c r="W625" s="546"/>
      <c r="X625" s="546"/>
      <c r="Y625" s="546"/>
      <c r="Z625" s="546"/>
    </row>
    <row r="626" spans="1:26" ht="27.75" customHeight="1">
      <c r="A626" s="550" t="s">
        <v>438</v>
      </c>
      <c r="B626" s="552" t="s">
        <v>3802</v>
      </c>
      <c r="C626" s="72">
        <f t="shared" ref="C626:H626" si="132">AVERAGE(C627,C629,C631,C633,C635,C637,C639,C641,C643)</f>
        <v>0.57692307692307698</v>
      </c>
      <c r="D626" s="72">
        <f t="shared" si="132"/>
        <v>0.63247863247863245</v>
      </c>
      <c r="E626" s="72">
        <f t="shared" si="132"/>
        <v>0.3888888888888889</v>
      </c>
      <c r="F626" s="72">
        <f t="shared" si="132"/>
        <v>0.45726495726495719</v>
      </c>
      <c r="G626" s="72">
        <f t="shared" si="132"/>
        <v>0.55555555555555558</v>
      </c>
      <c r="H626" s="72">
        <f t="shared" si="132"/>
        <v>0.22222222222222221</v>
      </c>
      <c r="I626" s="135"/>
      <c r="J626" s="74"/>
      <c r="K626" s="167"/>
      <c r="L626" s="167"/>
      <c r="M626" s="74"/>
      <c r="N626" s="167"/>
      <c r="O626" s="167"/>
      <c r="P626" s="137"/>
      <c r="Q626" s="137"/>
      <c r="R626" s="137"/>
      <c r="S626" s="138"/>
      <c r="T626" s="138"/>
      <c r="U626" s="138"/>
      <c r="V626" s="138"/>
      <c r="W626" s="138"/>
      <c r="X626" s="138"/>
      <c r="Y626" s="138"/>
      <c r="Z626" s="138"/>
    </row>
    <row r="627" spans="1:26" ht="84" customHeight="1">
      <c r="A627" s="143" t="s">
        <v>736</v>
      </c>
      <c r="B627" s="194" t="s">
        <v>3803</v>
      </c>
      <c r="C627" s="80">
        <v>1</v>
      </c>
      <c r="D627" s="80">
        <v>1</v>
      </c>
      <c r="E627" s="80">
        <v>1</v>
      </c>
      <c r="F627" s="80">
        <v>0</v>
      </c>
      <c r="G627" s="80">
        <v>1</v>
      </c>
      <c r="H627" s="80">
        <v>0</v>
      </c>
      <c r="I627" s="135" t="s">
        <v>38</v>
      </c>
      <c r="J627" s="81" t="s">
        <v>3804</v>
      </c>
      <c r="K627" s="81" t="s">
        <v>2007</v>
      </c>
      <c r="L627" s="81" t="s">
        <v>3805</v>
      </c>
      <c r="M627" s="81" t="s">
        <v>748</v>
      </c>
      <c r="N627" s="81" t="s">
        <v>1134</v>
      </c>
      <c r="O627" s="81" t="s">
        <v>3806</v>
      </c>
      <c r="P627" s="146"/>
      <c r="Q627" s="146"/>
      <c r="R627" s="146"/>
      <c r="S627" s="149"/>
      <c r="T627" s="149"/>
      <c r="U627" s="149"/>
      <c r="V627" s="149"/>
      <c r="W627" s="149"/>
      <c r="X627" s="149"/>
      <c r="Y627" s="149"/>
      <c r="Z627" s="149"/>
    </row>
    <row r="628" spans="1:26" ht="13.5" customHeight="1">
      <c r="A628" s="143"/>
      <c r="B628" s="194"/>
      <c r="C628" s="80"/>
      <c r="D628" s="80"/>
      <c r="E628" s="80"/>
      <c r="F628" s="80"/>
      <c r="G628" s="80"/>
      <c r="H628" s="80"/>
      <c r="I628" s="135"/>
      <c r="J628" s="80"/>
      <c r="K628" s="80"/>
      <c r="L628" s="80"/>
      <c r="M628" s="80"/>
      <c r="N628" s="80"/>
      <c r="O628" s="80"/>
      <c r="P628" s="146"/>
      <c r="Q628" s="146"/>
      <c r="R628" s="146"/>
      <c r="S628" s="149"/>
      <c r="T628" s="149"/>
      <c r="U628" s="149"/>
      <c r="V628" s="149"/>
      <c r="W628" s="149"/>
      <c r="X628" s="149"/>
      <c r="Y628" s="149"/>
      <c r="Z628" s="149"/>
    </row>
    <row r="629" spans="1:26" ht="60" customHeight="1">
      <c r="A629" s="143" t="s">
        <v>736</v>
      </c>
      <c r="B629" s="194" t="s">
        <v>581</v>
      </c>
      <c r="C629" s="80">
        <v>1</v>
      </c>
      <c r="D629" s="944">
        <v>0</v>
      </c>
      <c r="E629" s="80">
        <v>1</v>
      </c>
      <c r="F629" s="80">
        <v>0</v>
      </c>
      <c r="G629" s="80">
        <v>1</v>
      </c>
      <c r="H629" s="944">
        <v>0</v>
      </c>
      <c r="I629" s="135" t="s">
        <v>38</v>
      </c>
      <c r="J629" s="81" t="s">
        <v>2010</v>
      </c>
      <c r="K629" s="81" t="s">
        <v>2011</v>
      </c>
      <c r="L629" s="81" t="s">
        <v>2010</v>
      </c>
      <c r="M629" s="81" t="s">
        <v>748</v>
      </c>
      <c r="N629" s="81" t="s">
        <v>3807</v>
      </c>
      <c r="O629" s="81" t="s">
        <v>3808</v>
      </c>
      <c r="P629" s="146"/>
      <c r="Q629" s="146"/>
      <c r="R629" s="146"/>
      <c r="S629" s="149"/>
      <c r="T629" s="149"/>
      <c r="U629" s="149"/>
      <c r="V629" s="149"/>
      <c r="W629" s="149"/>
      <c r="X629" s="149"/>
      <c r="Y629" s="149"/>
      <c r="Z629" s="149"/>
    </row>
    <row r="630" spans="1:26" ht="13.5" customHeight="1">
      <c r="A630" s="143"/>
      <c r="B630" s="194"/>
      <c r="C630" s="80"/>
      <c r="D630" s="80"/>
      <c r="E630" s="80"/>
      <c r="F630" s="80"/>
      <c r="G630" s="80"/>
      <c r="H630" s="80"/>
      <c r="I630" s="135"/>
      <c r="J630" s="80"/>
      <c r="K630" s="80"/>
      <c r="L630" s="80"/>
      <c r="M630" s="80"/>
      <c r="N630" s="195"/>
      <c r="O630" s="80"/>
      <c r="P630" s="146"/>
      <c r="Q630" s="146"/>
      <c r="R630" s="146"/>
      <c r="S630" s="149"/>
      <c r="T630" s="149"/>
      <c r="U630" s="149"/>
      <c r="V630" s="149"/>
      <c r="W630" s="149"/>
      <c r="X630" s="149"/>
      <c r="Y630" s="149"/>
      <c r="Z630" s="149"/>
    </row>
    <row r="631" spans="1:26" ht="54" customHeight="1">
      <c r="A631" s="143" t="s">
        <v>736</v>
      </c>
      <c r="B631" s="194" t="s">
        <v>2012</v>
      </c>
      <c r="C631" s="80">
        <v>1</v>
      </c>
      <c r="D631" s="80">
        <v>1</v>
      </c>
      <c r="E631" s="80">
        <v>0.5</v>
      </c>
      <c r="F631" s="80">
        <v>1</v>
      </c>
      <c r="G631" s="80">
        <v>1</v>
      </c>
      <c r="H631" s="80">
        <v>0.5</v>
      </c>
      <c r="I631" s="135" t="s">
        <v>3809</v>
      </c>
      <c r="J631" s="170" t="s">
        <v>2013</v>
      </c>
      <c r="K631" s="170" t="s">
        <v>2013</v>
      </c>
      <c r="L631" s="170" t="s">
        <v>2014</v>
      </c>
      <c r="M631" s="170" t="s">
        <v>2013</v>
      </c>
      <c r="N631" s="170" t="s">
        <v>2013</v>
      </c>
      <c r="O631" s="170" t="s">
        <v>2014</v>
      </c>
      <c r="P631" s="146"/>
      <c r="Q631" s="146"/>
      <c r="R631" s="146"/>
      <c r="S631" s="149"/>
      <c r="T631" s="149"/>
      <c r="U631" s="149"/>
      <c r="V631" s="149"/>
      <c r="W631" s="149"/>
      <c r="X631" s="149"/>
      <c r="Y631" s="149"/>
      <c r="Z631" s="149"/>
    </row>
    <row r="632" spans="1:26" ht="13.5" customHeight="1">
      <c r="A632" s="143"/>
      <c r="B632" s="194"/>
      <c r="C632" s="80"/>
      <c r="D632" s="80"/>
      <c r="E632" s="80"/>
      <c r="F632" s="80"/>
      <c r="G632" s="80"/>
      <c r="H632" s="80"/>
      <c r="I632" s="135"/>
      <c r="J632" s="81"/>
      <c r="K632" s="945"/>
      <c r="L632" s="81"/>
      <c r="M632" s="81"/>
      <c r="N632" s="81"/>
      <c r="O632" s="81"/>
      <c r="P632" s="146"/>
      <c r="Q632" s="146"/>
      <c r="R632" s="146"/>
      <c r="S632" s="149"/>
      <c r="T632" s="149"/>
      <c r="U632" s="149"/>
      <c r="V632" s="149"/>
      <c r="W632" s="149"/>
      <c r="X632" s="149"/>
      <c r="Y632" s="149"/>
      <c r="Z632" s="149"/>
    </row>
    <row r="633" spans="1:26" ht="42" customHeight="1">
      <c r="A633" s="143" t="s">
        <v>736</v>
      </c>
      <c r="B633" s="194" t="s">
        <v>2015</v>
      </c>
      <c r="C633" s="80">
        <v>1</v>
      </c>
      <c r="D633" s="944">
        <v>1</v>
      </c>
      <c r="E633" s="80">
        <v>0</v>
      </c>
      <c r="F633" s="80">
        <v>1</v>
      </c>
      <c r="G633" s="80">
        <v>0</v>
      </c>
      <c r="H633" s="80">
        <v>0</v>
      </c>
      <c r="I633" s="135" t="s">
        <v>38</v>
      </c>
      <c r="J633" s="81" t="s">
        <v>2016</v>
      </c>
      <c r="K633" s="182" t="s">
        <v>2016</v>
      </c>
      <c r="L633" s="81" t="s">
        <v>748</v>
      </c>
      <c r="M633" s="182" t="s">
        <v>2016</v>
      </c>
      <c r="N633" s="81" t="s">
        <v>3810</v>
      </c>
      <c r="O633" s="81" t="s">
        <v>748</v>
      </c>
      <c r="P633" s="146"/>
      <c r="Q633" s="146"/>
      <c r="R633" s="146"/>
      <c r="S633" s="149"/>
      <c r="T633" s="149"/>
      <c r="U633" s="149"/>
      <c r="V633" s="149"/>
      <c r="W633" s="149"/>
      <c r="X633" s="149"/>
      <c r="Y633" s="149"/>
      <c r="Z633" s="149"/>
    </row>
    <row r="634" spans="1:26" ht="35.25" customHeight="1">
      <c r="A634" s="143"/>
      <c r="B634" s="194"/>
      <c r="C634" s="80"/>
      <c r="D634" s="80"/>
      <c r="E634" s="80"/>
      <c r="F634" s="80"/>
      <c r="G634" s="80"/>
      <c r="H634" s="80"/>
      <c r="I634" s="149"/>
      <c r="J634" s="81"/>
      <c r="K634" s="81"/>
      <c r="L634" s="81"/>
      <c r="M634" s="81"/>
      <c r="N634" s="81"/>
      <c r="O634" s="81"/>
      <c r="P634" s="146"/>
      <c r="Q634" s="146"/>
      <c r="R634" s="146"/>
      <c r="S634" s="149"/>
      <c r="T634" s="149"/>
      <c r="U634" s="149"/>
      <c r="V634" s="149"/>
      <c r="W634" s="149"/>
      <c r="X634" s="149"/>
      <c r="Y634" s="149"/>
      <c r="Z634" s="149"/>
    </row>
    <row r="635" spans="1:26" ht="325.5" customHeight="1">
      <c r="A635" s="143" t="s">
        <v>736</v>
      </c>
      <c r="B635" s="194" t="s">
        <v>2018</v>
      </c>
      <c r="C635" s="80">
        <v>0.5</v>
      </c>
      <c r="D635" s="944">
        <v>0</v>
      </c>
      <c r="E635" s="80">
        <v>0</v>
      </c>
      <c r="F635" s="80">
        <v>0</v>
      </c>
      <c r="G635" s="80">
        <v>0</v>
      </c>
      <c r="H635" s="944">
        <v>0</v>
      </c>
      <c r="I635" s="135" t="s">
        <v>3613</v>
      </c>
      <c r="J635" s="81" t="s">
        <v>3811</v>
      </c>
      <c r="K635" s="339" t="s">
        <v>3812</v>
      </c>
      <c r="L635" s="81" t="s">
        <v>748</v>
      </c>
      <c r="M635" s="81" t="s">
        <v>748</v>
      </c>
      <c r="N635" s="81" t="s">
        <v>748</v>
      </c>
      <c r="O635" s="81" t="s">
        <v>3813</v>
      </c>
      <c r="P635" s="146"/>
      <c r="Q635" s="146"/>
      <c r="R635" s="146"/>
      <c r="S635" s="149"/>
      <c r="T635" s="149"/>
      <c r="U635" s="149"/>
      <c r="V635" s="149"/>
      <c r="W635" s="149"/>
      <c r="X635" s="149"/>
      <c r="Y635" s="149"/>
      <c r="Z635" s="149"/>
    </row>
    <row r="636" spans="1:26" ht="13.5" customHeight="1">
      <c r="A636" s="143"/>
      <c r="B636" s="966"/>
      <c r="C636" s="80"/>
      <c r="D636" s="81"/>
      <c r="E636" s="80"/>
      <c r="F636" s="80"/>
      <c r="G636" s="195"/>
      <c r="H636" s="944"/>
      <c r="I636" s="135"/>
      <c r="J636" s="81"/>
      <c r="K636" s="945"/>
      <c r="L636" s="81"/>
      <c r="M636" s="81"/>
      <c r="N636" s="81"/>
      <c r="O636" s="81"/>
      <c r="P636" s="146"/>
      <c r="Q636" s="146"/>
      <c r="R636" s="146"/>
      <c r="S636" s="149"/>
      <c r="T636" s="149"/>
      <c r="U636" s="149"/>
      <c r="V636" s="149"/>
      <c r="W636" s="149"/>
      <c r="X636" s="149"/>
      <c r="Y636" s="149"/>
      <c r="Z636" s="149"/>
    </row>
    <row r="637" spans="1:26" ht="108" customHeight="1">
      <c r="A637" s="143" t="s">
        <v>736</v>
      </c>
      <c r="B637" s="194" t="s">
        <v>2022</v>
      </c>
      <c r="C637" s="80">
        <v>0.5</v>
      </c>
      <c r="D637" s="80">
        <v>0</v>
      </c>
      <c r="E637" s="80">
        <v>0</v>
      </c>
      <c r="F637" s="80">
        <v>0</v>
      </c>
      <c r="G637" s="80">
        <v>0</v>
      </c>
      <c r="H637" s="944">
        <v>0</v>
      </c>
      <c r="I637" s="135" t="s">
        <v>3613</v>
      </c>
      <c r="J637" s="81" t="s">
        <v>2023</v>
      </c>
      <c r="K637" s="81" t="s">
        <v>3812</v>
      </c>
      <c r="L637" s="81" t="s">
        <v>748</v>
      </c>
      <c r="M637" s="81" t="s">
        <v>748</v>
      </c>
      <c r="N637" s="81" t="s">
        <v>748</v>
      </c>
      <c r="O637" s="81" t="s">
        <v>3814</v>
      </c>
      <c r="P637" s="146"/>
      <c r="Q637" s="146"/>
      <c r="R637" s="146"/>
      <c r="S637" s="149"/>
      <c r="T637" s="149"/>
      <c r="U637" s="149"/>
      <c r="V637" s="149"/>
      <c r="W637" s="149"/>
      <c r="X637" s="149"/>
      <c r="Y637" s="149"/>
      <c r="Z637" s="149"/>
    </row>
    <row r="638" spans="1:26" ht="32.25" customHeight="1">
      <c r="A638" s="143"/>
      <c r="B638" s="194"/>
      <c r="C638" s="80"/>
      <c r="D638" s="80"/>
      <c r="E638" s="80"/>
      <c r="F638" s="80"/>
      <c r="G638" s="80"/>
      <c r="H638" s="80"/>
      <c r="I638" s="135"/>
      <c r="J638" s="81"/>
      <c r="K638" s="81"/>
      <c r="L638" s="80"/>
      <c r="M638" s="80"/>
      <c r="N638" s="195"/>
      <c r="O638" s="80"/>
      <c r="P638" s="146"/>
      <c r="Q638" s="146"/>
      <c r="R638" s="146"/>
      <c r="S638" s="149"/>
      <c r="T638" s="149"/>
      <c r="U638" s="149"/>
      <c r="V638" s="149"/>
      <c r="W638" s="149"/>
      <c r="X638" s="149"/>
      <c r="Y638" s="149"/>
      <c r="Z638" s="149"/>
    </row>
    <row r="639" spans="1:26" ht="223.5" customHeight="1">
      <c r="A639" s="143" t="s">
        <v>736</v>
      </c>
      <c r="B639" s="194" t="s">
        <v>2026</v>
      </c>
      <c r="C639" s="80">
        <f>(5-0)/(26-0)</f>
        <v>0.19230769230769232</v>
      </c>
      <c r="D639" s="80">
        <f>(18-0)/(26-0)</f>
        <v>0.69230769230769229</v>
      </c>
      <c r="E639" s="80">
        <f>(0-0)/(26-0)</f>
        <v>0</v>
      </c>
      <c r="F639" s="80">
        <f>(3-0)/(26-0)</f>
        <v>0.11538461538461539</v>
      </c>
      <c r="G639" s="80">
        <f>(0-0)/(26-0)</f>
        <v>0</v>
      </c>
      <c r="H639" s="944">
        <f>(0-0)/(26-0)</f>
        <v>0</v>
      </c>
      <c r="I639" s="960" t="s">
        <v>2027</v>
      </c>
      <c r="J639" s="81">
        <v>5</v>
      </c>
      <c r="K639" s="554">
        <v>18</v>
      </c>
      <c r="L639" s="365">
        <v>0</v>
      </c>
      <c r="M639" s="182">
        <v>3</v>
      </c>
      <c r="N639" s="81">
        <v>0</v>
      </c>
      <c r="O639" s="81" t="s">
        <v>3815</v>
      </c>
      <c r="P639" s="146"/>
      <c r="Q639" s="146"/>
      <c r="R639" s="146"/>
      <c r="S639" s="149"/>
      <c r="T639" s="149"/>
      <c r="U639" s="149"/>
      <c r="V639" s="149"/>
      <c r="W639" s="149"/>
      <c r="X639" s="149"/>
      <c r="Y639" s="149"/>
      <c r="Z639" s="149"/>
    </row>
    <row r="640" spans="1:26" ht="13.5" customHeight="1">
      <c r="A640" s="143"/>
      <c r="B640" s="194"/>
      <c r="C640" s="80"/>
      <c r="D640" s="80"/>
      <c r="E640" s="80"/>
      <c r="F640" s="80"/>
      <c r="G640" s="80"/>
      <c r="H640" s="80"/>
      <c r="I640" s="149"/>
      <c r="J640" s="80"/>
      <c r="K640" s="81"/>
      <c r="L640" s="365"/>
      <c r="M640" s="81"/>
      <c r="N640" s="195"/>
      <c r="O640" s="80"/>
      <c r="P640" s="146"/>
      <c r="Q640" s="146"/>
      <c r="R640" s="146"/>
      <c r="S640" s="149"/>
      <c r="T640" s="149"/>
      <c r="U640" s="149"/>
      <c r="V640" s="149"/>
      <c r="W640" s="149"/>
      <c r="X640" s="149"/>
      <c r="Y640" s="149"/>
      <c r="Z640" s="149"/>
    </row>
    <row r="641" spans="1:26" ht="108" customHeight="1">
      <c r="A641" s="143" t="s">
        <v>736</v>
      </c>
      <c r="B641" s="194" t="s">
        <v>3816</v>
      </c>
      <c r="C641" s="80">
        <v>0</v>
      </c>
      <c r="D641" s="80">
        <v>1</v>
      </c>
      <c r="E641" s="80">
        <v>0</v>
      </c>
      <c r="F641" s="80">
        <v>1</v>
      </c>
      <c r="G641" s="80">
        <v>1</v>
      </c>
      <c r="H641" s="80">
        <v>0.5</v>
      </c>
      <c r="I641" s="135" t="s">
        <v>3613</v>
      </c>
      <c r="J641" s="170" t="s">
        <v>748</v>
      </c>
      <c r="K641" s="81" t="s">
        <v>2031</v>
      </c>
      <c r="L641" s="170" t="s">
        <v>748</v>
      </c>
      <c r="M641" s="81" t="s">
        <v>811</v>
      </c>
      <c r="N641" s="81" t="s">
        <v>811</v>
      </c>
      <c r="O641" s="81" t="s">
        <v>2032</v>
      </c>
      <c r="P641" s="146"/>
      <c r="Q641" s="146"/>
      <c r="R641" s="146"/>
      <c r="S641" s="149"/>
      <c r="T641" s="149"/>
      <c r="U641" s="149"/>
      <c r="V641" s="149"/>
      <c r="W641" s="149"/>
      <c r="X641" s="149"/>
      <c r="Y641" s="149"/>
      <c r="Z641" s="149"/>
    </row>
    <row r="642" spans="1:26" ht="13.5" customHeight="1">
      <c r="A642" s="143"/>
      <c r="B642" s="471"/>
      <c r="C642" s="80"/>
      <c r="D642" s="81"/>
      <c r="E642" s="365"/>
      <c r="F642" s="81"/>
      <c r="G642" s="195"/>
      <c r="H642" s="80"/>
      <c r="I642" s="135"/>
      <c r="J642" s="81"/>
      <c r="K642" s="945"/>
      <c r="L642" s="170"/>
      <c r="M642" s="81"/>
      <c r="N642" s="81"/>
      <c r="O642" s="81"/>
      <c r="P642" s="146"/>
      <c r="Q642" s="146"/>
      <c r="R642" s="146"/>
      <c r="S642" s="149"/>
      <c r="T642" s="149"/>
      <c r="U642" s="149"/>
      <c r="V642" s="149"/>
      <c r="W642" s="149"/>
      <c r="X642" s="149"/>
      <c r="Y642" s="149"/>
      <c r="Z642" s="149"/>
    </row>
    <row r="643" spans="1:26" ht="94.5" customHeight="1">
      <c r="A643" s="143" t="s">
        <v>736</v>
      </c>
      <c r="B643" s="194" t="s">
        <v>2033</v>
      </c>
      <c r="C643" s="944">
        <v>0</v>
      </c>
      <c r="D643" s="80">
        <v>1</v>
      </c>
      <c r="E643" s="80">
        <v>1</v>
      </c>
      <c r="F643" s="80">
        <v>1</v>
      </c>
      <c r="G643" s="80">
        <v>1</v>
      </c>
      <c r="H643" s="80">
        <v>1</v>
      </c>
      <c r="I643" s="135" t="s">
        <v>3613</v>
      </c>
      <c r="J643" s="170" t="s">
        <v>748</v>
      </c>
      <c r="K643" s="81" t="s">
        <v>811</v>
      </c>
      <c r="L643" s="365" t="s">
        <v>811</v>
      </c>
      <c r="M643" s="81" t="s">
        <v>811</v>
      </c>
      <c r="N643" s="81" t="s">
        <v>811</v>
      </c>
      <c r="O643" s="81" t="s">
        <v>811</v>
      </c>
      <c r="P643" s="146"/>
      <c r="Q643" s="146"/>
      <c r="R643" s="146"/>
      <c r="S643" s="149"/>
      <c r="T643" s="149"/>
      <c r="U643" s="149"/>
      <c r="V643" s="149"/>
      <c r="W643" s="149"/>
      <c r="X643" s="149"/>
      <c r="Y643" s="149"/>
      <c r="Z643" s="149"/>
    </row>
    <row r="644" spans="1:26" ht="32.25" customHeight="1">
      <c r="A644" s="143"/>
      <c r="B644" s="948"/>
      <c r="C644" s="80"/>
      <c r="D644" s="80"/>
      <c r="E644" s="80"/>
      <c r="F644" s="80"/>
      <c r="G644" s="80"/>
      <c r="H644" s="80"/>
      <c r="I644" s="135"/>
      <c r="J644" s="81"/>
      <c r="K644" s="81"/>
      <c r="L644" s="365"/>
      <c r="M644" s="80"/>
      <c r="N644" s="195"/>
      <c r="O644" s="80"/>
      <c r="P644" s="146"/>
      <c r="Q644" s="146"/>
      <c r="R644" s="146"/>
      <c r="S644" s="149"/>
      <c r="T644" s="149"/>
      <c r="U644" s="149"/>
      <c r="V644" s="149"/>
      <c r="W644" s="149"/>
      <c r="X644" s="149"/>
      <c r="Y644" s="149"/>
      <c r="Z644" s="149"/>
    </row>
    <row r="645" spans="1:26" ht="27.75" customHeight="1">
      <c r="A645" s="373" t="s">
        <v>439</v>
      </c>
      <c r="B645" s="133" t="s">
        <v>592</v>
      </c>
      <c r="C645" s="72">
        <f t="shared" ref="C645:H645" si="133">AVERAGE(C646,C648,C650,C652,C654,C656,C658)</f>
        <v>0.5</v>
      </c>
      <c r="D645" s="72">
        <f t="shared" si="133"/>
        <v>0.30691964285714285</v>
      </c>
      <c r="E645" s="72">
        <f t="shared" si="133"/>
        <v>0.14955357142857142</v>
      </c>
      <c r="F645" s="72">
        <f t="shared" si="133"/>
        <v>0.2857142857142857</v>
      </c>
      <c r="G645" s="72">
        <f t="shared" si="133"/>
        <v>0.3627232142857143</v>
      </c>
      <c r="H645" s="72">
        <f t="shared" si="133"/>
        <v>7.5892857142857137E-2</v>
      </c>
      <c r="I645" s="135"/>
      <c r="J645" s="74"/>
      <c r="K645" s="206"/>
      <c r="L645" s="203"/>
      <c r="M645" s="203"/>
      <c r="N645" s="203"/>
      <c r="O645" s="203"/>
      <c r="P645" s="205"/>
      <c r="Q645" s="205"/>
      <c r="R645" s="205"/>
      <c r="S645" s="206"/>
      <c r="T645" s="206"/>
      <c r="U645" s="206"/>
      <c r="V645" s="206"/>
      <c r="W645" s="206"/>
      <c r="X645" s="206"/>
      <c r="Y645" s="206"/>
      <c r="Z645" s="206"/>
    </row>
    <row r="646" spans="1:26" ht="63.75" customHeight="1">
      <c r="A646" s="143" t="s">
        <v>736</v>
      </c>
      <c r="B646" s="194" t="s">
        <v>593</v>
      </c>
      <c r="C646" s="80">
        <v>1</v>
      </c>
      <c r="D646" s="80">
        <v>1</v>
      </c>
      <c r="E646" s="80">
        <v>0.5</v>
      </c>
      <c r="F646" s="80">
        <v>1</v>
      </c>
      <c r="G646" s="80">
        <v>1</v>
      </c>
      <c r="H646" s="80">
        <v>0.5</v>
      </c>
      <c r="I646" s="135" t="s">
        <v>3809</v>
      </c>
      <c r="J646" s="170" t="s">
        <v>2013</v>
      </c>
      <c r="K646" s="170" t="s">
        <v>2013</v>
      </c>
      <c r="L646" s="170" t="s">
        <v>2014</v>
      </c>
      <c r="M646" s="170" t="s">
        <v>2013</v>
      </c>
      <c r="N646" s="170" t="s">
        <v>2013</v>
      </c>
      <c r="O646" s="170" t="s">
        <v>2014</v>
      </c>
      <c r="P646" s="146"/>
      <c r="Q646" s="146"/>
      <c r="R646" s="146"/>
      <c r="S646" s="149"/>
      <c r="T646" s="149"/>
      <c r="U646" s="149"/>
      <c r="V646" s="149"/>
      <c r="W646" s="149"/>
      <c r="X646" s="149"/>
      <c r="Y646" s="149"/>
      <c r="Z646" s="149"/>
    </row>
    <row r="647" spans="1:26" ht="13.5" customHeight="1">
      <c r="A647" s="143"/>
      <c r="B647" s="194"/>
      <c r="C647" s="80"/>
      <c r="D647" s="80"/>
      <c r="E647" s="80"/>
      <c r="F647" s="80"/>
      <c r="G647" s="80"/>
      <c r="H647" s="80"/>
      <c r="I647" s="135"/>
      <c r="J647" s="80"/>
      <c r="K647" s="80"/>
      <c r="L647" s="80"/>
      <c r="M647" s="80"/>
      <c r="N647" s="80"/>
      <c r="O647" s="80"/>
      <c r="P647" s="146"/>
      <c r="Q647" s="146"/>
      <c r="R647" s="146"/>
      <c r="S647" s="149"/>
      <c r="T647" s="149"/>
      <c r="U647" s="149"/>
      <c r="V647" s="149"/>
      <c r="W647" s="149"/>
      <c r="X647" s="149"/>
      <c r="Y647" s="149"/>
      <c r="Z647" s="149"/>
    </row>
    <row r="648" spans="1:26" ht="87" customHeight="1">
      <c r="A648" s="143" t="s">
        <v>736</v>
      </c>
      <c r="B648" s="194" t="s">
        <v>3817</v>
      </c>
      <c r="C648" s="80">
        <v>1</v>
      </c>
      <c r="D648" s="80">
        <v>0</v>
      </c>
      <c r="E648" s="80">
        <v>0</v>
      </c>
      <c r="F648" s="80">
        <v>0</v>
      </c>
      <c r="G648" s="80">
        <v>0</v>
      </c>
      <c r="H648" s="80">
        <v>0</v>
      </c>
      <c r="I648" s="135" t="s">
        <v>38</v>
      </c>
      <c r="J648" s="182" t="s">
        <v>3818</v>
      </c>
      <c r="K648" s="81" t="s">
        <v>748</v>
      </c>
      <c r="L648" s="81" t="s">
        <v>748</v>
      </c>
      <c r="M648" s="81" t="s">
        <v>748</v>
      </c>
      <c r="N648" s="81" t="s">
        <v>748</v>
      </c>
      <c r="O648" s="81" t="s">
        <v>748</v>
      </c>
      <c r="P648" s="146"/>
      <c r="Q648" s="146"/>
      <c r="R648" s="146"/>
      <c r="S648" s="149"/>
      <c r="T648" s="149"/>
      <c r="U648" s="149"/>
      <c r="V648" s="149"/>
      <c r="W648" s="149"/>
      <c r="X648" s="149"/>
      <c r="Y648" s="149"/>
      <c r="Z648" s="149"/>
    </row>
    <row r="649" spans="1:26" ht="13.5" customHeight="1">
      <c r="A649" s="143"/>
      <c r="B649" s="194"/>
      <c r="C649" s="80"/>
      <c r="D649" s="80"/>
      <c r="E649" s="80"/>
      <c r="F649" s="80"/>
      <c r="G649" s="80"/>
      <c r="H649" s="80"/>
      <c r="I649" s="135"/>
      <c r="J649" s="81"/>
      <c r="K649" s="81"/>
      <c r="L649" s="365"/>
      <c r="M649" s="80"/>
      <c r="N649" s="195"/>
      <c r="O649" s="80"/>
      <c r="P649" s="146"/>
      <c r="Q649" s="146"/>
      <c r="R649" s="146"/>
      <c r="S649" s="149"/>
      <c r="T649" s="149"/>
      <c r="U649" s="149"/>
      <c r="V649" s="149"/>
      <c r="W649" s="149"/>
      <c r="X649" s="149"/>
      <c r="Y649" s="149"/>
      <c r="Z649" s="149"/>
    </row>
    <row r="650" spans="1:26" ht="139.5" customHeight="1">
      <c r="A650" s="143" t="s">
        <v>736</v>
      </c>
      <c r="B650" s="95" t="s">
        <v>2037</v>
      </c>
      <c r="C650" s="80">
        <f>(J650-0)/(128-0)</f>
        <v>1</v>
      </c>
      <c r="D650" s="80">
        <f>(19-0)/(128-0)</f>
        <v>0.1484375</v>
      </c>
      <c r="E650" s="80">
        <f>(L650-0)/(128-0)</f>
        <v>0.546875</v>
      </c>
      <c r="F650" s="80">
        <f>(M650-0)/(128-0)</f>
        <v>0</v>
      </c>
      <c r="G650" s="80">
        <f>(N650-0)/(128-0)</f>
        <v>3.90625E-2</v>
      </c>
      <c r="H650" s="80">
        <f>(O650-0)/(128-0)</f>
        <v>3.125E-2</v>
      </c>
      <c r="I650" s="135" t="s">
        <v>2038</v>
      </c>
      <c r="J650" s="182">
        <v>128</v>
      </c>
      <c r="K650" s="182" t="s">
        <v>3819</v>
      </c>
      <c r="L650" s="400">
        <v>70</v>
      </c>
      <c r="M650" s="170">
        <v>0</v>
      </c>
      <c r="N650" s="170">
        <v>5</v>
      </c>
      <c r="O650" s="170">
        <v>4</v>
      </c>
      <c r="P650" s="146"/>
      <c r="Q650" s="146"/>
      <c r="R650" s="146"/>
      <c r="S650" s="149"/>
      <c r="T650" s="149"/>
      <c r="U650" s="149"/>
      <c r="V650" s="149"/>
      <c r="W650" s="149"/>
      <c r="X650" s="149"/>
      <c r="Y650" s="149"/>
      <c r="Z650" s="149"/>
    </row>
    <row r="651" spans="1:26" ht="13.5" customHeight="1">
      <c r="A651" s="143"/>
      <c r="B651" s="194"/>
      <c r="C651" s="80"/>
      <c r="D651" s="80"/>
      <c r="E651" s="80"/>
      <c r="F651" s="80"/>
      <c r="G651" s="80"/>
      <c r="H651" s="80"/>
      <c r="I651" s="135"/>
      <c r="J651" s="170"/>
      <c r="K651" s="170"/>
      <c r="L651" s="365"/>
      <c r="M651" s="80"/>
      <c r="N651" s="195"/>
      <c r="O651" s="80"/>
      <c r="P651" s="146"/>
      <c r="Q651" s="146"/>
      <c r="R651" s="146"/>
      <c r="S651" s="149"/>
      <c r="T651" s="149"/>
      <c r="U651" s="149"/>
      <c r="V651" s="149"/>
      <c r="W651" s="149"/>
      <c r="X651" s="149"/>
      <c r="Y651" s="149"/>
      <c r="Z651" s="149"/>
    </row>
    <row r="652" spans="1:26" ht="153.75" customHeight="1">
      <c r="A652" s="143" t="s">
        <v>736</v>
      </c>
      <c r="B652" s="194" t="s">
        <v>3820</v>
      </c>
      <c r="C652" s="80">
        <v>0</v>
      </c>
      <c r="D652" s="80">
        <v>0</v>
      </c>
      <c r="E652" s="80">
        <v>0</v>
      </c>
      <c r="F652" s="80">
        <v>0</v>
      </c>
      <c r="G652" s="80">
        <v>0</v>
      </c>
      <c r="H652" s="80">
        <v>0</v>
      </c>
      <c r="I652" s="135" t="s">
        <v>38</v>
      </c>
      <c r="J652" s="170" t="s">
        <v>748</v>
      </c>
      <c r="K652" s="170" t="s">
        <v>748</v>
      </c>
      <c r="L652" s="170" t="s">
        <v>748</v>
      </c>
      <c r="M652" s="170" t="s">
        <v>748</v>
      </c>
      <c r="N652" s="170" t="s">
        <v>748</v>
      </c>
      <c r="O652" s="170" t="s">
        <v>748</v>
      </c>
      <c r="P652" s="146"/>
      <c r="Q652" s="146"/>
      <c r="R652" s="146"/>
      <c r="S652" s="149"/>
      <c r="T652" s="149"/>
      <c r="U652" s="149"/>
      <c r="V652" s="149"/>
      <c r="W652" s="149"/>
      <c r="X652" s="149"/>
      <c r="Y652" s="149"/>
      <c r="Z652" s="149"/>
    </row>
    <row r="653" spans="1:26" ht="13.5" customHeight="1">
      <c r="A653" s="143"/>
      <c r="B653" s="194"/>
      <c r="C653" s="80"/>
      <c r="D653" s="80"/>
      <c r="E653" s="80"/>
      <c r="F653" s="80"/>
      <c r="G653" s="80"/>
      <c r="H653" s="80"/>
      <c r="I653" s="135"/>
      <c r="J653" s="81"/>
      <c r="K653" s="81"/>
      <c r="L653" s="81"/>
      <c r="M653" s="81"/>
      <c r="N653" s="81"/>
      <c r="O653" s="81"/>
      <c r="P653" s="146"/>
      <c r="Q653" s="146"/>
      <c r="R653" s="146"/>
      <c r="S653" s="149"/>
      <c r="T653" s="149"/>
      <c r="U653" s="149"/>
      <c r="V653" s="149"/>
      <c r="W653" s="149"/>
      <c r="X653" s="149"/>
      <c r="Y653" s="149"/>
      <c r="Z653" s="149"/>
    </row>
    <row r="654" spans="1:26" ht="153.75" customHeight="1">
      <c r="A654" s="143" t="s">
        <v>736</v>
      </c>
      <c r="B654" s="194" t="s">
        <v>3821</v>
      </c>
      <c r="C654" s="80">
        <v>0</v>
      </c>
      <c r="D654" s="80">
        <v>0</v>
      </c>
      <c r="E654" s="80">
        <v>0</v>
      </c>
      <c r="F654" s="80">
        <v>0</v>
      </c>
      <c r="G654" s="80">
        <v>0</v>
      </c>
      <c r="H654" s="80">
        <v>0</v>
      </c>
      <c r="I654" s="135" t="s">
        <v>38</v>
      </c>
      <c r="J654" s="170" t="s">
        <v>748</v>
      </c>
      <c r="K654" s="170" t="s">
        <v>748</v>
      </c>
      <c r="L654" s="170" t="s">
        <v>748</v>
      </c>
      <c r="M654" s="170" t="s">
        <v>748</v>
      </c>
      <c r="N654" s="170" t="s">
        <v>748</v>
      </c>
      <c r="O654" s="170" t="s">
        <v>748</v>
      </c>
      <c r="P654" s="146"/>
      <c r="Q654" s="146"/>
      <c r="R654" s="146"/>
      <c r="S654" s="149"/>
      <c r="T654" s="149"/>
      <c r="U654" s="149"/>
      <c r="V654" s="149"/>
      <c r="W654" s="149"/>
      <c r="X654" s="149"/>
      <c r="Y654" s="149"/>
      <c r="Z654" s="149"/>
    </row>
    <row r="655" spans="1:26" ht="13.5" customHeight="1">
      <c r="A655" s="143"/>
      <c r="B655" s="194"/>
      <c r="C655" s="80"/>
      <c r="D655" s="80"/>
      <c r="E655" s="80"/>
      <c r="F655" s="80"/>
      <c r="G655" s="80"/>
      <c r="H655" s="80"/>
      <c r="I655" s="135"/>
      <c r="J655" s="81"/>
      <c r="K655" s="945"/>
      <c r="L655" s="81"/>
      <c r="M655" s="81"/>
      <c r="N655" s="81"/>
      <c r="O655" s="81"/>
      <c r="P655" s="146"/>
      <c r="Q655" s="146"/>
      <c r="R655" s="146"/>
      <c r="S655" s="149"/>
      <c r="T655" s="149"/>
      <c r="U655" s="149"/>
      <c r="V655" s="149"/>
      <c r="W655" s="149"/>
      <c r="X655" s="149"/>
      <c r="Y655" s="149"/>
      <c r="Z655" s="149"/>
    </row>
    <row r="656" spans="1:26" ht="93.75" customHeight="1">
      <c r="A656" s="143" t="s">
        <v>736</v>
      </c>
      <c r="B656" s="95" t="s">
        <v>594</v>
      </c>
      <c r="C656" s="80">
        <v>0.5</v>
      </c>
      <c r="D656" s="80">
        <v>0</v>
      </c>
      <c r="E656" s="80">
        <v>0</v>
      </c>
      <c r="F656" s="944">
        <v>0</v>
      </c>
      <c r="G656" s="80">
        <v>0.5</v>
      </c>
      <c r="H656" s="80">
        <v>0</v>
      </c>
      <c r="I656" s="135" t="s">
        <v>3613</v>
      </c>
      <c r="J656" s="81" t="s">
        <v>2043</v>
      </c>
      <c r="K656" s="81" t="s">
        <v>748</v>
      </c>
      <c r="L656" s="365" t="s">
        <v>748</v>
      </c>
      <c r="M656" s="408" t="s">
        <v>748</v>
      </c>
      <c r="N656" s="81" t="s">
        <v>3822</v>
      </c>
      <c r="O656" s="170" t="s">
        <v>748</v>
      </c>
      <c r="P656" s="146"/>
      <c r="Q656" s="146"/>
      <c r="R656" s="146"/>
      <c r="S656" s="149"/>
      <c r="T656" s="149"/>
      <c r="U656" s="149"/>
      <c r="V656" s="149"/>
      <c r="W656" s="149"/>
      <c r="X656" s="149"/>
      <c r="Y656" s="149"/>
      <c r="Z656" s="149"/>
    </row>
    <row r="657" spans="1:26" ht="13.5" customHeight="1">
      <c r="A657" s="143"/>
      <c r="B657" s="194"/>
      <c r="C657" s="80"/>
      <c r="D657" s="80"/>
      <c r="E657" s="80"/>
      <c r="F657" s="80"/>
      <c r="G657" s="80"/>
      <c r="H657" s="80"/>
      <c r="I657" s="135"/>
      <c r="J657" s="81"/>
      <c r="K657" s="81"/>
      <c r="L657" s="365"/>
      <c r="M657" s="81"/>
      <c r="N657" s="195"/>
      <c r="O657" s="80"/>
      <c r="P657" s="146"/>
      <c r="Q657" s="146"/>
      <c r="R657" s="146"/>
      <c r="S657" s="149"/>
      <c r="T657" s="149"/>
      <c r="U657" s="149"/>
      <c r="V657" s="149"/>
      <c r="W657" s="149"/>
      <c r="X657" s="149"/>
      <c r="Y657" s="149"/>
      <c r="Z657" s="149"/>
    </row>
    <row r="658" spans="1:26" ht="111.75" customHeight="1">
      <c r="A658" s="143" t="s">
        <v>736</v>
      </c>
      <c r="B658" s="194" t="s">
        <v>595</v>
      </c>
      <c r="C658" s="80">
        <v>0</v>
      </c>
      <c r="D658" s="80">
        <v>1</v>
      </c>
      <c r="E658" s="80">
        <v>0</v>
      </c>
      <c r="F658" s="80">
        <v>1</v>
      </c>
      <c r="G658" s="80">
        <v>1</v>
      </c>
      <c r="H658" s="944">
        <v>0</v>
      </c>
      <c r="I658" s="135" t="s">
        <v>38</v>
      </c>
      <c r="J658" s="81" t="s">
        <v>748</v>
      </c>
      <c r="K658" s="81" t="s">
        <v>811</v>
      </c>
      <c r="L658" s="365" t="s">
        <v>748</v>
      </c>
      <c r="M658" s="80" t="s">
        <v>811</v>
      </c>
      <c r="N658" s="81" t="s">
        <v>811</v>
      </c>
      <c r="O658" s="81" t="s">
        <v>3823</v>
      </c>
      <c r="P658" s="146"/>
      <c r="Q658" s="146"/>
      <c r="R658" s="146"/>
      <c r="S658" s="149"/>
      <c r="T658" s="149"/>
      <c r="U658" s="149"/>
      <c r="V658" s="149"/>
      <c r="W658" s="149"/>
      <c r="X658" s="149"/>
      <c r="Y658" s="149"/>
      <c r="Z658" s="149"/>
    </row>
    <row r="659" spans="1:26" ht="13.5" customHeight="1">
      <c r="A659" s="143"/>
      <c r="B659" s="929"/>
      <c r="C659" s="87"/>
      <c r="D659" s="75"/>
      <c r="E659" s="343"/>
      <c r="F659" s="87"/>
      <c r="G659" s="271"/>
      <c r="H659" s="87"/>
      <c r="I659" s="135"/>
      <c r="J659" s="75"/>
      <c r="K659" s="953"/>
      <c r="L659" s="75"/>
      <c r="M659" s="75"/>
      <c r="N659" s="75"/>
      <c r="O659" s="75"/>
      <c r="P659" s="146"/>
      <c r="Q659" s="146"/>
      <c r="R659" s="146"/>
      <c r="S659" s="149"/>
      <c r="T659" s="149"/>
      <c r="U659" s="149"/>
      <c r="V659" s="149"/>
      <c r="W659" s="149"/>
      <c r="X659" s="149"/>
      <c r="Y659" s="149"/>
      <c r="Z659" s="149"/>
    </row>
    <row r="660" spans="1:26" ht="13.5" customHeight="1">
      <c r="A660" s="373" t="s">
        <v>2048</v>
      </c>
      <c r="B660" s="561" t="s">
        <v>602</v>
      </c>
      <c r="C660" s="72">
        <f t="shared" ref="C660:H660" si="134">AVERAGE(C661,C663,C665,C667,C669,C671,C673,C675,C677)</f>
        <v>0.88888888888888884</v>
      </c>
      <c r="D660" s="72">
        <f t="shared" si="134"/>
        <v>0.77777777777777779</v>
      </c>
      <c r="E660" s="72">
        <f t="shared" si="134"/>
        <v>0.77777777777777779</v>
      </c>
      <c r="F660" s="72">
        <f t="shared" si="134"/>
        <v>0.88888888888888884</v>
      </c>
      <c r="G660" s="72">
        <f t="shared" si="134"/>
        <v>0.66666666666666663</v>
      </c>
      <c r="H660" s="72">
        <f t="shared" si="134"/>
        <v>0.66666666666666663</v>
      </c>
      <c r="I660" s="135"/>
      <c r="J660" s="74"/>
      <c r="K660" s="206"/>
      <c r="L660" s="203"/>
      <c r="M660" s="203"/>
      <c r="N660" s="203"/>
      <c r="O660" s="203"/>
      <c r="P660" s="205"/>
      <c r="Q660" s="205"/>
      <c r="R660" s="205"/>
      <c r="S660" s="206"/>
      <c r="T660" s="206"/>
      <c r="U660" s="206"/>
      <c r="V660" s="206"/>
      <c r="W660" s="206"/>
      <c r="X660" s="206"/>
      <c r="Y660" s="206"/>
      <c r="Z660" s="206"/>
    </row>
    <row r="661" spans="1:26" ht="42" customHeight="1">
      <c r="A661" s="143" t="s">
        <v>736</v>
      </c>
      <c r="B661" s="194" t="s">
        <v>2049</v>
      </c>
      <c r="C661" s="178">
        <v>1</v>
      </c>
      <c r="D661" s="178">
        <v>1</v>
      </c>
      <c r="E661" s="80">
        <v>1</v>
      </c>
      <c r="F661" s="80">
        <v>1</v>
      </c>
      <c r="G661" s="80">
        <v>1</v>
      </c>
      <c r="H661" s="80">
        <v>1</v>
      </c>
      <c r="I661" s="135" t="s">
        <v>38</v>
      </c>
      <c r="J661" s="81" t="s">
        <v>811</v>
      </c>
      <c r="K661" s="81" t="s">
        <v>811</v>
      </c>
      <c r="L661" s="81" t="s">
        <v>811</v>
      </c>
      <c r="M661" s="81" t="s">
        <v>811</v>
      </c>
      <c r="N661" s="81" t="s">
        <v>811</v>
      </c>
      <c r="O661" s="81" t="s">
        <v>811</v>
      </c>
      <c r="P661" s="146"/>
      <c r="Q661" s="146"/>
      <c r="R661" s="146"/>
      <c r="S661" s="149"/>
      <c r="T661" s="149"/>
      <c r="U661" s="149"/>
      <c r="V661" s="149"/>
      <c r="W661" s="149"/>
      <c r="X661" s="149"/>
      <c r="Y661" s="149"/>
      <c r="Z661" s="149"/>
    </row>
    <row r="662" spans="1:26" ht="13.5" customHeight="1">
      <c r="A662" s="419"/>
      <c r="B662" s="194"/>
      <c r="C662" s="178"/>
      <c r="D662" s="178"/>
      <c r="E662" s="80"/>
      <c r="F662" s="80"/>
      <c r="G662" s="80"/>
      <c r="H662" s="80"/>
      <c r="I662" s="135"/>
      <c r="J662" s="178"/>
      <c r="K662" s="178"/>
      <c r="L662" s="80"/>
      <c r="M662" s="80"/>
      <c r="N662" s="80"/>
      <c r="O662" s="80"/>
      <c r="P662" s="146"/>
      <c r="Q662" s="146"/>
      <c r="R662" s="146"/>
      <c r="S662" s="149"/>
      <c r="T662" s="149"/>
      <c r="U662" s="149"/>
      <c r="V662" s="149"/>
      <c r="W662" s="149"/>
      <c r="X662" s="149"/>
      <c r="Y662" s="149"/>
      <c r="Z662" s="149"/>
    </row>
    <row r="663" spans="1:26" ht="55.5" customHeight="1">
      <c r="A663" s="143" t="s">
        <v>736</v>
      </c>
      <c r="B663" s="194" t="s">
        <v>2050</v>
      </c>
      <c r="C663" s="178">
        <v>1</v>
      </c>
      <c r="D663" s="178">
        <v>1</v>
      </c>
      <c r="E663" s="80">
        <v>1</v>
      </c>
      <c r="F663" s="80">
        <v>1</v>
      </c>
      <c r="G663" s="80">
        <v>1</v>
      </c>
      <c r="H663" s="80">
        <v>1</v>
      </c>
      <c r="I663" s="135" t="s">
        <v>38</v>
      </c>
      <c r="J663" s="81" t="s">
        <v>811</v>
      </c>
      <c r="K663" s="81" t="s">
        <v>811</v>
      </c>
      <c r="L663" s="81" t="s">
        <v>811</v>
      </c>
      <c r="M663" s="81" t="s">
        <v>811</v>
      </c>
      <c r="N663" s="81" t="s">
        <v>811</v>
      </c>
      <c r="O663" s="81" t="s">
        <v>811</v>
      </c>
      <c r="P663" s="146"/>
      <c r="Q663" s="146"/>
      <c r="R663" s="146"/>
      <c r="S663" s="149"/>
      <c r="T663" s="149"/>
      <c r="U663" s="149"/>
      <c r="V663" s="149"/>
      <c r="W663" s="149"/>
      <c r="X663" s="149"/>
      <c r="Y663" s="149"/>
      <c r="Z663" s="149"/>
    </row>
    <row r="664" spans="1:26" ht="13.5" customHeight="1">
      <c r="A664" s="143"/>
      <c r="B664" s="194"/>
      <c r="C664" s="178"/>
      <c r="D664" s="178"/>
      <c r="E664" s="80"/>
      <c r="F664" s="80"/>
      <c r="G664" s="80"/>
      <c r="H664" s="80"/>
      <c r="I664" s="135"/>
      <c r="J664" s="178"/>
      <c r="K664" s="178"/>
      <c r="L664" s="80"/>
      <c r="M664" s="80"/>
      <c r="N664" s="80"/>
      <c r="O664" s="80"/>
      <c r="P664" s="146"/>
      <c r="Q664" s="146"/>
      <c r="R664" s="146"/>
      <c r="S664" s="149"/>
      <c r="T664" s="149"/>
      <c r="U664" s="149"/>
      <c r="V664" s="149"/>
      <c r="W664" s="149"/>
      <c r="X664" s="149"/>
      <c r="Y664" s="149"/>
      <c r="Z664" s="149"/>
    </row>
    <row r="665" spans="1:26" ht="42" customHeight="1">
      <c r="A665" s="143" t="s">
        <v>736</v>
      </c>
      <c r="B665" s="194" t="s">
        <v>2051</v>
      </c>
      <c r="C665" s="178">
        <v>1</v>
      </c>
      <c r="D665" s="178">
        <v>1</v>
      </c>
      <c r="E665" s="80">
        <v>1</v>
      </c>
      <c r="F665" s="80">
        <v>1</v>
      </c>
      <c r="G665" s="80">
        <v>0</v>
      </c>
      <c r="H665" s="80">
        <v>0</v>
      </c>
      <c r="I665" s="135" t="s">
        <v>38</v>
      </c>
      <c r="J665" s="81" t="s">
        <v>811</v>
      </c>
      <c r="K665" s="81" t="s">
        <v>811</v>
      </c>
      <c r="L665" s="81" t="s">
        <v>811</v>
      </c>
      <c r="M665" s="81" t="s">
        <v>811</v>
      </c>
      <c r="N665" s="170" t="s">
        <v>748</v>
      </c>
      <c r="O665" s="170" t="s">
        <v>748</v>
      </c>
      <c r="P665" s="146"/>
      <c r="Q665" s="146"/>
      <c r="R665" s="146"/>
      <c r="S665" s="149"/>
      <c r="T665" s="149"/>
      <c r="U665" s="149"/>
      <c r="V665" s="149"/>
      <c r="W665" s="149"/>
      <c r="X665" s="149"/>
      <c r="Y665" s="149"/>
      <c r="Z665" s="149"/>
    </row>
    <row r="666" spans="1:26" ht="13.5" customHeight="1">
      <c r="A666" s="143"/>
      <c r="B666" s="194"/>
      <c r="C666" s="178"/>
      <c r="D666" s="178"/>
      <c r="E666" s="80"/>
      <c r="F666" s="80"/>
      <c r="G666" s="80"/>
      <c r="H666" s="80"/>
      <c r="I666" s="135"/>
      <c r="J666" s="178"/>
      <c r="K666" s="178"/>
      <c r="L666" s="80"/>
      <c r="M666" s="80"/>
      <c r="N666" s="80"/>
      <c r="O666" s="80"/>
      <c r="P666" s="146"/>
      <c r="Q666" s="146"/>
      <c r="R666" s="146"/>
      <c r="S666" s="149"/>
      <c r="T666" s="149"/>
      <c r="U666" s="149"/>
      <c r="V666" s="149"/>
      <c r="W666" s="149"/>
      <c r="X666" s="149"/>
      <c r="Y666" s="149"/>
      <c r="Z666" s="149"/>
    </row>
    <row r="667" spans="1:26" ht="55.5" customHeight="1">
      <c r="A667" s="143" t="s">
        <v>736</v>
      </c>
      <c r="B667" s="194" t="s">
        <v>2052</v>
      </c>
      <c r="C667" s="178">
        <v>1</v>
      </c>
      <c r="D667" s="178">
        <v>1</v>
      </c>
      <c r="E667" s="80">
        <v>1</v>
      </c>
      <c r="F667" s="80">
        <v>1</v>
      </c>
      <c r="G667" s="80">
        <v>1</v>
      </c>
      <c r="H667" s="80">
        <v>1</v>
      </c>
      <c r="I667" s="135" t="s">
        <v>38</v>
      </c>
      <c r="J667" s="81" t="s">
        <v>811</v>
      </c>
      <c r="K667" s="81" t="s">
        <v>811</v>
      </c>
      <c r="L667" s="81" t="s">
        <v>811</v>
      </c>
      <c r="M667" s="81" t="s">
        <v>811</v>
      </c>
      <c r="N667" s="81" t="s">
        <v>811</v>
      </c>
      <c r="O667" s="81" t="s">
        <v>811</v>
      </c>
      <c r="P667" s="146"/>
      <c r="Q667" s="146"/>
      <c r="R667" s="146"/>
      <c r="S667" s="149"/>
      <c r="T667" s="149"/>
      <c r="U667" s="149"/>
      <c r="V667" s="149"/>
      <c r="W667" s="149"/>
      <c r="X667" s="149"/>
      <c r="Y667" s="149"/>
      <c r="Z667" s="149"/>
    </row>
    <row r="668" spans="1:26" ht="13.5" customHeight="1">
      <c r="A668" s="143"/>
      <c r="B668" s="194"/>
      <c r="C668" s="178"/>
      <c r="D668" s="178"/>
      <c r="E668" s="80"/>
      <c r="F668" s="80"/>
      <c r="G668" s="80"/>
      <c r="H668" s="80"/>
      <c r="I668" s="135"/>
      <c r="J668" s="178"/>
      <c r="K668" s="178"/>
      <c r="L668" s="80"/>
      <c r="M668" s="80"/>
      <c r="N668" s="80"/>
      <c r="O668" s="80"/>
      <c r="P668" s="146"/>
      <c r="Q668" s="146"/>
      <c r="R668" s="146"/>
      <c r="S668" s="149"/>
      <c r="T668" s="149"/>
      <c r="U668" s="149"/>
      <c r="V668" s="149"/>
      <c r="W668" s="149"/>
      <c r="X668" s="149"/>
      <c r="Y668" s="149"/>
      <c r="Z668" s="149"/>
    </row>
    <row r="669" spans="1:26" ht="43.5" customHeight="1">
      <c r="A669" s="143" t="s">
        <v>736</v>
      </c>
      <c r="B669" s="194" t="s">
        <v>2053</v>
      </c>
      <c r="C669" s="178">
        <v>1</v>
      </c>
      <c r="D669" s="178">
        <v>1</v>
      </c>
      <c r="E669" s="80">
        <v>1</v>
      </c>
      <c r="F669" s="80">
        <v>1</v>
      </c>
      <c r="G669" s="80">
        <v>1</v>
      </c>
      <c r="H669" s="80">
        <v>1</v>
      </c>
      <c r="I669" s="135" t="s">
        <v>38</v>
      </c>
      <c r="J669" s="81" t="s">
        <v>811</v>
      </c>
      <c r="K669" s="81" t="s">
        <v>811</v>
      </c>
      <c r="L669" s="81" t="s">
        <v>811</v>
      </c>
      <c r="M669" s="81" t="s">
        <v>811</v>
      </c>
      <c r="N669" s="81" t="s">
        <v>811</v>
      </c>
      <c r="O669" s="81" t="s">
        <v>811</v>
      </c>
      <c r="P669" s="146"/>
      <c r="Q669" s="146"/>
      <c r="R669" s="146"/>
      <c r="S669" s="149"/>
      <c r="T669" s="149"/>
      <c r="U669" s="149"/>
      <c r="V669" s="149"/>
      <c r="W669" s="149"/>
      <c r="X669" s="149"/>
      <c r="Y669" s="149"/>
      <c r="Z669" s="149"/>
    </row>
    <row r="670" spans="1:26" ht="13.5" customHeight="1">
      <c r="A670" s="143"/>
      <c r="B670" s="194"/>
      <c r="C670" s="178"/>
      <c r="D670" s="178"/>
      <c r="E670" s="80"/>
      <c r="F670" s="80"/>
      <c r="G670" s="80"/>
      <c r="H670" s="80"/>
      <c r="I670" s="135"/>
      <c r="J670" s="178"/>
      <c r="K670" s="178"/>
      <c r="L670" s="80"/>
      <c r="M670" s="80"/>
      <c r="N670" s="80"/>
      <c r="O670" s="80"/>
      <c r="P670" s="146"/>
      <c r="Q670" s="146"/>
      <c r="R670" s="146"/>
      <c r="S670" s="149"/>
      <c r="T670" s="149"/>
      <c r="U670" s="149"/>
      <c r="V670" s="149"/>
      <c r="W670" s="149"/>
      <c r="X670" s="149"/>
      <c r="Y670" s="149"/>
      <c r="Z670" s="149"/>
    </row>
    <row r="671" spans="1:26" ht="55.5" customHeight="1">
      <c r="A671" s="143" t="s">
        <v>736</v>
      </c>
      <c r="B671" s="194" t="s">
        <v>3824</v>
      </c>
      <c r="C671" s="178">
        <v>1</v>
      </c>
      <c r="D671" s="178">
        <v>1</v>
      </c>
      <c r="E671" s="80">
        <v>1</v>
      </c>
      <c r="F671" s="80">
        <v>1</v>
      </c>
      <c r="G671" s="80">
        <v>1</v>
      </c>
      <c r="H671" s="80">
        <v>1</v>
      </c>
      <c r="I671" s="135" t="s">
        <v>38</v>
      </c>
      <c r="J671" s="81" t="s">
        <v>811</v>
      </c>
      <c r="K671" s="81" t="s">
        <v>811</v>
      </c>
      <c r="L671" s="81" t="s">
        <v>811</v>
      </c>
      <c r="M671" s="81" t="s">
        <v>811</v>
      </c>
      <c r="N671" s="81" t="s">
        <v>811</v>
      </c>
      <c r="O671" s="81" t="s">
        <v>811</v>
      </c>
      <c r="P671" s="146"/>
      <c r="Q671" s="146"/>
      <c r="R671" s="146"/>
      <c r="S671" s="149"/>
      <c r="T671" s="149"/>
      <c r="U671" s="149"/>
      <c r="V671" s="149"/>
      <c r="W671" s="149"/>
      <c r="X671" s="149"/>
      <c r="Y671" s="149"/>
      <c r="Z671" s="149"/>
    </row>
    <row r="672" spans="1:26" ht="13.5" customHeight="1">
      <c r="A672" s="143"/>
      <c r="B672" s="194"/>
      <c r="C672" s="178"/>
      <c r="D672" s="178"/>
      <c r="E672" s="80"/>
      <c r="F672" s="80"/>
      <c r="G672" s="80"/>
      <c r="H672" s="80"/>
      <c r="I672" s="135"/>
      <c r="J672" s="178"/>
      <c r="K672" s="178"/>
      <c r="L672" s="80"/>
      <c r="M672" s="80"/>
      <c r="N672" s="80"/>
      <c r="O672" s="80"/>
      <c r="P672" s="146"/>
      <c r="Q672" s="146"/>
      <c r="R672" s="146"/>
      <c r="S672" s="149"/>
      <c r="T672" s="149"/>
      <c r="U672" s="149"/>
      <c r="V672" s="149"/>
      <c r="W672" s="149"/>
      <c r="X672" s="149"/>
      <c r="Y672" s="149"/>
      <c r="Z672" s="149"/>
    </row>
    <row r="673" spans="1:26" ht="84" customHeight="1">
      <c r="A673" s="143" t="s">
        <v>736</v>
      </c>
      <c r="B673" s="194" t="s">
        <v>3825</v>
      </c>
      <c r="C673" s="178">
        <v>1</v>
      </c>
      <c r="D673" s="178">
        <v>0</v>
      </c>
      <c r="E673" s="80">
        <v>1</v>
      </c>
      <c r="F673" s="80">
        <v>0</v>
      </c>
      <c r="G673" s="80">
        <v>0</v>
      </c>
      <c r="H673" s="80">
        <v>1</v>
      </c>
      <c r="I673" s="135" t="s">
        <v>38</v>
      </c>
      <c r="J673" s="81" t="s">
        <v>811</v>
      </c>
      <c r="K673" s="170" t="s">
        <v>748</v>
      </c>
      <c r="L673" s="81" t="s">
        <v>811</v>
      </c>
      <c r="M673" s="170" t="s">
        <v>748</v>
      </c>
      <c r="N673" s="81" t="s">
        <v>763</v>
      </c>
      <c r="O673" s="956" t="s">
        <v>811</v>
      </c>
      <c r="P673" s="146"/>
      <c r="Q673" s="146"/>
      <c r="R673" s="146"/>
      <c r="S673" s="149"/>
      <c r="T673" s="149"/>
      <c r="U673" s="149"/>
      <c r="V673" s="149"/>
      <c r="W673" s="149"/>
      <c r="X673" s="149"/>
      <c r="Y673" s="149"/>
      <c r="Z673" s="149"/>
    </row>
    <row r="674" spans="1:26" ht="34.5" customHeight="1">
      <c r="A674" s="143"/>
      <c r="B674" s="194"/>
      <c r="C674" s="80"/>
      <c r="D674" s="80"/>
      <c r="E674" s="80"/>
      <c r="F674" s="80"/>
      <c r="G674" s="80"/>
      <c r="H674" s="80"/>
      <c r="I674" s="135"/>
      <c r="J674" s="178"/>
      <c r="K674" s="81"/>
      <c r="L674" s="365"/>
      <c r="M674" s="80"/>
      <c r="N674" s="81"/>
      <c r="O674" s="170"/>
      <c r="P674" s="146"/>
      <c r="Q674" s="146"/>
      <c r="R674" s="146"/>
      <c r="S674" s="149"/>
      <c r="T674" s="149"/>
      <c r="U674" s="149"/>
      <c r="V674" s="149"/>
      <c r="W674" s="149"/>
      <c r="X674" s="149"/>
      <c r="Y674" s="149"/>
      <c r="Z674" s="149"/>
    </row>
    <row r="675" spans="1:26" ht="83.25" customHeight="1">
      <c r="A675" s="143" t="s">
        <v>736</v>
      </c>
      <c r="B675" s="194" t="s">
        <v>3826</v>
      </c>
      <c r="C675" s="178">
        <v>1</v>
      </c>
      <c r="D675" s="178">
        <v>1</v>
      </c>
      <c r="E675" s="80">
        <v>0</v>
      </c>
      <c r="F675" s="80">
        <v>1</v>
      </c>
      <c r="G675" s="80">
        <v>0</v>
      </c>
      <c r="H675" s="80">
        <v>0</v>
      </c>
      <c r="I675" s="135" t="s">
        <v>38</v>
      </c>
      <c r="J675" s="81" t="s">
        <v>3827</v>
      </c>
      <c r="K675" s="81" t="s">
        <v>3828</v>
      </c>
      <c r="L675" s="365" t="s">
        <v>748</v>
      </c>
      <c r="M675" s="170" t="s">
        <v>811</v>
      </c>
      <c r="N675" s="170" t="s">
        <v>748</v>
      </c>
      <c r="O675" s="170" t="s">
        <v>748</v>
      </c>
      <c r="P675" s="146"/>
      <c r="Q675" s="146"/>
      <c r="R675" s="146"/>
      <c r="S675" s="149"/>
      <c r="T675" s="149"/>
      <c r="U675" s="149"/>
      <c r="V675" s="149"/>
      <c r="W675" s="149"/>
      <c r="X675" s="149"/>
      <c r="Y675" s="149"/>
      <c r="Z675" s="149"/>
    </row>
    <row r="676" spans="1:26" ht="13.5" customHeight="1">
      <c r="A676" s="143"/>
      <c r="B676" s="194"/>
      <c r="C676" s="178"/>
      <c r="D676" s="178"/>
      <c r="E676" s="80"/>
      <c r="F676" s="80"/>
      <c r="G676" s="80"/>
      <c r="H676" s="80"/>
      <c r="I676" s="135"/>
      <c r="J676" s="81"/>
      <c r="K676" s="81"/>
      <c r="L676" s="365"/>
      <c r="M676" s="80"/>
      <c r="N676" s="195"/>
      <c r="O676" s="80"/>
      <c r="P676" s="146"/>
      <c r="Q676" s="146"/>
      <c r="R676" s="146"/>
      <c r="S676" s="149"/>
      <c r="T676" s="149"/>
      <c r="U676" s="149"/>
      <c r="V676" s="149"/>
      <c r="W676" s="149"/>
      <c r="X676" s="149"/>
      <c r="Y676" s="149"/>
      <c r="Z676" s="149"/>
    </row>
    <row r="677" spans="1:26" ht="84" customHeight="1">
      <c r="A677" s="143" t="s">
        <v>736</v>
      </c>
      <c r="B677" s="194" t="s">
        <v>2058</v>
      </c>
      <c r="C677" s="178">
        <v>0</v>
      </c>
      <c r="D677" s="178">
        <v>0</v>
      </c>
      <c r="E677" s="80">
        <v>0</v>
      </c>
      <c r="F677" s="80">
        <v>1</v>
      </c>
      <c r="G677" s="80">
        <v>1</v>
      </c>
      <c r="H677" s="80">
        <v>0</v>
      </c>
      <c r="I677" s="135" t="s">
        <v>38</v>
      </c>
      <c r="J677" s="81" t="s">
        <v>943</v>
      </c>
      <c r="K677" s="81" t="s">
        <v>943</v>
      </c>
      <c r="L677" s="365" t="s">
        <v>748</v>
      </c>
      <c r="M677" s="170" t="s">
        <v>811</v>
      </c>
      <c r="N677" s="81" t="s">
        <v>3829</v>
      </c>
      <c r="O677" s="170" t="s">
        <v>748</v>
      </c>
      <c r="P677" s="146"/>
      <c r="Q677" s="146"/>
      <c r="R677" s="146"/>
      <c r="S677" s="149"/>
      <c r="T677" s="149"/>
      <c r="U677" s="149"/>
      <c r="V677" s="149"/>
      <c r="W677" s="149"/>
      <c r="X677" s="149"/>
      <c r="Y677" s="149"/>
      <c r="Z677" s="149"/>
    </row>
    <row r="678" spans="1:26" ht="13.5" customHeight="1">
      <c r="A678" s="143"/>
      <c r="B678" s="568"/>
      <c r="C678" s="354"/>
      <c r="D678" s="75"/>
      <c r="E678" s="343"/>
      <c r="F678" s="87"/>
      <c r="G678" s="271"/>
      <c r="H678" s="87"/>
      <c r="I678" s="135"/>
      <c r="J678" s="75"/>
      <c r="K678" s="953"/>
      <c r="L678" s="75"/>
      <c r="M678" s="75"/>
      <c r="N678" s="75"/>
      <c r="O678" s="75"/>
      <c r="P678" s="146"/>
      <c r="Q678" s="146"/>
      <c r="R678" s="146"/>
      <c r="S678" s="149"/>
      <c r="T678" s="149"/>
      <c r="U678" s="149"/>
      <c r="V678" s="149"/>
      <c r="W678" s="149"/>
      <c r="X678" s="149"/>
      <c r="Y678" s="149"/>
      <c r="Z678" s="149"/>
    </row>
    <row r="679" spans="1:26" ht="30" customHeight="1">
      <c r="A679" s="570" t="s">
        <v>440</v>
      </c>
      <c r="B679" s="133" t="s">
        <v>609</v>
      </c>
      <c r="C679" s="279">
        <f t="shared" ref="C679:H679" si="135">AVERAGE(C680,C682,C684,C686,C688,C690,C694,C696,C698)</f>
        <v>0.8492753623188406</v>
      </c>
      <c r="D679" s="279">
        <f t="shared" si="135"/>
        <v>0.95748792270531402</v>
      </c>
      <c r="E679" s="279">
        <f t="shared" si="135"/>
        <v>0.51980676328502418</v>
      </c>
      <c r="F679" s="279">
        <f t="shared" si="135"/>
        <v>0.66666666666666663</v>
      </c>
      <c r="G679" s="279">
        <f t="shared" si="135"/>
        <v>0.79516908212560389</v>
      </c>
      <c r="H679" s="279">
        <f t="shared" si="135"/>
        <v>0.72270531400966176</v>
      </c>
      <c r="I679" s="135"/>
      <c r="J679" s="74"/>
      <c r="K679" s="206"/>
      <c r="L679" s="203"/>
      <c r="M679" s="203"/>
      <c r="N679" s="203"/>
      <c r="O679" s="203"/>
      <c r="P679" s="205"/>
      <c r="Q679" s="205"/>
      <c r="R679" s="205"/>
      <c r="S679" s="206"/>
      <c r="T679" s="206"/>
      <c r="U679" s="206"/>
      <c r="V679" s="206"/>
      <c r="W679" s="206"/>
      <c r="X679" s="206"/>
      <c r="Y679" s="206"/>
      <c r="Z679" s="206"/>
    </row>
    <row r="680" spans="1:26" ht="52.5" customHeight="1">
      <c r="A680" s="143" t="s">
        <v>736</v>
      </c>
      <c r="B680" s="194" t="s">
        <v>3830</v>
      </c>
      <c r="C680" s="962">
        <f t="shared" ref="C680:H680" si="136">(J680-115)/(0-115)</f>
        <v>0.64347826086956517</v>
      </c>
      <c r="D680" s="962">
        <f t="shared" si="136"/>
        <v>0.61739130434782608</v>
      </c>
      <c r="E680" s="962">
        <f t="shared" si="136"/>
        <v>0.67826086956521736</v>
      </c>
      <c r="F680" s="962">
        <f t="shared" si="136"/>
        <v>0</v>
      </c>
      <c r="G680" s="962">
        <f t="shared" si="136"/>
        <v>0.15652173913043479</v>
      </c>
      <c r="H680" s="962">
        <f t="shared" si="136"/>
        <v>0.5043478260869565</v>
      </c>
      <c r="I680" s="955" t="s">
        <v>611</v>
      </c>
      <c r="J680" s="81">
        <v>41</v>
      </c>
      <c r="K680" s="81">
        <v>44</v>
      </c>
      <c r="L680" s="170">
        <v>37</v>
      </c>
      <c r="M680" s="442">
        <v>115</v>
      </c>
      <c r="N680" s="442">
        <v>97</v>
      </c>
      <c r="O680" s="949">
        <v>57</v>
      </c>
      <c r="P680" s="146"/>
      <c r="Q680" s="146"/>
      <c r="R680" s="146"/>
      <c r="S680" s="149"/>
      <c r="T680" s="149"/>
      <c r="U680" s="149"/>
      <c r="V680" s="149"/>
      <c r="W680" s="149"/>
      <c r="X680" s="149"/>
      <c r="Y680" s="149"/>
      <c r="Z680" s="149"/>
    </row>
    <row r="681" spans="1:26" ht="13.5" customHeight="1">
      <c r="A681" s="143"/>
      <c r="B681" s="194"/>
      <c r="C681" s="178"/>
      <c r="D681" s="178"/>
      <c r="E681" s="80"/>
      <c r="F681" s="80"/>
      <c r="G681" s="80"/>
      <c r="H681" s="80"/>
      <c r="I681" s="135"/>
      <c r="J681" s="178"/>
      <c r="K681" s="81"/>
      <c r="L681" s="365"/>
      <c r="M681" s="80"/>
      <c r="N681" s="195"/>
      <c r="O681" s="81"/>
      <c r="P681" s="146"/>
      <c r="Q681" s="146"/>
      <c r="R681" s="146"/>
      <c r="S681" s="149"/>
      <c r="T681" s="149"/>
      <c r="U681" s="149"/>
      <c r="V681" s="149"/>
      <c r="W681" s="149"/>
      <c r="X681" s="149"/>
      <c r="Y681" s="149"/>
      <c r="Z681" s="149"/>
    </row>
    <row r="682" spans="1:26" ht="58.5" customHeight="1">
      <c r="A682" s="143" t="s">
        <v>736</v>
      </c>
      <c r="B682" s="194" t="s">
        <v>2062</v>
      </c>
      <c r="C682" s="962">
        <v>1</v>
      </c>
      <c r="D682" s="962">
        <v>1</v>
      </c>
      <c r="E682" s="944">
        <v>1</v>
      </c>
      <c r="F682" s="944">
        <v>1</v>
      </c>
      <c r="G682" s="944">
        <v>1</v>
      </c>
      <c r="H682" s="944">
        <v>1</v>
      </c>
      <c r="I682" s="955" t="s">
        <v>2063</v>
      </c>
      <c r="J682" s="81">
        <v>0</v>
      </c>
      <c r="K682" s="81">
        <v>0</v>
      </c>
      <c r="L682" s="170">
        <v>0</v>
      </c>
      <c r="M682" s="170">
        <v>0</v>
      </c>
      <c r="N682" s="170">
        <v>0</v>
      </c>
      <c r="O682" s="170">
        <v>0</v>
      </c>
      <c r="P682" s="146"/>
      <c r="Q682" s="146"/>
      <c r="R682" s="146"/>
      <c r="S682" s="149"/>
      <c r="T682" s="149"/>
      <c r="U682" s="149"/>
      <c r="V682" s="149"/>
      <c r="W682" s="149"/>
      <c r="X682" s="149"/>
      <c r="Y682" s="149"/>
      <c r="Z682" s="149"/>
    </row>
    <row r="683" spans="1:26" ht="13.5" customHeight="1">
      <c r="A683" s="143"/>
      <c r="B683" s="194"/>
      <c r="C683" s="178"/>
      <c r="D683" s="178"/>
      <c r="E683" s="80"/>
      <c r="F683" s="80"/>
      <c r="G683" s="80"/>
      <c r="H683" s="80"/>
      <c r="I683" s="135"/>
      <c r="J683" s="81"/>
      <c r="K683" s="81"/>
      <c r="L683" s="365"/>
      <c r="M683" s="81"/>
      <c r="N683" s="195"/>
      <c r="O683" s="80"/>
      <c r="P683" s="146"/>
      <c r="Q683" s="146"/>
      <c r="R683" s="146"/>
      <c r="S683" s="149"/>
      <c r="T683" s="149"/>
      <c r="U683" s="149"/>
      <c r="V683" s="149"/>
      <c r="W683" s="149"/>
      <c r="X683" s="149"/>
      <c r="Y683" s="149"/>
      <c r="Z683" s="149"/>
    </row>
    <row r="684" spans="1:26" ht="96" customHeight="1">
      <c r="A684" s="143" t="s">
        <v>736</v>
      </c>
      <c r="B684" s="194" t="s">
        <v>2064</v>
      </c>
      <c r="C684" s="178">
        <v>0</v>
      </c>
      <c r="D684" s="178">
        <v>1</v>
      </c>
      <c r="E684" s="80">
        <v>1</v>
      </c>
      <c r="F684" s="80">
        <v>1</v>
      </c>
      <c r="G684" s="80">
        <v>1</v>
      </c>
      <c r="H684" s="80">
        <v>1</v>
      </c>
      <c r="I684" s="135" t="s">
        <v>38</v>
      </c>
      <c r="J684" s="81" t="s">
        <v>748</v>
      </c>
      <c r="K684" s="81" t="s">
        <v>811</v>
      </c>
      <c r="L684" s="170" t="s">
        <v>811</v>
      </c>
      <c r="M684" s="81" t="s">
        <v>811</v>
      </c>
      <c r="N684" s="81" t="s">
        <v>811</v>
      </c>
      <c r="O684" s="81" t="s">
        <v>2065</v>
      </c>
      <c r="P684" s="146"/>
      <c r="Q684" s="146"/>
      <c r="R684" s="146"/>
      <c r="S684" s="149"/>
      <c r="T684" s="149"/>
      <c r="U684" s="149"/>
      <c r="V684" s="149"/>
      <c r="W684" s="149"/>
      <c r="X684" s="149"/>
      <c r="Y684" s="149"/>
      <c r="Z684" s="149"/>
    </row>
    <row r="685" spans="1:26" ht="13.5" customHeight="1">
      <c r="A685" s="143"/>
      <c r="B685" s="194"/>
      <c r="C685" s="178"/>
      <c r="D685" s="178"/>
      <c r="E685" s="80"/>
      <c r="F685" s="80"/>
      <c r="G685" s="80"/>
      <c r="H685" s="80"/>
      <c r="I685" s="135"/>
      <c r="J685" s="81"/>
      <c r="K685" s="945"/>
      <c r="L685" s="170"/>
      <c r="M685" s="81"/>
      <c r="N685" s="81"/>
      <c r="O685" s="81"/>
      <c r="P685" s="146"/>
      <c r="Q685" s="146"/>
      <c r="R685" s="146"/>
      <c r="S685" s="149"/>
      <c r="T685" s="149"/>
      <c r="U685" s="149"/>
      <c r="V685" s="149"/>
      <c r="W685" s="149"/>
      <c r="X685" s="149"/>
      <c r="Y685" s="149"/>
      <c r="Z685" s="149"/>
    </row>
    <row r="686" spans="1:26" ht="97.5" customHeight="1">
      <c r="A686" s="143" t="s">
        <v>736</v>
      </c>
      <c r="B686" s="194" t="s">
        <v>613</v>
      </c>
      <c r="C686" s="178">
        <v>1</v>
      </c>
      <c r="D686" s="178">
        <v>1</v>
      </c>
      <c r="E686" s="80">
        <v>0</v>
      </c>
      <c r="F686" s="80">
        <v>1</v>
      </c>
      <c r="G686" s="944">
        <v>0</v>
      </c>
      <c r="H686" s="944">
        <v>0</v>
      </c>
      <c r="I686" s="135" t="s">
        <v>38</v>
      </c>
      <c r="J686" s="81" t="s">
        <v>2066</v>
      </c>
      <c r="K686" s="81" t="s">
        <v>3831</v>
      </c>
      <c r="L686" s="170" t="s">
        <v>748</v>
      </c>
      <c r="M686" s="81" t="s">
        <v>811</v>
      </c>
      <c r="N686" s="81" t="s">
        <v>3832</v>
      </c>
      <c r="O686" s="81" t="s">
        <v>3833</v>
      </c>
      <c r="P686" s="146"/>
      <c r="Q686" s="146"/>
      <c r="R686" s="146"/>
      <c r="S686" s="149"/>
      <c r="T686" s="149"/>
      <c r="U686" s="149"/>
      <c r="V686" s="149"/>
      <c r="W686" s="149"/>
      <c r="X686" s="149"/>
      <c r="Y686" s="149"/>
      <c r="Z686" s="149"/>
    </row>
    <row r="687" spans="1:26" ht="13.5" customHeight="1">
      <c r="A687" s="143"/>
      <c r="B687" s="194"/>
      <c r="C687" s="178"/>
      <c r="D687" s="178"/>
      <c r="E687" s="80"/>
      <c r="F687" s="80"/>
      <c r="G687" s="80"/>
      <c r="H687" s="80"/>
      <c r="I687" s="135"/>
      <c r="J687" s="178"/>
      <c r="K687" s="81"/>
      <c r="L687" s="365"/>
      <c r="M687" s="81"/>
      <c r="N687" s="195"/>
      <c r="O687" s="80"/>
      <c r="P687" s="146"/>
      <c r="Q687" s="146"/>
      <c r="R687" s="146"/>
      <c r="S687" s="149"/>
      <c r="T687" s="149"/>
      <c r="U687" s="149"/>
      <c r="V687" s="149"/>
      <c r="W687" s="149"/>
      <c r="X687" s="149"/>
      <c r="Y687" s="149"/>
      <c r="Z687" s="149"/>
    </row>
    <row r="688" spans="1:26" ht="104.25" customHeight="1">
      <c r="A688" s="143" t="s">
        <v>736</v>
      </c>
      <c r="B688" s="194" t="s">
        <v>2069</v>
      </c>
      <c r="C688" s="178">
        <v>1</v>
      </c>
      <c r="D688" s="178">
        <v>1</v>
      </c>
      <c r="E688" s="80">
        <v>1</v>
      </c>
      <c r="F688" s="80">
        <v>1</v>
      </c>
      <c r="G688" s="80">
        <v>1</v>
      </c>
      <c r="H688" s="80">
        <v>1</v>
      </c>
      <c r="I688" s="135" t="s">
        <v>38</v>
      </c>
      <c r="J688" s="81" t="s">
        <v>811</v>
      </c>
      <c r="K688" s="81" t="s">
        <v>811</v>
      </c>
      <c r="L688" s="400" t="s">
        <v>811</v>
      </c>
      <c r="M688" s="81" t="s">
        <v>811</v>
      </c>
      <c r="N688" s="81" t="s">
        <v>948</v>
      </c>
      <c r="O688" s="81" t="s">
        <v>3834</v>
      </c>
      <c r="P688" s="146"/>
      <c r="Q688" s="146"/>
      <c r="R688" s="146"/>
      <c r="S688" s="149"/>
      <c r="T688" s="149"/>
      <c r="U688" s="149"/>
      <c r="V688" s="149"/>
      <c r="W688" s="149"/>
      <c r="X688" s="149"/>
      <c r="Y688" s="149"/>
      <c r="Z688" s="149"/>
    </row>
    <row r="689" spans="1:26" ht="13.5" customHeight="1">
      <c r="A689" s="143"/>
      <c r="B689" s="194"/>
      <c r="C689" s="178"/>
      <c r="D689" s="178"/>
      <c r="E689" s="80"/>
      <c r="F689" s="80"/>
      <c r="G689" s="80"/>
      <c r="H689" s="80"/>
      <c r="I689" s="135"/>
      <c r="J689" s="178"/>
      <c r="K689" s="81"/>
      <c r="L689" s="170"/>
      <c r="M689" s="80"/>
      <c r="N689" s="195"/>
      <c r="O689" s="80"/>
      <c r="P689" s="146"/>
      <c r="Q689" s="146"/>
      <c r="R689" s="146"/>
      <c r="S689" s="149"/>
      <c r="T689" s="149"/>
      <c r="U689" s="149"/>
      <c r="V689" s="149"/>
      <c r="W689" s="149"/>
      <c r="X689" s="149"/>
      <c r="Y689" s="149"/>
      <c r="Z689" s="149"/>
    </row>
    <row r="690" spans="1:26" ht="111" customHeight="1">
      <c r="A690" s="143" t="s">
        <v>736</v>
      </c>
      <c r="B690" s="194" t="s">
        <v>617</v>
      </c>
      <c r="C690" s="178">
        <f t="shared" ref="C690:H690" si="137">AVERAGE(C691:C692)</f>
        <v>1</v>
      </c>
      <c r="D690" s="178">
        <f t="shared" si="137"/>
        <v>1</v>
      </c>
      <c r="E690" s="178">
        <f t="shared" si="137"/>
        <v>0</v>
      </c>
      <c r="F690" s="178">
        <f t="shared" si="137"/>
        <v>1</v>
      </c>
      <c r="G690" s="178">
        <f t="shared" si="137"/>
        <v>1</v>
      </c>
      <c r="H690" s="178">
        <f t="shared" si="137"/>
        <v>0</v>
      </c>
      <c r="I690" s="135"/>
      <c r="J690" s="178"/>
      <c r="K690" s="81"/>
      <c r="L690" s="365"/>
      <c r="M690" s="80"/>
      <c r="N690" s="195"/>
      <c r="O690" s="80"/>
      <c r="P690" s="146"/>
      <c r="Q690" s="146"/>
      <c r="R690" s="146"/>
      <c r="S690" s="149"/>
      <c r="T690" s="149"/>
      <c r="U690" s="149"/>
      <c r="V690" s="149"/>
      <c r="W690" s="149"/>
      <c r="X690" s="149"/>
      <c r="Y690" s="149"/>
      <c r="Z690" s="149"/>
    </row>
    <row r="691" spans="1:26" ht="36" customHeight="1">
      <c r="A691" s="419"/>
      <c r="B691" s="212" t="s">
        <v>2071</v>
      </c>
      <c r="C691" s="178">
        <v>1</v>
      </c>
      <c r="D691" s="178">
        <v>1</v>
      </c>
      <c r="E691" s="80">
        <v>0</v>
      </c>
      <c r="F691" s="80">
        <v>1</v>
      </c>
      <c r="G691" s="80">
        <v>1</v>
      </c>
      <c r="H691" s="80">
        <v>0</v>
      </c>
      <c r="I691" s="135" t="s">
        <v>38</v>
      </c>
      <c r="J691" s="81" t="s">
        <v>811</v>
      </c>
      <c r="K691" s="81" t="s">
        <v>3835</v>
      </c>
      <c r="L691" s="365" t="s">
        <v>748</v>
      </c>
      <c r="M691" s="81" t="s">
        <v>811</v>
      </c>
      <c r="N691" s="83" t="s">
        <v>3836</v>
      </c>
      <c r="O691" s="170" t="s">
        <v>748</v>
      </c>
      <c r="P691" s="146"/>
      <c r="Q691" s="146"/>
      <c r="R691" s="146"/>
      <c r="S691" s="149"/>
      <c r="T691" s="149"/>
      <c r="U691" s="149"/>
      <c r="V691" s="149"/>
      <c r="W691" s="149"/>
      <c r="X691" s="149"/>
      <c r="Y691" s="149"/>
      <c r="Z691" s="149"/>
    </row>
    <row r="692" spans="1:26" ht="55.5" customHeight="1">
      <c r="A692" s="419"/>
      <c r="B692" s="212" t="s">
        <v>2073</v>
      </c>
      <c r="C692" s="178">
        <v>1</v>
      </c>
      <c r="D692" s="178">
        <v>1</v>
      </c>
      <c r="E692" s="80">
        <v>0</v>
      </c>
      <c r="F692" s="80">
        <v>1</v>
      </c>
      <c r="G692" s="80">
        <v>1</v>
      </c>
      <c r="H692" s="80">
        <v>0</v>
      </c>
      <c r="I692" s="135" t="s">
        <v>38</v>
      </c>
      <c r="J692" s="81" t="s">
        <v>811</v>
      </c>
      <c r="K692" s="81" t="s">
        <v>3837</v>
      </c>
      <c r="L692" s="365" t="s">
        <v>748</v>
      </c>
      <c r="M692" s="81" t="s">
        <v>811</v>
      </c>
      <c r="N692" s="81" t="s">
        <v>811</v>
      </c>
      <c r="O692" s="170" t="s">
        <v>748</v>
      </c>
      <c r="P692" s="146"/>
      <c r="Q692" s="146"/>
      <c r="R692" s="146"/>
      <c r="S692" s="149"/>
      <c r="T692" s="149"/>
      <c r="U692" s="149"/>
      <c r="V692" s="149"/>
      <c r="W692" s="149"/>
      <c r="X692" s="149"/>
      <c r="Y692" s="149"/>
      <c r="Z692" s="149"/>
    </row>
    <row r="693" spans="1:26" ht="13.5" customHeight="1">
      <c r="A693" s="419"/>
      <c r="B693" s="212"/>
      <c r="C693" s="178"/>
      <c r="D693" s="81"/>
      <c r="E693" s="365"/>
      <c r="F693" s="80"/>
      <c r="G693" s="195"/>
      <c r="H693" s="80"/>
      <c r="I693" s="135"/>
      <c r="J693" s="81"/>
      <c r="K693" s="945"/>
      <c r="L693" s="81"/>
      <c r="M693" s="81"/>
      <c r="N693" s="81"/>
      <c r="O693" s="81"/>
      <c r="P693" s="146"/>
      <c r="Q693" s="146"/>
      <c r="R693" s="146"/>
      <c r="S693" s="149"/>
      <c r="T693" s="149"/>
      <c r="U693" s="149"/>
      <c r="V693" s="149"/>
      <c r="W693" s="149"/>
      <c r="X693" s="149"/>
      <c r="Y693" s="149"/>
      <c r="Z693" s="149"/>
    </row>
    <row r="694" spans="1:26" ht="121.5" customHeight="1">
      <c r="A694" s="143" t="s">
        <v>736</v>
      </c>
      <c r="B694" s="194" t="s">
        <v>2075</v>
      </c>
      <c r="C694" s="178">
        <v>1</v>
      </c>
      <c r="D694" s="178">
        <v>1</v>
      </c>
      <c r="E694" s="80">
        <v>1</v>
      </c>
      <c r="F694" s="80">
        <v>1</v>
      </c>
      <c r="G694" s="80">
        <v>1</v>
      </c>
      <c r="H694" s="80">
        <v>1</v>
      </c>
      <c r="I694" s="135" t="s">
        <v>38</v>
      </c>
      <c r="J694" s="81" t="s">
        <v>811</v>
      </c>
      <c r="K694" s="81" t="s">
        <v>811</v>
      </c>
      <c r="L694" s="170" t="s">
        <v>811</v>
      </c>
      <c r="M694" s="81" t="s">
        <v>811</v>
      </c>
      <c r="N694" s="81" t="s">
        <v>811</v>
      </c>
      <c r="O694" s="180" t="s">
        <v>3838</v>
      </c>
      <c r="P694" s="146"/>
      <c r="Q694" s="146"/>
      <c r="R694" s="146"/>
      <c r="S694" s="149"/>
      <c r="T694" s="149"/>
      <c r="U694" s="149"/>
      <c r="V694" s="149"/>
      <c r="W694" s="149"/>
      <c r="X694" s="149"/>
      <c r="Y694" s="149"/>
      <c r="Z694" s="149"/>
    </row>
    <row r="695" spans="1:26" ht="13.5" customHeight="1">
      <c r="A695" s="143"/>
      <c r="B695" s="194"/>
      <c r="C695" s="178"/>
      <c r="D695" s="178"/>
      <c r="E695" s="80"/>
      <c r="F695" s="80"/>
      <c r="G695" s="80"/>
      <c r="H695" s="80"/>
      <c r="I695" s="135"/>
      <c r="J695" s="81"/>
      <c r="K695" s="81"/>
      <c r="L695" s="365"/>
      <c r="M695" s="81"/>
      <c r="N695" s="195"/>
      <c r="O695" s="80"/>
      <c r="P695" s="146"/>
      <c r="Q695" s="146"/>
      <c r="R695" s="146"/>
      <c r="S695" s="149"/>
      <c r="T695" s="149"/>
      <c r="U695" s="149"/>
      <c r="V695" s="149"/>
      <c r="W695" s="149"/>
      <c r="X695" s="149"/>
      <c r="Y695" s="149"/>
      <c r="Z695" s="149"/>
    </row>
    <row r="696" spans="1:26" ht="119.25" customHeight="1">
      <c r="A696" s="143" t="s">
        <v>736</v>
      </c>
      <c r="B696" s="95" t="s">
        <v>2077</v>
      </c>
      <c r="C696" s="178">
        <v>1</v>
      </c>
      <c r="D696" s="178">
        <v>1</v>
      </c>
      <c r="E696" s="80">
        <v>0</v>
      </c>
      <c r="F696" s="80">
        <v>0</v>
      </c>
      <c r="G696" s="80">
        <v>1</v>
      </c>
      <c r="H696" s="80">
        <v>1</v>
      </c>
      <c r="I696" s="135" t="s">
        <v>38</v>
      </c>
      <c r="J696" s="81" t="s">
        <v>811</v>
      </c>
      <c r="K696" s="81" t="s">
        <v>811</v>
      </c>
      <c r="L696" s="365" t="s">
        <v>748</v>
      </c>
      <c r="M696" s="182" t="s">
        <v>748</v>
      </c>
      <c r="N696" s="81" t="s">
        <v>811</v>
      </c>
      <c r="O696" s="180" t="s">
        <v>3838</v>
      </c>
      <c r="P696" s="146"/>
      <c r="Q696" s="146"/>
      <c r="R696" s="146"/>
      <c r="S696" s="149"/>
      <c r="T696" s="149"/>
      <c r="U696" s="149"/>
      <c r="V696" s="149"/>
      <c r="W696" s="149"/>
      <c r="X696" s="149"/>
      <c r="Y696" s="149"/>
      <c r="Z696" s="149"/>
    </row>
    <row r="697" spans="1:26" ht="13.5" customHeight="1">
      <c r="A697" s="143"/>
      <c r="B697" s="194"/>
      <c r="C697" s="178"/>
      <c r="D697" s="178"/>
      <c r="E697" s="80"/>
      <c r="F697" s="80"/>
      <c r="G697" s="80"/>
      <c r="H697" s="80"/>
      <c r="I697" s="135"/>
      <c r="J697" s="81"/>
      <c r="K697" s="81"/>
      <c r="L697" s="365"/>
      <c r="M697" s="81"/>
      <c r="N697" s="195"/>
      <c r="O697" s="80"/>
      <c r="P697" s="146"/>
      <c r="Q697" s="146"/>
      <c r="R697" s="146"/>
      <c r="S697" s="149"/>
      <c r="T697" s="149"/>
      <c r="U697" s="149"/>
      <c r="V697" s="149"/>
      <c r="W697" s="149"/>
      <c r="X697" s="149"/>
      <c r="Y697" s="149"/>
      <c r="Z697" s="149"/>
    </row>
    <row r="698" spans="1:26" ht="90.75" customHeight="1">
      <c r="A698" s="143" t="s">
        <v>736</v>
      </c>
      <c r="B698" s="194" t="s">
        <v>622</v>
      </c>
      <c r="C698" s="178">
        <v>1</v>
      </c>
      <c r="D698" s="178">
        <v>1</v>
      </c>
      <c r="E698" s="80">
        <v>0</v>
      </c>
      <c r="F698" s="80">
        <v>0</v>
      </c>
      <c r="G698" s="323">
        <v>1</v>
      </c>
      <c r="H698" s="80">
        <v>1</v>
      </c>
      <c r="I698" s="135" t="s">
        <v>38</v>
      </c>
      <c r="J698" s="81" t="s">
        <v>811</v>
      </c>
      <c r="K698" s="81" t="s">
        <v>811</v>
      </c>
      <c r="L698" s="170" t="s">
        <v>748</v>
      </c>
      <c r="M698" s="182" t="s">
        <v>748</v>
      </c>
      <c r="N698" s="81" t="s">
        <v>811</v>
      </c>
      <c r="O698" s="81" t="s">
        <v>3839</v>
      </c>
      <c r="P698" s="146"/>
      <c r="Q698" s="146"/>
      <c r="R698" s="146"/>
      <c r="S698" s="149"/>
      <c r="T698" s="149"/>
      <c r="U698" s="149"/>
      <c r="V698" s="149"/>
      <c r="W698" s="149"/>
      <c r="X698" s="149"/>
      <c r="Y698" s="149"/>
      <c r="Z698" s="149"/>
    </row>
    <row r="699" spans="1:26" ht="28.5" customHeight="1">
      <c r="A699" s="419"/>
      <c r="B699" s="931"/>
      <c r="C699" s="87"/>
      <c r="D699" s="87"/>
      <c r="E699" s="87"/>
      <c r="F699" s="87"/>
      <c r="G699" s="578"/>
      <c r="H699" s="87"/>
      <c r="I699" s="135"/>
      <c r="J699" s="354"/>
      <c r="K699" s="75"/>
      <c r="L699" s="343"/>
      <c r="M699" s="75"/>
      <c r="N699" s="473"/>
      <c r="O699" s="75"/>
      <c r="P699" s="146"/>
      <c r="Q699" s="146"/>
      <c r="R699" s="146"/>
      <c r="S699" s="149"/>
      <c r="T699" s="149"/>
      <c r="U699" s="149"/>
      <c r="V699" s="149"/>
      <c r="W699" s="149"/>
      <c r="X699" s="149"/>
      <c r="Y699" s="149"/>
      <c r="Z699" s="149"/>
    </row>
    <row r="700" spans="1:26" ht="13.5" customHeight="1">
      <c r="A700" s="570" t="s">
        <v>2080</v>
      </c>
      <c r="B700" s="133" t="s">
        <v>623</v>
      </c>
      <c r="C700" s="279">
        <f t="shared" ref="C700:H700" si="138">AVERAGE(C701,C705,C707)</f>
        <v>0.5</v>
      </c>
      <c r="D700" s="279">
        <f t="shared" si="138"/>
        <v>0.83333333333333337</v>
      </c>
      <c r="E700" s="279">
        <f t="shared" si="138"/>
        <v>0.16666666666666666</v>
      </c>
      <c r="F700" s="279">
        <f t="shared" si="138"/>
        <v>0.83333333333333337</v>
      </c>
      <c r="G700" s="279">
        <f t="shared" si="138"/>
        <v>0.83333333333333337</v>
      </c>
      <c r="H700" s="279">
        <f t="shared" si="138"/>
        <v>0.16666666666666666</v>
      </c>
      <c r="I700" s="135"/>
      <c r="J700" s="74"/>
      <c r="K700" s="206"/>
      <c r="L700" s="203"/>
      <c r="M700" s="203"/>
      <c r="N700" s="203"/>
      <c r="O700" s="203"/>
      <c r="P700" s="205"/>
      <c r="Q700" s="205"/>
      <c r="R700" s="205"/>
      <c r="S700" s="206"/>
      <c r="T700" s="206"/>
      <c r="U700" s="206"/>
      <c r="V700" s="206"/>
      <c r="W700" s="206"/>
      <c r="X700" s="206"/>
      <c r="Y700" s="206"/>
      <c r="Z700" s="206"/>
    </row>
    <row r="701" spans="1:26" ht="42" customHeight="1">
      <c r="A701" s="143" t="s">
        <v>736</v>
      </c>
      <c r="B701" s="194" t="s">
        <v>624</v>
      </c>
      <c r="C701" s="80">
        <f t="shared" ref="C701:H701" si="139">AVERAGE(C702:C703)</f>
        <v>0.5</v>
      </c>
      <c r="D701" s="80">
        <f t="shared" si="139"/>
        <v>0.5</v>
      </c>
      <c r="E701" s="80">
        <f t="shared" si="139"/>
        <v>0.5</v>
      </c>
      <c r="F701" s="80">
        <f t="shared" si="139"/>
        <v>0.5</v>
      </c>
      <c r="G701" s="80">
        <f t="shared" si="139"/>
        <v>0.5</v>
      </c>
      <c r="H701" s="80">
        <f t="shared" si="139"/>
        <v>0.5</v>
      </c>
      <c r="I701" s="135" t="s">
        <v>625</v>
      </c>
      <c r="J701" s="178"/>
      <c r="K701" s="945"/>
      <c r="L701" s="579"/>
      <c r="M701" s="323"/>
      <c r="N701" s="195"/>
      <c r="O701" s="80"/>
      <c r="P701" s="146"/>
      <c r="Q701" s="146"/>
      <c r="R701" s="146"/>
      <c r="S701" s="149"/>
      <c r="T701" s="149"/>
      <c r="U701" s="149"/>
      <c r="V701" s="149"/>
      <c r="W701" s="149"/>
      <c r="X701" s="149"/>
      <c r="Y701" s="149"/>
      <c r="Z701" s="149"/>
    </row>
    <row r="702" spans="1:26" ht="78.75" customHeight="1">
      <c r="A702" s="143"/>
      <c r="B702" s="212" t="s">
        <v>626</v>
      </c>
      <c r="C702" s="944">
        <v>0</v>
      </c>
      <c r="D702" s="944">
        <v>0</v>
      </c>
      <c r="E702" s="944">
        <v>0</v>
      </c>
      <c r="F702" s="944">
        <v>0</v>
      </c>
      <c r="G702" s="944">
        <v>0</v>
      </c>
      <c r="H702" s="944">
        <v>0</v>
      </c>
      <c r="I702" s="135"/>
      <c r="J702" s="81" t="s">
        <v>3840</v>
      </c>
      <c r="K702" s="81" t="s">
        <v>2082</v>
      </c>
      <c r="L702" s="81" t="s">
        <v>2083</v>
      </c>
      <c r="M702" s="81" t="s">
        <v>811</v>
      </c>
      <c r="N702" s="362" t="s">
        <v>3841</v>
      </c>
      <c r="O702" s="81" t="s">
        <v>3842</v>
      </c>
      <c r="P702" s="146"/>
      <c r="Q702" s="146"/>
      <c r="R702" s="146"/>
      <c r="S702" s="149"/>
      <c r="T702" s="149"/>
      <c r="U702" s="149"/>
      <c r="V702" s="149"/>
      <c r="W702" s="149"/>
      <c r="X702" s="149"/>
      <c r="Y702" s="149"/>
      <c r="Z702" s="149"/>
    </row>
    <row r="703" spans="1:26" ht="36" customHeight="1">
      <c r="A703" s="143"/>
      <c r="B703" s="212" t="s">
        <v>627</v>
      </c>
      <c r="C703" s="944">
        <v>1</v>
      </c>
      <c r="D703" s="944">
        <v>1</v>
      </c>
      <c r="E703" s="944">
        <v>1</v>
      </c>
      <c r="F703" s="944">
        <v>1</v>
      </c>
      <c r="G703" s="944">
        <v>1</v>
      </c>
      <c r="H703" s="944">
        <v>1</v>
      </c>
      <c r="I703" s="135"/>
      <c r="J703" s="81" t="s">
        <v>2086</v>
      </c>
      <c r="K703" s="81" t="s">
        <v>748</v>
      </c>
      <c r="L703" s="365" t="s">
        <v>3843</v>
      </c>
      <c r="M703" s="80" t="s">
        <v>748</v>
      </c>
      <c r="N703" s="195" t="s">
        <v>748</v>
      </c>
      <c r="O703" s="195" t="s">
        <v>748</v>
      </c>
      <c r="P703" s="146"/>
      <c r="Q703" s="146"/>
      <c r="R703" s="146"/>
      <c r="S703" s="149"/>
      <c r="T703" s="149"/>
      <c r="U703" s="149"/>
      <c r="V703" s="149"/>
      <c r="W703" s="149"/>
      <c r="X703" s="149"/>
      <c r="Y703" s="149"/>
      <c r="Z703" s="149"/>
    </row>
    <row r="704" spans="1:26" ht="13.5" customHeight="1">
      <c r="A704" s="143"/>
      <c r="B704" s="194"/>
      <c r="C704" s="80"/>
      <c r="D704" s="80"/>
      <c r="E704" s="80"/>
      <c r="F704" s="80"/>
      <c r="G704" s="80"/>
      <c r="H704" s="80"/>
      <c r="I704" s="135"/>
      <c r="J704" s="178"/>
      <c r="K704" s="81"/>
      <c r="L704" s="365"/>
      <c r="M704" s="80"/>
      <c r="N704" s="195"/>
      <c r="O704" s="81"/>
      <c r="P704" s="146"/>
      <c r="Q704" s="146"/>
      <c r="R704" s="146"/>
      <c r="S704" s="149"/>
      <c r="T704" s="149"/>
      <c r="U704" s="149"/>
      <c r="V704" s="149"/>
      <c r="W704" s="149"/>
      <c r="X704" s="149"/>
      <c r="Y704" s="149"/>
      <c r="Z704" s="149"/>
    </row>
    <row r="705" spans="1:26" ht="55.5" customHeight="1">
      <c r="A705" s="143" t="s">
        <v>736</v>
      </c>
      <c r="B705" s="194" t="s">
        <v>628</v>
      </c>
      <c r="C705" s="178">
        <v>0</v>
      </c>
      <c r="D705" s="178">
        <v>1</v>
      </c>
      <c r="E705" s="80">
        <v>0</v>
      </c>
      <c r="F705" s="80">
        <v>1</v>
      </c>
      <c r="G705" s="80">
        <v>1</v>
      </c>
      <c r="H705" s="80">
        <v>0</v>
      </c>
      <c r="I705" s="135" t="s">
        <v>38</v>
      </c>
      <c r="J705" s="81" t="s">
        <v>3844</v>
      </c>
      <c r="K705" s="81" t="s">
        <v>748</v>
      </c>
      <c r="L705" s="81" t="s">
        <v>811</v>
      </c>
      <c r="M705" s="81" t="s">
        <v>748</v>
      </c>
      <c r="N705" s="195" t="s">
        <v>748</v>
      </c>
      <c r="O705" s="81" t="s">
        <v>3845</v>
      </c>
      <c r="P705" s="146"/>
      <c r="Q705" s="146"/>
      <c r="R705" s="146"/>
      <c r="S705" s="149"/>
      <c r="T705" s="149"/>
      <c r="U705" s="149"/>
      <c r="V705" s="149"/>
      <c r="W705" s="149"/>
      <c r="X705" s="149"/>
      <c r="Y705" s="149"/>
      <c r="Z705" s="149"/>
    </row>
    <row r="706" spans="1:26" ht="13.5" customHeight="1">
      <c r="A706" s="143"/>
      <c r="B706" s="194"/>
      <c r="C706" s="178"/>
      <c r="D706" s="178"/>
      <c r="E706" s="80"/>
      <c r="F706" s="80"/>
      <c r="G706" s="80"/>
      <c r="H706" s="80"/>
      <c r="I706" s="135"/>
      <c r="J706" s="81"/>
      <c r="K706" s="81"/>
      <c r="L706" s="365"/>
      <c r="M706" s="81"/>
      <c r="N706" s="195"/>
      <c r="O706" s="81"/>
      <c r="P706" s="146"/>
      <c r="Q706" s="146"/>
      <c r="R706" s="146"/>
      <c r="S706" s="149"/>
      <c r="T706" s="149"/>
      <c r="U706" s="149"/>
      <c r="V706" s="149"/>
      <c r="W706" s="149"/>
      <c r="X706" s="149"/>
      <c r="Y706" s="149"/>
      <c r="Z706" s="149"/>
    </row>
    <row r="707" spans="1:26" ht="48" customHeight="1">
      <c r="A707" s="143" t="s">
        <v>736</v>
      </c>
      <c r="B707" s="194" t="s">
        <v>629</v>
      </c>
      <c r="C707" s="178">
        <v>1</v>
      </c>
      <c r="D707" s="178">
        <v>1</v>
      </c>
      <c r="E707" s="80">
        <v>0</v>
      </c>
      <c r="F707" s="80">
        <v>1</v>
      </c>
      <c r="G707" s="80">
        <v>1</v>
      </c>
      <c r="H707" s="80">
        <v>0</v>
      </c>
      <c r="I707" s="135" t="s">
        <v>38</v>
      </c>
      <c r="J707" s="81" t="s">
        <v>748</v>
      </c>
      <c r="K707" s="81" t="s">
        <v>748</v>
      </c>
      <c r="L707" s="81" t="s">
        <v>811</v>
      </c>
      <c r="M707" s="81" t="s">
        <v>748</v>
      </c>
      <c r="N707" s="195" t="s">
        <v>748</v>
      </c>
      <c r="O707" s="81" t="s">
        <v>3845</v>
      </c>
      <c r="P707" s="146"/>
      <c r="Q707" s="146"/>
      <c r="R707" s="146"/>
      <c r="S707" s="149"/>
      <c r="T707" s="149"/>
      <c r="U707" s="149"/>
      <c r="V707" s="149"/>
      <c r="W707" s="149"/>
      <c r="X707" s="149"/>
      <c r="Y707" s="149"/>
      <c r="Z707" s="149"/>
    </row>
    <row r="708" spans="1:26" ht="13.5" customHeight="1">
      <c r="A708" s="143"/>
      <c r="B708" s="568"/>
      <c r="C708" s="354"/>
      <c r="D708" s="75"/>
      <c r="E708" s="343"/>
      <c r="F708" s="87"/>
      <c r="G708" s="271"/>
      <c r="H708" s="87"/>
      <c r="I708" s="135"/>
      <c r="J708" s="75"/>
      <c r="K708" s="953"/>
      <c r="L708" s="75"/>
      <c r="M708" s="75"/>
      <c r="N708" s="75"/>
      <c r="O708" s="75"/>
      <c r="P708" s="146"/>
      <c r="Q708" s="146"/>
      <c r="R708" s="146"/>
      <c r="S708" s="149"/>
      <c r="T708" s="149"/>
      <c r="U708" s="149"/>
      <c r="V708" s="149"/>
      <c r="W708" s="149"/>
      <c r="X708" s="149"/>
      <c r="Y708" s="149"/>
      <c r="Z708" s="149"/>
    </row>
    <row r="709" spans="1:26" ht="13.5" customHeight="1">
      <c r="A709" s="570" t="s">
        <v>441</v>
      </c>
      <c r="B709" s="133" t="s">
        <v>630</v>
      </c>
      <c r="C709" s="279">
        <f t="shared" ref="C709:H709" si="140">AVERAGE(C710,C712,C714)</f>
        <v>0.66666666666666663</v>
      </c>
      <c r="D709" s="279">
        <f t="shared" si="140"/>
        <v>1</v>
      </c>
      <c r="E709" s="279">
        <f t="shared" si="140"/>
        <v>0.66666666666666663</v>
      </c>
      <c r="F709" s="279">
        <f t="shared" si="140"/>
        <v>1</v>
      </c>
      <c r="G709" s="279">
        <f t="shared" si="140"/>
        <v>1</v>
      </c>
      <c r="H709" s="279">
        <f t="shared" si="140"/>
        <v>1</v>
      </c>
      <c r="I709" s="135"/>
      <c r="J709" s="74"/>
      <c r="K709" s="206"/>
      <c r="L709" s="203"/>
      <c r="M709" s="203"/>
      <c r="N709" s="203"/>
      <c r="O709" s="203"/>
      <c r="P709" s="205"/>
      <c r="Q709" s="205"/>
      <c r="R709" s="205"/>
      <c r="S709" s="206"/>
      <c r="T709" s="206"/>
      <c r="U709" s="206"/>
      <c r="V709" s="206"/>
      <c r="W709" s="206"/>
      <c r="X709" s="206"/>
      <c r="Y709" s="206"/>
      <c r="Z709" s="206"/>
    </row>
    <row r="710" spans="1:26" ht="13.5" customHeight="1">
      <c r="A710" s="143" t="s">
        <v>736</v>
      </c>
      <c r="B710" s="194" t="s">
        <v>2091</v>
      </c>
      <c r="C710" s="178">
        <v>1</v>
      </c>
      <c r="D710" s="178">
        <v>1</v>
      </c>
      <c r="E710" s="80">
        <v>1</v>
      </c>
      <c r="F710" s="80">
        <v>1</v>
      </c>
      <c r="G710" s="80">
        <v>1</v>
      </c>
      <c r="H710" s="80">
        <v>1</v>
      </c>
      <c r="I710" s="135" t="s">
        <v>38</v>
      </c>
      <c r="J710" s="81" t="s">
        <v>811</v>
      </c>
      <c r="K710" s="81" t="s">
        <v>811</v>
      </c>
      <c r="L710" s="170" t="s">
        <v>811</v>
      </c>
      <c r="M710" s="170" t="s">
        <v>811</v>
      </c>
      <c r="N710" s="170" t="s">
        <v>811</v>
      </c>
      <c r="O710" s="170" t="s">
        <v>811</v>
      </c>
      <c r="P710" s="146"/>
      <c r="Q710" s="146"/>
      <c r="R710" s="146"/>
      <c r="S710" s="149"/>
      <c r="T710" s="149"/>
      <c r="U710" s="149"/>
      <c r="V710" s="149"/>
      <c r="W710" s="149"/>
      <c r="X710" s="149"/>
      <c r="Y710" s="149"/>
      <c r="Z710" s="149"/>
    </row>
    <row r="711" spans="1:26" ht="13.5" customHeight="1">
      <c r="A711" s="143"/>
      <c r="B711" s="194"/>
      <c r="C711" s="178"/>
      <c r="D711" s="178"/>
      <c r="E711" s="80"/>
      <c r="F711" s="80"/>
      <c r="G711" s="80"/>
      <c r="H711" s="80"/>
      <c r="I711" s="135"/>
      <c r="J711" s="81"/>
      <c r="K711" s="81"/>
      <c r="L711" s="170"/>
      <c r="M711" s="170"/>
      <c r="N711" s="170"/>
      <c r="O711" s="170"/>
      <c r="P711" s="146"/>
      <c r="Q711" s="146"/>
      <c r="R711" s="146"/>
      <c r="S711" s="149"/>
      <c r="T711" s="149"/>
      <c r="U711" s="149"/>
      <c r="V711" s="149"/>
      <c r="W711" s="149"/>
      <c r="X711" s="149"/>
      <c r="Y711" s="149"/>
      <c r="Z711" s="149"/>
    </row>
    <row r="712" spans="1:26" ht="27.75" customHeight="1">
      <c r="A712" s="143" t="s">
        <v>736</v>
      </c>
      <c r="B712" s="194" t="s">
        <v>2092</v>
      </c>
      <c r="C712" s="178">
        <v>1</v>
      </c>
      <c r="D712" s="178">
        <v>1</v>
      </c>
      <c r="E712" s="80">
        <v>1</v>
      </c>
      <c r="F712" s="80">
        <v>1</v>
      </c>
      <c r="G712" s="80">
        <v>1</v>
      </c>
      <c r="H712" s="80">
        <v>1</v>
      </c>
      <c r="I712" s="135" t="s">
        <v>38</v>
      </c>
      <c r="J712" s="81" t="s">
        <v>811</v>
      </c>
      <c r="K712" s="81" t="s">
        <v>811</v>
      </c>
      <c r="L712" s="170" t="s">
        <v>811</v>
      </c>
      <c r="M712" s="170" t="s">
        <v>811</v>
      </c>
      <c r="N712" s="170" t="s">
        <v>811</v>
      </c>
      <c r="O712" s="170" t="s">
        <v>811</v>
      </c>
      <c r="P712" s="146"/>
      <c r="Q712" s="146"/>
      <c r="R712" s="146"/>
      <c r="S712" s="149"/>
      <c r="T712" s="149"/>
      <c r="U712" s="149"/>
      <c r="V712" s="149"/>
      <c r="W712" s="149"/>
      <c r="X712" s="149"/>
      <c r="Y712" s="149"/>
      <c r="Z712" s="149"/>
    </row>
    <row r="713" spans="1:26" ht="13.5" customHeight="1">
      <c r="A713" s="143"/>
      <c r="B713" s="194"/>
      <c r="C713" s="178"/>
      <c r="D713" s="178"/>
      <c r="E713" s="80"/>
      <c r="F713" s="80"/>
      <c r="G713" s="80"/>
      <c r="H713" s="80"/>
      <c r="I713" s="135"/>
      <c r="J713" s="81"/>
      <c r="K713" s="945"/>
      <c r="L713" s="170"/>
      <c r="M713" s="170"/>
      <c r="N713" s="170"/>
      <c r="O713" s="170"/>
      <c r="P713" s="146"/>
      <c r="Q713" s="146"/>
      <c r="R713" s="146"/>
      <c r="S713" s="149"/>
      <c r="T713" s="149"/>
      <c r="U713" s="149"/>
      <c r="V713" s="149"/>
      <c r="W713" s="149"/>
      <c r="X713" s="149"/>
      <c r="Y713" s="149"/>
      <c r="Z713" s="149"/>
    </row>
    <row r="714" spans="1:26" ht="48.75" customHeight="1">
      <c r="A714" s="143" t="s">
        <v>736</v>
      </c>
      <c r="B714" s="194" t="s">
        <v>631</v>
      </c>
      <c r="C714" s="962">
        <v>0</v>
      </c>
      <c r="D714" s="962">
        <v>1</v>
      </c>
      <c r="E714" s="80">
        <v>0</v>
      </c>
      <c r="F714" s="944">
        <v>1</v>
      </c>
      <c r="G714" s="944">
        <v>1</v>
      </c>
      <c r="H714" s="944">
        <v>1</v>
      </c>
      <c r="I714" s="135" t="s">
        <v>632</v>
      </c>
      <c r="J714" s="182" t="s">
        <v>3846</v>
      </c>
      <c r="K714" s="170" t="s">
        <v>748</v>
      </c>
      <c r="L714" s="81" t="s">
        <v>3847</v>
      </c>
      <c r="M714" s="170" t="s">
        <v>748</v>
      </c>
      <c r="N714" s="170" t="s">
        <v>748</v>
      </c>
      <c r="O714" s="170" t="s">
        <v>748</v>
      </c>
      <c r="P714" s="146"/>
      <c r="Q714" s="146"/>
      <c r="R714" s="146"/>
      <c r="S714" s="149"/>
      <c r="T714" s="149"/>
      <c r="U714" s="149"/>
      <c r="V714" s="149"/>
      <c r="W714" s="149"/>
      <c r="X714" s="149"/>
      <c r="Y714" s="149"/>
      <c r="Z714" s="149"/>
    </row>
    <row r="715" spans="1:26" ht="13.5" customHeight="1">
      <c r="A715" s="143"/>
      <c r="B715" s="568"/>
      <c r="C715" s="354"/>
      <c r="D715" s="75"/>
      <c r="E715" s="343"/>
      <c r="F715" s="87"/>
      <c r="G715" s="271"/>
      <c r="H715" s="87"/>
      <c r="I715" s="135"/>
      <c r="J715" s="198"/>
      <c r="K715" s="198"/>
      <c r="L715" s="198"/>
      <c r="M715" s="75"/>
      <c r="N715" s="75"/>
      <c r="O715" s="75"/>
      <c r="P715" s="146"/>
      <c r="Q715" s="146"/>
      <c r="R715" s="146"/>
      <c r="S715" s="149"/>
      <c r="T715" s="149"/>
      <c r="U715" s="149"/>
      <c r="V715" s="149"/>
      <c r="W715" s="149"/>
      <c r="X715" s="149"/>
      <c r="Y715" s="149"/>
      <c r="Z715" s="149"/>
    </row>
    <row r="716" spans="1:26" ht="139.5" customHeight="1">
      <c r="A716" s="570" t="s">
        <v>2095</v>
      </c>
      <c r="B716" s="133" t="s">
        <v>2096</v>
      </c>
      <c r="C716" s="279">
        <f t="shared" ref="C716:H716" si="141">AVERAGE(C717,C719,C721,C723)</f>
        <v>0.54054054054054057</v>
      </c>
      <c r="D716" s="279">
        <f t="shared" si="141"/>
        <v>0.7810810810810811</v>
      </c>
      <c r="E716" s="279">
        <f t="shared" si="141"/>
        <v>0.5</v>
      </c>
      <c r="F716" s="279">
        <f t="shared" si="141"/>
        <v>1</v>
      </c>
      <c r="G716" s="279">
        <f t="shared" si="141"/>
        <v>0.48175675675675678</v>
      </c>
      <c r="H716" s="279">
        <f t="shared" si="141"/>
        <v>0.5</v>
      </c>
      <c r="I716" s="135"/>
      <c r="J716" s="74"/>
      <c r="K716" s="138"/>
      <c r="L716" s="74"/>
      <c r="M716" s="74"/>
      <c r="N716" s="74"/>
      <c r="O716" s="74"/>
      <c r="P716" s="137"/>
      <c r="Q716" s="137"/>
      <c r="R716" s="137"/>
      <c r="S716" s="138"/>
      <c r="T716" s="138"/>
      <c r="U716" s="138"/>
      <c r="V716" s="138"/>
      <c r="W716" s="138"/>
      <c r="X716" s="138"/>
      <c r="Y716" s="138"/>
      <c r="Z716" s="138"/>
    </row>
    <row r="717" spans="1:26" ht="48" customHeight="1">
      <c r="A717" s="143" t="s">
        <v>736</v>
      </c>
      <c r="B717" s="194" t="s">
        <v>2097</v>
      </c>
      <c r="C717" s="178">
        <v>1</v>
      </c>
      <c r="D717" s="178">
        <v>1</v>
      </c>
      <c r="E717" s="80">
        <v>1</v>
      </c>
      <c r="F717" s="80">
        <v>1</v>
      </c>
      <c r="G717" s="80">
        <v>1</v>
      </c>
      <c r="H717" s="80">
        <v>1</v>
      </c>
      <c r="I717" s="135" t="s">
        <v>38</v>
      </c>
      <c r="J717" s="81" t="s">
        <v>811</v>
      </c>
      <c r="K717" s="81" t="s">
        <v>811</v>
      </c>
      <c r="L717" s="81" t="s">
        <v>3848</v>
      </c>
      <c r="M717" s="81" t="s">
        <v>811</v>
      </c>
      <c r="N717" s="81" t="s">
        <v>811</v>
      </c>
      <c r="O717" s="81" t="s">
        <v>3849</v>
      </c>
      <c r="P717" s="146"/>
      <c r="Q717" s="146"/>
      <c r="R717" s="146"/>
      <c r="S717" s="149"/>
      <c r="T717" s="149"/>
      <c r="U717" s="149"/>
      <c r="V717" s="149"/>
      <c r="W717" s="149"/>
      <c r="X717" s="149"/>
      <c r="Y717" s="149"/>
      <c r="Z717" s="149"/>
    </row>
    <row r="718" spans="1:26" ht="13.5" customHeight="1">
      <c r="A718" s="143"/>
      <c r="B718" s="194"/>
      <c r="C718" s="178"/>
      <c r="D718" s="178"/>
      <c r="E718" s="80"/>
      <c r="F718" s="80"/>
      <c r="G718" s="80"/>
      <c r="H718" s="80"/>
      <c r="I718" s="135"/>
      <c r="J718" s="178"/>
      <c r="K718" s="81"/>
      <c r="L718" s="365"/>
      <c r="M718" s="81"/>
      <c r="N718" s="81"/>
      <c r="O718" s="81"/>
      <c r="P718" s="146"/>
      <c r="Q718" s="146"/>
      <c r="R718" s="146"/>
      <c r="S718" s="149"/>
      <c r="T718" s="149"/>
      <c r="U718" s="149"/>
      <c r="V718" s="149"/>
      <c r="W718" s="149"/>
      <c r="X718" s="149"/>
      <c r="Y718" s="149"/>
      <c r="Z718" s="149"/>
    </row>
    <row r="719" spans="1:26" ht="42" customHeight="1">
      <c r="A719" s="143" t="s">
        <v>736</v>
      </c>
      <c r="B719" s="194" t="s">
        <v>2099</v>
      </c>
      <c r="C719" s="178">
        <f>(6-0)/(37-0)</f>
        <v>0.16216216216216217</v>
      </c>
      <c r="D719" s="178">
        <f>(12-0)/(37-0)</f>
        <v>0.32432432432432434</v>
      </c>
      <c r="E719" s="323" t="s">
        <v>877</v>
      </c>
      <c r="F719" s="80">
        <v>1</v>
      </c>
      <c r="G719" s="80">
        <f>(1-0)/(37-0)</f>
        <v>2.7027027027027029E-2</v>
      </c>
      <c r="H719" s="80">
        <v>0</v>
      </c>
      <c r="I719" s="135" t="s">
        <v>2038</v>
      </c>
      <c r="J719" s="81">
        <v>6</v>
      </c>
      <c r="K719" s="945">
        <v>12</v>
      </c>
      <c r="L719" s="81" t="s">
        <v>3850</v>
      </c>
      <c r="M719" s="182">
        <v>37</v>
      </c>
      <c r="N719" s="81">
        <v>1</v>
      </c>
      <c r="O719" s="81" t="s">
        <v>3851</v>
      </c>
      <c r="P719" s="146"/>
      <c r="Q719" s="146"/>
      <c r="R719" s="146"/>
      <c r="S719" s="149"/>
      <c r="T719" s="149"/>
      <c r="U719" s="149"/>
      <c r="V719" s="149"/>
      <c r="W719" s="149"/>
      <c r="X719" s="149"/>
      <c r="Y719" s="149"/>
      <c r="Z719" s="149"/>
    </row>
    <row r="720" spans="1:26" ht="13.5" customHeight="1">
      <c r="A720" s="143"/>
      <c r="B720" s="194"/>
      <c r="C720" s="178"/>
      <c r="D720" s="178"/>
      <c r="E720" s="80"/>
      <c r="F720" s="80"/>
      <c r="G720" s="80"/>
      <c r="H720" s="80"/>
      <c r="I720" s="135"/>
      <c r="J720" s="81"/>
      <c r="K720" s="81"/>
      <c r="L720" s="365"/>
      <c r="M720" s="80"/>
      <c r="N720" s="195"/>
      <c r="O720" s="81"/>
      <c r="P720" s="146"/>
      <c r="Q720" s="146"/>
      <c r="R720" s="146"/>
      <c r="S720" s="149"/>
      <c r="T720" s="149"/>
      <c r="U720" s="149"/>
      <c r="V720" s="149"/>
      <c r="W720" s="149"/>
      <c r="X720" s="149"/>
      <c r="Y720" s="149"/>
      <c r="Z720" s="149"/>
    </row>
    <row r="721" spans="1:26" ht="68.25" customHeight="1">
      <c r="A721" s="143" t="s">
        <v>736</v>
      </c>
      <c r="B721" s="194" t="s">
        <v>2103</v>
      </c>
      <c r="C721" s="962">
        <v>0</v>
      </c>
      <c r="D721" s="962">
        <v>0.8</v>
      </c>
      <c r="E721" s="323" t="s">
        <v>3550</v>
      </c>
      <c r="F721" s="944">
        <v>1</v>
      </c>
      <c r="G721" s="944">
        <v>0.9</v>
      </c>
      <c r="H721" s="944">
        <v>1</v>
      </c>
      <c r="I721" s="955" t="s">
        <v>2104</v>
      </c>
      <c r="J721" s="81">
        <v>10</v>
      </c>
      <c r="K721" s="81" t="s">
        <v>3852</v>
      </c>
      <c r="L721" s="81" t="s">
        <v>3850</v>
      </c>
      <c r="M721" s="81">
        <v>0</v>
      </c>
      <c r="N721" s="81">
        <v>1</v>
      </c>
      <c r="O721" s="81">
        <v>0</v>
      </c>
      <c r="P721" s="146"/>
      <c r="Q721" s="146"/>
      <c r="R721" s="146"/>
      <c r="S721" s="149"/>
      <c r="T721" s="149"/>
      <c r="U721" s="149"/>
      <c r="V721" s="149"/>
      <c r="W721" s="149"/>
      <c r="X721" s="149"/>
      <c r="Y721" s="149"/>
      <c r="Z721" s="149"/>
    </row>
    <row r="722" spans="1:26" ht="13.5" customHeight="1">
      <c r="A722" s="143"/>
      <c r="B722" s="194"/>
      <c r="C722" s="178"/>
      <c r="D722" s="178"/>
      <c r="E722" s="80"/>
      <c r="F722" s="80"/>
      <c r="G722" s="80"/>
      <c r="H722" s="80"/>
      <c r="I722" s="135"/>
      <c r="J722" s="81"/>
      <c r="K722" s="945"/>
      <c r="L722" s="81"/>
      <c r="M722" s="81"/>
      <c r="N722" s="81"/>
      <c r="O722" s="81"/>
      <c r="P722" s="146"/>
      <c r="Q722" s="146"/>
      <c r="R722" s="146"/>
      <c r="S722" s="149"/>
      <c r="T722" s="149"/>
      <c r="U722" s="149"/>
      <c r="V722" s="149"/>
      <c r="W722" s="149"/>
      <c r="X722" s="149"/>
      <c r="Y722" s="149"/>
      <c r="Z722" s="149"/>
    </row>
    <row r="723" spans="1:26" ht="97.5" customHeight="1">
      <c r="A723" s="143" t="s">
        <v>736</v>
      </c>
      <c r="B723" s="194" t="s">
        <v>2105</v>
      </c>
      <c r="C723" s="178">
        <v>1</v>
      </c>
      <c r="D723" s="178">
        <v>1</v>
      </c>
      <c r="E723" s="80">
        <v>0</v>
      </c>
      <c r="F723" s="80">
        <v>1</v>
      </c>
      <c r="G723" s="80">
        <v>0</v>
      </c>
      <c r="H723" s="80">
        <v>0</v>
      </c>
      <c r="I723" s="135" t="s">
        <v>38</v>
      </c>
      <c r="J723" s="81" t="s">
        <v>2106</v>
      </c>
      <c r="K723" s="81" t="s">
        <v>2107</v>
      </c>
      <c r="L723" s="81" t="s">
        <v>748</v>
      </c>
      <c r="M723" s="81" t="s">
        <v>2108</v>
      </c>
      <c r="N723" s="365" t="s">
        <v>748</v>
      </c>
      <c r="O723" s="365" t="s">
        <v>748</v>
      </c>
      <c r="P723" s="146"/>
      <c r="Q723" s="146"/>
      <c r="R723" s="146"/>
      <c r="S723" s="149"/>
      <c r="T723" s="149"/>
      <c r="U723" s="149"/>
      <c r="V723" s="149"/>
      <c r="W723" s="149"/>
      <c r="X723" s="149"/>
      <c r="Y723" s="149"/>
      <c r="Z723" s="149"/>
    </row>
    <row r="724" spans="1:26" ht="13.5" customHeight="1">
      <c r="A724" s="419"/>
      <c r="B724" s="931"/>
      <c r="C724" s="354"/>
      <c r="D724" s="75"/>
      <c r="E724" s="343"/>
      <c r="F724" s="87"/>
      <c r="G724" s="271"/>
      <c r="H724" s="87"/>
      <c r="I724" s="135"/>
      <c r="J724" s="75"/>
      <c r="K724" s="953"/>
      <c r="L724" s="75"/>
      <c r="M724" s="75"/>
      <c r="N724" s="75"/>
      <c r="O724" s="75"/>
      <c r="P724" s="146"/>
      <c r="Q724" s="146"/>
      <c r="R724" s="146"/>
      <c r="S724" s="149"/>
      <c r="T724" s="149"/>
      <c r="U724" s="149"/>
      <c r="V724" s="149"/>
      <c r="W724" s="149"/>
      <c r="X724" s="149"/>
      <c r="Y724" s="149"/>
      <c r="Z724" s="149"/>
    </row>
    <row r="725" spans="1:26" ht="13.5" customHeight="1">
      <c r="A725" s="570" t="s">
        <v>2109</v>
      </c>
      <c r="B725" s="133" t="s">
        <v>639</v>
      </c>
      <c r="C725" s="279">
        <f t="shared" ref="C725:H725" si="142">AVERAGE(C726,C728,C730,C732,C734)</f>
        <v>0.6</v>
      </c>
      <c r="D725" s="279">
        <f t="shared" si="142"/>
        <v>0.8</v>
      </c>
      <c r="E725" s="279">
        <f t="shared" si="142"/>
        <v>0.1</v>
      </c>
      <c r="F725" s="279">
        <f t="shared" si="142"/>
        <v>1</v>
      </c>
      <c r="G725" s="279">
        <f t="shared" si="142"/>
        <v>0.4</v>
      </c>
      <c r="H725" s="279">
        <f t="shared" si="142"/>
        <v>0</v>
      </c>
      <c r="I725" s="135"/>
      <c r="J725" s="74"/>
      <c r="K725" s="206"/>
      <c r="L725" s="203"/>
      <c r="M725" s="203"/>
      <c r="N725" s="203"/>
      <c r="O725" s="203"/>
      <c r="P725" s="205"/>
      <c r="Q725" s="205"/>
      <c r="R725" s="205"/>
      <c r="S725" s="206"/>
      <c r="T725" s="206"/>
      <c r="U725" s="206"/>
      <c r="V725" s="206"/>
      <c r="W725" s="206"/>
      <c r="X725" s="206"/>
      <c r="Y725" s="206"/>
      <c r="Z725" s="206"/>
    </row>
    <row r="726" spans="1:26" ht="109.5" customHeight="1">
      <c r="A726" s="143" t="s">
        <v>736</v>
      </c>
      <c r="B726" s="194" t="s">
        <v>640</v>
      </c>
      <c r="C726" s="178">
        <v>1</v>
      </c>
      <c r="D726" s="178">
        <v>1</v>
      </c>
      <c r="E726" s="80">
        <v>0</v>
      </c>
      <c r="F726" s="80">
        <v>1</v>
      </c>
      <c r="G726" s="80">
        <v>1</v>
      </c>
      <c r="H726" s="80">
        <v>0</v>
      </c>
      <c r="I726" s="135" t="s">
        <v>38</v>
      </c>
      <c r="J726" s="81" t="s">
        <v>811</v>
      </c>
      <c r="K726" s="81" t="s">
        <v>3853</v>
      </c>
      <c r="L726" s="365" t="s">
        <v>748</v>
      </c>
      <c r="M726" s="81" t="s">
        <v>811</v>
      </c>
      <c r="N726" s="366" t="s">
        <v>3854</v>
      </c>
      <c r="O726" s="81" t="s">
        <v>3855</v>
      </c>
      <c r="P726" s="146"/>
      <c r="Q726" s="146"/>
      <c r="R726" s="146"/>
      <c r="S726" s="149"/>
      <c r="T726" s="149"/>
      <c r="U726" s="149"/>
      <c r="V726" s="149"/>
      <c r="W726" s="149"/>
      <c r="X726" s="149"/>
      <c r="Y726" s="149"/>
      <c r="Z726" s="149"/>
    </row>
    <row r="727" spans="1:26" ht="13.5" customHeight="1">
      <c r="A727" s="143"/>
      <c r="B727" s="194"/>
      <c r="C727" s="178"/>
      <c r="D727" s="178"/>
      <c r="E727" s="80"/>
      <c r="F727" s="80"/>
      <c r="G727" s="80"/>
      <c r="H727" s="80"/>
      <c r="I727" s="135"/>
      <c r="J727" s="81"/>
      <c r="K727" s="81"/>
      <c r="L727" s="365"/>
      <c r="M727" s="81"/>
      <c r="N727" s="195"/>
      <c r="O727" s="80"/>
      <c r="P727" s="146"/>
      <c r="Q727" s="146"/>
      <c r="R727" s="146"/>
      <c r="S727" s="149"/>
      <c r="T727" s="149"/>
      <c r="U727" s="149"/>
      <c r="V727" s="149"/>
      <c r="W727" s="149"/>
      <c r="X727" s="149"/>
      <c r="Y727" s="149"/>
      <c r="Z727" s="149"/>
    </row>
    <row r="728" spans="1:26" ht="84" customHeight="1">
      <c r="A728" s="143" t="s">
        <v>736</v>
      </c>
      <c r="B728" s="194" t="s">
        <v>641</v>
      </c>
      <c r="C728" s="178">
        <v>0</v>
      </c>
      <c r="D728" s="178">
        <v>1</v>
      </c>
      <c r="E728" s="80">
        <v>0</v>
      </c>
      <c r="F728" s="80">
        <v>1</v>
      </c>
      <c r="G728" s="80">
        <v>1</v>
      </c>
      <c r="H728" s="80">
        <v>0</v>
      </c>
      <c r="I728" s="135" t="s">
        <v>38</v>
      </c>
      <c r="J728" s="81" t="s">
        <v>748</v>
      </c>
      <c r="K728" s="81" t="s">
        <v>811</v>
      </c>
      <c r="L728" s="365" t="s">
        <v>748</v>
      </c>
      <c r="M728" s="81" t="s">
        <v>811</v>
      </c>
      <c r="N728" s="362" t="s">
        <v>3856</v>
      </c>
      <c r="O728" s="170" t="s">
        <v>748</v>
      </c>
      <c r="P728" s="146"/>
      <c r="Q728" s="146"/>
      <c r="R728" s="146"/>
      <c r="S728" s="149"/>
      <c r="T728" s="149"/>
      <c r="U728" s="149"/>
      <c r="V728" s="149"/>
      <c r="W728" s="149"/>
      <c r="X728" s="149"/>
      <c r="Y728" s="149"/>
      <c r="Z728" s="149"/>
    </row>
    <row r="729" spans="1:26" ht="13.5" customHeight="1">
      <c r="A729" s="143"/>
      <c r="B729" s="194"/>
      <c r="C729" s="178"/>
      <c r="D729" s="178"/>
      <c r="E729" s="80"/>
      <c r="F729" s="80"/>
      <c r="G729" s="80"/>
      <c r="H729" s="80"/>
      <c r="I729" s="135"/>
      <c r="J729" s="81"/>
      <c r="K729" s="81"/>
      <c r="L729" s="365"/>
      <c r="M729" s="81"/>
      <c r="N729" s="170"/>
      <c r="O729" s="80"/>
      <c r="P729" s="146"/>
      <c r="Q729" s="146"/>
      <c r="R729" s="146"/>
      <c r="S729" s="149"/>
      <c r="T729" s="149"/>
      <c r="U729" s="149"/>
      <c r="V729" s="149"/>
      <c r="W729" s="149"/>
      <c r="X729" s="149"/>
      <c r="Y729" s="149"/>
      <c r="Z729" s="149"/>
    </row>
    <row r="730" spans="1:26" ht="103.5" customHeight="1">
      <c r="A730" s="143" t="s">
        <v>736</v>
      </c>
      <c r="B730" s="194" t="s">
        <v>2114</v>
      </c>
      <c r="C730" s="178">
        <v>1</v>
      </c>
      <c r="D730" s="178">
        <v>1</v>
      </c>
      <c r="E730" s="80">
        <v>0.5</v>
      </c>
      <c r="F730" s="80">
        <v>1</v>
      </c>
      <c r="G730" s="80">
        <v>0</v>
      </c>
      <c r="H730" s="80">
        <v>0</v>
      </c>
      <c r="I730" s="135" t="s">
        <v>3857</v>
      </c>
      <c r="J730" s="81" t="s">
        <v>811</v>
      </c>
      <c r="K730" s="182" t="s">
        <v>811</v>
      </c>
      <c r="L730" s="170" t="s">
        <v>2115</v>
      </c>
      <c r="M730" s="81" t="s">
        <v>811</v>
      </c>
      <c r="N730" s="195" t="s">
        <v>748</v>
      </c>
      <c r="O730" s="81" t="s">
        <v>3858</v>
      </c>
      <c r="P730" s="146"/>
      <c r="Q730" s="146"/>
      <c r="R730" s="146"/>
      <c r="S730" s="149"/>
      <c r="T730" s="149"/>
      <c r="U730" s="149"/>
      <c r="V730" s="149"/>
      <c r="W730" s="149"/>
      <c r="X730" s="149"/>
      <c r="Y730" s="149"/>
      <c r="Z730" s="149"/>
    </row>
    <row r="731" spans="1:26" ht="13.5" customHeight="1">
      <c r="A731" s="143"/>
      <c r="B731" s="194"/>
      <c r="C731" s="178"/>
      <c r="D731" s="178"/>
      <c r="E731" s="80"/>
      <c r="F731" s="80"/>
      <c r="G731" s="80"/>
      <c r="H731" s="80"/>
      <c r="I731" s="135"/>
      <c r="J731" s="81"/>
      <c r="K731" s="81" t="s">
        <v>748</v>
      </c>
      <c r="L731" s="365"/>
      <c r="M731" s="81"/>
      <c r="N731" s="195"/>
      <c r="O731" s="80"/>
      <c r="P731" s="146"/>
      <c r="Q731" s="146"/>
      <c r="R731" s="146"/>
      <c r="S731" s="149"/>
      <c r="T731" s="149"/>
      <c r="U731" s="149"/>
      <c r="V731" s="149"/>
      <c r="W731" s="149"/>
      <c r="X731" s="149"/>
      <c r="Y731" s="149"/>
      <c r="Z731" s="149"/>
    </row>
    <row r="732" spans="1:26" ht="69.75" customHeight="1">
      <c r="A732" s="143" t="s">
        <v>736</v>
      </c>
      <c r="B732" s="194" t="s">
        <v>2117</v>
      </c>
      <c r="C732" s="178">
        <v>0</v>
      </c>
      <c r="D732" s="178">
        <v>1</v>
      </c>
      <c r="E732" s="80">
        <v>0</v>
      </c>
      <c r="F732" s="80">
        <v>1</v>
      </c>
      <c r="G732" s="80">
        <v>0</v>
      </c>
      <c r="H732" s="80">
        <v>0</v>
      </c>
      <c r="I732" s="135" t="s">
        <v>38</v>
      </c>
      <c r="J732" s="81" t="s">
        <v>748</v>
      </c>
      <c r="K732" s="182" t="s">
        <v>811</v>
      </c>
      <c r="L732" s="170" t="s">
        <v>748</v>
      </c>
      <c r="M732" s="81" t="s">
        <v>811</v>
      </c>
      <c r="N732" s="195" t="s">
        <v>748</v>
      </c>
      <c r="O732" s="170" t="s">
        <v>748</v>
      </c>
      <c r="P732" s="146"/>
      <c r="Q732" s="146"/>
      <c r="R732" s="146"/>
      <c r="S732" s="149"/>
      <c r="T732" s="149"/>
      <c r="U732" s="149"/>
      <c r="V732" s="149"/>
      <c r="W732" s="149"/>
      <c r="X732" s="149"/>
      <c r="Y732" s="149"/>
      <c r="Z732" s="149"/>
    </row>
    <row r="733" spans="1:26" ht="13.5" customHeight="1">
      <c r="A733" s="143"/>
      <c r="B733" s="194"/>
      <c r="C733" s="178"/>
      <c r="D733" s="178"/>
      <c r="E733" s="80"/>
      <c r="F733" s="80"/>
      <c r="G733" s="80"/>
      <c r="H733" s="80"/>
      <c r="I733" s="135"/>
      <c r="J733" s="178"/>
      <c r="K733" s="81"/>
      <c r="L733" s="80"/>
      <c r="M733" s="80"/>
      <c r="N733" s="80"/>
      <c r="O733" s="80"/>
      <c r="P733" s="146"/>
      <c r="Q733" s="146"/>
      <c r="R733" s="146"/>
      <c r="S733" s="149"/>
      <c r="T733" s="149"/>
      <c r="U733" s="149"/>
      <c r="V733" s="149"/>
      <c r="W733" s="149"/>
      <c r="X733" s="149"/>
      <c r="Y733" s="149"/>
      <c r="Z733" s="149"/>
    </row>
    <row r="734" spans="1:26" ht="85.5" customHeight="1">
      <c r="A734" s="143" t="s">
        <v>736</v>
      </c>
      <c r="B734" s="194" t="s">
        <v>2119</v>
      </c>
      <c r="C734" s="178">
        <v>1</v>
      </c>
      <c r="D734" s="178">
        <v>0</v>
      </c>
      <c r="E734" s="80">
        <v>0</v>
      </c>
      <c r="F734" s="80">
        <v>1</v>
      </c>
      <c r="G734" s="80">
        <v>0</v>
      </c>
      <c r="H734" s="80">
        <v>0</v>
      </c>
      <c r="I734" s="135" t="s">
        <v>3857</v>
      </c>
      <c r="J734" s="81" t="s">
        <v>811</v>
      </c>
      <c r="K734" s="81" t="s">
        <v>748</v>
      </c>
      <c r="L734" s="170" t="s">
        <v>748</v>
      </c>
      <c r="M734" s="233" t="s">
        <v>811</v>
      </c>
      <c r="N734" s="81" t="s">
        <v>748</v>
      </c>
      <c r="O734" s="81" t="s">
        <v>748</v>
      </c>
      <c r="P734" s="146"/>
      <c r="Q734" s="146"/>
      <c r="R734" s="146"/>
      <c r="S734" s="149"/>
      <c r="T734" s="149"/>
      <c r="U734" s="149"/>
      <c r="V734" s="149"/>
      <c r="W734" s="149"/>
      <c r="X734" s="149"/>
      <c r="Y734" s="149"/>
      <c r="Z734" s="149"/>
    </row>
    <row r="735" spans="1:26" ht="13.5" customHeight="1">
      <c r="A735" s="143"/>
      <c r="B735" s="929"/>
      <c r="C735" s="911"/>
      <c r="D735" s="911"/>
      <c r="E735" s="87"/>
      <c r="F735" s="87"/>
      <c r="G735" s="87"/>
      <c r="H735" s="87"/>
      <c r="I735" s="135"/>
      <c r="J735" s="291"/>
      <c r="K735" s="953"/>
      <c r="L735" s="953"/>
      <c r="M735" s="291"/>
      <c r="N735" s="953"/>
      <c r="O735" s="953"/>
      <c r="P735" s="149"/>
      <c r="Q735" s="149"/>
      <c r="R735" s="149"/>
      <c r="S735" s="149"/>
      <c r="T735" s="149"/>
      <c r="U735" s="149"/>
      <c r="V735" s="149"/>
      <c r="W735" s="149"/>
      <c r="X735" s="149"/>
      <c r="Y735" s="149"/>
      <c r="Z735" s="149"/>
    </row>
    <row r="736" spans="1:26" ht="18.75" customHeight="1">
      <c r="A736" s="478">
        <v>3</v>
      </c>
      <c r="B736" s="2608" t="s">
        <v>2120</v>
      </c>
      <c r="C736" s="2600"/>
      <c r="D736" s="2600"/>
      <c r="E736" s="2600"/>
      <c r="F736" s="2600"/>
      <c r="G736" s="2600"/>
      <c r="H736" s="2600"/>
      <c r="I736" s="479"/>
      <c r="J736" s="2610"/>
      <c r="K736" s="2600"/>
      <c r="L736" s="2600"/>
      <c r="M736" s="2600"/>
      <c r="N736" s="2600"/>
      <c r="O736" s="2600"/>
      <c r="P736" s="480"/>
      <c r="Q736" s="480"/>
      <c r="R736" s="480"/>
      <c r="S736" s="479"/>
      <c r="T736" s="479"/>
      <c r="U736" s="479"/>
      <c r="V736" s="479"/>
      <c r="W736" s="479"/>
      <c r="X736" s="479"/>
      <c r="Y736" s="479"/>
      <c r="Z736" s="479"/>
    </row>
    <row r="737" spans="1:26" ht="35.25" customHeight="1">
      <c r="A737" s="591"/>
      <c r="B737" s="592" t="s">
        <v>2121</v>
      </c>
      <c r="C737" s="593">
        <f t="shared" ref="C737:H737" si="143">AVERAGE(C738,C797,C847,C880,C954)</f>
        <v>0.60497959716745708</v>
      </c>
      <c r="D737" s="593">
        <f t="shared" si="143"/>
        <v>0.64987812747478313</v>
      </c>
      <c r="E737" s="593">
        <f t="shared" si="143"/>
        <v>0.35109956954270516</v>
      </c>
      <c r="F737" s="593">
        <f t="shared" si="143"/>
        <v>0.59485355350741975</v>
      </c>
      <c r="G737" s="593">
        <f t="shared" si="143"/>
        <v>0.61593641229711094</v>
      </c>
      <c r="H737" s="593">
        <f t="shared" si="143"/>
        <v>0.52979875322777659</v>
      </c>
      <c r="I737" s="482"/>
      <c r="J737" s="594"/>
      <c r="K737" s="594"/>
      <c r="L737" s="594"/>
      <c r="M737" s="594"/>
      <c r="N737" s="594"/>
      <c r="O737" s="594"/>
      <c r="P737" s="595"/>
      <c r="Q737" s="595"/>
      <c r="R737" s="595"/>
      <c r="S737" s="482"/>
      <c r="T737" s="482"/>
      <c r="U737" s="482"/>
      <c r="V737" s="482"/>
      <c r="W737" s="482"/>
      <c r="X737" s="482"/>
      <c r="Y737" s="482"/>
      <c r="Z737" s="482"/>
    </row>
    <row r="738" spans="1:26" ht="29.25" customHeight="1">
      <c r="A738" s="596" t="s">
        <v>2122</v>
      </c>
      <c r="B738" s="123" t="s">
        <v>648</v>
      </c>
      <c r="C738" s="350">
        <f t="shared" ref="C738:H738" si="144">AVERAGE(C739,C752,C767,C776)</f>
        <v>0.8278695293146161</v>
      </c>
      <c r="D738" s="350">
        <f t="shared" si="144"/>
        <v>0.98750000000000004</v>
      </c>
      <c r="E738" s="350">
        <f t="shared" si="144"/>
        <v>0.37833333333333335</v>
      </c>
      <c r="F738" s="350">
        <f t="shared" si="144"/>
        <v>0.81546414808698042</v>
      </c>
      <c r="G738" s="350">
        <f t="shared" si="144"/>
        <v>0.57916666666666661</v>
      </c>
      <c r="H738" s="350">
        <f t="shared" si="144"/>
        <v>0.55926334984860993</v>
      </c>
      <c r="I738" s="161"/>
      <c r="J738" s="163"/>
      <c r="K738" s="163"/>
      <c r="L738" s="163"/>
      <c r="M738" s="163"/>
      <c r="N738" s="163"/>
      <c r="O738" s="163"/>
      <c r="P738" s="165"/>
      <c r="Q738" s="165"/>
      <c r="R738" s="165"/>
      <c r="S738" s="161"/>
      <c r="T738" s="161"/>
      <c r="U738" s="161"/>
      <c r="V738" s="161"/>
      <c r="W738" s="161"/>
      <c r="X738" s="161"/>
      <c r="Y738" s="161"/>
      <c r="Z738" s="161"/>
    </row>
    <row r="739" spans="1:26" ht="13.5" customHeight="1">
      <c r="A739" s="598" t="s">
        <v>2123</v>
      </c>
      <c r="B739" s="599" t="s">
        <v>3859</v>
      </c>
      <c r="C739" s="299">
        <f t="shared" ref="C739:H739" si="145">AVERAGE(C740,C744,C746,C748,C750)</f>
        <v>0.5</v>
      </c>
      <c r="D739" s="299">
        <f t="shared" si="145"/>
        <v>1</v>
      </c>
      <c r="E739" s="299">
        <f t="shared" si="145"/>
        <v>0.2</v>
      </c>
      <c r="F739" s="299">
        <f t="shared" si="145"/>
        <v>1</v>
      </c>
      <c r="G739" s="299">
        <f t="shared" si="145"/>
        <v>0.4</v>
      </c>
      <c r="H739" s="299">
        <f t="shared" si="145"/>
        <v>0.1</v>
      </c>
      <c r="I739" s="135"/>
      <c r="J739" s="74"/>
      <c r="K739" s="74"/>
      <c r="L739" s="74"/>
      <c r="M739" s="74"/>
      <c r="N739" s="74"/>
      <c r="O739" s="74"/>
      <c r="P739" s="137"/>
      <c r="Q739" s="137"/>
      <c r="R739" s="137"/>
      <c r="S739" s="138"/>
      <c r="T739" s="138"/>
      <c r="U739" s="138"/>
      <c r="V739" s="138"/>
      <c r="W739" s="138"/>
      <c r="X739" s="138"/>
      <c r="Y739" s="138"/>
      <c r="Z739" s="138"/>
    </row>
    <row r="740" spans="1:26" ht="54" customHeight="1">
      <c r="A740" s="143" t="s">
        <v>736</v>
      </c>
      <c r="B740" s="602" t="s">
        <v>3860</v>
      </c>
      <c r="C740" s="80">
        <f t="shared" ref="C740:H740" si="146">AVERAGE(C741:C742)</f>
        <v>1</v>
      </c>
      <c r="D740" s="80">
        <f t="shared" si="146"/>
        <v>1</v>
      </c>
      <c r="E740" s="80">
        <f t="shared" si="146"/>
        <v>0</v>
      </c>
      <c r="F740" s="80">
        <f t="shared" si="146"/>
        <v>1</v>
      </c>
      <c r="G740" s="80">
        <f t="shared" si="146"/>
        <v>0</v>
      </c>
      <c r="H740" s="80">
        <f t="shared" si="146"/>
        <v>0</v>
      </c>
      <c r="I740" s="135"/>
      <c r="J740" s="156"/>
      <c r="K740" s="945"/>
      <c r="L740" s="945"/>
      <c r="M740" s="156"/>
      <c r="N740" s="945"/>
      <c r="O740" s="945"/>
      <c r="P740" s="146"/>
      <c r="Q740" s="146"/>
      <c r="R740" s="146"/>
      <c r="S740" s="149"/>
      <c r="T740" s="149"/>
      <c r="U740" s="149"/>
      <c r="V740" s="149"/>
      <c r="W740" s="149"/>
      <c r="X740" s="149"/>
      <c r="Y740" s="149"/>
      <c r="Z740" s="149"/>
    </row>
    <row r="741" spans="1:26" ht="13.5" customHeight="1">
      <c r="A741" s="143"/>
      <c r="B741" s="947" t="s">
        <v>652</v>
      </c>
      <c r="C741" s="80">
        <v>1</v>
      </c>
      <c r="D741" s="80">
        <v>1</v>
      </c>
      <c r="E741" s="80">
        <v>0</v>
      </c>
      <c r="F741" s="80">
        <v>1</v>
      </c>
      <c r="G741" s="80">
        <v>0</v>
      </c>
      <c r="H741" s="80">
        <v>0</v>
      </c>
      <c r="I741" s="135"/>
      <c r="J741" s="81" t="s">
        <v>811</v>
      </c>
      <c r="K741" s="81" t="s">
        <v>811</v>
      </c>
      <c r="L741" s="188" t="s">
        <v>748</v>
      </c>
      <c r="M741" s="81" t="s">
        <v>811</v>
      </c>
      <c r="N741" s="81" t="s">
        <v>748</v>
      </c>
      <c r="O741" s="81" t="s">
        <v>748</v>
      </c>
      <c r="P741" s="146"/>
      <c r="Q741" s="146"/>
      <c r="R741" s="146"/>
      <c r="S741" s="149"/>
      <c r="T741" s="149"/>
      <c r="U741" s="149"/>
      <c r="V741" s="149"/>
      <c r="W741" s="149"/>
      <c r="X741" s="149"/>
      <c r="Y741" s="149"/>
      <c r="Z741" s="149"/>
    </row>
    <row r="742" spans="1:26" ht="130.5" customHeight="1">
      <c r="A742" s="143" t="s">
        <v>736</v>
      </c>
      <c r="B742" s="947" t="s">
        <v>653</v>
      </c>
      <c r="C742" s="80">
        <v>1</v>
      </c>
      <c r="D742" s="80">
        <v>1</v>
      </c>
      <c r="E742" s="80">
        <v>0</v>
      </c>
      <c r="F742" s="80">
        <v>1</v>
      </c>
      <c r="G742" s="80" t="s">
        <v>877</v>
      </c>
      <c r="H742" s="80" t="s">
        <v>877</v>
      </c>
      <c r="I742" s="135"/>
      <c r="J742" s="81" t="s">
        <v>811</v>
      </c>
      <c r="K742" s="81" t="s">
        <v>811</v>
      </c>
      <c r="L742" s="188" t="s">
        <v>748</v>
      </c>
      <c r="M742" s="182" t="s">
        <v>811</v>
      </c>
      <c r="N742" s="81" t="s">
        <v>877</v>
      </c>
      <c r="O742" s="81" t="s">
        <v>877</v>
      </c>
      <c r="P742" s="146"/>
      <c r="Q742" s="146"/>
      <c r="R742" s="146"/>
      <c r="S742" s="149"/>
      <c r="T742" s="149"/>
      <c r="U742" s="149"/>
      <c r="V742" s="149"/>
      <c r="W742" s="149"/>
      <c r="X742" s="149"/>
      <c r="Y742" s="149"/>
      <c r="Z742" s="149"/>
    </row>
    <row r="743" spans="1:26" ht="13.5" customHeight="1">
      <c r="A743" s="143"/>
      <c r="B743" s="168"/>
      <c r="C743" s="80"/>
      <c r="D743" s="80"/>
      <c r="E743" s="188"/>
      <c r="F743" s="603"/>
      <c r="G743" s="80"/>
      <c r="H743" s="81"/>
      <c r="I743" s="135"/>
      <c r="J743" s="81"/>
      <c r="K743" s="81"/>
      <c r="L743" s="81"/>
      <c r="M743" s="81"/>
      <c r="N743" s="81"/>
      <c r="O743" s="81"/>
      <c r="P743" s="146"/>
      <c r="Q743" s="146"/>
      <c r="R743" s="146"/>
      <c r="S743" s="149"/>
      <c r="T743" s="149"/>
      <c r="U743" s="149"/>
      <c r="V743" s="149"/>
      <c r="W743" s="149"/>
      <c r="X743" s="149"/>
      <c r="Y743" s="149"/>
      <c r="Z743" s="149"/>
    </row>
    <row r="744" spans="1:26" ht="60.75" customHeight="1">
      <c r="A744" s="143" t="s">
        <v>736</v>
      </c>
      <c r="B744" s="168" t="s">
        <v>654</v>
      </c>
      <c r="C744" s="80">
        <v>1</v>
      </c>
      <c r="D744" s="80">
        <v>1</v>
      </c>
      <c r="E744" s="944">
        <v>0</v>
      </c>
      <c r="F744" s="944">
        <v>1</v>
      </c>
      <c r="G744" s="944">
        <v>0.5</v>
      </c>
      <c r="H744" s="944">
        <v>0</v>
      </c>
      <c r="I744" s="135"/>
      <c r="J744" s="81" t="s">
        <v>3861</v>
      </c>
      <c r="K744" s="81" t="s">
        <v>811</v>
      </c>
      <c r="L744" s="182" t="s">
        <v>3862</v>
      </c>
      <c r="M744" s="81" t="s">
        <v>3863</v>
      </c>
      <c r="N744" s="81" t="s">
        <v>3864</v>
      </c>
      <c r="O744" s="81" t="s">
        <v>811</v>
      </c>
      <c r="P744" s="146"/>
      <c r="Q744" s="146"/>
      <c r="R744" s="146"/>
      <c r="S744" s="149"/>
      <c r="T744" s="149"/>
      <c r="U744" s="149"/>
      <c r="V744" s="149"/>
      <c r="W744" s="149"/>
      <c r="X744" s="149"/>
      <c r="Y744" s="149"/>
      <c r="Z744" s="149"/>
    </row>
    <row r="745" spans="1:26" ht="17.25" customHeight="1">
      <c r="A745" s="143"/>
      <c r="B745" s="168"/>
      <c r="C745" s="81"/>
      <c r="D745" s="80"/>
      <c r="E745" s="188"/>
      <c r="F745" s="603"/>
      <c r="G745" s="80"/>
      <c r="H745" s="81"/>
      <c r="I745" s="135"/>
      <c r="J745" s="81"/>
      <c r="K745" s="81" t="s">
        <v>3865</v>
      </c>
      <c r="L745" s="81" t="s">
        <v>3866</v>
      </c>
      <c r="M745" s="604" t="s">
        <v>3867</v>
      </c>
      <c r="N745" s="81"/>
      <c r="O745" s="81"/>
      <c r="P745" s="146"/>
      <c r="Q745" s="146"/>
      <c r="R745" s="146"/>
      <c r="S745" s="149"/>
      <c r="T745" s="149"/>
      <c r="U745" s="149"/>
      <c r="V745" s="149"/>
      <c r="W745" s="149"/>
      <c r="X745" s="149"/>
      <c r="Y745" s="149"/>
      <c r="Z745" s="149"/>
    </row>
    <row r="746" spans="1:26" ht="62.25" customHeight="1">
      <c r="A746" s="143" t="s">
        <v>736</v>
      </c>
      <c r="B746" s="168" t="s">
        <v>2131</v>
      </c>
      <c r="C746" s="80">
        <v>0</v>
      </c>
      <c r="D746" s="80">
        <v>1</v>
      </c>
      <c r="E746" s="80">
        <v>0</v>
      </c>
      <c r="F746" s="944">
        <v>1</v>
      </c>
      <c r="G746" s="80">
        <v>0</v>
      </c>
      <c r="H746" s="80">
        <v>0</v>
      </c>
      <c r="I746" s="135"/>
      <c r="J746" s="81" t="s">
        <v>748</v>
      </c>
      <c r="K746" s="81" t="s">
        <v>811</v>
      </c>
      <c r="L746" s="188" t="s">
        <v>748</v>
      </c>
      <c r="M746" s="603" t="s">
        <v>3868</v>
      </c>
      <c r="N746" s="412" t="s">
        <v>2133</v>
      </c>
      <c r="O746" s="81" t="s">
        <v>3869</v>
      </c>
      <c r="P746" s="146"/>
      <c r="Q746" s="146"/>
      <c r="R746" s="146"/>
      <c r="S746" s="149"/>
      <c r="T746" s="149"/>
      <c r="U746" s="149"/>
      <c r="V746" s="149"/>
      <c r="W746" s="149"/>
      <c r="X746" s="149"/>
      <c r="Y746" s="149"/>
      <c r="Z746" s="149"/>
    </row>
    <row r="747" spans="1:26" ht="14.25" customHeight="1">
      <c r="A747" s="143"/>
      <c r="B747" s="168"/>
      <c r="C747" s="80"/>
      <c r="D747" s="80"/>
      <c r="E747" s="80"/>
      <c r="F747" s="80"/>
      <c r="G747" s="80"/>
      <c r="H747" s="80"/>
      <c r="I747" s="135"/>
      <c r="J747" s="81"/>
      <c r="K747" s="81"/>
      <c r="L747" s="188"/>
      <c r="M747" s="603"/>
      <c r="N747" s="188"/>
      <c r="O747" s="81"/>
      <c r="P747" s="146"/>
      <c r="Q747" s="146"/>
      <c r="R747" s="146"/>
      <c r="S747" s="149"/>
      <c r="T747" s="149"/>
      <c r="U747" s="149"/>
      <c r="V747" s="149"/>
      <c r="W747" s="149"/>
      <c r="X747" s="149"/>
      <c r="Y747" s="149"/>
      <c r="Z747" s="149"/>
    </row>
    <row r="748" spans="1:26" ht="95.25" customHeight="1">
      <c r="A748" s="143" t="s">
        <v>736</v>
      </c>
      <c r="B748" s="168" t="s">
        <v>656</v>
      </c>
      <c r="C748" s="944">
        <v>0.5</v>
      </c>
      <c r="D748" s="80">
        <v>1</v>
      </c>
      <c r="E748" s="80">
        <v>0.5</v>
      </c>
      <c r="F748" s="80">
        <v>1</v>
      </c>
      <c r="G748" s="944">
        <v>0.5</v>
      </c>
      <c r="H748" s="80">
        <v>0</v>
      </c>
      <c r="I748" s="135"/>
      <c r="J748" s="605" t="s">
        <v>3870</v>
      </c>
      <c r="K748" s="81" t="s">
        <v>811</v>
      </c>
      <c r="L748" s="188" t="s">
        <v>3871</v>
      </c>
      <c r="M748" s="81" t="s">
        <v>811</v>
      </c>
      <c r="N748" s="606" t="s">
        <v>3872</v>
      </c>
      <c r="O748" s="182" t="s">
        <v>3873</v>
      </c>
      <c r="P748" s="146"/>
      <c r="Q748" s="146"/>
      <c r="R748" s="146"/>
      <c r="S748" s="149"/>
      <c r="T748" s="149"/>
      <c r="U748" s="149"/>
      <c r="V748" s="149"/>
      <c r="W748" s="149"/>
      <c r="X748" s="149"/>
      <c r="Y748" s="149"/>
      <c r="Z748" s="149"/>
    </row>
    <row r="749" spans="1:26" ht="27" customHeight="1">
      <c r="A749" s="143"/>
      <c r="B749" s="168"/>
      <c r="C749" s="80"/>
      <c r="D749" s="80"/>
      <c r="E749" s="188"/>
      <c r="F749" s="603"/>
      <c r="G749" s="178"/>
      <c r="H749" s="81"/>
      <c r="I749" s="149"/>
      <c r="J749" s="81"/>
      <c r="K749" s="81"/>
      <c r="L749" s="188"/>
      <c r="M749" s="81"/>
      <c r="N749" s="81"/>
      <c r="O749" s="182"/>
      <c r="P749" s="146"/>
      <c r="Q749" s="146"/>
      <c r="R749" s="146"/>
      <c r="S749" s="149"/>
      <c r="T749" s="149"/>
      <c r="U749" s="149"/>
      <c r="V749" s="149"/>
      <c r="W749" s="149"/>
      <c r="X749" s="149"/>
      <c r="Y749" s="149"/>
      <c r="Z749" s="149"/>
    </row>
    <row r="750" spans="1:26" ht="86.25" customHeight="1">
      <c r="A750" s="143" t="s">
        <v>736</v>
      </c>
      <c r="B750" s="168" t="s">
        <v>657</v>
      </c>
      <c r="C750" s="80">
        <v>0</v>
      </c>
      <c r="D750" s="80">
        <v>1</v>
      </c>
      <c r="E750" s="80">
        <v>0.5</v>
      </c>
      <c r="F750" s="80">
        <v>1</v>
      </c>
      <c r="G750" s="80">
        <v>1</v>
      </c>
      <c r="H750" s="944">
        <v>0.5</v>
      </c>
      <c r="I750" s="135"/>
      <c r="J750" s="81" t="s">
        <v>3874</v>
      </c>
      <c r="K750" s="81" t="s">
        <v>811</v>
      </c>
      <c r="L750" s="188" t="s">
        <v>3875</v>
      </c>
      <c r="M750" s="81" t="s">
        <v>3876</v>
      </c>
      <c r="N750" s="182" t="s">
        <v>3877</v>
      </c>
      <c r="O750" s="81" t="s">
        <v>3878</v>
      </c>
      <c r="P750" s="146"/>
      <c r="Q750" s="146"/>
      <c r="R750" s="146"/>
      <c r="S750" s="149"/>
      <c r="T750" s="149"/>
      <c r="U750" s="149"/>
      <c r="V750" s="149"/>
      <c r="W750" s="149"/>
      <c r="X750" s="149"/>
      <c r="Y750" s="149"/>
      <c r="Z750" s="149"/>
    </row>
    <row r="751" spans="1:26" ht="29.25" customHeight="1">
      <c r="A751" s="143"/>
      <c r="B751" s="931"/>
      <c r="C751" s="87"/>
      <c r="D751" s="87"/>
      <c r="E751" s="609"/>
      <c r="F751" s="610"/>
      <c r="G751" s="87"/>
      <c r="H751" s="75"/>
      <c r="I751" s="135"/>
      <c r="J751" s="75"/>
      <c r="K751" s="75"/>
      <c r="L751" s="75"/>
      <c r="M751" s="75"/>
      <c r="N751" s="609"/>
      <c r="O751" s="75"/>
      <c r="P751" s="146"/>
      <c r="Q751" s="146"/>
      <c r="R751" s="146"/>
      <c r="S751" s="149"/>
      <c r="T751" s="149"/>
      <c r="U751" s="149"/>
      <c r="V751" s="149"/>
      <c r="W751" s="149"/>
      <c r="X751" s="149"/>
      <c r="Y751" s="149"/>
      <c r="Z751" s="149"/>
    </row>
    <row r="752" spans="1:26" ht="27.75" customHeight="1">
      <c r="A752" s="550" t="s">
        <v>2143</v>
      </c>
      <c r="B752" s="599" t="s">
        <v>658</v>
      </c>
      <c r="C752" s="299">
        <f t="shared" ref="C752:H752" si="147">SUM(C753,C755,C757,C759,C763,C765)/6</f>
        <v>1</v>
      </c>
      <c r="D752" s="299">
        <f t="shared" si="147"/>
        <v>1</v>
      </c>
      <c r="E752" s="299">
        <f t="shared" si="147"/>
        <v>0.83333333333333337</v>
      </c>
      <c r="F752" s="299">
        <f t="shared" si="147"/>
        <v>0.54166666666666663</v>
      </c>
      <c r="G752" s="299">
        <f t="shared" si="147"/>
        <v>0.66666666666666663</v>
      </c>
      <c r="H752" s="299">
        <f t="shared" si="147"/>
        <v>0.83333333333333337</v>
      </c>
      <c r="I752" s="135"/>
      <c r="J752" s="74"/>
      <c r="K752" s="74"/>
      <c r="L752" s="74"/>
      <c r="M752" s="74"/>
      <c r="N752" s="74"/>
      <c r="O752" s="74"/>
      <c r="P752" s="137"/>
      <c r="Q752" s="137"/>
      <c r="R752" s="137"/>
      <c r="S752" s="138"/>
      <c r="T752" s="138"/>
      <c r="U752" s="138"/>
      <c r="V752" s="138"/>
      <c r="W752" s="138"/>
      <c r="X752" s="138"/>
      <c r="Y752" s="138"/>
      <c r="Z752" s="138"/>
    </row>
    <row r="753" spans="1:26" ht="106.5" customHeight="1">
      <c r="A753" s="143" t="s">
        <v>736</v>
      </c>
      <c r="B753" s="168" t="s">
        <v>660</v>
      </c>
      <c r="C753" s="80">
        <v>1</v>
      </c>
      <c r="D753" s="80">
        <v>1</v>
      </c>
      <c r="E753" s="80">
        <v>0.5</v>
      </c>
      <c r="F753" s="80">
        <v>0</v>
      </c>
      <c r="G753" s="80">
        <v>1</v>
      </c>
      <c r="H753" s="80">
        <v>1</v>
      </c>
      <c r="I753" s="135" t="s">
        <v>38</v>
      </c>
      <c r="J753" s="81" t="s">
        <v>3879</v>
      </c>
      <c r="K753" s="81" t="s">
        <v>811</v>
      </c>
      <c r="L753" s="81" t="s">
        <v>3880</v>
      </c>
      <c r="M753" s="81" t="s">
        <v>3881</v>
      </c>
      <c r="N753" s="81" t="s">
        <v>2146</v>
      </c>
      <c r="O753" s="81" t="s">
        <v>3882</v>
      </c>
      <c r="P753" s="146"/>
      <c r="Q753" s="146"/>
      <c r="R753" s="146"/>
      <c r="S753" s="149"/>
      <c r="T753" s="149"/>
      <c r="U753" s="149"/>
      <c r="V753" s="149"/>
      <c r="W753" s="149"/>
      <c r="X753" s="149"/>
      <c r="Y753" s="149"/>
      <c r="Z753" s="149"/>
    </row>
    <row r="754" spans="1:26" ht="22.5" customHeight="1">
      <c r="A754" s="143"/>
      <c r="B754" s="957"/>
      <c r="C754" s="80"/>
      <c r="D754" s="80"/>
      <c r="E754" s="611"/>
      <c r="F754" s="603"/>
      <c r="G754" s="80"/>
      <c r="H754" s="81"/>
      <c r="I754" s="135"/>
      <c r="J754" s="81" t="s">
        <v>3883</v>
      </c>
      <c r="K754" s="81" t="s">
        <v>3884</v>
      </c>
      <c r="L754" s="81" t="s">
        <v>3880</v>
      </c>
      <c r="M754" s="170" t="s">
        <v>2425</v>
      </c>
      <c r="N754" s="81" t="s">
        <v>2146</v>
      </c>
      <c r="O754" s="81" t="s">
        <v>3885</v>
      </c>
      <c r="P754" s="146"/>
      <c r="Q754" s="146"/>
      <c r="R754" s="146"/>
      <c r="S754" s="149"/>
      <c r="T754" s="149"/>
      <c r="U754" s="149"/>
      <c r="V754" s="149"/>
      <c r="W754" s="149"/>
      <c r="X754" s="149"/>
      <c r="Y754" s="149"/>
      <c r="Z754" s="149"/>
    </row>
    <row r="755" spans="1:26" ht="120" customHeight="1">
      <c r="A755" s="143" t="s">
        <v>736</v>
      </c>
      <c r="B755" s="168" t="s">
        <v>3886</v>
      </c>
      <c r="C755" s="80">
        <v>1</v>
      </c>
      <c r="D755" s="80">
        <v>1</v>
      </c>
      <c r="E755" s="80">
        <v>1</v>
      </c>
      <c r="F755" s="944">
        <v>1</v>
      </c>
      <c r="G755" s="80">
        <v>1</v>
      </c>
      <c r="H755" s="80">
        <v>0.5</v>
      </c>
      <c r="I755" s="135" t="s">
        <v>38</v>
      </c>
      <c r="J755" s="81" t="s">
        <v>3887</v>
      </c>
      <c r="K755" s="81" t="s">
        <v>3888</v>
      </c>
      <c r="L755" s="81" t="s">
        <v>3889</v>
      </c>
      <c r="M755" s="182" t="s">
        <v>3890</v>
      </c>
      <c r="N755" s="81" t="s">
        <v>3891</v>
      </c>
      <c r="O755" s="81" t="s">
        <v>3892</v>
      </c>
      <c r="P755" s="146"/>
      <c r="Q755" s="146"/>
      <c r="R755" s="146"/>
      <c r="S755" s="149"/>
      <c r="T755" s="149"/>
      <c r="U755" s="149"/>
      <c r="V755" s="149"/>
      <c r="W755" s="149"/>
      <c r="X755" s="149"/>
      <c r="Y755" s="149"/>
      <c r="Z755" s="149"/>
    </row>
    <row r="756" spans="1:26" ht="13.5" customHeight="1">
      <c r="A756" s="143"/>
      <c r="B756" s="168"/>
      <c r="C756" s="80"/>
      <c r="D756" s="80"/>
      <c r="E756" s="188"/>
      <c r="F756" s="612"/>
      <c r="G756" s="80"/>
      <c r="H756" s="81"/>
      <c r="I756" s="135"/>
      <c r="J756" s="81"/>
      <c r="K756" s="81"/>
      <c r="L756" s="81"/>
      <c r="M756" s="170"/>
      <c r="N756" s="81"/>
      <c r="O756" s="81"/>
      <c r="P756" s="146"/>
      <c r="Q756" s="146"/>
      <c r="R756" s="146"/>
      <c r="S756" s="149"/>
      <c r="T756" s="149"/>
      <c r="U756" s="149"/>
      <c r="V756" s="149"/>
      <c r="W756" s="149"/>
      <c r="X756" s="149"/>
      <c r="Y756" s="149"/>
      <c r="Z756" s="149"/>
    </row>
    <row r="757" spans="1:26" ht="144" customHeight="1">
      <c r="A757" s="143" t="s">
        <v>736</v>
      </c>
      <c r="B757" s="168" t="s">
        <v>662</v>
      </c>
      <c r="C757" s="80">
        <v>1</v>
      </c>
      <c r="D757" s="80">
        <v>1</v>
      </c>
      <c r="E757" s="80">
        <v>1</v>
      </c>
      <c r="F757" s="80">
        <v>1</v>
      </c>
      <c r="G757" s="80">
        <v>1</v>
      </c>
      <c r="H757" s="80">
        <v>1</v>
      </c>
      <c r="I757" s="135" t="s">
        <v>38</v>
      </c>
      <c r="J757" s="81" t="s">
        <v>3893</v>
      </c>
      <c r="K757" s="81" t="s">
        <v>811</v>
      </c>
      <c r="L757" s="81" t="s">
        <v>3894</v>
      </c>
      <c r="M757" s="81" t="s">
        <v>3895</v>
      </c>
      <c r="N757" s="81" t="s">
        <v>2154</v>
      </c>
      <c r="O757" s="81" t="s">
        <v>811</v>
      </c>
      <c r="P757" s="146"/>
      <c r="Q757" s="146"/>
      <c r="R757" s="146"/>
      <c r="S757" s="149"/>
      <c r="T757" s="149"/>
      <c r="U757" s="149"/>
      <c r="V757" s="149"/>
      <c r="W757" s="149"/>
      <c r="X757" s="149"/>
      <c r="Y757" s="149"/>
      <c r="Z757" s="149"/>
    </row>
    <row r="758" spans="1:26" ht="30" customHeight="1">
      <c r="A758" s="143"/>
      <c r="B758" s="957"/>
      <c r="C758" s="80"/>
      <c r="D758" s="80"/>
      <c r="E758" s="188"/>
      <c r="F758" s="603"/>
      <c r="G758" s="80"/>
      <c r="H758" s="81"/>
      <c r="I758" s="135"/>
      <c r="J758" s="81" t="s">
        <v>3893</v>
      </c>
      <c r="K758" s="81" t="s">
        <v>3896</v>
      </c>
      <c r="L758" s="81" t="s">
        <v>3894</v>
      </c>
      <c r="M758" s="81" t="s">
        <v>3897</v>
      </c>
      <c r="N758" s="81" t="s">
        <v>2154</v>
      </c>
      <c r="O758" s="81"/>
      <c r="P758" s="146"/>
      <c r="Q758" s="146"/>
      <c r="R758" s="146"/>
      <c r="S758" s="149"/>
      <c r="T758" s="149"/>
      <c r="U758" s="149"/>
      <c r="V758" s="149"/>
      <c r="W758" s="149"/>
      <c r="X758" s="149"/>
      <c r="Y758" s="149"/>
      <c r="Z758" s="149"/>
    </row>
    <row r="759" spans="1:26" ht="42" customHeight="1">
      <c r="A759" s="143" t="s">
        <v>736</v>
      </c>
      <c r="B759" s="168" t="s">
        <v>663</v>
      </c>
      <c r="C759" s="949">
        <f t="shared" ref="C759:H759" si="148">AVERAGE(C760:C761)</f>
        <v>1</v>
      </c>
      <c r="D759" s="949">
        <f t="shared" si="148"/>
        <v>1</v>
      </c>
      <c r="E759" s="949">
        <f t="shared" si="148"/>
        <v>1</v>
      </c>
      <c r="F759" s="949">
        <f t="shared" si="148"/>
        <v>1</v>
      </c>
      <c r="G759" s="949">
        <f t="shared" si="148"/>
        <v>1</v>
      </c>
      <c r="H759" s="949">
        <f t="shared" si="148"/>
        <v>1</v>
      </c>
      <c r="I759" s="135"/>
      <c r="J759" s="81"/>
      <c r="K759" s="81"/>
      <c r="L759" s="81"/>
      <c r="M759" s="81"/>
      <c r="N759" s="81"/>
      <c r="O759" s="81"/>
      <c r="P759" s="146"/>
      <c r="Q759" s="146"/>
      <c r="R759" s="146"/>
      <c r="S759" s="149"/>
      <c r="T759" s="149"/>
      <c r="U759" s="149"/>
      <c r="V759" s="149"/>
      <c r="W759" s="149"/>
      <c r="X759" s="149"/>
      <c r="Y759" s="149"/>
      <c r="Z759" s="149"/>
    </row>
    <row r="760" spans="1:26" ht="96" customHeight="1">
      <c r="A760" s="143"/>
      <c r="B760" s="947" t="s">
        <v>664</v>
      </c>
      <c r="C760" s="80">
        <v>1</v>
      </c>
      <c r="D760" s="80">
        <v>1</v>
      </c>
      <c r="E760" s="80">
        <v>1</v>
      </c>
      <c r="F760" s="80">
        <v>1</v>
      </c>
      <c r="G760" s="80">
        <v>1</v>
      </c>
      <c r="H760" s="80">
        <v>1</v>
      </c>
      <c r="I760" s="135" t="s">
        <v>38</v>
      </c>
      <c r="J760" s="81" t="s">
        <v>3898</v>
      </c>
      <c r="K760" s="81" t="s">
        <v>811</v>
      </c>
      <c r="L760" s="81" t="s">
        <v>3899</v>
      </c>
      <c r="M760" s="81" t="s">
        <v>2156</v>
      </c>
      <c r="N760" s="81" t="s">
        <v>2157</v>
      </c>
      <c r="O760" s="81" t="s">
        <v>3900</v>
      </c>
      <c r="P760" s="146"/>
      <c r="Q760" s="146"/>
      <c r="R760" s="146"/>
      <c r="S760" s="149"/>
      <c r="T760" s="149"/>
      <c r="U760" s="149"/>
      <c r="V760" s="149"/>
      <c r="W760" s="149"/>
      <c r="X760" s="149"/>
      <c r="Y760" s="149"/>
      <c r="Z760" s="149"/>
    </row>
    <row r="761" spans="1:26" ht="108" customHeight="1">
      <c r="A761" s="143"/>
      <c r="B761" s="947" t="s">
        <v>665</v>
      </c>
      <c r="C761" s="80">
        <v>1</v>
      </c>
      <c r="D761" s="80">
        <v>1</v>
      </c>
      <c r="E761" s="80">
        <v>1</v>
      </c>
      <c r="F761" s="80">
        <v>1</v>
      </c>
      <c r="G761" s="80">
        <v>1</v>
      </c>
      <c r="H761" s="80">
        <v>1</v>
      </c>
      <c r="I761" s="135" t="s">
        <v>38</v>
      </c>
      <c r="J761" s="81" t="s">
        <v>3893</v>
      </c>
      <c r="K761" s="81" t="s">
        <v>811</v>
      </c>
      <c r="L761" s="81" t="s">
        <v>3901</v>
      </c>
      <c r="M761" s="81" t="s">
        <v>3902</v>
      </c>
      <c r="N761" s="81" t="s">
        <v>2159</v>
      </c>
      <c r="O761" s="81" t="s">
        <v>811</v>
      </c>
      <c r="P761" s="146"/>
      <c r="Q761" s="146"/>
      <c r="R761" s="146"/>
      <c r="S761" s="149"/>
      <c r="T761" s="149"/>
      <c r="U761" s="149"/>
      <c r="V761" s="149"/>
      <c r="W761" s="149"/>
      <c r="X761" s="149"/>
      <c r="Y761" s="149"/>
      <c r="Z761" s="149"/>
    </row>
    <row r="762" spans="1:26" ht="20.25" customHeight="1">
      <c r="A762" s="143"/>
      <c r="B762" s="947"/>
      <c r="C762" s="80"/>
      <c r="D762" s="80"/>
      <c r="E762" s="188"/>
      <c r="F762" s="603"/>
      <c r="G762" s="80"/>
      <c r="H762" s="81"/>
      <c r="I762" s="135"/>
      <c r="J762" s="81"/>
      <c r="K762" s="81"/>
      <c r="L762" s="81"/>
      <c r="M762" s="81"/>
      <c r="N762" s="81"/>
      <c r="O762" s="81"/>
      <c r="P762" s="146"/>
      <c r="Q762" s="146"/>
      <c r="R762" s="146"/>
      <c r="S762" s="149"/>
      <c r="T762" s="149"/>
      <c r="U762" s="149"/>
      <c r="V762" s="149"/>
      <c r="W762" s="149"/>
      <c r="X762" s="149"/>
      <c r="Y762" s="149"/>
      <c r="Z762" s="149"/>
    </row>
    <row r="763" spans="1:26" ht="120.75" customHeight="1">
      <c r="A763" s="143" t="s">
        <v>736</v>
      </c>
      <c r="B763" s="168" t="s">
        <v>666</v>
      </c>
      <c r="C763" s="80">
        <v>1</v>
      </c>
      <c r="D763" s="80">
        <v>1</v>
      </c>
      <c r="E763" s="80">
        <v>1</v>
      </c>
      <c r="F763" s="944">
        <v>0</v>
      </c>
      <c r="G763" s="944">
        <v>0</v>
      </c>
      <c r="H763" s="944">
        <v>0.5</v>
      </c>
      <c r="I763" s="135" t="s">
        <v>3857</v>
      </c>
      <c r="J763" s="81" t="s">
        <v>811</v>
      </c>
      <c r="K763" s="81" t="s">
        <v>3903</v>
      </c>
      <c r="L763" s="182" t="s">
        <v>811</v>
      </c>
      <c r="M763" s="81" t="s">
        <v>3904</v>
      </c>
      <c r="N763" s="81" t="s">
        <v>3905</v>
      </c>
      <c r="O763" s="81" t="s">
        <v>3906</v>
      </c>
      <c r="P763" s="146"/>
      <c r="Q763" s="146"/>
      <c r="R763" s="146"/>
      <c r="S763" s="149"/>
      <c r="T763" s="149"/>
      <c r="U763" s="149"/>
      <c r="V763" s="149"/>
      <c r="W763" s="149"/>
      <c r="X763" s="149"/>
      <c r="Y763" s="149"/>
      <c r="Z763" s="149"/>
    </row>
    <row r="764" spans="1:26" ht="24.75" customHeight="1">
      <c r="A764" s="143"/>
      <c r="B764" s="168"/>
      <c r="C764" s="80"/>
      <c r="D764" s="80"/>
      <c r="E764" s="80"/>
      <c r="F764" s="80"/>
      <c r="G764" s="80"/>
      <c r="H764" s="323"/>
      <c r="I764" s="149"/>
      <c r="J764" s="81"/>
      <c r="K764" s="81"/>
      <c r="L764" s="81"/>
      <c r="M764" s="81"/>
      <c r="N764" s="81"/>
      <c r="O764" s="81"/>
      <c r="P764" s="146"/>
      <c r="Q764" s="146"/>
      <c r="R764" s="146"/>
      <c r="S764" s="149"/>
      <c r="T764" s="149"/>
      <c r="U764" s="149"/>
      <c r="V764" s="149"/>
      <c r="W764" s="149"/>
      <c r="X764" s="149"/>
      <c r="Y764" s="149"/>
      <c r="Z764" s="149"/>
    </row>
    <row r="765" spans="1:26" ht="91.5" customHeight="1">
      <c r="A765" s="143" t="s">
        <v>736</v>
      </c>
      <c r="B765" s="168" t="s">
        <v>3907</v>
      </c>
      <c r="C765" s="80">
        <v>1</v>
      </c>
      <c r="D765" s="80">
        <v>1</v>
      </c>
      <c r="E765" s="80">
        <v>0.5</v>
      </c>
      <c r="F765" s="944">
        <v>0.25</v>
      </c>
      <c r="G765" s="80">
        <v>0</v>
      </c>
      <c r="H765" s="944">
        <v>1</v>
      </c>
      <c r="I765" s="135"/>
      <c r="J765" s="81" t="s">
        <v>811</v>
      </c>
      <c r="K765" s="81" t="s">
        <v>811</v>
      </c>
      <c r="L765" s="188" t="s">
        <v>3908</v>
      </c>
      <c r="M765" s="188" t="s">
        <v>3909</v>
      </c>
      <c r="N765" s="188" t="s">
        <v>748</v>
      </c>
      <c r="O765" s="81" t="s">
        <v>3910</v>
      </c>
      <c r="P765" s="146"/>
      <c r="Q765" s="146"/>
      <c r="R765" s="146"/>
      <c r="S765" s="149"/>
      <c r="T765" s="149"/>
      <c r="U765" s="149"/>
      <c r="V765" s="149"/>
      <c r="W765" s="149"/>
      <c r="X765" s="149"/>
      <c r="Y765" s="149"/>
      <c r="Z765" s="149"/>
    </row>
    <row r="766" spans="1:26" ht="13.5" customHeight="1">
      <c r="A766" s="143"/>
      <c r="B766" s="931"/>
      <c r="C766" s="87"/>
      <c r="D766" s="87"/>
      <c r="E766" s="609"/>
      <c r="F766" s="610"/>
      <c r="G766" s="87"/>
      <c r="H766" s="75"/>
      <c r="I766" s="135"/>
      <c r="J766" s="75"/>
      <c r="K766" s="75"/>
      <c r="L766" s="609"/>
      <c r="M766" s="75"/>
      <c r="N766" s="609"/>
      <c r="O766" s="75"/>
      <c r="P766" s="146"/>
      <c r="Q766" s="146"/>
      <c r="R766" s="146"/>
      <c r="S766" s="149"/>
      <c r="T766" s="149"/>
      <c r="U766" s="149"/>
      <c r="V766" s="149"/>
      <c r="W766" s="149"/>
      <c r="X766" s="149"/>
      <c r="Y766" s="149"/>
      <c r="Z766" s="149"/>
    </row>
    <row r="767" spans="1:26" ht="13.5" customHeight="1">
      <c r="A767" s="550" t="s">
        <v>2168</v>
      </c>
      <c r="B767" s="133" t="s">
        <v>669</v>
      </c>
      <c r="C767" s="299">
        <f>AVERAGE(C768,C770,C772,C774)</f>
        <v>0.86147811725846413</v>
      </c>
      <c r="D767" s="299">
        <f>AVERAGE(D768,D770,D772,D774)</f>
        <v>1</v>
      </c>
      <c r="E767" s="299">
        <f>AVERAGE(E768,E770,E772,E774)</f>
        <v>0</v>
      </c>
      <c r="F767" s="299">
        <f>AVERAGE(F768,F770,F772,F774)</f>
        <v>0.82018992568125515</v>
      </c>
      <c r="G767" s="299">
        <f>AVERAGE(G768,G770,G772,0)</f>
        <v>0.5</v>
      </c>
      <c r="H767" s="299">
        <f>AVERAGE(H768,H770,H772,H774)</f>
        <v>0.67372006606110657</v>
      </c>
      <c r="I767" s="135"/>
      <c r="J767" s="74"/>
      <c r="K767" s="74"/>
      <c r="L767" s="74"/>
      <c r="M767" s="74"/>
      <c r="N767" s="74"/>
      <c r="O767" s="74"/>
      <c r="P767" s="137"/>
      <c r="Q767" s="137"/>
      <c r="R767" s="137"/>
      <c r="S767" s="138"/>
      <c r="T767" s="138"/>
      <c r="U767" s="138"/>
      <c r="V767" s="138"/>
      <c r="W767" s="138"/>
      <c r="X767" s="138"/>
      <c r="Y767" s="138"/>
      <c r="Z767" s="138"/>
    </row>
    <row r="768" spans="1:26" ht="75" customHeight="1">
      <c r="A768" s="143" t="s">
        <v>736</v>
      </c>
      <c r="B768" s="168" t="s">
        <v>670</v>
      </c>
      <c r="C768" s="80">
        <v>1</v>
      </c>
      <c r="D768" s="80">
        <v>1</v>
      </c>
      <c r="E768" s="80">
        <v>0</v>
      </c>
      <c r="F768" s="80">
        <v>1</v>
      </c>
      <c r="G768" s="80">
        <v>1</v>
      </c>
      <c r="H768" s="80">
        <v>0.5</v>
      </c>
      <c r="I768" s="135" t="s">
        <v>38</v>
      </c>
      <c r="J768" s="403" t="s">
        <v>811</v>
      </c>
      <c r="K768" s="81" t="s">
        <v>811</v>
      </c>
      <c r="L768" s="188" t="s">
        <v>748</v>
      </c>
      <c r="M768" s="81" t="s">
        <v>3911</v>
      </c>
      <c r="N768" s="411" t="s">
        <v>3912</v>
      </c>
      <c r="O768" s="81" t="s">
        <v>3913</v>
      </c>
      <c r="P768" s="146"/>
      <c r="Q768" s="146"/>
      <c r="R768" s="146"/>
      <c r="S768" s="149"/>
      <c r="T768" s="149"/>
      <c r="U768" s="149"/>
      <c r="V768" s="149"/>
      <c r="W768" s="149"/>
      <c r="X768" s="149"/>
      <c r="Y768" s="149"/>
      <c r="Z768" s="149"/>
    </row>
    <row r="769" spans="1:26" ht="16.5" customHeight="1">
      <c r="A769" s="143"/>
      <c r="B769" s="168"/>
      <c r="C769" s="80"/>
      <c r="D769" s="80"/>
      <c r="E769" s="188"/>
      <c r="F769" s="603"/>
      <c r="G769" s="80"/>
      <c r="H769" s="81"/>
      <c r="I769" s="135"/>
      <c r="J769" s="403"/>
      <c r="K769" s="81"/>
      <c r="L769" s="81"/>
      <c r="M769" s="81"/>
      <c r="N769" s="81"/>
      <c r="O769" s="81"/>
      <c r="P769" s="146"/>
      <c r="Q769" s="146"/>
      <c r="R769" s="146"/>
      <c r="S769" s="149"/>
      <c r="T769" s="149"/>
      <c r="U769" s="149"/>
      <c r="V769" s="149"/>
      <c r="W769" s="149"/>
      <c r="X769" s="149"/>
      <c r="Y769" s="149"/>
      <c r="Z769" s="149"/>
    </row>
    <row r="770" spans="1:26" ht="107.25" customHeight="1">
      <c r="A770" s="143" t="s">
        <v>736</v>
      </c>
      <c r="B770" s="168" t="s">
        <v>671</v>
      </c>
      <c r="C770" s="80">
        <v>1</v>
      </c>
      <c r="D770" s="80">
        <v>1</v>
      </c>
      <c r="E770" s="80">
        <v>0</v>
      </c>
      <c r="F770" s="80">
        <v>1</v>
      </c>
      <c r="G770" s="80">
        <v>1</v>
      </c>
      <c r="H770" s="80">
        <v>1</v>
      </c>
      <c r="I770" s="135" t="s">
        <v>38</v>
      </c>
      <c r="J770" s="81" t="s">
        <v>811</v>
      </c>
      <c r="K770" s="81" t="s">
        <v>811</v>
      </c>
      <c r="L770" s="81" t="s">
        <v>748</v>
      </c>
      <c r="M770" s="81" t="s">
        <v>3914</v>
      </c>
      <c r="N770" s="81" t="s">
        <v>3915</v>
      </c>
      <c r="O770" s="81" t="s">
        <v>3916</v>
      </c>
      <c r="P770" s="146"/>
      <c r="Q770" s="146"/>
      <c r="R770" s="146"/>
      <c r="S770" s="149"/>
      <c r="T770" s="149"/>
      <c r="U770" s="149"/>
      <c r="V770" s="149"/>
      <c r="W770" s="149"/>
      <c r="X770" s="149"/>
      <c r="Y770" s="149"/>
      <c r="Z770" s="149"/>
    </row>
    <row r="771" spans="1:26" ht="15.75" customHeight="1">
      <c r="A771" s="143"/>
      <c r="B771" s="168"/>
      <c r="C771" s="80"/>
      <c r="D771" s="80"/>
      <c r="E771" s="80"/>
      <c r="F771" s="80"/>
      <c r="G771" s="80"/>
      <c r="H771" s="80"/>
      <c r="I771" s="135"/>
      <c r="J771" s="81"/>
      <c r="K771" s="81"/>
      <c r="L771" s="81"/>
      <c r="M771" s="81"/>
      <c r="N771" s="81"/>
      <c r="O771" s="81"/>
      <c r="P771" s="146"/>
      <c r="Q771" s="146"/>
      <c r="R771" s="146"/>
      <c r="S771" s="149"/>
      <c r="T771" s="149"/>
      <c r="U771" s="149"/>
      <c r="V771" s="149"/>
      <c r="W771" s="149"/>
      <c r="X771" s="149"/>
      <c r="Y771" s="149"/>
      <c r="Z771" s="149"/>
    </row>
    <row r="772" spans="1:26" ht="97.5" customHeight="1">
      <c r="A772" s="143" t="s">
        <v>736</v>
      </c>
      <c r="B772" s="168" t="s">
        <v>672</v>
      </c>
      <c r="C772" s="80">
        <v>1</v>
      </c>
      <c r="D772" s="80">
        <v>1</v>
      </c>
      <c r="E772" s="80">
        <v>0</v>
      </c>
      <c r="F772" s="80">
        <v>1</v>
      </c>
      <c r="G772" s="80">
        <v>0</v>
      </c>
      <c r="H772" s="80">
        <v>1</v>
      </c>
      <c r="I772" s="135" t="s">
        <v>38</v>
      </c>
      <c r="J772" s="81" t="s">
        <v>811</v>
      </c>
      <c r="K772" s="81" t="s">
        <v>811</v>
      </c>
      <c r="L772" s="81" t="s">
        <v>748</v>
      </c>
      <c r="M772" s="81" t="s">
        <v>3917</v>
      </c>
      <c r="N772" s="81" t="s">
        <v>748</v>
      </c>
      <c r="O772" s="81" t="s">
        <v>2175</v>
      </c>
      <c r="P772" s="146"/>
      <c r="Q772" s="146"/>
      <c r="R772" s="146"/>
      <c r="S772" s="149"/>
      <c r="T772" s="149"/>
      <c r="U772" s="149"/>
      <c r="V772" s="149"/>
      <c r="W772" s="149"/>
      <c r="X772" s="149"/>
      <c r="Y772" s="149"/>
      <c r="Z772" s="149"/>
    </row>
    <row r="773" spans="1:26" ht="19.5" customHeight="1">
      <c r="A773" s="143"/>
      <c r="B773" s="168"/>
      <c r="C773" s="80"/>
      <c r="D773" s="80"/>
      <c r="E773" s="80"/>
      <c r="F773" s="80"/>
      <c r="G773" s="80"/>
      <c r="H773" s="80"/>
      <c r="I773" s="135"/>
      <c r="J773" s="81"/>
      <c r="K773" s="81"/>
      <c r="L773" s="81"/>
      <c r="M773" s="81"/>
      <c r="N773" s="81"/>
      <c r="O773" s="81"/>
      <c r="P773" s="146"/>
      <c r="Q773" s="146"/>
      <c r="R773" s="146"/>
      <c r="S773" s="149"/>
      <c r="T773" s="149"/>
      <c r="U773" s="149"/>
      <c r="V773" s="149"/>
      <c r="W773" s="149"/>
      <c r="X773" s="149"/>
      <c r="Y773" s="149"/>
      <c r="Z773" s="149"/>
    </row>
    <row r="774" spans="1:26" ht="120" customHeight="1">
      <c r="A774" s="143" t="s">
        <v>736</v>
      </c>
      <c r="B774" s="168" t="s">
        <v>673</v>
      </c>
      <c r="C774" s="80">
        <f>(27-0)/(60.55-0)</f>
        <v>0.44591246903385634</v>
      </c>
      <c r="D774" s="80">
        <f>(60.55-0)/(60.55-0)</f>
        <v>1</v>
      </c>
      <c r="E774" s="80">
        <v>0</v>
      </c>
      <c r="F774" s="80">
        <f>(17-0)/(60.55-0)</f>
        <v>0.28075970272502065</v>
      </c>
      <c r="G774" s="944" t="s">
        <v>877</v>
      </c>
      <c r="H774" s="80">
        <f>(11.8-0)/(60.55-0)</f>
        <v>0.19488026424442612</v>
      </c>
      <c r="I774" s="135" t="s">
        <v>3918</v>
      </c>
      <c r="J774" s="81" t="s">
        <v>3919</v>
      </c>
      <c r="K774" s="81" t="s">
        <v>3920</v>
      </c>
      <c r="L774" s="81" t="s">
        <v>3921</v>
      </c>
      <c r="M774" s="81" t="s">
        <v>3922</v>
      </c>
      <c r="N774" s="81" t="s">
        <v>877</v>
      </c>
      <c r="O774" s="81" t="s">
        <v>3923</v>
      </c>
      <c r="P774" s="146"/>
      <c r="Q774" s="146"/>
      <c r="R774" s="146"/>
      <c r="S774" s="149"/>
      <c r="T774" s="149"/>
      <c r="U774" s="149"/>
      <c r="V774" s="149"/>
      <c r="W774" s="149"/>
      <c r="X774" s="149"/>
      <c r="Y774" s="149"/>
      <c r="Z774" s="149"/>
    </row>
    <row r="775" spans="1:26" ht="29.25" customHeight="1">
      <c r="A775" s="143"/>
      <c r="B775" s="144"/>
      <c r="C775" s="87"/>
      <c r="D775" s="87"/>
      <c r="E775" s="609"/>
      <c r="F775" s="610"/>
      <c r="G775" s="578"/>
      <c r="H775" s="75"/>
      <c r="I775" s="135"/>
      <c r="J775" s="75"/>
      <c r="K775" s="75"/>
      <c r="L775" s="75"/>
      <c r="M775" s="75"/>
      <c r="N775" s="75"/>
      <c r="O775" s="75"/>
      <c r="P775" s="146"/>
      <c r="Q775" s="146"/>
      <c r="R775" s="146"/>
      <c r="S775" s="149"/>
      <c r="T775" s="149"/>
      <c r="U775" s="149"/>
      <c r="V775" s="149"/>
      <c r="W775" s="149"/>
      <c r="X775" s="149"/>
      <c r="Y775" s="149"/>
      <c r="Z775" s="149"/>
    </row>
    <row r="776" spans="1:26" ht="27.75" customHeight="1">
      <c r="A776" s="373" t="s">
        <v>2182</v>
      </c>
      <c r="B776" s="133" t="s">
        <v>3924</v>
      </c>
      <c r="C776" s="299">
        <f t="shared" ref="C776:H776" si="149">AVERAGE(C777,C779,C781,C783,C785,C787,C789,C791,C793,C795)</f>
        <v>0.95</v>
      </c>
      <c r="D776" s="299">
        <f t="shared" si="149"/>
        <v>0.95</v>
      </c>
      <c r="E776" s="299">
        <f t="shared" si="149"/>
        <v>0.48</v>
      </c>
      <c r="F776" s="299">
        <f t="shared" si="149"/>
        <v>0.9</v>
      </c>
      <c r="G776" s="299">
        <f t="shared" si="149"/>
        <v>0.75</v>
      </c>
      <c r="H776" s="299">
        <f t="shared" si="149"/>
        <v>0.63</v>
      </c>
      <c r="I776" s="135"/>
      <c r="J776" s="74"/>
      <c r="K776" s="74"/>
      <c r="L776" s="74"/>
      <c r="M776" s="74"/>
      <c r="N776" s="74"/>
      <c r="O776" s="74"/>
      <c r="P776" s="137"/>
      <c r="Q776" s="137"/>
      <c r="R776" s="137"/>
      <c r="S776" s="138"/>
      <c r="T776" s="138"/>
      <c r="U776" s="138"/>
      <c r="V776" s="138"/>
      <c r="W776" s="138"/>
      <c r="X776" s="138"/>
      <c r="Y776" s="138"/>
      <c r="Z776" s="138"/>
    </row>
    <row r="777" spans="1:26" ht="123.75" customHeight="1">
      <c r="A777" s="143" t="s">
        <v>736</v>
      </c>
      <c r="B777" s="168" t="s">
        <v>677</v>
      </c>
      <c r="C777" s="80">
        <v>1</v>
      </c>
      <c r="D777" s="80">
        <v>1</v>
      </c>
      <c r="E777" s="80">
        <v>1</v>
      </c>
      <c r="F777" s="80">
        <v>1</v>
      </c>
      <c r="G777" s="80">
        <v>1</v>
      </c>
      <c r="H777" s="80">
        <v>1</v>
      </c>
      <c r="I777" s="135" t="s">
        <v>38</v>
      </c>
      <c r="J777" s="81" t="s">
        <v>3925</v>
      </c>
      <c r="K777" s="81" t="s">
        <v>811</v>
      </c>
      <c r="L777" s="81" t="s">
        <v>3926</v>
      </c>
      <c r="M777" s="81" t="s">
        <v>3927</v>
      </c>
      <c r="N777" s="81" t="s">
        <v>3928</v>
      </c>
      <c r="O777" s="81" t="s">
        <v>3929</v>
      </c>
      <c r="P777" s="146"/>
      <c r="Q777" s="146"/>
      <c r="R777" s="146"/>
      <c r="S777" s="149"/>
      <c r="T777" s="149"/>
      <c r="U777" s="149"/>
      <c r="V777" s="149"/>
      <c r="W777" s="149"/>
      <c r="X777" s="149"/>
      <c r="Y777" s="149"/>
      <c r="Z777" s="149"/>
    </row>
    <row r="778" spans="1:26" ht="18.75" customHeight="1">
      <c r="A778" s="143"/>
      <c r="B778" s="168"/>
      <c r="C778" s="80"/>
      <c r="D778" s="80"/>
      <c r="E778" s="80"/>
      <c r="F778" s="80"/>
      <c r="G778" s="80"/>
      <c r="H778" s="80"/>
      <c r="I778" s="135"/>
      <c r="J778" s="81"/>
      <c r="K778" s="81"/>
      <c r="L778" s="81"/>
      <c r="M778" s="81"/>
      <c r="N778" s="81"/>
      <c r="O778" s="81"/>
      <c r="P778" s="146"/>
      <c r="Q778" s="146"/>
      <c r="R778" s="146"/>
      <c r="S778" s="149"/>
      <c r="T778" s="149"/>
      <c r="U778" s="149"/>
      <c r="V778" s="149"/>
      <c r="W778" s="149"/>
      <c r="X778" s="149"/>
      <c r="Y778" s="149"/>
      <c r="Z778" s="149"/>
    </row>
    <row r="779" spans="1:26" ht="75" customHeight="1">
      <c r="A779" s="143" t="s">
        <v>736</v>
      </c>
      <c r="B779" s="168" t="s">
        <v>678</v>
      </c>
      <c r="C779" s="80">
        <v>1</v>
      </c>
      <c r="D779" s="80">
        <v>1</v>
      </c>
      <c r="E779" s="80">
        <v>1</v>
      </c>
      <c r="F779" s="80">
        <v>1</v>
      </c>
      <c r="G779" s="80">
        <v>1</v>
      </c>
      <c r="H779" s="80">
        <v>1</v>
      </c>
      <c r="I779" s="135" t="s">
        <v>38</v>
      </c>
      <c r="J779" s="81" t="s">
        <v>811</v>
      </c>
      <c r="K779" s="81" t="s">
        <v>811</v>
      </c>
      <c r="L779" s="81" t="s">
        <v>811</v>
      </c>
      <c r="M779" s="81" t="s">
        <v>3930</v>
      </c>
      <c r="N779" s="81" t="s">
        <v>811</v>
      </c>
      <c r="O779" s="81" t="s">
        <v>3931</v>
      </c>
      <c r="P779" s="146"/>
      <c r="Q779" s="146"/>
      <c r="R779" s="146"/>
      <c r="S779" s="149"/>
      <c r="T779" s="149"/>
      <c r="U779" s="149"/>
      <c r="V779" s="149"/>
      <c r="W779" s="149"/>
      <c r="X779" s="149"/>
      <c r="Y779" s="149"/>
      <c r="Z779" s="149"/>
    </row>
    <row r="780" spans="1:26" ht="24" customHeight="1">
      <c r="A780" s="143"/>
      <c r="B780" s="168"/>
      <c r="C780" s="80"/>
      <c r="D780" s="80"/>
      <c r="E780" s="80"/>
      <c r="F780" s="80"/>
      <c r="G780" s="80"/>
      <c r="H780" s="80"/>
      <c r="I780" s="135"/>
      <c r="J780" s="81"/>
      <c r="K780" s="81"/>
      <c r="L780" s="81"/>
      <c r="M780" s="81"/>
      <c r="N780" s="81"/>
      <c r="O780" s="81"/>
      <c r="P780" s="146"/>
      <c r="Q780" s="146"/>
      <c r="R780" s="146"/>
      <c r="S780" s="149"/>
      <c r="T780" s="149"/>
      <c r="U780" s="149"/>
      <c r="V780" s="149"/>
      <c r="W780" s="149"/>
      <c r="X780" s="149"/>
      <c r="Y780" s="149"/>
      <c r="Z780" s="149"/>
    </row>
    <row r="781" spans="1:26" ht="154.5" customHeight="1">
      <c r="A781" s="143" t="s">
        <v>736</v>
      </c>
      <c r="B781" s="168" t="s">
        <v>3932</v>
      </c>
      <c r="C781" s="80">
        <v>1</v>
      </c>
      <c r="D781" s="80">
        <v>1</v>
      </c>
      <c r="E781" s="80">
        <v>0</v>
      </c>
      <c r="F781" s="944">
        <v>1</v>
      </c>
      <c r="G781" s="80">
        <v>1</v>
      </c>
      <c r="H781" s="80">
        <v>0</v>
      </c>
      <c r="I781" s="135" t="s">
        <v>38</v>
      </c>
      <c r="J781" s="81" t="s">
        <v>811</v>
      </c>
      <c r="K781" s="81" t="s">
        <v>3933</v>
      </c>
      <c r="L781" s="81" t="s">
        <v>748</v>
      </c>
      <c r="M781" s="81" t="s">
        <v>3934</v>
      </c>
      <c r="N781" s="465" t="s">
        <v>2190</v>
      </c>
      <c r="O781" s="411" t="s">
        <v>3935</v>
      </c>
      <c r="P781" s="146"/>
      <c r="Q781" s="146"/>
      <c r="R781" s="146"/>
      <c r="S781" s="149"/>
      <c r="T781" s="149"/>
      <c r="U781" s="149"/>
      <c r="V781" s="149"/>
      <c r="W781" s="149"/>
      <c r="X781" s="149"/>
      <c r="Y781" s="149"/>
      <c r="Z781" s="149"/>
    </row>
    <row r="782" spans="1:26" ht="21" customHeight="1">
      <c r="A782" s="143"/>
      <c r="B782" s="957"/>
      <c r="C782" s="80"/>
      <c r="D782" s="80"/>
      <c r="E782" s="188"/>
      <c r="F782" s="603"/>
      <c r="G782" s="80"/>
      <c r="H782" s="81"/>
      <c r="I782" s="135"/>
      <c r="J782" s="81"/>
      <c r="K782" s="81"/>
      <c r="L782" s="81"/>
      <c r="M782" s="81"/>
      <c r="N782" s="81"/>
      <c r="O782" s="81"/>
      <c r="P782" s="146"/>
      <c r="Q782" s="146"/>
      <c r="R782" s="146"/>
      <c r="S782" s="149"/>
      <c r="T782" s="149"/>
      <c r="U782" s="149"/>
      <c r="V782" s="149"/>
      <c r="W782" s="149"/>
      <c r="X782" s="149"/>
      <c r="Y782" s="149"/>
      <c r="Z782" s="149"/>
    </row>
    <row r="783" spans="1:26" ht="111.75" customHeight="1">
      <c r="A783" s="143" t="s">
        <v>736</v>
      </c>
      <c r="B783" s="168" t="s">
        <v>680</v>
      </c>
      <c r="C783" s="80">
        <v>1</v>
      </c>
      <c r="D783" s="80">
        <v>1</v>
      </c>
      <c r="E783" s="80">
        <v>0.5</v>
      </c>
      <c r="F783" s="80">
        <v>1</v>
      </c>
      <c r="G783" s="80">
        <v>1</v>
      </c>
      <c r="H783" s="80">
        <v>0.5</v>
      </c>
      <c r="I783" s="135" t="s">
        <v>3857</v>
      </c>
      <c r="J783" s="81" t="s">
        <v>811</v>
      </c>
      <c r="K783" s="81" t="s">
        <v>811</v>
      </c>
      <c r="L783" s="81" t="s">
        <v>3936</v>
      </c>
      <c r="M783" s="81" t="s">
        <v>3937</v>
      </c>
      <c r="N783" s="81" t="s">
        <v>3938</v>
      </c>
      <c r="O783" s="81" t="s">
        <v>3939</v>
      </c>
      <c r="P783" s="146"/>
      <c r="Q783" s="146"/>
      <c r="R783" s="146"/>
      <c r="S783" s="149"/>
      <c r="T783" s="149"/>
      <c r="U783" s="149"/>
      <c r="V783" s="149"/>
      <c r="W783" s="149"/>
      <c r="X783" s="149"/>
      <c r="Y783" s="149"/>
      <c r="Z783" s="149"/>
    </row>
    <row r="784" spans="1:26" ht="11.25" customHeight="1">
      <c r="A784" s="143"/>
      <c r="B784" s="957"/>
      <c r="C784" s="80"/>
      <c r="D784" s="80"/>
      <c r="E784" s="188"/>
      <c r="F784" s="603"/>
      <c r="G784" s="195"/>
      <c r="H784" s="81"/>
      <c r="I784" s="135"/>
      <c r="J784" s="81"/>
      <c r="K784" s="81"/>
      <c r="L784" s="81"/>
      <c r="M784" s="81"/>
      <c r="N784" s="81"/>
      <c r="O784" s="81"/>
      <c r="P784" s="146"/>
      <c r="Q784" s="146"/>
      <c r="R784" s="146"/>
      <c r="S784" s="149"/>
      <c r="T784" s="149"/>
      <c r="U784" s="149"/>
      <c r="V784" s="149"/>
      <c r="W784" s="149"/>
      <c r="X784" s="149"/>
      <c r="Y784" s="149"/>
      <c r="Z784" s="149"/>
    </row>
    <row r="785" spans="1:26" ht="97.5" customHeight="1">
      <c r="A785" s="143" t="s">
        <v>736</v>
      </c>
      <c r="B785" s="168" t="s">
        <v>681</v>
      </c>
      <c r="C785" s="80">
        <v>1</v>
      </c>
      <c r="D785" s="80">
        <v>1</v>
      </c>
      <c r="E785" s="80">
        <v>0</v>
      </c>
      <c r="F785" s="80">
        <v>1</v>
      </c>
      <c r="G785" s="80">
        <v>1</v>
      </c>
      <c r="H785" s="80">
        <v>0</v>
      </c>
      <c r="I785" s="135" t="s">
        <v>38</v>
      </c>
      <c r="J785" s="81" t="s">
        <v>1068</v>
      </c>
      <c r="K785" s="613" t="s">
        <v>811</v>
      </c>
      <c r="L785" s="81" t="s">
        <v>748</v>
      </c>
      <c r="M785" s="81" t="s">
        <v>3940</v>
      </c>
      <c r="N785" s="81" t="s">
        <v>3941</v>
      </c>
      <c r="O785" s="81" t="s">
        <v>748</v>
      </c>
      <c r="P785" s="146"/>
      <c r="Q785" s="146"/>
      <c r="R785" s="146"/>
      <c r="S785" s="149"/>
      <c r="T785" s="149"/>
      <c r="U785" s="149"/>
      <c r="V785" s="149"/>
      <c r="W785" s="149"/>
      <c r="X785" s="149"/>
      <c r="Y785" s="149"/>
      <c r="Z785" s="149"/>
    </row>
    <row r="786" spans="1:26" ht="35.25" customHeight="1">
      <c r="A786" s="143"/>
      <c r="B786" s="168"/>
      <c r="C786" s="80"/>
      <c r="D786" s="80"/>
      <c r="E786" s="188"/>
      <c r="F786" s="603"/>
      <c r="G786" s="80"/>
      <c r="H786" s="81"/>
      <c r="I786" s="135"/>
      <c r="J786" s="81" t="s">
        <v>3942</v>
      </c>
      <c r="K786" s="81"/>
      <c r="L786" s="81"/>
      <c r="M786" s="81"/>
      <c r="N786" s="81"/>
      <c r="O786" s="81"/>
      <c r="P786" s="146"/>
      <c r="Q786" s="146"/>
      <c r="R786" s="146"/>
      <c r="S786" s="149"/>
      <c r="T786" s="149"/>
      <c r="U786" s="149"/>
      <c r="V786" s="149"/>
      <c r="W786" s="149"/>
      <c r="X786" s="149"/>
      <c r="Y786" s="149"/>
      <c r="Z786" s="149"/>
    </row>
    <row r="787" spans="1:26" ht="76.5" customHeight="1">
      <c r="A787" s="143" t="s">
        <v>736</v>
      </c>
      <c r="B787" s="168" t="s">
        <v>682</v>
      </c>
      <c r="C787" s="80">
        <v>1</v>
      </c>
      <c r="D787" s="80">
        <v>1</v>
      </c>
      <c r="E787" s="80">
        <v>0</v>
      </c>
      <c r="F787" s="80">
        <v>1</v>
      </c>
      <c r="G787" s="80">
        <v>1</v>
      </c>
      <c r="H787" s="80">
        <v>1</v>
      </c>
      <c r="I787" s="135" t="s">
        <v>38</v>
      </c>
      <c r="J787" s="81" t="s">
        <v>3943</v>
      </c>
      <c r="K787" s="81" t="s">
        <v>811</v>
      </c>
      <c r="L787" s="81" t="s">
        <v>3944</v>
      </c>
      <c r="M787" s="81" t="s">
        <v>3945</v>
      </c>
      <c r="N787" s="81" t="s">
        <v>3946</v>
      </c>
      <c r="O787" s="81" t="s">
        <v>3947</v>
      </c>
      <c r="P787" s="146"/>
      <c r="Q787" s="146"/>
      <c r="R787" s="146"/>
      <c r="S787" s="149"/>
      <c r="T787" s="149"/>
      <c r="U787" s="149"/>
      <c r="V787" s="149"/>
      <c r="W787" s="149"/>
      <c r="X787" s="149"/>
      <c r="Y787" s="149"/>
      <c r="Z787" s="149"/>
    </row>
    <row r="788" spans="1:26" ht="13.5" customHeight="1">
      <c r="A788" s="143"/>
      <c r="B788" s="957"/>
      <c r="C788" s="80"/>
      <c r="D788" s="80"/>
      <c r="E788" s="80"/>
      <c r="F788" s="80"/>
      <c r="G788" s="80"/>
      <c r="H788" s="80"/>
      <c r="I788" s="135"/>
      <c r="J788" s="81"/>
      <c r="K788" s="81"/>
      <c r="L788" s="81"/>
      <c r="M788" s="81"/>
      <c r="N788" s="81"/>
      <c r="O788" s="81"/>
      <c r="P788" s="146"/>
      <c r="Q788" s="146"/>
      <c r="R788" s="146"/>
      <c r="S788" s="149"/>
      <c r="T788" s="149"/>
      <c r="U788" s="149"/>
      <c r="V788" s="149"/>
      <c r="W788" s="149"/>
      <c r="X788" s="149"/>
      <c r="Y788" s="149"/>
      <c r="Z788" s="149"/>
    </row>
    <row r="789" spans="1:26" ht="96" customHeight="1">
      <c r="A789" s="143" t="s">
        <v>736</v>
      </c>
      <c r="B789" s="168" t="s">
        <v>683</v>
      </c>
      <c r="C789" s="80">
        <v>1</v>
      </c>
      <c r="D789" s="80">
        <v>1</v>
      </c>
      <c r="E789" s="80">
        <v>1</v>
      </c>
      <c r="F789" s="80">
        <v>1</v>
      </c>
      <c r="G789" s="80">
        <v>1</v>
      </c>
      <c r="H789" s="80">
        <v>1</v>
      </c>
      <c r="I789" s="135" t="s">
        <v>38</v>
      </c>
      <c r="J789" s="81" t="s">
        <v>3948</v>
      </c>
      <c r="K789" s="81" t="s">
        <v>811</v>
      </c>
      <c r="L789" s="81" t="s">
        <v>3949</v>
      </c>
      <c r="M789" s="81" t="s">
        <v>3950</v>
      </c>
      <c r="N789" s="411" t="s">
        <v>3951</v>
      </c>
      <c r="O789" s="81" t="s">
        <v>3952</v>
      </c>
      <c r="P789" s="146"/>
      <c r="Q789" s="146"/>
      <c r="R789" s="146"/>
      <c r="S789" s="149"/>
      <c r="T789" s="149"/>
      <c r="U789" s="149"/>
      <c r="V789" s="149"/>
      <c r="W789" s="149"/>
      <c r="X789" s="149"/>
      <c r="Y789" s="149"/>
      <c r="Z789" s="149"/>
    </row>
    <row r="790" spans="1:26" ht="32.25" customHeight="1">
      <c r="A790" s="143"/>
      <c r="B790" s="957"/>
      <c r="C790" s="80"/>
      <c r="D790" s="80"/>
      <c r="E790" s="80"/>
      <c r="F790" s="80"/>
      <c r="G790" s="80"/>
      <c r="H790" s="80"/>
      <c r="I790" s="149"/>
      <c r="J790" s="81"/>
      <c r="K790" s="81"/>
      <c r="L790" s="81"/>
      <c r="M790" s="81"/>
      <c r="N790" s="81"/>
      <c r="O790" s="81"/>
      <c r="P790" s="146"/>
      <c r="Q790" s="146"/>
      <c r="R790" s="146"/>
      <c r="S790" s="149"/>
      <c r="T790" s="149"/>
      <c r="U790" s="149"/>
      <c r="V790" s="149"/>
      <c r="W790" s="149"/>
      <c r="X790" s="149"/>
      <c r="Y790" s="149"/>
      <c r="Z790" s="149"/>
    </row>
    <row r="791" spans="1:26" ht="121.5" customHeight="1">
      <c r="A791" s="143" t="s">
        <v>736</v>
      </c>
      <c r="B791" s="249" t="s">
        <v>684</v>
      </c>
      <c r="C791" s="80">
        <v>1</v>
      </c>
      <c r="D791" s="80">
        <v>1</v>
      </c>
      <c r="E791" s="80">
        <v>1</v>
      </c>
      <c r="F791" s="80">
        <v>1</v>
      </c>
      <c r="G791" s="80">
        <v>0</v>
      </c>
      <c r="H791" s="80">
        <v>0.5</v>
      </c>
      <c r="I791" s="135" t="s">
        <v>3953</v>
      </c>
      <c r="J791" s="605" t="s">
        <v>3954</v>
      </c>
      <c r="K791" s="81" t="s">
        <v>3955</v>
      </c>
      <c r="L791" s="81" t="s">
        <v>3956</v>
      </c>
      <c r="M791" s="81" t="s">
        <v>2208</v>
      </c>
      <c r="N791" s="81" t="s">
        <v>3957</v>
      </c>
      <c r="O791" s="81" t="s">
        <v>3958</v>
      </c>
      <c r="P791" s="146"/>
      <c r="Q791" s="146"/>
      <c r="R791" s="146"/>
      <c r="S791" s="149"/>
      <c r="T791" s="149"/>
      <c r="U791" s="149"/>
      <c r="V791" s="149"/>
      <c r="W791" s="149"/>
      <c r="X791" s="149"/>
      <c r="Y791" s="149"/>
      <c r="Z791" s="149"/>
    </row>
    <row r="792" spans="1:26" ht="31.5" customHeight="1">
      <c r="A792" s="143"/>
      <c r="B792" s="95"/>
      <c r="C792" s="80"/>
      <c r="D792" s="80"/>
      <c r="E792" s="80"/>
      <c r="F792" s="80"/>
      <c r="G792" s="80"/>
      <c r="H792" s="80"/>
      <c r="I792" s="149"/>
      <c r="J792" s="81"/>
      <c r="K792" s="81"/>
      <c r="L792" s="81"/>
      <c r="M792" s="81"/>
      <c r="N792" s="81"/>
      <c r="O792" s="81"/>
      <c r="P792" s="146"/>
      <c r="Q792" s="146"/>
      <c r="R792" s="146"/>
      <c r="S792" s="149"/>
      <c r="T792" s="149"/>
      <c r="U792" s="149"/>
      <c r="V792" s="149"/>
      <c r="W792" s="149"/>
      <c r="X792" s="149"/>
      <c r="Y792" s="149"/>
      <c r="Z792" s="149"/>
    </row>
    <row r="793" spans="1:26" ht="130.5" customHeight="1">
      <c r="A793" s="143" t="s">
        <v>736</v>
      </c>
      <c r="B793" s="249" t="s">
        <v>3959</v>
      </c>
      <c r="C793" s="944">
        <v>0.5</v>
      </c>
      <c r="D793" s="80">
        <v>0.5</v>
      </c>
      <c r="E793" s="80">
        <v>0.3</v>
      </c>
      <c r="F793" s="80">
        <v>1</v>
      </c>
      <c r="G793" s="80">
        <v>0.5</v>
      </c>
      <c r="H793" s="80">
        <v>0.3</v>
      </c>
      <c r="I793" s="261" t="s">
        <v>3960</v>
      </c>
      <c r="J793" s="182" t="s">
        <v>3961</v>
      </c>
      <c r="K793" s="182">
        <v>2</v>
      </c>
      <c r="L793" s="81" t="s">
        <v>3962</v>
      </c>
      <c r="M793" s="182" t="s">
        <v>3963</v>
      </c>
      <c r="N793" s="81">
        <v>2</v>
      </c>
      <c r="O793" s="81" t="s">
        <v>3964</v>
      </c>
      <c r="P793" s="146"/>
      <c r="Q793" s="146"/>
      <c r="R793" s="146"/>
      <c r="S793" s="149"/>
      <c r="T793" s="149"/>
      <c r="U793" s="149"/>
      <c r="V793" s="149"/>
      <c r="W793" s="149"/>
      <c r="X793" s="149"/>
      <c r="Y793" s="149"/>
      <c r="Z793" s="149"/>
    </row>
    <row r="794" spans="1:26" ht="22.5" customHeight="1">
      <c r="A794" s="961"/>
      <c r="B794" s="957"/>
      <c r="C794" s="944"/>
      <c r="D794" s="944"/>
      <c r="E794" s="944"/>
      <c r="F794" s="944"/>
      <c r="G794" s="944"/>
      <c r="H794" s="944"/>
      <c r="I794" s="929"/>
      <c r="J794" s="81"/>
      <c r="K794" s="81"/>
      <c r="L794" s="81"/>
      <c r="M794" s="81"/>
      <c r="N794" s="81"/>
      <c r="O794" s="81"/>
      <c r="P794" s="484"/>
      <c r="Q794" s="484"/>
      <c r="R794" s="484"/>
      <c r="S794" s="929"/>
      <c r="T794" s="929"/>
      <c r="U794" s="929"/>
      <c r="V794" s="929"/>
      <c r="W794" s="929"/>
      <c r="X794" s="929"/>
      <c r="Y794" s="929"/>
      <c r="Z794" s="929"/>
    </row>
    <row r="795" spans="1:26" ht="94.5" customHeight="1">
      <c r="A795" s="143" t="s">
        <v>736</v>
      </c>
      <c r="B795" s="168" t="s">
        <v>687</v>
      </c>
      <c r="C795" s="80">
        <v>1</v>
      </c>
      <c r="D795" s="80">
        <v>1</v>
      </c>
      <c r="E795" s="80">
        <v>0</v>
      </c>
      <c r="F795" s="80">
        <v>0</v>
      </c>
      <c r="G795" s="80">
        <v>0</v>
      </c>
      <c r="H795" s="80">
        <v>1</v>
      </c>
      <c r="I795" s="135" t="s">
        <v>38</v>
      </c>
      <c r="J795" s="81" t="s">
        <v>3965</v>
      </c>
      <c r="K795" s="81" t="s">
        <v>3966</v>
      </c>
      <c r="L795" s="81" t="s">
        <v>3967</v>
      </c>
      <c r="M795" s="81" t="s">
        <v>3968</v>
      </c>
      <c r="N795" s="411" t="s">
        <v>3969</v>
      </c>
      <c r="O795" s="81" t="s">
        <v>3970</v>
      </c>
      <c r="P795" s="146"/>
      <c r="Q795" s="146"/>
      <c r="R795" s="146"/>
      <c r="S795" s="149"/>
      <c r="T795" s="149"/>
      <c r="U795" s="149"/>
      <c r="V795" s="149"/>
      <c r="W795" s="149"/>
      <c r="X795" s="149"/>
      <c r="Y795" s="149"/>
      <c r="Z795" s="149"/>
    </row>
    <row r="796" spans="1:26" ht="25.5" customHeight="1">
      <c r="A796" s="143"/>
      <c r="B796" s="144"/>
      <c r="C796" s="908"/>
      <c r="D796" s="908"/>
      <c r="E796" s="75"/>
      <c r="F796" s="908"/>
      <c r="G796" s="617"/>
      <c r="H796" s="908"/>
      <c r="I796" s="135"/>
      <c r="J796" s="75"/>
      <c r="K796" s="75"/>
      <c r="L796" s="75"/>
      <c r="M796" s="619"/>
      <c r="N796" s="75"/>
      <c r="O796" s="75"/>
      <c r="P796" s="146"/>
      <c r="Q796" s="146"/>
      <c r="R796" s="146"/>
      <c r="S796" s="149"/>
      <c r="T796" s="149"/>
      <c r="U796" s="149"/>
      <c r="V796" s="149"/>
      <c r="W796" s="149"/>
      <c r="X796" s="149"/>
      <c r="Y796" s="149"/>
      <c r="Z796" s="149"/>
    </row>
    <row r="797" spans="1:26" ht="27.75" customHeight="1">
      <c r="A797" s="573" t="s">
        <v>2218</v>
      </c>
      <c r="B797" s="158" t="s">
        <v>688</v>
      </c>
      <c r="C797" s="350">
        <f t="shared" ref="C797:H797" si="150">AVERAGE(C798,C813,C830,C840)</f>
        <v>0.41110420829170835</v>
      </c>
      <c r="D797" s="350">
        <f t="shared" si="150"/>
        <v>0.59390193140193137</v>
      </c>
      <c r="E797" s="350">
        <f t="shared" si="150"/>
        <v>0.18868631368631367</v>
      </c>
      <c r="F797" s="350">
        <f t="shared" si="150"/>
        <v>0.46855618339993338</v>
      </c>
      <c r="G797" s="350">
        <f t="shared" si="150"/>
        <v>0.48607304154179148</v>
      </c>
      <c r="H797" s="350">
        <f t="shared" si="150"/>
        <v>0.24308269855144854</v>
      </c>
      <c r="I797" s="454"/>
      <c r="J797" s="575"/>
      <c r="K797" s="575"/>
      <c r="L797" s="575"/>
      <c r="M797" s="575"/>
      <c r="N797" s="575"/>
      <c r="O797" s="575"/>
      <c r="P797" s="451"/>
      <c r="Q797" s="454"/>
      <c r="R797" s="454"/>
      <c r="S797" s="454"/>
      <c r="T797" s="454"/>
      <c r="U797" s="454"/>
      <c r="V797" s="454"/>
      <c r="W797" s="454"/>
      <c r="X797" s="454"/>
      <c r="Y797" s="454"/>
      <c r="Z797" s="454"/>
    </row>
    <row r="798" spans="1:26" ht="13.5" customHeight="1">
      <c r="A798" s="130" t="s">
        <v>2219</v>
      </c>
      <c r="B798" s="133" t="s">
        <v>2220</v>
      </c>
      <c r="C798" s="72">
        <f t="shared" ref="C798:H798" si="151">AVERAGE(C799,C801)</f>
        <v>0.67500000000000004</v>
      </c>
      <c r="D798" s="72">
        <f t="shared" si="151"/>
        <v>0.57499999999999996</v>
      </c>
      <c r="E798" s="72">
        <f t="shared" si="151"/>
        <v>0</v>
      </c>
      <c r="F798" s="72">
        <f t="shared" si="151"/>
        <v>0.27812500000000001</v>
      </c>
      <c r="G798" s="72">
        <f t="shared" si="151"/>
        <v>0.31562499999999999</v>
      </c>
      <c r="H798" s="72">
        <f t="shared" si="151"/>
        <v>7.8125E-2</v>
      </c>
      <c r="I798" s="482"/>
      <c r="J798" s="206"/>
      <c r="K798" s="206"/>
      <c r="L798" s="206"/>
      <c r="M798" s="206"/>
      <c r="N798" s="206"/>
      <c r="O798" s="206"/>
      <c r="P798" s="621"/>
      <c r="Q798" s="206"/>
      <c r="R798" s="206"/>
      <c r="S798" s="206"/>
      <c r="T798" s="206"/>
      <c r="U798" s="206"/>
      <c r="V798" s="206"/>
      <c r="W798" s="206"/>
      <c r="X798" s="206"/>
      <c r="Y798" s="206"/>
      <c r="Z798" s="206"/>
    </row>
    <row r="799" spans="1:26" ht="93" customHeight="1">
      <c r="A799" s="143" t="s">
        <v>736</v>
      </c>
      <c r="B799" s="168" t="s">
        <v>2221</v>
      </c>
      <c r="C799" s="80">
        <v>1</v>
      </c>
      <c r="D799" s="80">
        <v>1</v>
      </c>
      <c r="E799" s="80">
        <v>0</v>
      </c>
      <c r="F799" s="80">
        <v>0.5</v>
      </c>
      <c r="G799" s="80">
        <v>0.5</v>
      </c>
      <c r="H799" s="80">
        <v>0</v>
      </c>
      <c r="I799" s="135" t="s">
        <v>2222</v>
      </c>
      <c r="J799" s="81" t="s">
        <v>3971</v>
      </c>
      <c r="K799" s="81" t="s">
        <v>3972</v>
      </c>
      <c r="L799" s="81" t="s">
        <v>748</v>
      </c>
      <c r="M799" s="81" t="s">
        <v>3973</v>
      </c>
      <c r="N799" s="182" t="s">
        <v>2225</v>
      </c>
      <c r="O799" s="622" t="s">
        <v>3974</v>
      </c>
      <c r="P799" s="623"/>
      <c r="Q799" s="149"/>
      <c r="R799" s="149"/>
      <c r="S799" s="149"/>
      <c r="T799" s="149"/>
      <c r="U799" s="149"/>
      <c r="V799" s="149"/>
      <c r="W799" s="149"/>
      <c r="X799" s="149"/>
      <c r="Y799" s="149"/>
      <c r="Z799" s="149"/>
    </row>
    <row r="800" spans="1:26" ht="20.25" customHeight="1">
      <c r="A800" s="143"/>
      <c r="B800" s="168"/>
      <c r="C800" s="80"/>
      <c r="D800" s="80"/>
      <c r="E800" s="80"/>
      <c r="F800" s="80"/>
      <c r="G800" s="80"/>
      <c r="H800" s="80"/>
      <c r="I800" s="135"/>
      <c r="J800" s="81"/>
      <c r="K800" s="81"/>
      <c r="L800" s="81"/>
      <c r="M800" s="81"/>
      <c r="N800" s="81"/>
      <c r="O800" s="156"/>
      <c r="P800" s="623"/>
      <c r="Q800" s="149"/>
      <c r="R800" s="149"/>
      <c r="S800" s="149"/>
      <c r="T800" s="149"/>
      <c r="U800" s="149"/>
      <c r="V800" s="149"/>
      <c r="W800" s="149"/>
      <c r="X800" s="149"/>
      <c r="Y800" s="149"/>
      <c r="Z800" s="149"/>
    </row>
    <row r="801" spans="1:26" ht="27.75" customHeight="1">
      <c r="A801" s="143" t="s">
        <v>736</v>
      </c>
      <c r="B801" s="168" t="s">
        <v>2227</v>
      </c>
      <c r="C801" s="80">
        <f t="shared" ref="C801:H801" si="152">AVERAGE(C802,C803,C804,C807,C808,C809,C810,C811)</f>
        <v>0.35</v>
      </c>
      <c r="D801" s="80">
        <f t="shared" si="152"/>
        <v>0.15000000000000002</v>
      </c>
      <c r="E801" s="80">
        <f t="shared" si="152"/>
        <v>0</v>
      </c>
      <c r="F801" s="80">
        <f t="shared" si="152"/>
        <v>5.6249999999999994E-2</v>
      </c>
      <c r="G801" s="80">
        <f t="shared" si="152"/>
        <v>0.13125000000000001</v>
      </c>
      <c r="H801" s="80">
        <f t="shared" si="152"/>
        <v>0.15625</v>
      </c>
      <c r="I801" s="135"/>
      <c r="J801" s="81"/>
      <c r="K801" s="352"/>
      <c r="L801" s="81"/>
      <c r="M801" s="81"/>
      <c r="N801" s="81"/>
      <c r="O801" s="514"/>
      <c r="P801" s="623"/>
      <c r="Q801" s="149"/>
      <c r="R801" s="149"/>
      <c r="S801" s="149"/>
      <c r="T801" s="149"/>
      <c r="U801" s="149"/>
      <c r="V801" s="149"/>
      <c r="W801" s="149"/>
      <c r="X801" s="149"/>
      <c r="Y801" s="149"/>
      <c r="Z801" s="149"/>
    </row>
    <row r="802" spans="1:26" ht="163.5" customHeight="1">
      <c r="A802" s="143">
        <v>1</v>
      </c>
      <c r="B802" s="168" t="s">
        <v>2228</v>
      </c>
      <c r="C802" s="80">
        <v>0.9</v>
      </c>
      <c r="D802" s="80">
        <v>0.75</v>
      </c>
      <c r="E802" s="80">
        <v>0</v>
      </c>
      <c r="F802" s="80">
        <v>0.1</v>
      </c>
      <c r="G802" s="80">
        <v>0</v>
      </c>
      <c r="H802" s="80">
        <v>0.1</v>
      </c>
      <c r="I802" s="135" t="s">
        <v>123</v>
      </c>
      <c r="J802" s="182" t="s">
        <v>3975</v>
      </c>
      <c r="K802" s="182" t="s">
        <v>3976</v>
      </c>
      <c r="L802" s="81" t="s">
        <v>748</v>
      </c>
      <c r="M802" s="81" t="s">
        <v>2231</v>
      </c>
      <c r="N802" s="81" t="s">
        <v>763</v>
      </c>
      <c r="O802" s="182" t="s">
        <v>3977</v>
      </c>
      <c r="P802" s="623"/>
      <c r="Q802" s="149"/>
      <c r="R802" s="149"/>
      <c r="S802" s="149"/>
      <c r="T802" s="149"/>
      <c r="U802" s="149"/>
      <c r="V802" s="149"/>
      <c r="W802" s="149"/>
      <c r="X802" s="149"/>
      <c r="Y802" s="149"/>
      <c r="Z802" s="149"/>
    </row>
    <row r="803" spans="1:26" ht="194.25" customHeight="1">
      <c r="A803" s="143">
        <v>2</v>
      </c>
      <c r="B803" s="168" t="s">
        <v>2233</v>
      </c>
      <c r="C803" s="80">
        <v>0.65</v>
      </c>
      <c r="D803" s="80">
        <v>0.25</v>
      </c>
      <c r="E803" s="80">
        <v>0</v>
      </c>
      <c r="F803" s="80">
        <v>0.25</v>
      </c>
      <c r="G803" s="80">
        <v>0.1</v>
      </c>
      <c r="H803" s="80">
        <v>0.1</v>
      </c>
      <c r="I803" s="135" t="s">
        <v>123</v>
      </c>
      <c r="J803" s="182" t="s">
        <v>3978</v>
      </c>
      <c r="K803" s="182" t="s">
        <v>3979</v>
      </c>
      <c r="L803" s="81" t="s">
        <v>748</v>
      </c>
      <c r="M803" s="81" t="s">
        <v>3980</v>
      </c>
      <c r="N803" s="81" t="s">
        <v>2231</v>
      </c>
      <c r="O803" s="182" t="s">
        <v>3981</v>
      </c>
      <c r="P803" s="623"/>
      <c r="Q803" s="149"/>
      <c r="R803" s="149"/>
      <c r="S803" s="149"/>
      <c r="T803" s="149"/>
      <c r="U803" s="149"/>
      <c r="V803" s="149"/>
      <c r="W803" s="149"/>
      <c r="X803" s="149"/>
      <c r="Y803" s="149"/>
      <c r="Z803" s="149"/>
    </row>
    <row r="804" spans="1:26" ht="15.75" customHeight="1">
      <c r="A804" s="143">
        <v>3</v>
      </c>
      <c r="B804" s="95" t="s">
        <v>2239</v>
      </c>
      <c r="C804" s="80">
        <f t="shared" ref="C804:H804" si="153">AVERAGE(C805:C806)</f>
        <v>0</v>
      </c>
      <c r="D804" s="80">
        <f t="shared" si="153"/>
        <v>0</v>
      </c>
      <c r="E804" s="80">
        <f t="shared" si="153"/>
        <v>0</v>
      </c>
      <c r="F804" s="80">
        <f t="shared" si="153"/>
        <v>0</v>
      </c>
      <c r="G804" s="80">
        <f t="shared" si="153"/>
        <v>0</v>
      </c>
      <c r="H804" s="80">
        <f t="shared" si="153"/>
        <v>0.1</v>
      </c>
      <c r="I804" s="135"/>
      <c r="J804" s="81"/>
      <c r="K804" s="352"/>
      <c r="L804" s="81"/>
      <c r="M804" s="81"/>
      <c r="N804" s="81"/>
      <c r="O804" s="352"/>
      <c r="P804" s="623"/>
      <c r="Q804" s="149"/>
      <c r="R804" s="149"/>
      <c r="S804" s="149"/>
      <c r="T804" s="149"/>
      <c r="U804" s="149"/>
      <c r="V804" s="149"/>
      <c r="W804" s="149"/>
      <c r="X804" s="149"/>
      <c r="Y804" s="149"/>
      <c r="Z804" s="149"/>
    </row>
    <row r="805" spans="1:26" ht="166.5" customHeight="1">
      <c r="A805" s="143"/>
      <c r="B805" s="947" t="s">
        <v>2240</v>
      </c>
      <c r="C805" s="80">
        <v>0</v>
      </c>
      <c r="D805" s="80">
        <v>0</v>
      </c>
      <c r="E805" s="80">
        <v>0</v>
      </c>
      <c r="F805" s="80">
        <v>0</v>
      </c>
      <c r="G805" s="80">
        <v>0</v>
      </c>
      <c r="H805" s="80">
        <v>0.1</v>
      </c>
      <c r="I805" s="135" t="s">
        <v>38</v>
      </c>
      <c r="J805" s="245" t="s">
        <v>3982</v>
      </c>
      <c r="K805" s="182" t="s">
        <v>3983</v>
      </c>
      <c r="L805" s="81" t="s">
        <v>748</v>
      </c>
      <c r="M805" s="81" t="s">
        <v>748</v>
      </c>
      <c r="N805" s="81" t="s">
        <v>748</v>
      </c>
      <c r="O805" s="182" t="s">
        <v>3984</v>
      </c>
      <c r="P805" s="623"/>
      <c r="Q805" s="149"/>
      <c r="R805" s="149"/>
      <c r="S805" s="149"/>
      <c r="T805" s="149"/>
      <c r="U805" s="149"/>
      <c r="V805" s="149"/>
      <c r="W805" s="149"/>
      <c r="X805" s="149"/>
      <c r="Y805" s="149"/>
      <c r="Z805" s="149"/>
    </row>
    <row r="806" spans="1:26" ht="178.5" customHeight="1">
      <c r="A806" s="143"/>
      <c r="B806" s="947" t="s">
        <v>2243</v>
      </c>
      <c r="C806" s="80">
        <v>0</v>
      </c>
      <c r="D806" s="80">
        <v>0</v>
      </c>
      <c r="E806" s="80">
        <v>0</v>
      </c>
      <c r="F806" s="80">
        <v>0</v>
      </c>
      <c r="G806" s="80">
        <v>0</v>
      </c>
      <c r="H806" s="80">
        <v>0.1</v>
      </c>
      <c r="I806" s="135" t="s">
        <v>38</v>
      </c>
      <c r="J806" s="245" t="s">
        <v>3985</v>
      </c>
      <c r="K806" s="81" t="s">
        <v>748</v>
      </c>
      <c r="L806" s="81" t="s">
        <v>748</v>
      </c>
      <c r="M806" s="81" t="s">
        <v>748</v>
      </c>
      <c r="N806" s="81" t="s">
        <v>748</v>
      </c>
      <c r="O806" s="182" t="s">
        <v>3986</v>
      </c>
      <c r="P806" s="623"/>
      <c r="Q806" s="149"/>
      <c r="R806" s="149"/>
      <c r="S806" s="149"/>
      <c r="T806" s="149"/>
      <c r="U806" s="149"/>
      <c r="V806" s="149"/>
      <c r="W806" s="149"/>
      <c r="X806" s="149"/>
      <c r="Y806" s="149"/>
      <c r="Z806" s="149"/>
    </row>
    <row r="807" spans="1:26" ht="161.25" customHeight="1">
      <c r="A807" s="143">
        <v>4</v>
      </c>
      <c r="B807" s="95" t="s">
        <v>2246</v>
      </c>
      <c r="C807" s="80">
        <v>0.55000000000000004</v>
      </c>
      <c r="D807" s="80">
        <v>0.1</v>
      </c>
      <c r="E807" s="80">
        <v>0</v>
      </c>
      <c r="F807" s="80">
        <v>0</v>
      </c>
      <c r="G807" s="80">
        <v>0.1</v>
      </c>
      <c r="H807" s="80">
        <v>0.1</v>
      </c>
      <c r="I807" s="135" t="s">
        <v>123</v>
      </c>
      <c r="J807" s="245" t="s">
        <v>3987</v>
      </c>
      <c r="K807" s="182" t="s">
        <v>3988</v>
      </c>
      <c r="L807" s="81" t="s">
        <v>748</v>
      </c>
      <c r="M807" s="81" t="s">
        <v>748</v>
      </c>
      <c r="N807" s="81" t="s">
        <v>3989</v>
      </c>
      <c r="O807" s="182" t="s">
        <v>3990</v>
      </c>
      <c r="P807" s="623"/>
      <c r="Q807" s="149"/>
      <c r="R807" s="149"/>
      <c r="S807" s="149"/>
      <c r="T807" s="149"/>
      <c r="U807" s="149"/>
      <c r="V807" s="149"/>
      <c r="W807" s="149"/>
      <c r="X807" s="149"/>
      <c r="Y807" s="149"/>
      <c r="Z807" s="149"/>
    </row>
    <row r="808" spans="1:26" ht="113.25" customHeight="1">
      <c r="A808" s="143">
        <v>5</v>
      </c>
      <c r="B808" s="95" t="s">
        <v>2252</v>
      </c>
      <c r="C808" s="80">
        <v>0.3</v>
      </c>
      <c r="D808" s="80">
        <v>0</v>
      </c>
      <c r="E808" s="80">
        <v>0</v>
      </c>
      <c r="F808" s="80">
        <v>0</v>
      </c>
      <c r="G808" s="80">
        <v>0.1</v>
      </c>
      <c r="H808" s="80">
        <v>0.1</v>
      </c>
      <c r="I808" s="135"/>
      <c r="J808" s="245" t="s">
        <v>3991</v>
      </c>
      <c r="K808" s="81" t="s">
        <v>748</v>
      </c>
      <c r="L808" s="81" t="s">
        <v>748</v>
      </c>
      <c r="M808" s="81" t="s">
        <v>748</v>
      </c>
      <c r="N808" s="81" t="s">
        <v>3989</v>
      </c>
      <c r="O808" s="81" t="s">
        <v>3992</v>
      </c>
      <c r="P808" s="623"/>
      <c r="Q808" s="149"/>
      <c r="R808" s="149"/>
      <c r="S808" s="149"/>
      <c r="T808" s="149"/>
      <c r="U808" s="149"/>
      <c r="V808" s="149"/>
      <c r="W808" s="149"/>
      <c r="X808" s="149"/>
      <c r="Y808" s="149"/>
      <c r="Z808" s="149"/>
    </row>
    <row r="809" spans="1:26" ht="211.5" customHeight="1">
      <c r="A809" s="143">
        <v>6</v>
      </c>
      <c r="B809" s="95" t="s">
        <v>2258</v>
      </c>
      <c r="C809" s="80">
        <v>0.3</v>
      </c>
      <c r="D809" s="80">
        <v>0.1</v>
      </c>
      <c r="E809" s="80">
        <v>0</v>
      </c>
      <c r="F809" s="80">
        <v>0</v>
      </c>
      <c r="G809" s="80">
        <v>0</v>
      </c>
      <c r="H809" s="80">
        <v>0</v>
      </c>
      <c r="I809" s="135"/>
      <c r="J809" s="245" t="s">
        <v>3993</v>
      </c>
      <c r="K809" s="81" t="s">
        <v>3994</v>
      </c>
      <c r="L809" s="81" t="s">
        <v>748</v>
      </c>
      <c r="M809" s="81" t="s">
        <v>748</v>
      </c>
      <c r="N809" s="81" t="s">
        <v>748</v>
      </c>
      <c r="O809" s="81" t="s">
        <v>3995</v>
      </c>
      <c r="P809" s="623"/>
      <c r="Q809" s="149"/>
      <c r="R809" s="149"/>
      <c r="S809" s="149"/>
      <c r="T809" s="149"/>
      <c r="U809" s="149"/>
      <c r="V809" s="149"/>
      <c r="W809" s="149"/>
      <c r="X809" s="149"/>
      <c r="Y809" s="149"/>
      <c r="Z809" s="149"/>
    </row>
    <row r="810" spans="1:26" ht="138" customHeight="1">
      <c r="A810" s="143">
        <v>7</v>
      </c>
      <c r="B810" s="95" t="s">
        <v>2263</v>
      </c>
      <c r="C810" s="80">
        <v>0</v>
      </c>
      <c r="D810" s="80">
        <v>0</v>
      </c>
      <c r="E810" s="80">
        <v>0</v>
      </c>
      <c r="F810" s="80">
        <v>0</v>
      </c>
      <c r="G810" s="80">
        <v>0</v>
      </c>
      <c r="H810" s="80">
        <v>0</v>
      </c>
      <c r="I810" s="135"/>
      <c r="J810" s="245" t="s">
        <v>3996</v>
      </c>
      <c r="K810" s="81" t="s">
        <v>3997</v>
      </c>
      <c r="L810" s="81" t="s">
        <v>748</v>
      </c>
      <c r="M810" s="182" t="s">
        <v>3998</v>
      </c>
      <c r="N810" s="81" t="s">
        <v>748</v>
      </c>
      <c r="O810" s="81" t="s">
        <v>3999</v>
      </c>
      <c r="P810" s="623"/>
      <c r="Q810" s="149"/>
      <c r="R810" s="149"/>
      <c r="S810" s="149"/>
      <c r="T810" s="149"/>
      <c r="U810" s="149"/>
      <c r="V810" s="149"/>
      <c r="W810" s="149"/>
      <c r="X810" s="149"/>
      <c r="Y810" s="149"/>
      <c r="Z810" s="149"/>
    </row>
    <row r="811" spans="1:26" ht="195.75" customHeight="1">
      <c r="A811" s="143">
        <v>8</v>
      </c>
      <c r="B811" s="95" t="s">
        <v>2267</v>
      </c>
      <c r="C811" s="80">
        <v>0.1</v>
      </c>
      <c r="D811" s="80">
        <v>0</v>
      </c>
      <c r="E811" s="80">
        <v>0</v>
      </c>
      <c r="F811" s="80">
        <v>0.1</v>
      </c>
      <c r="G811" s="80">
        <v>0.75</v>
      </c>
      <c r="H811" s="80">
        <v>0.75</v>
      </c>
      <c r="I811" s="135"/>
      <c r="J811" s="245" t="s">
        <v>4000</v>
      </c>
      <c r="K811" s="81" t="s">
        <v>748</v>
      </c>
      <c r="L811" s="81" t="s">
        <v>748</v>
      </c>
      <c r="M811" s="182" t="s">
        <v>4001</v>
      </c>
      <c r="N811" s="81" t="s">
        <v>811</v>
      </c>
      <c r="O811" s="81" t="s">
        <v>4002</v>
      </c>
      <c r="P811" s="623"/>
      <c r="Q811" s="149"/>
      <c r="R811" s="149"/>
      <c r="S811" s="149"/>
      <c r="T811" s="149"/>
      <c r="U811" s="149"/>
      <c r="V811" s="149"/>
      <c r="W811" s="149"/>
      <c r="X811" s="149"/>
      <c r="Y811" s="149"/>
      <c r="Z811" s="149"/>
    </row>
    <row r="812" spans="1:26" ht="18.75" customHeight="1">
      <c r="A812" s="143"/>
      <c r="B812" s="79"/>
      <c r="C812" s="87"/>
      <c r="D812" s="87"/>
      <c r="E812" s="87"/>
      <c r="F812" s="87"/>
      <c r="G812" s="87"/>
      <c r="H812" s="87"/>
      <c r="I812" s="135"/>
      <c r="J812" s="457"/>
      <c r="K812" s="75"/>
      <c r="L812" s="75"/>
      <c r="M812" s="521"/>
      <c r="N812" s="75"/>
      <c r="O812" s="75"/>
      <c r="P812" s="623"/>
      <c r="Q812" s="149"/>
      <c r="R812" s="149"/>
      <c r="S812" s="149"/>
      <c r="T812" s="149"/>
      <c r="U812" s="149"/>
      <c r="V812" s="149"/>
      <c r="W812" s="149"/>
      <c r="X812" s="149"/>
      <c r="Y812" s="149"/>
      <c r="Z812" s="149"/>
    </row>
    <row r="813" spans="1:26" ht="27.75" customHeight="1">
      <c r="A813" s="130" t="s">
        <v>2272</v>
      </c>
      <c r="B813" s="133" t="s">
        <v>4003</v>
      </c>
      <c r="C813" s="72">
        <f t="shared" ref="C813:H813" si="154">AVERAGE(C814,C816,C818,C820,C822,C824,C826,C828)</f>
        <v>0.40625</v>
      </c>
      <c r="D813" s="72">
        <f t="shared" si="154"/>
        <v>0.42499999999999999</v>
      </c>
      <c r="E813" s="72">
        <f t="shared" si="154"/>
        <v>0</v>
      </c>
      <c r="F813" s="72">
        <f t="shared" si="154"/>
        <v>1.2500000000000001E-2</v>
      </c>
      <c r="G813" s="72">
        <f t="shared" si="154"/>
        <v>6.25E-2</v>
      </c>
      <c r="H813" s="72">
        <f t="shared" si="154"/>
        <v>0</v>
      </c>
      <c r="I813" s="138"/>
      <c r="J813" s="452"/>
      <c r="K813" s="453"/>
      <c r="L813" s="630"/>
      <c r="M813" s="452"/>
      <c r="N813" s="452"/>
      <c r="O813" s="453"/>
      <c r="P813" s="631"/>
      <c r="Q813" s="138"/>
      <c r="R813" s="138"/>
      <c r="S813" s="138"/>
      <c r="T813" s="138"/>
      <c r="U813" s="138"/>
      <c r="V813" s="138"/>
      <c r="W813" s="138"/>
      <c r="X813" s="138"/>
      <c r="Y813" s="138"/>
      <c r="Z813" s="138"/>
    </row>
    <row r="814" spans="1:26" ht="120.75" customHeight="1">
      <c r="A814" s="143" t="s">
        <v>736</v>
      </c>
      <c r="B814" s="95" t="s">
        <v>2274</v>
      </c>
      <c r="C814" s="80">
        <v>0</v>
      </c>
      <c r="D814" s="80">
        <v>0</v>
      </c>
      <c r="E814" s="80">
        <v>0</v>
      </c>
      <c r="F814" s="80">
        <v>0</v>
      </c>
      <c r="G814" s="80">
        <v>0</v>
      </c>
      <c r="H814" s="80">
        <v>0</v>
      </c>
      <c r="I814" s="135" t="s">
        <v>123</v>
      </c>
      <c r="J814" s="81" t="s">
        <v>4004</v>
      </c>
      <c r="K814" s="81" t="s">
        <v>748</v>
      </c>
      <c r="L814" s="81" t="s">
        <v>4005</v>
      </c>
      <c r="M814" s="81" t="s">
        <v>748</v>
      </c>
      <c r="N814" s="81" t="s">
        <v>748</v>
      </c>
      <c r="O814" s="81" t="s">
        <v>748</v>
      </c>
      <c r="P814" s="623"/>
      <c r="Q814" s="149"/>
      <c r="R814" s="149"/>
      <c r="S814" s="149"/>
      <c r="T814" s="149"/>
      <c r="U814" s="149"/>
      <c r="V814" s="149"/>
      <c r="W814" s="149"/>
      <c r="X814" s="149"/>
      <c r="Y814" s="149"/>
      <c r="Z814" s="149"/>
    </row>
    <row r="815" spans="1:26" ht="13.5" customHeight="1">
      <c r="A815" s="143"/>
      <c r="B815" s="947"/>
      <c r="C815" s="80"/>
      <c r="D815" s="80"/>
      <c r="E815" s="80"/>
      <c r="F815" s="80"/>
      <c r="G815" s="80"/>
      <c r="H815" s="80"/>
      <c r="I815" s="135"/>
      <c r="J815" s="81"/>
      <c r="K815" s="81"/>
      <c r="L815" s="81"/>
      <c r="M815" s="81"/>
      <c r="N815" s="81"/>
      <c r="O815" s="81"/>
      <c r="P815" s="623"/>
      <c r="Q815" s="149"/>
      <c r="R815" s="149"/>
      <c r="S815" s="149"/>
      <c r="T815" s="149"/>
      <c r="U815" s="149"/>
      <c r="V815" s="149"/>
      <c r="W815" s="149"/>
      <c r="X815" s="149"/>
      <c r="Y815" s="149"/>
      <c r="Z815" s="149"/>
    </row>
    <row r="816" spans="1:26" ht="108.75" customHeight="1">
      <c r="A816" s="143" t="s">
        <v>736</v>
      </c>
      <c r="B816" s="95" t="s">
        <v>2277</v>
      </c>
      <c r="C816" s="80">
        <v>0.75</v>
      </c>
      <c r="D816" s="80">
        <v>0.75</v>
      </c>
      <c r="E816" s="80">
        <v>0</v>
      </c>
      <c r="F816" s="80">
        <v>0</v>
      </c>
      <c r="G816" s="80">
        <v>0</v>
      </c>
      <c r="H816" s="80">
        <v>0</v>
      </c>
      <c r="I816" s="135" t="s">
        <v>38</v>
      </c>
      <c r="J816" s="182" t="s">
        <v>4006</v>
      </c>
      <c r="K816" s="182" t="s">
        <v>4007</v>
      </c>
      <c r="L816" s="81" t="s">
        <v>4008</v>
      </c>
      <c r="M816" s="81" t="s">
        <v>748</v>
      </c>
      <c r="N816" s="81" t="s">
        <v>748</v>
      </c>
      <c r="O816" s="81" t="s">
        <v>748</v>
      </c>
      <c r="P816" s="623"/>
      <c r="Q816" s="149"/>
      <c r="R816" s="149"/>
      <c r="S816" s="149"/>
      <c r="T816" s="149"/>
      <c r="U816" s="149"/>
      <c r="V816" s="149"/>
      <c r="W816" s="149"/>
      <c r="X816" s="149"/>
      <c r="Y816" s="149"/>
      <c r="Z816" s="149"/>
    </row>
    <row r="817" spans="1:26" ht="13.5" customHeight="1">
      <c r="A817" s="143"/>
      <c r="B817" s="95"/>
      <c r="C817" s="80"/>
      <c r="D817" s="80"/>
      <c r="E817" s="80"/>
      <c r="F817" s="80"/>
      <c r="G817" s="80"/>
      <c r="H817" s="80"/>
      <c r="I817" s="135"/>
      <c r="J817" s="182"/>
      <c r="K817" s="182"/>
      <c r="L817" s="81"/>
      <c r="M817" s="81"/>
      <c r="N817" s="81"/>
      <c r="O817" s="81"/>
      <c r="P817" s="623"/>
      <c r="Q817" s="149"/>
      <c r="R817" s="149"/>
      <c r="S817" s="149"/>
      <c r="T817" s="149"/>
      <c r="U817" s="149"/>
      <c r="V817" s="149"/>
      <c r="W817" s="149"/>
      <c r="X817" s="149"/>
      <c r="Y817" s="149"/>
      <c r="Z817" s="149"/>
    </row>
    <row r="818" spans="1:26" ht="126" customHeight="1">
      <c r="A818" s="143" t="s">
        <v>736</v>
      </c>
      <c r="B818" s="95" t="s">
        <v>2281</v>
      </c>
      <c r="C818" s="80">
        <v>0</v>
      </c>
      <c r="D818" s="80">
        <v>0</v>
      </c>
      <c r="E818" s="80">
        <v>0</v>
      </c>
      <c r="F818" s="80">
        <v>0</v>
      </c>
      <c r="G818" s="80">
        <v>0</v>
      </c>
      <c r="H818" s="80">
        <v>0</v>
      </c>
      <c r="I818" s="135"/>
      <c r="J818" s="81" t="s">
        <v>748</v>
      </c>
      <c r="K818" s="81" t="s">
        <v>748</v>
      </c>
      <c r="L818" s="81" t="s">
        <v>748</v>
      </c>
      <c r="M818" s="81" t="s">
        <v>748</v>
      </c>
      <c r="N818" s="81" t="s">
        <v>748</v>
      </c>
      <c r="O818" s="81" t="s">
        <v>748</v>
      </c>
      <c r="P818" s="623"/>
      <c r="Q818" s="149"/>
      <c r="R818" s="149"/>
      <c r="S818" s="149"/>
      <c r="T818" s="149"/>
      <c r="U818" s="149"/>
      <c r="V818" s="149"/>
      <c r="W818" s="149"/>
      <c r="X818" s="149"/>
      <c r="Y818" s="149"/>
      <c r="Z818" s="149"/>
    </row>
    <row r="819" spans="1:26" ht="13.5" customHeight="1">
      <c r="A819" s="143"/>
      <c r="B819" s="95"/>
      <c r="C819" s="80"/>
      <c r="D819" s="80"/>
      <c r="E819" s="80"/>
      <c r="F819" s="80"/>
      <c r="G819" s="80"/>
      <c r="H819" s="80"/>
      <c r="I819" s="135"/>
      <c r="J819" s="81"/>
      <c r="K819" s="81"/>
      <c r="L819" s="81"/>
      <c r="M819" s="81"/>
      <c r="N819" s="81"/>
      <c r="O819" s="81"/>
      <c r="P819" s="623"/>
      <c r="Q819" s="149"/>
      <c r="R819" s="149"/>
      <c r="S819" s="149"/>
      <c r="T819" s="149"/>
      <c r="U819" s="149"/>
      <c r="V819" s="149"/>
      <c r="W819" s="149"/>
      <c r="X819" s="149"/>
      <c r="Y819" s="149"/>
      <c r="Z819" s="149"/>
    </row>
    <row r="820" spans="1:26" ht="97.5" customHeight="1">
      <c r="A820" s="143" t="s">
        <v>736</v>
      </c>
      <c r="B820" s="95" t="s">
        <v>2286</v>
      </c>
      <c r="C820" s="80">
        <v>0</v>
      </c>
      <c r="D820" s="80">
        <v>0</v>
      </c>
      <c r="E820" s="80">
        <v>0</v>
      </c>
      <c r="F820" s="80">
        <v>0</v>
      </c>
      <c r="G820" s="80">
        <v>0</v>
      </c>
      <c r="H820" s="80">
        <v>0</v>
      </c>
      <c r="I820" s="135"/>
      <c r="J820" s="81" t="s">
        <v>748</v>
      </c>
      <c r="K820" s="81" t="s">
        <v>748</v>
      </c>
      <c r="L820" s="81" t="s">
        <v>748</v>
      </c>
      <c r="M820" s="81" t="s">
        <v>748</v>
      </c>
      <c r="N820" s="81" t="s">
        <v>748</v>
      </c>
      <c r="O820" s="81" t="s">
        <v>748</v>
      </c>
      <c r="P820" s="623"/>
      <c r="Q820" s="149"/>
      <c r="R820" s="149"/>
      <c r="S820" s="149"/>
      <c r="T820" s="149"/>
      <c r="U820" s="149"/>
      <c r="V820" s="149"/>
      <c r="W820" s="149"/>
      <c r="X820" s="149"/>
      <c r="Y820" s="149"/>
      <c r="Z820" s="149"/>
    </row>
    <row r="821" spans="1:26" ht="13.5" customHeight="1">
      <c r="A821" s="143"/>
      <c r="B821" s="95"/>
      <c r="C821" s="80"/>
      <c r="D821" s="80"/>
      <c r="E821" s="80"/>
      <c r="F821" s="80"/>
      <c r="G821" s="80"/>
      <c r="H821" s="80"/>
      <c r="I821" s="135"/>
      <c r="J821" s="81"/>
      <c r="K821" s="81"/>
      <c r="L821" s="81"/>
      <c r="M821" s="81"/>
      <c r="N821" s="81"/>
      <c r="O821" s="81"/>
      <c r="P821" s="623"/>
      <c r="Q821" s="149"/>
      <c r="R821" s="149"/>
      <c r="S821" s="149"/>
      <c r="T821" s="149"/>
      <c r="U821" s="149"/>
      <c r="V821" s="149"/>
      <c r="W821" s="149"/>
      <c r="X821" s="149"/>
      <c r="Y821" s="149"/>
      <c r="Z821" s="149"/>
    </row>
    <row r="822" spans="1:26" ht="120" customHeight="1">
      <c r="A822" s="143" t="s">
        <v>736</v>
      </c>
      <c r="B822" s="95" t="s">
        <v>2287</v>
      </c>
      <c r="C822" s="80">
        <v>0.1</v>
      </c>
      <c r="D822" s="80">
        <v>0</v>
      </c>
      <c r="E822" s="80">
        <v>0</v>
      </c>
      <c r="F822" s="80">
        <v>0.1</v>
      </c>
      <c r="G822" s="80">
        <v>0</v>
      </c>
      <c r="H822" s="80">
        <v>0</v>
      </c>
      <c r="I822" s="135"/>
      <c r="J822" s="81" t="s">
        <v>4009</v>
      </c>
      <c r="K822" s="81" t="s">
        <v>748</v>
      </c>
      <c r="L822" s="81" t="s">
        <v>748</v>
      </c>
      <c r="M822" s="81" t="s">
        <v>4010</v>
      </c>
      <c r="N822" s="81" t="s">
        <v>748</v>
      </c>
      <c r="O822" s="81" t="s">
        <v>748</v>
      </c>
      <c r="P822" s="623"/>
      <c r="Q822" s="149"/>
      <c r="R822" s="149"/>
      <c r="S822" s="149"/>
      <c r="T822" s="149"/>
      <c r="U822" s="149"/>
      <c r="V822" s="149"/>
      <c r="W822" s="149"/>
      <c r="X822" s="149"/>
      <c r="Y822" s="149"/>
      <c r="Z822" s="149"/>
    </row>
    <row r="823" spans="1:26" ht="13.5" customHeight="1">
      <c r="A823" s="143"/>
      <c r="B823" s="95"/>
      <c r="C823" s="80"/>
      <c r="D823" s="80"/>
      <c r="E823" s="80"/>
      <c r="F823" s="80"/>
      <c r="G823" s="80"/>
      <c r="H823" s="80"/>
      <c r="I823" s="135"/>
      <c r="J823" s="156"/>
      <c r="K823" s="156"/>
      <c r="L823" s="156"/>
      <c r="M823" s="156"/>
      <c r="N823" s="156"/>
      <c r="O823" s="156"/>
      <c r="P823" s="623"/>
      <c r="Q823" s="149"/>
      <c r="R823" s="149"/>
      <c r="S823" s="149"/>
      <c r="T823" s="149"/>
      <c r="U823" s="149"/>
      <c r="V823" s="149"/>
      <c r="W823" s="149"/>
      <c r="X823" s="149"/>
      <c r="Y823" s="149"/>
      <c r="Z823" s="149"/>
    </row>
    <row r="824" spans="1:26" ht="124.5" customHeight="1">
      <c r="A824" s="143" t="s">
        <v>736</v>
      </c>
      <c r="B824" s="95" t="s">
        <v>2291</v>
      </c>
      <c r="C824" s="80">
        <v>1</v>
      </c>
      <c r="D824" s="80">
        <v>1</v>
      </c>
      <c r="E824" s="80">
        <v>0</v>
      </c>
      <c r="F824" s="80">
        <v>0</v>
      </c>
      <c r="G824" s="80">
        <v>0.3</v>
      </c>
      <c r="H824" s="80">
        <v>0</v>
      </c>
      <c r="I824" s="135" t="s">
        <v>38</v>
      </c>
      <c r="J824" s="81" t="s">
        <v>4011</v>
      </c>
      <c r="K824" s="182" t="s">
        <v>4012</v>
      </c>
      <c r="L824" s="81" t="s">
        <v>748</v>
      </c>
      <c r="M824" s="81" t="s">
        <v>4013</v>
      </c>
      <c r="N824" s="81" t="s">
        <v>4014</v>
      </c>
      <c r="O824" s="81" t="s">
        <v>748</v>
      </c>
      <c r="P824" s="623"/>
      <c r="Q824" s="149"/>
      <c r="R824" s="149"/>
      <c r="S824" s="149"/>
      <c r="T824" s="149"/>
      <c r="U824" s="149"/>
      <c r="V824" s="149"/>
      <c r="W824" s="149"/>
      <c r="X824" s="149"/>
      <c r="Y824" s="149"/>
      <c r="Z824" s="149"/>
    </row>
    <row r="825" spans="1:26" ht="13.5" customHeight="1">
      <c r="A825" s="143"/>
      <c r="B825" s="95"/>
      <c r="C825" s="80"/>
      <c r="D825" s="80"/>
      <c r="E825" s="80"/>
      <c r="F825" s="80"/>
      <c r="G825" s="80"/>
      <c r="H825" s="80"/>
      <c r="I825" s="135"/>
      <c r="J825" s="156"/>
      <c r="K825" s="622"/>
      <c r="L825" s="156"/>
      <c r="M825" s="156"/>
      <c r="N825" s="156"/>
      <c r="O825" s="156"/>
      <c r="P825" s="623"/>
      <c r="Q825" s="149"/>
      <c r="R825" s="149"/>
      <c r="S825" s="149"/>
      <c r="T825" s="149"/>
      <c r="U825" s="149"/>
      <c r="V825" s="149"/>
      <c r="W825" s="149"/>
      <c r="X825" s="149"/>
      <c r="Y825" s="149"/>
      <c r="Z825" s="149"/>
    </row>
    <row r="826" spans="1:26" ht="96.75" customHeight="1">
      <c r="A826" s="143" t="s">
        <v>736</v>
      </c>
      <c r="B826" s="95" t="s">
        <v>2295</v>
      </c>
      <c r="C826" s="80">
        <v>0.9</v>
      </c>
      <c r="D826" s="80">
        <v>0.9</v>
      </c>
      <c r="E826" s="80">
        <v>0</v>
      </c>
      <c r="F826" s="80">
        <v>0</v>
      </c>
      <c r="G826" s="80">
        <v>0.1</v>
      </c>
      <c r="H826" s="80">
        <v>0</v>
      </c>
      <c r="I826" s="135" t="s">
        <v>38</v>
      </c>
      <c r="J826" s="81" t="s">
        <v>4015</v>
      </c>
      <c r="K826" s="182" t="s">
        <v>4016</v>
      </c>
      <c r="L826" s="81" t="s">
        <v>748</v>
      </c>
      <c r="M826" s="81" t="s">
        <v>2299</v>
      </c>
      <c r="N826" s="81" t="s">
        <v>4017</v>
      </c>
      <c r="O826" s="81" t="s">
        <v>748</v>
      </c>
      <c r="P826" s="623"/>
      <c r="Q826" s="149"/>
      <c r="R826" s="149"/>
      <c r="S826" s="149"/>
      <c r="T826" s="149"/>
      <c r="U826" s="149"/>
      <c r="V826" s="149"/>
      <c r="W826" s="149"/>
      <c r="X826" s="149"/>
      <c r="Y826" s="149"/>
      <c r="Z826" s="149"/>
    </row>
    <row r="827" spans="1:26" ht="18" customHeight="1">
      <c r="A827" s="143"/>
      <c r="B827" s="947"/>
      <c r="C827" s="514"/>
      <c r="D827" s="514"/>
      <c r="E827" s="514"/>
      <c r="F827" s="514"/>
      <c r="G827" s="514"/>
      <c r="H827" s="514"/>
      <c r="I827" s="135"/>
      <c r="J827" s="156"/>
      <c r="K827" s="622"/>
      <c r="L827" s="156"/>
      <c r="M827" s="156"/>
      <c r="N827" s="156"/>
      <c r="O827" s="156"/>
      <c r="P827" s="623"/>
      <c r="Q827" s="149"/>
      <c r="R827" s="149"/>
      <c r="S827" s="149"/>
      <c r="T827" s="149"/>
      <c r="U827" s="149"/>
      <c r="V827" s="149"/>
      <c r="W827" s="149"/>
      <c r="X827" s="149"/>
      <c r="Y827" s="149"/>
      <c r="Z827" s="149"/>
    </row>
    <row r="828" spans="1:26" ht="150" customHeight="1">
      <c r="A828" s="143" t="s">
        <v>736</v>
      </c>
      <c r="B828" s="95" t="s">
        <v>2301</v>
      </c>
      <c r="C828" s="80">
        <v>0.5</v>
      </c>
      <c r="D828" s="80">
        <v>0.75</v>
      </c>
      <c r="E828" s="80">
        <v>0</v>
      </c>
      <c r="F828" s="80">
        <v>0</v>
      </c>
      <c r="G828" s="80">
        <v>0.1</v>
      </c>
      <c r="H828" s="80">
        <v>0</v>
      </c>
      <c r="I828" s="135" t="s">
        <v>38</v>
      </c>
      <c r="J828" s="622" t="s">
        <v>4018</v>
      </c>
      <c r="K828" s="622" t="s">
        <v>811</v>
      </c>
      <c r="L828" s="81" t="s">
        <v>748</v>
      </c>
      <c r="M828" s="81" t="s">
        <v>4019</v>
      </c>
      <c r="N828" s="156" t="s">
        <v>4020</v>
      </c>
      <c r="O828" s="156" t="s">
        <v>748</v>
      </c>
      <c r="P828" s="623"/>
      <c r="Q828" s="149"/>
      <c r="R828" s="149"/>
      <c r="S828" s="149"/>
      <c r="T828" s="149"/>
      <c r="U828" s="149"/>
      <c r="V828" s="149"/>
      <c r="W828" s="149"/>
      <c r="X828" s="149"/>
      <c r="Y828" s="149"/>
      <c r="Z828" s="149"/>
    </row>
    <row r="829" spans="1:26" ht="13.5" customHeight="1">
      <c r="A829" s="143"/>
      <c r="B829" s="931"/>
      <c r="C829" s="149"/>
      <c r="D829" s="149"/>
      <c r="E829" s="149"/>
      <c r="F829" s="149"/>
      <c r="G829" s="149"/>
      <c r="H829" s="149"/>
      <c r="I829" s="135"/>
      <c r="J829" s="291"/>
      <c r="K829" s="149"/>
      <c r="L829" s="291"/>
      <c r="M829" s="291"/>
      <c r="N829" s="291"/>
      <c r="O829" s="149"/>
      <c r="P829" s="623"/>
      <c r="Q829" s="149"/>
      <c r="R829" s="149"/>
      <c r="S829" s="149"/>
      <c r="T829" s="149"/>
      <c r="U829" s="149"/>
      <c r="V829" s="149"/>
      <c r="W829" s="149"/>
      <c r="X829" s="149"/>
      <c r="Y829" s="149"/>
      <c r="Z829" s="149"/>
    </row>
    <row r="830" spans="1:26" ht="27.75" customHeight="1">
      <c r="A830" s="130" t="s">
        <v>668</v>
      </c>
      <c r="B830" s="133" t="s">
        <v>690</v>
      </c>
      <c r="C830" s="72">
        <f t="shared" ref="C830:H830" si="155">AVERAGE(C831,C835)</f>
        <v>9.9999999999999992E-2</v>
      </c>
      <c r="D830" s="72">
        <f t="shared" si="155"/>
        <v>0.66666666666666663</v>
      </c>
      <c r="E830" s="72">
        <f t="shared" si="155"/>
        <v>0</v>
      </c>
      <c r="F830" s="72">
        <f t="shared" si="155"/>
        <v>0.66666666666666663</v>
      </c>
      <c r="G830" s="72">
        <f t="shared" si="155"/>
        <v>0.66666666666666663</v>
      </c>
      <c r="H830" s="72">
        <f t="shared" si="155"/>
        <v>0</v>
      </c>
      <c r="I830" s="138"/>
      <c r="J830" s="452"/>
      <c r="K830" s="453"/>
      <c r="L830" s="452"/>
      <c r="M830" s="452"/>
      <c r="N830" s="452"/>
      <c r="O830" s="453"/>
      <c r="P830" s="631"/>
      <c r="Q830" s="138"/>
      <c r="R830" s="138"/>
      <c r="S830" s="138"/>
      <c r="T830" s="138"/>
      <c r="U830" s="138"/>
      <c r="V830" s="138"/>
      <c r="W830" s="138"/>
      <c r="X830" s="138"/>
      <c r="Y830" s="138"/>
      <c r="Z830" s="138"/>
    </row>
    <row r="831" spans="1:26" ht="42" customHeight="1">
      <c r="A831" s="143" t="s">
        <v>736</v>
      </c>
      <c r="B831" s="168" t="s">
        <v>691</v>
      </c>
      <c r="C831" s="80">
        <f t="shared" ref="C831:H831" si="156">AVERAGE(C832:C833)</f>
        <v>0</v>
      </c>
      <c r="D831" s="80">
        <f t="shared" si="156"/>
        <v>1</v>
      </c>
      <c r="E831" s="80">
        <f t="shared" si="156"/>
        <v>0</v>
      </c>
      <c r="F831" s="80">
        <f t="shared" si="156"/>
        <v>1</v>
      </c>
      <c r="G831" s="80">
        <f t="shared" si="156"/>
        <v>1</v>
      </c>
      <c r="H831" s="80">
        <f t="shared" si="156"/>
        <v>0</v>
      </c>
      <c r="I831" s="135"/>
      <c r="J831" s="156"/>
      <c r="K831" s="514"/>
      <c r="L831" s="156"/>
      <c r="M831" s="156"/>
      <c r="N831" s="156"/>
      <c r="O831" s="514"/>
      <c r="P831" s="149"/>
      <c r="Q831" s="149"/>
      <c r="R831" s="149"/>
      <c r="S831" s="149"/>
      <c r="T831" s="149"/>
      <c r="U831" s="149"/>
      <c r="V831" s="149"/>
      <c r="W831" s="149"/>
      <c r="X831" s="149"/>
      <c r="Y831" s="149"/>
      <c r="Z831" s="149"/>
    </row>
    <row r="832" spans="1:26" ht="164.25" customHeight="1">
      <c r="A832" s="143">
        <v>1</v>
      </c>
      <c r="B832" s="947" t="s">
        <v>692</v>
      </c>
      <c r="C832" s="80">
        <v>0</v>
      </c>
      <c r="D832" s="80">
        <v>1</v>
      </c>
      <c r="E832" s="80">
        <v>0</v>
      </c>
      <c r="F832" s="80">
        <v>1</v>
      </c>
      <c r="G832" s="80">
        <v>1</v>
      </c>
      <c r="H832" s="80">
        <v>0</v>
      </c>
      <c r="I832" s="135" t="s">
        <v>38</v>
      </c>
      <c r="J832" s="81" t="s">
        <v>4021</v>
      </c>
      <c r="K832" s="81" t="s">
        <v>811</v>
      </c>
      <c r="L832" s="81" t="s">
        <v>748</v>
      </c>
      <c r="M832" s="81" t="s">
        <v>811</v>
      </c>
      <c r="N832" s="81" t="s">
        <v>811</v>
      </c>
      <c r="O832" s="81" t="s">
        <v>4022</v>
      </c>
      <c r="P832" s="146"/>
      <c r="Q832" s="146"/>
      <c r="R832" s="146"/>
      <c r="S832" s="146"/>
      <c r="T832" s="149"/>
      <c r="U832" s="149"/>
      <c r="V832" s="149"/>
      <c r="W832" s="149"/>
      <c r="X832" s="149"/>
      <c r="Y832" s="149"/>
      <c r="Z832" s="149"/>
    </row>
    <row r="833" spans="1:26" ht="99" customHeight="1">
      <c r="A833" s="143">
        <v>2</v>
      </c>
      <c r="B833" s="947" t="s">
        <v>693</v>
      </c>
      <c r="C833" s="80">
        <v>0</v>
      </c>
      <c r="D833" s="80">
        <v>1</v>
      </c>
      <c r="E833" s="80">
        <v>0</v>
      </c>
      <c r="F833" s="80">
        <v>1</v>
      </c>
      <c r="G833" s="80">
        <v>1</v>
      </c>
      <c r="H833" s="80">
        <v>0</v>
      </c>
      <c r="I833" s="135" t="s">
        <v>38</v>
      </c>
      <c r="J833" s="81" t="s">
        <v>4023</v>
      </c>
      <c r="K833" s="81" t="s">
        <v>811</v>
      </c>
      <c r="L833" s="81" t="s">
        <v>748</v>
      </c>
      <c r="M833" s="81" t="s">
        <v>811</v>
      </c>
      <c r="N833" s="81" t="s">
        <v>811</v>
      </c>
      <c r="O833" s="81" t="s">
        <v>4024</v>
      </c>
      <c r="P833" s="146"/>
      <c r="Q833" s="146"/>
      <c r="R833" s="146"/>
      <c r="S833" s="146"/>
      <c r="T833" s="149"/>
      <c r="U833" s="149"/>
      <c r="V833" s="149"/>
      <c r="W833" s="149"/>
      <c r="X833" s="149"/>
      <c r="Y833" s="149"/>
      <c r="Z833" s="149"/>
    </row>
    <row r="834" spans="1:26" ht="13.5" customHeight="1">
      <c r="A834" s="143"/>
      <c r="B834" s="957"/>
      <c r="C834" s="80"/>
      <c r="D834" s="80"/>
      <c r="E834" s="80"/>
      <c r="F834" s="80"/>
      <c r="G834" s="80"/>
      <c r="H834" s="80"/>
      <c r="I834" s="135"/>
      <c r="J834" s="156"/>
      <c r="K834" s="156"/>
      <c r="L834" s="156"/>
      <c r="M834" s="156"/>
      <c r="N834" s="156"/>
      <c r="O834" s="514"/>
      <c r="P834" s="149"/>
      <c r="Q834" s="149"/>
      <c r="R834" s="149"/>
      <c r="S834" s="149"/>
      <c r="T834" s="149"/>
      <c r="U834" s="149"/>
      <c r="V834" s="149"/>
      <c r="W834" s="149"/>
      <c r="X834" s="149"/>
      <c r="Y834" s="149"/>
      <c r="Z834" s="149"/>
    </row>
    <row r="835" spans="1:26" ht="27.75" customHeight="1">
      <c r="A835" s="143" t="s">
        <v>736</v>
      </c>
      <c r="B835" s="168" t="s">
        <v>695</v>
      </c>
      <c r="C835" s="80">
        <f t="shared" ref="C835:H835" si="157">AVERAGE(C836:C838)</f>
        <v>0.19999999999999998</v>
      </c>
      <c r="D835" s="80">
        <f t="shared" si="157"/>
        <v>0.33333333333333331</v>
      </c>
      <c r="E835" s="80">
        <f t="shared" si="157"/>
        <v>0</v>
      </c>
      <c r="F835" s="80">
        <f t="shared" si="157"/>
        <v>0.33333333333333331</v>
      </c>
      <c r="G835" s="80">
        <f t="shared" si="157"/>
        <v>0.33333333333333331</v>
      </c>
      <c r="H835" s="80">
        <f t="shared" si="157"/>
        <v>0</v>
      </c>
      <c r="I835" s="135"/>
      <c r="J835" s="156"/>
      <c r="K835" s="156"/>
      <c r="L835" s="156"/>
      <c r="M835" s="156"/>
      <c r="N835" s="156"/>
      <c r="O835" s="642"/>
      <c r="P835" s="149"/>
      <c r="Q835" s="149"/>
      <c r="R835" s="149"/>
      <c r="S835" s="149"/>
      <c r="T835" s="149"/>
      <c r="U835" s="149"/>
      <c r="V835" s="149"/>
      <c r="W835" s="149"/>
      <c r="X835" s="149"/>
      <c r="Y835" s="149"/>
      <c r="Z835" s="149"/>
    </row>
    <row r="836" spans="1:26" ht="84" customHeight="1">
      <c r="A836" s="143">
        <v>1</v>
      </c>
      <c r="B836" s="947" t="s">
        <v>696</v>
      </c>
      <c r="C836" s="80">
        <v>0</v>
      </c>
      <c r="D836" s="80">
        <v>0.5</v>
      </c>
      <c r="E836" s="80">
        <v>0</v>
      </c>
      <c r="F836" s="80">
        <v>0</v>
      </c>
      <c r="G836" s="80">
        <v>1</v>
      </c>
      <c r="H836" s="80">
        <v>0</v>
      </c>
      <c r="I836" s="135" t="s">
        <v>38</v>
      </c>
      <c r="J836" s="644" t="s">
        <v>4025</v>
      </c>
      <c r="K836" s="182" t="s">
        <v>2320</v>
      </c>
      <c r="L836" s="81" t="s">
        <v>4026</v>
      </c>
      <c r="M836" s="81" t="s">
        <v>748</v>
      </c>
      <c r="N836" s="81" t="s">
        <v>811</v>
      </c>
      <c r="O836" s="81" t="s">
        <v>4027</v>
      </c>
      <c r="P836" s="146"/>
      <c r="Q836" s="149"/>
      <c r="R836" s="149"/>
      <c r="S836" s="149"/>
      <c r="T836" s="149"/>
      <c r="U836" s="149"/>
      <c r="V836" s="149"/>
      <c r="W836" s="149"/>
      <c r="X836" s="149"/>
      <c r="Y836" s="149"/>
      <c r="Z836" s="149"/>
    </row>
    <row r="837" spans="1:26" ht="107.25" customHeight="1">
      <c r="A837" s="143">
        <v>2</v>
      </c>
      <c r="B837" s="947" t="s">
        <v>4028</v>
      </c>
      <c r="C837" s="80">
        <v>0.3</v>
      </c>
      <c r="D837" s="80">
        <v>0</v>
      </c>
      <c r="E837" s="80">
        <v>0</v>
      </c>
      <c r="F837" s="80">
        <v>0</v>
      </c>
      <c r="G837" s="80">
        <v>0</v>
      </c>
      <c r="H837" s="80">
        <v>0</v>
      </c>
      <c r="I837" s="135" t="s">
        <v>38</v>
      </c>
      <c r="J837" s="622" t="s">
        <v>4029</v>
      </c>
      <c r="K837" s="81" t="s">
        <v>748</v>
      </c>
      <c r="L837" s="81" t="s">
        <v>748</v>
      </c>
      <c r="M837" s="81" t="s">
        <v>748</v>
      </c>
      <c r="N837" s="81" t="s">
        <v>748</v>
      </c>
      <c r="O837" s="81" t="s">
        <v>4030</v>
      </c>
      <c r="P837" s="146"/>
      <c r="Q837" s="149"/>
      <c r="R837" s="149"/>
      <c r="S837" s="149"/>
      <c r="T837" s="149"/>
      <c r="U837" s="149"/>
      <c r="V837" s="149"/>
      <c r="W837" s="149"/>
      <c r="X837" s="149"/>
      <c r="Y837" s="149"/>
      <c r="Z837" s="149"/>
    </row>
    <row r="838" spans="1:26" ht="107.25" customHeight="1">
      <c r="A838" s="143">
        <v>3</v>
      </c>
      <c r="B838" s="947" t="s">
        <v>698</v>
      </c>
      <c r="C838" s="80">
        <v>0.3</v>
      </c>
      <c r="D838" s="80">
        <v>0.5</v>
      </c>
      <c r="E838" s="80">
        <v>0</v>
      </c>
      <c r="F838" s="80">
        <v>1</v>
      </c>
      <c r="G838" s="80">
        <v>0</v>
      </c>
      <c r="H838" s="80">
        <v>0</v>
      </c>
      <c r="I838" s="135" t="s">
        <v>38</v>
      </c>
      <c r="J838" s="622" t="s">
        <v>4031</v>
      </c>
      <c r="K838" s="81" t="s">
        <v>2320</v>
      </c>
      <c r="L838" s="81" t="s">
        <v>748</v>
      </c>
      <c r="M838" s="81" t="s">
        <v>811</v>
      </c>
      <c r="N838" s="81" t="s">
        <v>748</v>
      </c>
      <c r="O838" s="81" t="s">
        <v>4032</v>
      </c>
      <c r="P838" s="146"/>
      <c r="Q838" s="149"/>
      <c r="R838" s="149"/>
      <c r="S838" s="149"/>
      <c r="T838" s="149"/>
      <c r="U838" s="149"/>
      <c r="V838" s="149"/>
      <c r="W838" s="149"/>
      <c r="X838" s="149"/>
      <c r="Y838" s="149"/>
      <c r="Z838" s="149"/>
    </row>
    <row r="839" spans="1:26" ht="13.5" customHeight="1">
      <c r="A839" s="143"/>
      <c r="B839" s="931"/>
      <c r="C839" s="87"/>
      <c r="D839" s="87"/>
      <c r="E839" s="87"/>
      <c r="F839" s="87"/>
      <c r="G839" s="87"/>
      <c r="H839" s="87"/>
      <c r="I839" s="135"/>
      <c r="J839" s="291"/>
      <c r="K839" s="291"/>
      <c r="L839" s="291"/>
      <c r="M839" s="291"/>
      <c r="N839" s="291"/>
      <c r="O839" s="291"/>
      <c r="P839" s="149"/>
      <c r="Q839" s="149"/>
      <c r="R839" s="149"/>
      <c r="S839" s="149"/>
      <c r="T839" s="149"/>
      <c r="U839" s="149"/>
      <c r="V839" s="149"/>
      <c r="W839" s="149"/>
      <c r="X839" s="149"/>
      <c r="Y839" s="149"/>
      <c r="Z839" s="149"/>
    </row>
    <row r="840" spans="1:26" ht="14.25" customHeight="1">
      <c r="A840" s="130" t="s">
        <v>2321</v>
      </c>
      <c r="B840" s="133" t="s">
        <v>703</v>
      </c>
      <c r="C840" s="72">
        <f t="shared" ref="C840:H840" si="158">AVERAGE(C841,C843)</f>
        <v>0.46316683316683316</v>
      </c>
      <c r="D840" s="72">
        <f t="shared" si="158"/>
        <v>0.70894105894105885</v>
      </c>
      <c r="E840" s="72">
        <f t="shared" si="158"/>
        <v>0.75474525474525467</v>
      </c>
      <c r="F840" s="72">
        <f t="shared" si="158"/>
        <v>0.91693306693306686</v>
      </c>
      <c r="G840" s="72">
        <f t="shared" si="158"/>
        <v>0.89950049950049937</v>
      </c>
      <c r="H840" s="72">
        <f t="shared" si="158"/>
        <v>0.89420579420579416</v>
      </c>
      <c r="I840" s="138"/>
      <c r="J840" s="452"/>
      <c r="K840" s="452"/>
      <c r="L840" s="452"/>
      <c r="M840" s="452"/>
      <c r="N840" s="452"/>
      <c r="O840" s="452"/>
      <c r="P840" s="138"/>
      <c r="Q840" s="138"/>
      <c r="R840" s="138"/>
      <c r="S840" s="138"/>
      <c r="T840" s="138"/>
      <c r="U840" s="138"/>
      <c r="V840" s="138"/>
      <c r="W840" s="138"/>
      <c r="X840" s="138"/>
      <c r="Y840" s="138"/>
      <c r="Z840" s="138"/>
    </row>
    <row r="841" spans="1:26" ht="84" customHeight="1">
      <c r="A841" s="143" t="s">
        <v>736</v>
      </c>
      <c r="B841" s="957" t="s">
        <v>4033</v>
      </c>
      <c r="C841" s="80">
        <f>(0.436-0.73)/(0.08-0.73)</f>
        <v>0.45230769230769224</v>
      </c>
      <c r="D841" s="80">
        <f>(0.26-0.73)/(0.08-0.73)</f>
        <v>0.72307692307692306</v>
      </c>
      <c r="E841" s="80">
        <f>(0.23-0.73)/(0.08-0.73)</f>
        <v>0.76923076923076916</v>
      </c>
      <c r="F841" s="80">
        <f>(0.15-0.73)/(0.08-0.73)</f>
        <v>0.89230769230769225</v>
      </c>
      <c r="G841" s="80">
        <f>(0.16-0.73)/(0.08-0.73)</f>
        <v>0.87692307692307681</v>
      </c>
      <c r="H841" s="80">
        <f>(0.15-0.73)/(0.08-0.73)</f>
        <v>0.89230769230769225</v>
      </c>
      <c r="I841" s="135" t="s">
        <v>4034</v>
      </c>
      <c r="J841" s="80" t="s">
        <v>4035</v>
      </c>
      <c r="K841" s="80" t="s">
        <v>4036</v>
      </c>
      <c r="L841" s="80" t="s">
        <v>4037</v>
      </c>
      <c r="M841" s="80" t="s">
        <v>4038</v>
      </c>
      <c r="N841" s="80" t="s">
        <v>4039</v>
      </c>
      <c r="O841" s="80" t="s">
        <v>4038</v>
      </c>
      <c r="P841" s="149"/>
      <c r="Q841" s="149"/>
      <c r="R841" s="149"/>
      <c r="S841" s="149"/>
      <c r="T841" s="149"/>
      <c r="U841" s="149"/>
      <c r="V841" s="149"/>
      <c r="W841" s="149"/>
      <c r="X841" s="149"/>
      <c r="Y841" s="149"/>
      <c r="Z841" s="149"/>
    </row>
    <row r="842" spans="1:26" ht="13.5" customHeight="1">
      <c r="A842" s="143"/>
      <c r="B842" s="957"/>
      <c r="C842" s="80"/>
      <c r="D842" s="80"/>
      <c r="E842" s="80"/>
      <c r="F842" s="80"/>
      <c r="G842" s="80"/>
      <c r="H842" s="80"/>
      <c r="I842" s="149"/>
      <c r="J842" s="156"/>
      <c r="K842" s="156"/>
      <c r="L842" s="156"/>
      <c r="M842" s="156"/>
      <c r="N842" s="156"/>
      <c r="O842" s="156"/>
      <c r="P842" s="149"/>
      <c r="Q842" s="149"/>
      <c r="R842" s="149"/>
      <c r="S842" s="149"/>
      <c r="T842" s="149"/>
      <c r="U842" s="149"/>
      <c r="V842" s="149"/>
      <c r="W842" s="149"/>
      <c r="X842" s="149"/>
      <c r="Y842" s="149"/>
      <c r="Z842" s="149"/>
    </row>
    <row r="843" spans="1:26" ht="63" customHeight="1">
      <c r="A843" s="143" t="s">
        <v>736</v>
      </c>
      <c r="B843" s="168" t="s">
        <v>4040</v>
      </c>
      <c r="C843" s="80">
        <f t="shared" ref="C843:H843" si="159">(J843-1.69)/(0.15-1.69)</f>
        <v>0.47402597402597402</v>
      </c>
      <c r="D843" s="80">
        <f t="shared" si="159"/>
        <v>0.69480519480519465</v>
      </c>
      <c r="E843" s="80">
        <f t="shared" si="159"/>
        <v>0.74025974025974017</v>
      </c>
      <c r="F843" s="80">
        <f t="shared" si="159"/>
        <v>0.94155844155844148</v>
      </c>
      <c r="G843" s="80">
        <f t="shared" si="159"/>
        <v>0.92207792207792205</v>
      </c>
      <c r="H843" s="80">
        <f t="shared" si="159"/>
        <v>0.89610389610389607</v>
      </c>
      <c r="I843" s="135" t="s">
        <v>4041</v>
      </c>
      <c r="J843" s="80">
        <v>0.96</v>
      </c>
      <c r="K843" s="80">
        <v>0.62</v>
      </c>
      <c r="L843" s="80">
        <v>0.55000000000000004</v>
      </c>
      <c r="M843" s="80">
        <v>0.24</v>
      </c>
      <c r="N843" s="80">
        <v>0.27</v>
      </c>
      <c r="O843" s="80">
        <v>0.31</v>
      </c>
      <c r="P843" s="87"/>
      <c r="Q843" s="87"/>
      <c r="R843" s="87"/>
      <c r="S843" s="87"/>
      <c r="T843" s="149"/>
      <c r="U843" s="149"/>
      <c r="V843" s="149"/>
      <c r="W843" s="149"/>
      <c r="X843" s="149"/>
      <c r="Y843" s="149"/>
      <c r="Z843" s="149"/>
    </row>
    <row r="844" spans="1:26" ht="63" customHeight="1">
      <c r="A844" s="143"/>
      <c r="B844" s="168"/>
      <c r="C844" s="80"/>
      <c r="D844" s="80"/>
      <c r="E844" s="80"/>
      <c r="F844" s="80"/>
      <c r="G844" s="80"/>
      <c r="H844" s="80"/>
      <c r="I844" s="135"/>
      <c r="J844" s="80"/>
      <c r="K844" s="80"/>
      <c r="L844" s="80"/>
      <c r="M844" s="80"/>
      <c r="N844" s="80"/>
      <c r="O844" s="80"/>
      <c r="P844" s="87"/>
      <c r="Q844" s="87"/>
      <c r="R844" s="87"/>
      <c r="S844" s="87"/>
      <c r="T844" s="149"/>
      <c r="U844" s="149"/>
      <c r="V844" s="149"/>
      <c r="W844" s="149"/>
      <c r="X844" s="149"/>
      <c r="Y844" s="149"/>
      <c r="Z844" s="149"/>
    </row>
    <row r="845" spans="1:26" ht="63" customHeight="1">
      <c r="A845" s="143"/>
      <c r="B845" s="168"/>
      <c r="C845" s="80"/>
      <c r="D845" s="80"/>
      <c r="E845" s="80"/>
      <c r="F845" s="80"/>
      <c r="G845" s="80"/>
      <c r="H845" s="80"/>
      <c r="I845" s="135"/>
      <c r="J845" s="80"/>
      <c r="K845" s="80"/>
      <c r="L845" s="80"/>
      <c r="M845" s="80"/>
      <c r="N845" s="80"/>
      <c r="O845" s="80"/>
      <c r="P845" s="87"/>
      <c r="Q845" s="87"/>
      <c r="R845" s="87"/>
      <c r="S845" s="87"/>
      <c r="T845" s="149"/>
      <c r="U845" s="149"/>
      <c r="V845" s="149"/>
      <c r="W845" s="149"/>
      <c r="X845" s="149"/>
      <c r="Y845" s="149"/>
      <c r="Z845" s="149"/>
    </row>
    <row r="846" spans="1:26" ht="36" customHeight="1">
      <c r="A846" s="143"/>
      <c r="B846" s="144"/>
      <c r="C846" s="87"/>
      <c r="D846" s="87"/>
      <c r="E846" s="87"/>
      <c r="F846" s="87"/>
      <c r="G846" s="87"/>
      <c r="H846" s="87"/>
      <c r="I846" s="149"/>
      <c r="J846" s="291"/>
      <c r="K846" s="291"/>
      <c r="L846" s="291"/>
      <c r="M846" s="291"/>
      <c r="N846" s="291"/>
      <c r="O846" s="291"/>
      <c r="P846" s="149"/>
      <c r="Q846" s="149"/>
      <c r="R846" s="149"/>
      <c r="S846" s="149"/>
      <c r="T846" s="149"/>
      <c r="U846" s="149"/>
      <c r="V846" s="149"/>
      <c r="W846" s="149"/>
      <c r="X846" s="149"/>
      <c r="Y846" s="149"/>
      <c r="Z846" s="149"/>
    </row>
    <row r="847" spans="1:26" ht="13.5" customHeight="1">
      <c r="A847" s="650" t="s">
        <v>2329</v>
      </c>
      <c r="B847" s="650" t="s">
        <v>706</v>
      </c>
      <c r="C847" s="651">
        <f t="shared" ref="C847:H847" si="160">AVERAGE(C848,C854,C860,C866,C872,C878)</f>
        <v>0.55784080595789654</v>
      </c>
      <c r="D847" s="651">
        <f t="shared" si="160"/>
        <v>0.52934615747472735</v>
      </c>
      <c r="E847" s="651">
        <f t="shared" si="160"/>
        <v>0.14740322711691203</v>
      </c>
      <c r="F847" s="651">
        <f t="shared" si="160"/>
        <v>0.58333333333333337</v>
      </c>
      <c r="G847" s="651">
        <f t="shared" si="160"/>
        <v>0.67242313762290495</v>
      </c>
      <c r="H847" s="651">
        <f t="shared" si="160"/>
        <v>0.64577813233801695</v>
      </c>
      <c r="I847" s="650"/>
      <c r="J847" s="653"/>
      <c r="K847" s="653"/>
      <c r="L847" s="653"/>
      <c r="M847" s="653"/>
      <c r="N847" s="653"/>
      <c r="O847" s="653"/>
      <c r="P847" s="654"/>
      <c r="Q847" s="654"/>
      <c r="R847" s="654"/>
      <c r="S847" s="650"/>
      <c r="T847" s="650"/>
      <c r="U847" s="650"/>
      <c r="V847" s="650"/>
      <c r="W847" s="650"/>
      <c r="X847" s="650"/>
      <c r="Y847" s="650"/>
      <c r="Z847" s="650"/>
    </row>
    <row r="848" spans="1:26" ht="84" customHeight="1">
      <c r="A848" s="658" t="s">
        <v>736</v>
      </c>
      <c r="B848" s="168" t="s">
        <v>707</v>
      </c>
      <c r="C848" s="80">
        <f t="shared" ref="C848:H848" si="161">AVERAGE(C849:C852)</f>
        <v>0.5</v>
      </c>
      <c r="D848" s="80">
        <f t="shared" si="161"/>
        <v>0.875</v>
      </c>
      <c r="E848" s="80">
        <f t="shared" si="161"/>
        <v>0</v>
      </c>
      <c r="F848" s="80">
        <f t="shared" si="161"/>
        <v>0.875</v>
      </c>
      <c r="G848" s="80">
        <f t="shared" si="161"/>
        <v>1</v>
      </c>
      <c r="H848" s="80">
        <f t="shared" si="161"/>
        <v>0.5</v>
      </c>
      <c r="I848" s="267" t="s">
        <v>4042</v>
      </c>
      <c r="J848" s="81"/>
      <c r="K848" s="81"/>
      <c r="L848" s="81"/>
      <c r="M848" s="81"/>
      <c r="N848" s="81"/>
      <c r="O848" s="81"/>
      <c r="P848" s="146"/>
      <c r="Q848" s="146"/>
      <c r="R848" s="146"/>
      <c r="S848" s="149"/>
      <c r="T848" s="149"/>
      <c r="U848" s="149"/>
      <c r="V848" s="149"/>
      <c r="W848" s="149"/>
      <c r="X848" s="149"/>
      <c r="Y848" s="149"/>
      <c r="Z848" s="149"/>
    </row>
    <row r="849" spans="1:26" ht="40.5" customHeight="1">
      <c r="A849" s="662"/>
      <c r="B849" s="217" t="s">
        <v>709</v>
      </c>
      <c r="C849" s="80">
        <v>0.5</v>
      </c>
      <c r="D849" s="80">
        <v>0.5</v>
      </c>
      <c r="E849" s="80">
        <v>0</v>
      </c>
      <c r="F849" s="80">
        <v>0.5</v>
      </c>
      <c r="G849" s="80">
        <v>1</v>
      </c>
      <c r="H849" s="80">
        <v>0</v>
      </c>
      <c r="I849" s="267"/>
      <c r="J849" s="663" t="s">
        <v>4043</v>
      </c>
      <c r="K849" s="663" t="s">
        <v>4044</v>
      </c>
      <c r="L849" s="663" t="s">
        <v>2332</v>
      </c>
      <c r="M849" s="663" t="s">
        <v>4045</v>
      </c>
      <c r="N849" s="245" t="s">
        <v>4046</v>
      </c>
      <c r="O849" s="663" t="s">
        <v>2332</v>
      </c>
      <c r="P849" s="146"/>
      <c r="Q849" s="146"/>
      <c r="R849" s="146"/>
      <c r="S849" s="149"/>
      <c r="T849" s="149"/>
      <c r="U849" s="149"/>
      <c r="V849" s="149"/>
      <c r="W849" s="149"/>
      <c r="X849" s="149"/>
      <c r="Y849" s="149"/>
      <c r="Z849" s="149"/>
    </row>
    <row r="850" spans="1:26" ht="33" customHeight="1">
      <c r="A850" s="662"/>
      <c r="B850" s="217" t="s">
        <v>569</v>
      </c>
      <c r="C850" s="80">
        <v>0</v>
      </c>
      <c r="D850" s="80">
        <v>1</v>
      </c>
      <c r="E850" s="80">
        <v>0</v>
      </c>
      <c r="F850" s="80">
        <v>1</v>
      </c>
      <c r="G850" s="80">
        <v>1</v>
      </c>
      <c r="H850" s="80">
        <v>1</v>
      </c>
      <c r="I850" s="267" t="s">
        <v>710</v>
      </c>
      <c r="J850" s="663" t="s">
        <v>4047</v>
      </c>
      <c r="K850" s="663" t="s">
        <v>2339</v>
      </c>
      <c r="L850" s="663" t="s">
        <v>4048</v>
      </c>
      <c r="M850" s="663" t="s">
        <v>2339</v>
      </c>
      <c r="N850" s="663" t="s">
        <v>2339</v>
      </c>
      <c r="O850" s="663" t="s">
        <v>2339</v>
      </c>
      <c r="P850" s="146"/>
      <c r="Q850" s="146"/>
      <c r="R850" s="146"/>
      <c r="S850" s="149"/>
      <c r="T850" s="149"/>
      <c r="U850" s="149"/>
      <c r="V850" s="149"/>
      <c r="W850" s="149"/>
      <c r="X850" s="149"/>
      <c r="Y850" s="149"/>
      <c r="Z850" s="149"/>
    </row>
    <row r="851" spans="1:26" ht="36" customHeight="1">
      <c r="A851" s="662"/>
      <c r="B851" s="217" t="s">
        <v>711</v>
      </c>
      <c r="C851" s="80">
        <v>1</v>
      </c>
      <c r="D851" s="80">
        <v>1</v>
      </c>
      <c r="E851" s="80" t="s">
        <v>1073</v>
      </c>
      <c r="F851" s="80">
        <v>1</v>
      </c>
      <c r="G851" s="80" t="s">
        <v>1073</v>
      </c>
      <c r="H851" s="80">
        <v>1</v>
      </c>
      <c r="I851" s="267"/>
      <c r="J851" s="663" t="s">
        <v>2340</v>
      </c>
      <c r="K851" s="663" t="s">
        <v>2341</v>
      </c>
      <c r="L851" s="663" t="s">
        <v>2342</v>
      </c>
      <c r="M851" s="663" t="s">
        <v>2341</v>
      </c>
      <c r="N851" s="663" t="s">
        <v>2342</v>
      </c>
      <c r="O851" s="663" t="s">
        <v>2341</v>
      </c>
      <c r="P851" s="146"/>
      <c r="Q851" s="146"/>
      <c r="R851" s="146"/>
      <c r="S851" s="149"/>
      <c r="T851" s="149"/>
      <c r="U851" s="149"/>
      <c r="V851" s="149"/>
      <c r="W851" s="149"/>
      <c r="X851" s="149"/>
      <c r="Y851" s="149"/>
      <c r="Z851" s="149"/>
    </row>
    <row r="852" spans="1:26" ht="48" customHeight="1">
      <c r="A852" s="662"/>
      <c r="B852" s="217" t="s">
        <v>712</v>
      </c>
      <c r="C852" s="80">
        <v>0.5</v>
      </c>
      <c r="D852" s="80">
        <v>1</v>
      </c>
      <c r="E852" s="80">
        <v>0</v>
      </c>
      <c r="F852" s="80">
        <v>1</v>
      </c>
      <c r="G852" s="80">
        <v>1</v>
      </c>
      <c r="H852" s="80">
        <v>0</v>
      </c>
      <c r="I852" s="267"/>
      <c r="J852" s="663" t="s">
        <v>2343</v>
      </c>
      <c r="K852" s="663" t="s">
        <v>2344</v>
      </c>
      <c r="L852" s="663" t="s">
        <v>2345</v>
      </c>
      <c r="M852" s="663" t="s">
        <v>2346</v>
      </c>
      <c r="N852" s="663" t="s">
        <v>2344</v>
      </c>
      <c r="O852" s="663" t="s">
        <v>2345</v>
      </c>
      <c r="P852" s="146"/>
      <c r="Q852" s="146"/>
      <c r="R852" s="146"/>
      <c r="S852" s="149"/>
      <c r="T852" s="149"/>
      <c r="U852" s="149"/>
      <c r="V852" s="149"/>
      <c r="W852" s="149"/>
      <c r="X852" s="149"/>
      <c r="Y852" s="149"/>
      <c r="Z852" s="149"/>
    </row>
    <row r="853" spans="1:26" ht="13.5" customHeight="1">
      <c r="A853" s="662"/>
      <c r="B853" s="471"/>
      <c r="C853" s="80"/>
      <c r="D853" s="80"/>
      <c r="E853" s="80"/>
      <c r="F853" s="80"/>
      <c r="G853" s="80"/>
      <c r="H853" s="80"/>
      <c r="I853" s="267"/>
      <c r="J853" s="81"/>
      <c r="K853" s="81"/>
      <c r="L853" s="81"/>
      <c r="M853" s="81"/>
      <c r="N853" s="81"/>
      <c r="O853" s="81"/>
      <c r="P853" s="146"/>
      <c r="Q853" s="146"/>
      <c r="R853" s="146"/>
      <c r="S853" s="149"/>
      <c r="T853" s="149"/>
      <c r="U853" s="149"/>
      <c r="V853" s="149"/>
      <c r="W853" s="149"/>
      <c r="X853" s="149"/>
      <c r="Y853" s="149"/>
      <c r="Z853" s="149"/>
    </row>
    <row r="854" spans="1:26" ht="42.75" customHeight="1">
      <c r="A854" s="658" t="s">
        <v>736</v>
      </c>
      <c r="B854" s="168" t="s">
        <v>713</v>
      </c>
      <c r="C854" s="80">
        <f t="shared" ref="C854:H854" si="162">AVERAGE(C855:C858)</f>
        <v>0.75</v>
      </c>
      <c r="D854" s="80">
        <f t="shared" si="162"/>
        <v>0.75</v>
      </c>
      <c r="E854" s="80">
        <f t="shared" si="162"/>
        <v>0</v>
      </c>
      <c r="F854" s="80">
        <f t="shared" si="162"/>
        <v>1</v>
      </c>
      <c r="G854" s="80">
        <f t="shared" si="162"/>
        <v>1</v>
      </c>
      <c r="H854" s="80">
        <f t="shared" si="162"/>
        <v>0.75</v>
      </c>
      <c r="I854" s="267" t="s">
        <v>714</v>
      </c>
      <c r="J854" s="86"/>
      <c r="K854" s="86"/>
      <c r="L854" s="86"/>
      <c r="M854" s="86"/>
      <c r="N854" s="86"/>
      <c r="O854" s="86"/>
      <c r="P854" s="146"/>
      <c r="Q854" s="146"/>
      <c r="R854" s="146"/>
      <c r="S854" s="149"/>
      <c r="T854" s="149"/>
      <c r="U854" s="149"/>
      <c r="V854" s="149"/>
      <c r="W854" s="149"/>
      <c r="X854" s="149"/>
      <c r="Y854" s="149"/>
      <c r="Z854" s="149"/>
    </row>
    <row r="855" spans="1:26" ht="36" customHeight="1">
      <c r="A855" s="662"/>
      <c r="B855" s="217" t="s">
        <v>709</v>
      </c>
      <c r="C855" s="80">
        <v>0.5</v>
      </c>
      <c r="D855" s="80">
        <v>0</v>
      </c>
      <c r="E855" s="80">
        <v>0</v>
      </c>
      <c r="F855" s="80">
        <v>1</v>
      </c>
      <c r="G855" s="80">
        <v>1</v>
      </c>
      <c r="H855" s="80">
        <v>0.5</v>
      </c>
      <c r="I855" s="267"/>
      <c r="J855" s="663" t="s">
        <v>2348</v>
      </c>
      <c r="K855" s="439" t="s">
        <v>2350</v>
      </c>
      <c r="L855" s="663" t="s">
        <v>2350</v>
      </c>
      <c r="M855" s="663" t="s">
        <v>2352</v>
      </c>
      <c r="N855" s="663" t="s">
        <v>2352</v>
      </c>
      <c r="O855" s="663" t="s">
        <v>2348</v>
      </c>
      <c r="P855" s="146"/>
      <c r="Q855" s="146"/>
      <c r="R855" s="146"/>
      <c r="S855" s="149"/>
      <c r="T855" s="149"/>
      <c r="U855" s="149"/>
      <c r="V855" s="149"/>
      <c r="W855" s="149"/>
      <c r="X855" s="149"/>
      <c r="Y855" s="149"/>
      <c r="Z855" s="149"/>
    </row>
    <row r="856" spans="1:26" ht="36" customHeight="1">
      <c r="A856" s="662"/>
      <c r="B856" s="217" t="s">
        <v>715</v>
      </c>
      <c r="C856" s="80">
        <v>0.5</v>
      </c>
      <c r="D856" s="80">
        <v>1</v>
      </c>
      <c r="E856" s="80">
        <v>0</v>
      </c>
      <c r="F856" s="80">
        <v>1</v>
      </c>
      <c r="G856" s="80">
        <v>1</v>
      </c>
      <c r="H856" s="80">
        <v>1</v>
      </c>
      <c r="I856" s="267" t="s">
        <v>716</v>
      </c>
      <c r="J856" s="663" t="s">
        <v>4049</v>
      </c>
      <c r="K856" s="663" t="s">
        <v>2354</v>
      </c>
      <c r="L856" s="663" t="s">
        <v>4050</v>
      </c>
      <c r="M856" s="663" t="s">
        <v>2356</v>
      </c>
      <c r="N856" s="663" t="s">
        <v>2356</v>
      </c>
      <c r="O856" s="663" t="s">
        <v>2356</v>
      </c>
      <c r="P856" s="146"/>
      <c r="Q856" s="146"/>
      <c r="R856" s="146"/>
      <c r="S856" s="149"/>
      <c r="T856" s="149"/>
      <c r="U856" s="149"/>
      <c r="V856" s="149"/>
      <c r="W856" s="149"/>
      <c r="X856" s="149"/>
      <c r="Y856" s="149"/>
      <c r="Z856" s="149"/>
    </row>
    <row r="857" spans="1:26" ht="24" customHeight="1">
      <c r="A857" s="662"/>
      <c r="B857" s="217" t="s">
        <v>711</v>
      </c>
      <c r="C857" s="80">
        <v>1</v>
      </c>
      <c r="D857" s="80">
        <v>1</v>
      </c>
      <c r="E857" s="80" t="s">
        <v>1073</v>
      </c>
      <c r="F857" s="80">
        <v>1</v>
      </c>
      <c r="G857" s="80" t="s">
        <v>1073</v>
      </c>
      <c r="H857" s="80">
        <v>0.5</v>
      </c>
      <c r="I857" s="267"/>
      <c r="J857" s="663" t="s">
        <v>2357</v>
      </c>
      <c r="K857" s="663" t="s">
        <v>2357</v>
      </c>
      <c r="L857" s="663" t="s">
        <v>2342</v>
      </c>
      <c r="M857" s="663" t="s">
        <v>2357</v>
      </c>
      <c r="N857" s="663" t="s">
        <v>2342</v>
      </c>
      <c r="O857" s="663" t="s">
        <v>2358</v>
      </c>
      <c r="P857" s="146"/>
      <c r="Q857" s="146"/>
      <c r="R857" s="146"/>
      <c r="S857" s="149"/>
      <c r="T857" s="149"/>
      <c r="U857" s="149"/>
      <c r="V857" s="149"/>
      <c r="W857" s="149"/>
      <c r="X857" s="149"/>
      <c r="Y857" s="149"/>
      <c r="Z857" s="149"/>
    </row>
    <row r="858" spans="1:26" ht="24" customHeight="1">
      <c r="A858" s="662"/>
      <c r="B858" s="217" t="s">
        <v>712</v>
      </c>
      <c r="C858" s="80">
        <v>1</v>
      </c>
      <c r="D858" s="80">
        <v>1</v>
      </c>
      <c r="E858" s="80">
        <v>0</v>
      </c>
      <c r="F858" s="80">
        <v>1</v>
      </c>
      <c r="G858" s="80">
        <v>1</v>
      </c>
      <c r="H858" s="80">
        <v>1</v>
      </c>
      <c r="I858" s="267"/>
      <c r="J858" s="663" t="s">
        <v>2359</v>
      </c>
      <c r="K858" s="663" t="s">
        <v>2359</v>
      </c>
      <c r="L858" s="663" t="s">
        <v>2360</v>
      </c>
      <c r="M858" s="663" t="s">
        <v>2359</v>
      </c>
      <c r="N858" s="663" t="s">
        <v>2359</v>
      </c>
      <c r="O858" s="663" t="s">
        <v>2359</v>
      </c>
      <c r="P858" s="146"/>
      <c r="Q858" s="146"/>
      <c r="R858" s="146"/>
      <c r="S858" s="149"/>
      <c r="T858" s="149"/>
      <c r="U858" s="149"/>
      <c r="V858" s="149"/>
      <c r="W858" s="149"/>
      <c r="X858" s="149"/>
      <c r="Y858" s="149"/>
      <c r="Z858" s="149"/>
    </row>
    <row r="859" spans="1:26" ht="13.5" customHeight="1">
      <c r="A859" s="662"/>
      <c r="B859" s="471"/>
      <c r="C859" s="80"/>
      <c r="D859" s="80"/>
      <c r="E859" s="80"/>
      <c r="F859" s="80"/>
      <c r="G859" s="80"/>
      <c r="H859" s="80"/>
      <c r="I859" s="267"/>
      <c r="J859" s="663"/>
      <c r="K859" s="663"/>
      <c r="L859" s="663"/>
      <c r="M859" s="663"/>
      <c r="N859" s="663"/>
      <c r="O859" s="663"/>
      <c r="P859" s="146"/>
      <c r="Q859" s="146"/>
      <c r="R859" s="146"/>
      <c r="S859" s="149"/>
      <c r="T859" s="149"/>
      <c r="U859" s="149"/>
      <c r="V859" s="149"/>
      <c r="W859" s="149"/>
      <c r="X859" s="149"/>
      <c r="Y859" s="149"/>
      <c r="Z859" s="149"/>
    </row>
    <row r="860" spans="1:26" ht="68.25" customHeight="1">
      <c r="A860" s="658" t="s">
        <v>736</v>
      </c>
      <c r="B860" s="168" t="s">
        <v>717</v>
      </c>
      <c r="C860" s="80">
        <f t="shared" ref="C860:H860" si="163">AVERAGE(C861:C864)</f>
        <v>0.75</v>
      </c>
      <c r="D860" s="80">
        <f t="shared" si="163"/>
        <v>0.875</v>
      </c>
      <c r="E860" s="80">
        <f t="shared" si="163"/>
        <v>0</v>
      </c>
      <c r="F860" s="80">
        <f t="shared" si="163"/>
        <v>1</v>
      </c>
      <c r="G860" s="80">
        <f t="shared" si="163"/>
        <v>0.83333333333333337</v>
      </c>
      <c r="H860" s="80">
        <f t="shared" si="163"/>
        <v>0.625</v>
      </c>
      <c r="I860" s="267" t="s">
        <v>718</v>
      </c>
      <c r="J860" s="86"/>
      <c r="K860" s="86"/>
      <c r="L860" s="86"/>
      <c r="M860" s="86"/>
      <c r="N860" s="86"/>
      <c r="O860" s="86"/>
      <c r="P860" s="146"/>
      <c r="Q860" s="146"/>
      <c r="R860" s="146"/>
      <c r="S860" s="149"/>
      <c r="T860" s="149"/>
      <c r="U860" s="149"/>
      <c r="V860" s="149"/>
      <c r="W860" s="149"/>
      <c r="X860" s="149"/>
      <c r="Y860" s="149"/>
      <c r="Z860" s="149"/>
    </row>
    <row r="861" spans="1:26" ht="60" customHeight="1">
      <c r="A861" s="662"/>
      <c r="B861" s="217" t="s">
        <v>709</v>
      </c>
      <c r="C861" s="80">
        <v>0.5</v>
      </c>
      <c r="D861" s="80">
        <v>0.5</v>
      </c>
      <c r="E861" s="80">
        <v>0</v>
      </c>
      <c r="F861" s="80">
        <v>1</v>
      </c>
      <c r="G861" s="80">
        <v>0.5</v>
      </c>
      <c r="H861" s="80">
        <v>0.5</v>
      </c>
      <c r="I861" s="267"/>
      <c r="J861" s="663" t="s">
        <v>2361</v>
      </c>
      <c r="K861" s="663" t="s">
        <v>2362</v>
      </c>
      <c r="L861" s="663" t="s">
        <v>2363</v>
      </c>
      <c r="M861" s="663" t="s">
        <v>4051</v>
      </c>
      <c r="N861" s="663" t="s">
        <v>2365</v>
      </c>
      <c r="O861" s="663" t="s">
        <v>4052</v>
      </c>
      <c r="P861" s="146"/>
      <c r="Q861" s="146"/>
      <c r="R861" s="146"/>
      <c r="S861" s="149"/>
      <c r="T861" s="149"/>
      <c r="U861" s="149"/>
      <c r="V861" s="149"/>
      <c r="W861" s="149"/>
      <c r="X861" s="149"/>
      <c r="Y861" s="149"/>
      <c r="Z861" s="149"/>
    </row>
    <row r="862" spans="1:26" ht="36" customHeight="1">
      <c r="A862" s="662"/>
      <c r="B862" s="217" t="s">
        <v>569</v>
      </c>
      <c r="C862" s="80">
        <v>0.5</v>
      </c>
      <c r="D862" s="80">
        <v>1</v>
      </c>
      <c r="E862" s="80">
        <v>0</v>
      </c>
      <c r="F862" s="80">
        <v>1</v>
      </c>
      <c r="G862" s="80">
        <v>1</v>
      </c>
      <c r="H862" s="80">
        <v>1</v>
      </c>
      <c r="I862" s="267" t="s">
        <v>719</v>
      </c>
      <c r="J862" s="663" t="s">
        <v>2366</v>
      </c>
      <c r="K862" s="663" t="s">
        <v>2367</v>
      </c>
      <c r="L862" s="663" t="s">
        <v>2368</v>
      </c>
      <c r="M862" s="663" t="s">
        <v>2369</v>
      </c>
      <c r="N862" s="663" t="s">
        <v>2370</v>
      </c>
      <c r="O862" s="663" t="s">
        <v>2367</v>
      </c>
      <c r="P862" s="146"/>
      <c r="Q862" s="146"/>
      <c r="R862" s="146"/>
      <c r="S862" s="149"/>
      <c r="T862" s="149"/>
      <c r="U862" s="149"/>
      <c r="V862" s="149"/>
      <c r="W862" s="149"/>
      <c r="X862" s="149"/>
      <c r="Y862" s="149"/>
      <c r="Z862" s="149"/>
    </row>
    <row r="863" spans="1:26" ht="24" customHeight="1">
      <c r="A863" s="662"/>
      <c r="B863" s="217" t="s">
        <v>711</v>
      </c>
      <c r="C863" s="80">
        <v>1</v>
      </c>
      <c r="D863" s="80">
        <v>1</v>
      </c>
      <c r="E863" s="80" t="s">
        <v>1073</v>
      </c>
      <c r="F863" s="80">
        <v>1</v>
      </c>
      <c r="G863" s="80" t="s">
        <v>1073</v>
      </c>
      <c r="H863" s="80">
        <v>0</v>
      </c>
      <c r="I863" s="267"/>
      <c r="J863" s="663" t="s">
        <v>2371</v>
      </c>
      <c r="K863" s="663" t="s">
        <v>2371</v>
      </c>
      <c r="L863" s="663" t="s">
        <v>2342</v>
      </c>
      <c r="M863" s="663" t="s">
        <v>2371</v>
      </c>
      <c r="N863" s="663" t="s">
        <v>2342</v>
      </c>
      <c r="O863" s="663" t="s">
        <v>2372</v>
      </c>
      <c r="P863" s="146"/>
      <c r="Q863" s="146"/>
      <c r="R863" s="146"/>
      <c r="S863" s="149"/>
      <c r="T863" s="149"/>
      <c r="U863" s="149"/>
      <c r="V863" s="149"/>
      <c r="W863" s="149"/>
      <c r="X863" s="149"/>
      <c r="Y863" s="149"/>
      <c r="Z863" s="149"/>
    </row>
    <row r="864" spans="1:26" ht="24" customHeight="1">
      <c r="A864" s="662"/>
      <c r="B864" s="217" t="s">
        <v>712</v>
      </c>
      <c r="C864" s="80">
        <v>1</v>
      </c>
      <c r="D864" s="80">
        <v>1</v>
      </c>
      <c r="E864" s="80">
        <v>0</v>
      </c>
      <c r="F864" s="80">
        <v>1</v>
      </c>
      <c r="G864" s="80">
        <v>1</v>
      </c>
      <c r="H864" s="80">
        <v>1</v>
      </c>
      <c r="I864" s="267"/>
      <c r="J864" s="663" t="s">
        <v>2373</v>
      </c>
      <c r="K864" s="663" t="s">
        <v>2373</v>
      </c>
      <c r="L864" s="663" t="s">
        <v>2374</v>
      </c>
      <c r="M864" s="663" t="s">
        <v>2373</v>
      </c>
      <c r="N864" s="663" t="s">
        <v>2373</v>
      </c>
      <c r="O864" s="663" t="s">
        <v>2373</v>
      </c>
      <c r="P864" s="146"/>
      <c r="Q864" s="146"/>
      <c r="R864" s="146"/>
      <c r="S864" s="149"/>
      <c r="T864" s="149"/>
      <c r="U864" s="149"/>
      <c r="V864" s="149"/>
      <c r="W864" s="149"/>
      <c r="X864" s="149"/>
      <c r="Y864" s="149"/>
      <c r="Z864" s="149"/>
    </row>
    <row r="865" spans="1:26" ht="13.5" customHeight="1">
      <c r="A865" s="662"/>
      <c r="B865" s="471"/>
      <c r="C865" s="80"/>
      <c r="D865" s="80"/>
      <c r="E865" s="80"/>
      <c r="F865" s="80"/>
      <c r="G865" s="80"/>
      <c r="H865" s="80"/>
      <c r="I865" s="267"/>
      <c r="J865" s="663"/>
      <c r="K865" s="663"/>
      <c r="L865" s="663"/>
      <c r="M865" s="663"/>
      <c r="N865" s="663"/>
      <c r="O865" s="663"/>
      <c r="P865" s="146"/>
      <c r="Q865" s="146"/>
      <c r="R865" s="146"/>
      <c r="S865" s="149"/>
      <c r="T865" s="149"/>
      <c r="U865" s="149"/>
      <c r="V865" s="149"/>
      <c r="W865" s="149"/>
      <c r="X865" s="149"/>
      <c r="Y865" s="149"/>
      <c r="Z865" s="149"/>
    </row>
    <row r="866" spans="1:26" ht="139.5" customHeight="1">
      <c r="A866" s="658" t="s">
        <v>736</v>
      </c>
      <c r="B866" s="168" t="s">
        <v>720</v>
      </c>
      <c r="C866" s="80">
        <f t="shared" ref="C866:H866" si="164">AVERAGE(C867:C870)</f>
        <v>0.125</v>
      </c>
      <c r="D866" s="80">
        <f t="shared" si="164"/>
        <v>0.125</v>
      </c>
      <c r="E866" s="80">
        <f t="shared" si="164"/>
        <v>0</v>
      </c>
      <c r="F866" s="80">
        <f t="shared" si="164"/>
        <v>0</v>
      </c>
      <c r="G866" s="80">
        <f t="shared" si="164"/>
        <v>0.33333333333333331</v>
      </c>
      <c r="H866" s="80">
        <f t="shared" si="164"/>
        <v>0.5</v>
      </c>
      <c r="I866" s="267" t="s">
        <v>721</v>
      </c>
      <c r="J866" s="81"/>
      <c r="K866" s="81"/>
      <c r="L866" s="81"/>
      <c r="M866" s="81"/>
      <c r="N866" s="81"/>
      <c r="O866" s="81"/>
      <c r="P866" s="146"/>
      <c r="Q866" s="146"/>
      <c r="R866" s="146"/>
      <c r="S866" s="149"/>
      <c r="T866" s="149"/>
      <c r="U866" s="149"/>
      <c r="V866" s="149"/>
      <c r="W866" s="149"/>
      <c r="X866" s="149"/>
      <c r="Y866" s="149"/>
      <c r="Z866" s="149"/>
    </row>
    <row r="867" spans="1:26" ht="24" customHeight="1">
      <c r="A867" s="662"/>
      <c r="B867" s="217" t="s">
        <v>709</v>
      </c>
      <c r="C867" s="80">
        <v>0</v>
      </c>
      <c r="D867" s="80">
        <v>0</v>
      </c>
      <c r="E867" s="80">
        <v>0</v>
      </c>
      <c r="F867" s="80">
        <v>0</v>
      </c>
      <c r="G867" s="80">
        <v>0</v>
      </c>
      <c r="H867" s="80">
        <v>0</v>
      </c>
      <c r="I867" s="267" t="s">
        <v>38</v>
      </c>
      <c r="J867" s="663" t="s">
        <v>2375</v>
      </c>
      <c r="K867" s="663" t="s">
        <v>2375</v>
      </c>
      <c r="L867" s="663" t="s">
        <v>2375</v>
      </c>
      <c r="M867" s="663" t="s">
        <v>2375</v>
      </c>
      <c r="N867" s="663" t="s">
        <v>2375</v>
      </c>
      <c r="O867" s="663" t="s">
        <v>2375</v>
      </c>
      <c r="P867" s="146"/>
      <c r="Q867" s="146"/>
      <c r="R867" s="146"/>
      <c r="S867" s="149"/>
      <c r="T867" s="149"/>
      <c r="U867" s="149"/>
      <c r="V867" s="149"/>
      <c r="W867" s="149"/>
      <c r="X867" s="149"/>
      <c r="Y867" s="149"/>
      <c r="Z867" s="149"/>
    </row>
    <row r="868" spans="1:26" ht="42" customHeight="1">
      <c r="A868" s="662"/>
      <c r="B868" s="217" t="s">
        <v>569</v>
      </c>
      <c r="C868" s="80">
        <v>0</v>
      </c>
      <c r="D868" s="80">
        <v>0.5</v>
      </c>
      <c r="E868" s="80">
        <v>0</v>
      </c>
      <c r="F868" s="80">
        <v>0</v>
      </c>
      <c r="G868" s="80">
        <v>0</v>
      </c>
      <c r="H868" s="80">
        <v>0</v>
      </c>
      <c r="I868" s="267" t="s">
        <v>722</v>
      </c>
      <c r="J868" s="663" t="s">
        <v>2375</v>
      </c>
      <c r="K868" s="663" t="s">
        <v>2376</v>
      </c>
      <c r="L868" s="663" t="s">
        <v>2375</v>
      </c>
      <c r="M868" s="663" t="s">
        <v>2375</v>
      </c>
      <c r="N868" s="663" t="s">
        <v>2375</v>
      </c>
      <c r="O868" s="663" t="s">
        <v>2375</v>
      </c>
      <c r="P868" s="146"/>
      <c r="Q868" s="146"/>
      <c r="R868" s="146"/>
      <c r="S868" s="149"/>
      <c r="T868" s="149"/>
      <c r="U868" s="149"/>
      <c r="V868" s="149"/>
      <c r="W868" s="149"/>
      <c r="X868" s="149"/>
      <c r="Y868" s="149"/>
      <c r="Z868" s="149"/>
    </row>
    <row r="869" spans="1:26" ht="24" customHeight="1">
      <c r="A869" s="662"/>
      <c r="B869" s="217" t="s">
        <v>711</v>
      </c>
      <c r="C869" s="80">
        <v>0</v>
      </c>
      <c r="D869" s="80">
        <v>0</v>
      </c>
      <c r="E869" s="80" t="s">
        <v>1073</v>
      </c>
      <c r="F869" s="80">
        <v>0</v>
      </c>
      <c r="G869" s="80" t="s">
        <v>1073</v>
      </c>
      <c r="H869" s="80">
        <v>1</v>
      </c>
      <c r="I869" s="267" t="s">
        <v>38</v>
      </c>
      <c r="J869" s="663" t="s">
        <v>2375</v>
      </c>
      <c r="K869" s="663" t="s">
        <v>2375</v>
      </c>
      <c r="L869" s="663" t="s">
        <v>2342</v>
      </c>
      <c r="M869" s="663" t="s">
        <v>2375</v>
      </c>
      <c r="N869" s="663" t="s">
        <v>2342</v>
      </c>
      <c r="O869" s="663" t="s">
        <v>2379</v>
      </c>
      <c r="P869" s="146"/>
      <c r="Q869" s="146"/>
      <c r="R869" s="146"/>
      <c r="S869" s="149"/>
      <c r="T869" s="149"/>
      <c r="U869" s="149"/>
      <c r="V869" s="149"/>
      <c r="W869" s="149"/>
      <c r="X869" s="149"/>
      <c r="Y869" s="149"/>
      <c r="Z869" s="149"/>
    </row>
    <row r="870" spans="1:26" ht="47.25" customHeight="1">
      <c r="A870" s="662"/>
      <c r="B870" s="217" t="s">
        <v>712</v>
      </c>
      <c r="C870" s="80">
        <v>0.5</v>
      </c>
      <c r="D870" s="80">
        <v>0</v>
      </c>
      <c r="E870" s="80">
        <v>0</v>
      </c>
      <c r="F870" s="80">
        <v>0</v>
      </c>
      <c r="G870" s="80">
        <v>1</v>
      </c>
      <c r="H870" s="80">
        <v>1</v>
      </c>
      <c r="I870" s="267" t="s">
        <v>722</v>
      </c>
      <c r="J870" s="663" t="s">
        <v>4053</v>
      </c>
      <c r="K870" s="663" t="s">
        <v>2375</v>
      </c>
      <c r="L870" s="663" t="s">
        <v>2375</v>
      </c>
      <c r="M870" s="663" t="s">
        <v>2375</v>
      </c>
      <c r="N870" s="663" t="s">
        <v>2379</v>
      </c>
      <c r="O870" s="663" t="s">
        <v>2380</v>
      </c>
      <c r="P870" s="146"/>
      <c r="Q870" s="146"/>
      <c r="R870" s="146"/>
      <c r="S870" s="149"/>
      <c r="T870" s="149"/>
      <c r="U870" s="149"/>
      <c r="V870" s="149"/>
      <c r="W870" s="149"/>
      <c r="X870" s="149"/>
      <c r="Y870" s="149"/>
      <c r="Z870" s="149"/>
    </row>
    <row r="871" spans="1:26" ht="13.5" customHeight="1">
      <c r="A871" s="662"/>
      <c r="B871" s="471"/>
      <c r="C871" s="80"/>
      <c r="D871" s="80"/>
      <c r="E871" s="80"/>
      <c r="F871" s="80"/>
      <c r="G871" s="80"/>
      <c r="H871" s="80"/>
      <c r="I871" s="267"/>
      <c r="J871" s="663"/>
      <c r="K871" s="663"/>
      <c r="L871" s="663"/>
      <c r="M871" s="663"/>
      <c r="N871" s="663"/>
      <c r="O871" s="663"/>
      <c r="P871" s="146"/>
      <c r="Q871" s="146"/>
      <c r="R871" s="146"/>
      <c r="S871" s="149"/>
      <c r="T871" s="149"/>
      <c r="U871" s="149"/>
      <c r="V871" s="149"/>
      <c r="W871" s="149"/>
      <c r="X871" s="149"/>
      <c r="Y871" s="149"/>
      <c r="Z871" s="149"/>
    </row>
    <row r="872" spans="1:26" ht="75.75" customHeight="1">
      <c r="A872" s="658" t="s">
        <v>736</v>
      </c>
      <c r="B872" s="168" t="s">
        <v>723</v>
      </c>
      <c r="C872" s="80">
        <f t="shared" ref="C872:H872" si="165">AVERAGE(C873:C876)</f>
        <v>0.75</v>
      </c>
      <c r="D872" s="80">
        <f t="shared" si="165"/>
        <v>0.25</v>
      </c>
      <c r="E872" s="80">
        <f t="shared" si="165"/>
        <v>0.33333333333333331</v>
      </c>
      <c r="F872" s="80">
        <f t="shared" si="165"/>
        <v>0.625</v>
      </c>
      <c r="G872" s="80">
        <f t="shared" si="165"/>
        <v>0.5</v>
      </c>
      <c r="H872" s="80">
        <f t="shared" si="165"/>
        <v>0.5</v>
      </c>
      <c r="I872" s="267" t="s">
        <v>724</v>
      </c>
      <c r="J872" s="81"/>
      <c r="K872" s="81"/>
      <c r="L872" s="81"/>
      <c r="M872" s="81"/>
      <c r="N872" s="81"/>
      <c r="O872" s="81"/>
      <c r="P872" s="146"/>
      <c r="Q872" s="146"/>
      <c r="R872" s="146"/>
      <c r="S872" s="149"/>
      <c r="T872" s="149"/>
      <c r="U872" s="149"/>
      <c r="V872" s="149"/>
      <c r="W872" s="149"/>
      <c r="X872" s="149"/>
      <c r="Y872" s="149"/>
      <c r="Z872" s="149"/>
    </row>
    <row r="873" spans="1:26" ht="48" customHeight="1">
      <c r="A873" s="658"/>
      <c r="B873" s="217" t="s">
        <v>709</v>
      </c>
      <c r="C873" s="80">
        <v>0.5</v>
      </c>
      <c r="D873" s="80">
        <v>0</v>
      </c>
      <c r="E873" s="80">
        <v>0</v>
      </c>
      <c r="F873" s="80">
        <v>0</v>
      </c>
      <c r="G873" s="80">
        <v>0</v>
      </c>
      <c r="H873" s="80">
        <v>0</v>
      </c>
      <c r="I873" s="267" t="s">
        <v>38</v>
      </c>
      <c r="J873" s="663" t="s">
        <v>2381</v>
      </c>
      <c r="K873" s="663" t="s">
        <v>2382</v>
      </c>
      <c r="L873" s="663" t="s">
        <v>2382</v>
      </c>
      <c r="M873" s="663" t="s">
        <v>2382</v>
      </c>
      <c r="N873" s="663" t="s">
        <v>2382</v>
      </c>
      <c r="O873" s="663" t="s">
        <v>2382</v>
      </c>
      <c r="P873" s="146"/>
      <c r="Q873" s="146"/>
      <c r="R873" s="146"/>
      <c r="S873" s="149"/>
      <c r="T873" s="149"/>
      <c r="U873" s="149"/>
      <c r="V873" s="149"/>
      <c r="W873" s="149"/>
      <c r="X873" s="149"/>
      <c r="Y873" s="149"/>
      <c r="Z873" s="149"/>
    </row>
    <row r="874" spans="1:26" ht="37.5" customHeight="1">
      <c r="A874" s="658"/>
      <c r="B874" s="217" t="s">
        <v>569</v>
      </c>
      <c r="C874" s="80">
        <v>1</v>
      </c>
      <c r="D874" s="80">
        <v>1</v>
      </c>
      <c r="E874" s="80">
        <v>1</v>
      </c>
      <c r="F874" s="80">
        <v>1</v>
      </c>
      <c r="G874" s="80">
        <v>1</v>
      </c>
      <c r="H874" s="80">
        <v>1</v>
      </c>
      <c r="I874" s="267" t="s">
        <v>722</v>
      </c>
      <c r="J874" s="663" t="s">
        <v>2383</v>
      </c>
      <c r="K874" s="663" t="s">
        <v>2383</v>
      </c>
      <c r="L874" s="663" t="s">
        <v>2383</v>
      </c>
      <c r="M874" s="663" t="s">
        <v>2383</v>
      </c>
      <c r="N874" s="663" t="s">
        <v>2383</v>
      </c>
      <c r="O874" s="663" t="s">
        <v>2383</v>
      </c>
      <c r="P874" s="146"/>
      <c r="Q874" s="146"/>
      <c r="R874" s="146"/>
      <c r="S874" s="149"/>
      <c r="T874" s="149"/>
      <c r="U874" s="149"/>
      <c r="V874" s="149"/>
      <c r="W874" s="149"/>
      <c r="X874" s="149"/>
      <c r="Y874" s="149"/>
      <c r="Z874" s="149"/>
    </row>
    <row r="875" spans="1:26" ht="42" customHeight="1">
      <c r="A875" s="658"/>
      <c r="B875" s="217" t="s">
        <v>711</v>
      </c>
      <c r="C875" s="80">
        <v>0.5</v>
      </c>
      <c r="D875" s="80">
        <v>0</v>
      </c>
      <c r="E875" s="80" t="s">
        <v>1073</v>
      </c>
      <c r="F875" s="80">
        <v>1</v>
      </c>
      <c r="G875" s="80" t="s">
        <v>1073</v>
      </c>
      <c r="H875" s="80">
        <v>0.5</v>
      </c>
      <c r="I875" s="267" t="s">
        <v>38</v>
      </c>
      <c r="J875" s="663" t="s">
        <v>2384</v>
      </c>
      <c r="K875" s="663" t="s">
        <v>2385</v>
      </c>
      <c r="L875" s="663" t="s">
        <v>2342</v>
      </c>
      <c r="M875" s="663" t="s">
        <v>4054</v>
      </c>
      <c r="N875" s="663" t="s">
        <v>2342</v>
      </c>
      <c r="O875" s="663" t="s">
        <v>2387</v>
      </c>
      <c r="P875" s="146"/>
      <c r="Q875" s="146"/>
      <c r="R875" s="146"/>
      <c r="S875" s="149"/>
      <c r="T875" s="149"/>
      <c r="U875" s="149"/>
      <c r="V875" s="149"/>
      <c r="W875" s="149"/>
      <c r="X875" s="149"/>
      <c r="Y875" s="149"/>
      <c r="Z875" s="149"/>
    </row>
    <row r="876" spans="1:26" ht="36.75" customHeight="1">
      <c r="A876" s="658"/>
      <c r="B876" s="217" t="s">
        <v>712</v>
      </c>
      <c r="C876" s="80">
        <v>1</v>
      </c>
      <c r="D876" s="80">
        <v>0</v>
      </c>
      <c r="E876" s="80">
        <v>0</v>
      </c>
      <c r="F876" s="80">
        <v>0.5</v>
      </c>
      <c r="G876" s="80">
        <v>0.5</v>
      </c>
      <c r="H876" s="80">
        <v>0.5</v>
      </c>
      <c r="I876" s="267" t="s">
        <v>38</v>
      </c>
      <c r="J876" s="663" t="s">
        <v>2388</v>
      </c>
      <c r="K876" s="663" t="s">
        <v>2390</v>
      </c>
      <c r="L876" s="663" t="s">
        <v>2390</v>
      </c>
      <c r="M876" s="663" t="s">
        <v>4055</v>
      </c>
      <c r="N876" s="663" t="s">
        <v>2392</v>
      </c>
      <c r="O876" s="663" t="s">
        <v>2393</v>
      </c>
      <c r="P876" s="146"/>
      <c r="Q876" s="146"/>
      <c r="R876" s="146"/>
      <c r="S876" s="149"/>
      <c r="T876" s="149"/>
      <c r="U876" s="149"/>
      <c r="V876" s="149"/>
      <c r="W876" s="149"/>
      <c r="X876" s="149"/>
      <c r="Y876" s="149"/>
      <c r="Z876" s="149"/>
    </row>
    <row r="877" spans="1:26" ht="13.5" customHeight="1">
      <c r="A877" s="658"/>
      <c r="B877" s="471"/>
      <c r="C877" s="80"/>
      <c r="D877" s="80"/>
      <c r="E877" s="80"/>
      <c r="F877" s="80"/>
      <c r="G877" s="80"/>
      <c r="H877" s="80"/>
      <c r="I877" s="267"/>
      <c r="J877" s="81"/>
      <c r="K877" s="81"/>
      <c r="L877" s="81"/>
      <c r="M877" s="81"/>
      <c r="N877" s="81"/>
      <c r="O877" s="81"/>
      <c r="P877" s="146"/>
      <c r="Q877" s="146"/>
      <c r="R877" s="146"/>
      <c r="S877" s="149"/>
      <c r="T877" s="149"/>
      <c r="U877" s="149"/>
      <c r="V877" s="149"/>
      <c r="W877" s="149"/>
      <c r="X877" s="149"/>
      <c r="Y877" s="149"/>
      <c r="Z877" s="149"/>
    </row>
    <row r="878" spans="1:26" ht="168" customHeight="1">
      <c r="A878" s="658" t="s">
        <v>736</v>
      </c>
      <c r="B878" s="168" t="s">
        <v>725</v>
      </c>
      <c r="C878" s="80">
        <f t="shared" ref="C878:H878" si="166">1-(315-J878)/(315-1000)</f>
        <v>0.4720448357473791</v>
      </c>
      <c r="D878" s="80">
        <f t="shared" si="166"/>
        <v>0.30107694484836434</v>
      </c>
      <c r="E878" s="80">
        <f t="shared" si="166"/>
        <v>0.551086029368139</v>
      </c>
      <c r="F878" s="80">
        <f t="shared" si="166"/>
        <v>0</v>
      </c>
      <c r="G878" s="80">
        <f t="shared" si="166"/>
        <v>0.36787215907076287</v>
      </c>
      <c r="H878" s="80">
        <f t="shared" si="166"/>
        <v>0.99966879402810149</v>
      </c>
      <c r="I878" s="267" t="s">
        <v>726</v>
      </c>
      <c r="J878" s="679">
        <v>676.64928751304535</v>
      </c>
      <c r="K878" s="679">
        <v>793.76229277887046</v>
      </c>
      <c r="L878" s="679">
        <v>622.50606988282482</v>
      </c>
      <c r="M878" s="679">
        <v>1000</v>
      </c>
      <c r="N878" s="679">
        <v>748.00757103652745</v>
      </c>
      <c r="O878" s="679">
        <v>315.22687609075047</v>
      </c>
      <c r="P878" s="146"/>
      <c r="Q878" s="146"/>
      <c r="R878" s="146"/>
      <c r="S878" s="149"/>
      <c r="T878" s="149"/>
      <c r="U878" s="149"/>
      <c r="V878" s="149"/>
      <c r="W878" s="149"/>
      <c r="X878" s="149"/>
      <c r="Y878" s="149"/>
      <c r="Z878" s="149"/>
    </row>
    <row r="879" spans="1:26" ht="13.5" customHeight="1">
      <c r="A879" s="658"/>
      <c r="B879" s="144"/>
      <c r="C879" s="87"/>
      <c r="D879" s="87"/>
      <c r="E879" s="87"/>
      <c r="F879" s="87"/>
      <c r="G879" s="87"/>
      <c r="H879" s="87"/>
      <c r="I879" s="267"/>
      <c r="J879" s="681"/>
      <c r="K879" s="681"/>
      <c r="L879" s="681"/>
      <c r="M879" s="681"/>
      <c r="N879" s="681"/>
      <c r="O879" s="681"/>
      <c r="P879" s="146"/>
      <c r="Q879" s="146"/>
      <c r="R879" s="146"/>
      <c r="S879" s="149"/>
      <c r="T879" s="149"/>
      <c r="U879" s="149"/>
      <c r="V879" s="149"/>
      <c r="W879" s="149"/>
      <c r="X879" s="149"/>
      <c r="Y879" s="149"/>
      <c r="Z879" s="149"/>
    </row>
    <row r="880" spans="1:26" ht="27.75" customHeight="1">
      <c r="A880" s="27" t="s">
        <v>2394</v>
      </c>
      <c r="B880" s="683" t="s">
        <v>2395</v>
      </c>
      <c r="C880" s="687">
        <f>(C886+C888+C890+C892+C895+C896+C897+C899+C901+C904+C906+C908+C911+C913+C915+C919+C920+C921+C922+C923+C924+C929+C931+C933+C935+C938+C940+C942+C944+C946+C948+C950+C952)/33</f>
        <v>0.5921612906349254</v>
      </c>
      <c r="D880" s="687">
        <f>(D886+D888+D890+D892+D895+D896+D897+D899+D901+D904+D906+D908+D911+D913+D915+D919+D920+D921+D922+D923+D924+D929+D931+D933+D935+D938+D940+D942+D944+D946+D948+D950+D952)/33</f>
        <v>0.66164119563566048</v>
      </c>
      <c r="E880" s="687">
        <f>(E886+E888+E890+E892+E895+E896+E897+E899+E901+E904+E906+E908+E911+E913+E915+E919+E920+E921+E922+E923+E924+E929+E931+E933+E935+E938+E940+E942+E944+E946+E948+E950+E952)/33</f>
        <v>0.6501034866056119</v>
      </c>
      <c r="F880" s="687">
        <f>(F886+F888+F890+F892+F896+F897+F899+F901+F904+F906+F908+F911+F913+F915+F919+F920+F921+F922+F923+F924+F929+F931+F933+F935+F938+F940+F942+F944+F946+F948+F950+F952)/32</f>
        <v>0.59508207813006198</v>
      </c>
      <c r="G880" s="687">
        <f>(G886+G888+G890+G892+G895+G896+G897+G899+G901+G904+G906+G908+G911+G913+G915+G919+G920+G921+G922+G923+G924+G929+G931+G933+G935+G938+G940+G942+G944+G946+G948+G950+G952)/33</f>
        <v>0.62326921565419191</v>
      </c>
      <c r="H880" s="687">
        <f>(H886+H888+H890+H892+H895+H896+H897+H899+H901+H904+H906+H908+H911+H913+H915+H919+H920+H921+H922+H923+H924+H929+H931+H933+H935+H938+H940+H942+H944+H946+H948+H950+H952)/33</f>
        <v>0.5357561361919374</v>
      </c>
      <c r="I880" s="54"/>
      <c r="J880" s="203"/>
      <c r="K880" s="203"/>
      <c r="L880" s="203"/>
      <c r="M880" s="203"/>
      <c r="N880" s="203"/>
      <c r="O880" s="203"/>
      <c r="P880" s="693"/>
      <c r="Q880" s="693"/>
      <c r="R880" s="693"/>
      <c r="S880" s="34"/>
      <c r="T880" s="34"/>
      <c r="U880" s="34"/>
      <c r="V880" s="34"/>
      <c r="W880" s="34"/>
      <c r="X880" s="34"/>
      <c r="Y880" s="34"/>
      <c r="Z880" s="34"/>
    </row>
    <row r="881" spans="1:26" ht="13.5" customHeight="1">
      <c r="A881" s="486"/>
      <c r="B881" s="695">
        <v>2012</v>
      </c>
      <c r="C881" s="696">
        <v>0.47</v>
      </c>
      <c r="D881" s="696">
        <v>0.66</v>
      </c>
      <c r="E881" s="696">
        <v>0.64</v>
      </c>
      <c r="F881" s="696">
        <v>0.56999999999999995</v>
      </c>
      <c r="G881" s="696">
        <v>0.56000000000000005</v>
      </c>
      <c r="H881" s="696">
        <v>0.51</v>
      </c>
      <c r="I881" s="490"/>
      <c r="J881" s="499"/>
      <c r="K881" s="499"/>
      <c r="L881" s="499"/>
      <c r="M881" s="499"/>
      <c r="N881" s="499"/>
      <c r="O881" s="499"/>
      <c r="P881" s="501"/>
      <c r="Q881" s="501"/>
      <c r="R881" s="501"/>
      <c r="S881" s="490"/>
      <c r="T881" s="490"/>
      <c r="U881" s="490"/>
      <c r="V881" s="490"/>
      <c r="W881" s="490"/>
      <c r="X881" s="490"/>
      <c r="Y881" s="490"/>
      <c r="Z881" s="490"/>
    </row>
    <row r="882" spans="1:26" ht="13.5" customHeight="1">
      <c r="A882" s="2606" t="s">
        <v>2396</v>
      </c>
      <c r="B882" s="2607"/>
      <c r="C882" s="700">
        <f>AVERAGE(C886,C888,C890,C892,C895,C896,C897,C899,C901,C904,C906,C908,C911,C913,C915,C919,C920,C921,C923,C924)</f>
        <v>0.66499999999999992</v>
      </c>
      <c r="D882" s="700">
        <f>AVERAGE(D886,D888,D890,D892,D895,D896,D897,D899,D901,D904,D906,D908,D911,D913,D915,D919,D920,D921,D923,D924)</f>
        <v>0.73</v>
      </c>
      <c r="E882" s="700">
        <f>AVERAGE(E886,E888,E890,E892,E895,E896,E897,E899,E901,E904,E906,E908,E911,E913,E915,E919,E920,E921,E923,E924)</f>
        <v>0.61599999999999999</v>
      </c>
      <c r="F882" s="700">
        <f>AVERAGE(F886,F888,F890,F892,F896,F897,F899,F901,F904,F906,F908,F911,F913,F915,F919,F920,F921,F923,F924)</f>
        <v>0.61052631578947381</v>
      </c>
      <c r="G882" s="700">
        <f>AVERAGE(G886,G888,G890,G892,G895,G896,G897,G899,G901,G904,G906,G908,G911,G913,G915,G919,G920,G921,G923,G924)</f>
        <v>0.64</v>
      </c>
      <c r="H882" s="700">
        <f>AVERAGE(H886,H888,H890,H892,H895,H896,H897,H899,H901,H904,H906,H908,H911,H913,H915,H919,H920,H921,H923,H924)</f>
        <v>0.51999999999999991</v>
      </c>
      <c r="I882" s="54"/>
      <c r="J882" s="203"/>
      <c r="K882" s="203"/>
      <c r="L882" s="203"/>
      <c r="M882" s="203"/>
      <c r="N882" s="203"/>
      <c r="O882" s="203"/>
      <c r="P882" s="693"/>
      <c r="Q882" s="693"/>
      <c r="R882" s="693"/>
      <c r="S882" s="34"/>
      <c r="T882" s="34"/>
      <c r="U882" s="34"/>
      <c r="V882" s="34"/>
      <c r="W882" s="34"/>
      <c r="X882" s="34"/>
      <c r="Y882" s="34"/>
      <c r="Z882" s="34"/>
    </row>
    <row r="883" spans="1:26" ht="13.5" customHeight="1">
      <c r="A883" s="486"/>
      <c r="B883" s="695">
        <v>2012</v>
      </c>
      <c r="C883" s="706">
        <v>0.61</v>
      </c>
      <c r="D883" s="706">
        <v>0.76</v>
      </c>
      <c r="E883" s="706">
        <v>0.53</v>
      </c>
      <c r="F883" s="706">
        <v>0.56000000000000005</v>
      </c>
      <c r="G883" s="706">
        <v>0.61</v>
      </c>
      <c r="H883" s="706">
        <v>0.53</v>
      </c>
      <c r="I883" s="490"/>
      <c r="J883" s="499"/>
      <c r="K883" s="499"/>
      <c r="L883" s="499"/>
      <c r="M883" s="499"/>
      <c r="N883" s="499"/>
      <c r="O883" s="499"/>
      <c r="P883" s="501"/>
      <c r="Q883" s="501"/>
      <c r="R883" s="501"/>
      <c r="S883" s="490"/>
      <c r="T883" s="490"/>
      <c r="U883" s="490"/>
      <c r="V883" s="490"/>
      <c r="W883" s="490"/>
      <c r="X883" s="490"/>
      <c r="Y883" s="490"/>
      <c r="Z883" s="490"/>
    </row>
    <row r="884" spans="1:26" ht="13.5" customHeight="1">
      <c r="A884" s="27" t="s">
        <v>2397</v>
      </c>
      <c r="B884" s="70" t="s">
        <v>491</v>
      </c>
      <c r="C884" s="687"/>
      <c r="D884" s="687"/>
      <c r="E884" s="687"/>
      <c r="F884" s="687"/>
      <c r="G884" s="687"/>
      <c r="H884" s="687"/>
      <c r="I884" s="712"/>
      <c r="J884" s="74"/>
      <c r="K884" s="74"/>
      <c r="L884" s="74"/>
      <c r="M884" s="74"/>
      <c r="N884" s="74"/>
      <c r="O884" s="74"/>
      <c r="P884" s="76"/>
      <c r="Q884" s="76"/>
      <c r="R884" s="76"/>
      <c r="S884" s="23"/>
      <c r="T884" s="23"/>
      <c r="U884" s="23"/>
      <c r="V884" s="23"/>
      <c r="W884" s="23"/>
      <c r="X884" s="23"/>
      <c r="Y884" s="23"/>
      <c r="Z884" s="23"/>
    </row>
    <row r="885" spans="1:26" ht="13.5" customHeight="1">
      <c r="A885" s="714"/>
      <c r="B885" s="3"/>
      <c r="C885" s="8"/>
      <c r="D885" s="8"/>
      <c r="E885" s="8"/>
      <c r="F885" s="8"/>
      <c r="G885" s="8"/>
      <c r="H885" s="8"/>
      <c r="I885" s="15"/>
      <c r="J885" s="75"/>
      <c r="K885" s="75"/>
      <c r="L885" s="75"/>
      <c r="M885" s="75"/>
      <c r="N885" s="75"/>
      <c r="O885" s="75"/>
      <c r="P885" s="77"/>
      <c r="Q885" s="77"/>
      <c r="R885" s="77"/>
      <c r="S885" s="15"/>
      <c r="T885" s="15"/>
      <c r="U885" s="15"/>
      <c r="V885" s="15"/>
      <c r="W885" s="15"/>
      <c r="X885" s="15"/>
      <c r="Y885" s="15"/>
      <c r="Z885" s="15"/>
    </row>
    <row r="886" spans="1:26" ht="91.5" customHeight="1">
      <c r="A886" s="343" t="s">
        <v>736</v>
      </c>
      <c r="B886" s="168" t="s">
        <v>2398</v>
      </c>
      <c r="C886" s="949">
        <v>1</v>
      </c>
      <c r="D886" s="949">
        <v>0.7</v>
      </c>
      <c r="E886" s="949">
        <v>0.5</v>
      </c>
      <c r="F886" s="949">
        <v>1</v>
      </c>
      <c r="G886" s="951">
        <v>1</v>
      </c>
      <c r="H886" s="951">
        <v>0.5</v>
      </c>
      <c r="I886" s="712"/>
      <c r="J886" s="956" t="s">
        <v>4056</v>
      </c>
      <c r="K886" s="956" t="s">
        <v>4057</v>
      </c>
      <c r="L886" s="967" t="s">
        <v>4058</v>
      </c>
      <c r="M886" s="956" t="s">
        <v>4059</v>
      </c>
      <c r="N886" s="956" t="s">
        <v>4060</v>
      </c>
      <c r="O886" s="967" t="s">
        <v>4061</v>
      </c>
      <c r="P886" s="77"/>
      <c r="Q886" s="77"/>
      <c r="R886" s="77"/>
      <c r="S886" s="15"/>
      <c r="T886" s="15"/>
      <c r="U886" s="15"/>
      <c r="V886" s="15"/>
      <c r="W886" s="15"/>
      <c r="X886" s="15"/>
      <c r="Y886" s="15"/>
      <c r="Z886" s="15"/>
    </row>
    <row r="887" spans="1:26" ht="14.25" customHeight="1">
      <c r="A887" s="343"/>
      <c r="B887" s="168"/>
      <c r="C887" s="949"/>
      <c r="D887" s="949"/>
      <c r="E887" s="949"/>
      <c r="F887" s="949"/>
      <c r="G887" s="951"/>
      <c r="H887" s="949"/>
      <c r="I887" s="15"/>
      <c r="J887" s="717"/>
      <c r="K887" s="968"/>
      <c r="L887" s="968"/>
      <c r="M887" s="968"/>
      <c r="N887" s="968"/>
      <c r="O887" s="968"/>
      <c r="P887" s="77"/>
      <c r="Q887" s="77"/>
      <c r="R887" s="77"/>
      <c r="S887" s="15"/>
      <c r="T887" s="15"/>
      <c r="U887" s="15"/>
      <c r="V887" s="15"/>
      <c r="W887" s="15"/>
      <c r="X887" s="15"/>
      <c r="Y887" s="15"/>
      <c r="Z887" s="15"/>
    </row>
    <row r="888" spans="1:26" ht="45.75" customHeight="1">
      <c r="A888" s="343" t="s">
        <v>736</v>
      </c>
      <c r="B888" s="168" t="s">
        <v>503</v>
      </c>
      <c r="C888" s="949">
        <v>1</v>
      </c>
      <c r="D888" s="949">
        <v>0.7</v>
      </c>
      <c r="E888" s="949">
        <v>0</v>
      </c>
      <c r="F888" s="949">
        <v>0.8</v>
      </c>
      <c r="G888" s="951">
        <v>0.9</v>
      </c>
      <c r="H888" s="951">
        <v>0.6</v>
      </c>
      <c r="I888" s="712"/>
      <c r="J888" s="717" t="s">
        <v>4062</v>
      </c>
      <c r="K888" s="956" t="s">
        <v>2406</v>
      </c>
      <c r="L888" s="967" t="s">
        <v>4063</v>
      </c>
      <c r="M888" s="956" t="s">
        <v>4064</v>
      </c>
      <c r="N888" s="956" t="s">
        <v>4065</v>
      </c>
      <c r="O888" s="967" t="s">
        <v>4066</v>
      </c>
      <c r="P888" s="77"/>
      <c r="Q888" s="77"/>
      <c r="R888" s="77"/>
      <c r="S888" s="15"/>
      <c r="T888" s="15"/>
      <c r="U888" s="15"/>
      <c r="V888" s="15"/>
      <c r="W888" s="15"/>
      <c r="X888" s="15"/>
      <c r="Y888" s="15"/>
      <c r="Z888" s="15"/>
    </row>
    <row r="889" spans="1:26" ht="22.5" customHeight="1">
      <c r="A889" s="343"/>
      <c r="B889" s="168"/>
      <c r="C889" s="949"/>
      <c r="D889" s="949"/>
      <c r="E889" s="949"/>
      <c r="F889" s="949"/>
      <c r="G889" s="951"/>
      <c r="H889" s="720"/>
      <c r="I889" s="712"/>
      <c r="J889" s="717"/>
      <c r="K889" s="968"/>
      <c r="L889" s="968"/>
      <c r="M889" s="968"/>
      <c r="N889" s="968"/>
      <c r="O889" s="968"/>
      <c r="P889" s="77"/>
      <c r="Q889" s="77"/>
      <c r="R889" s="77"/>
      <c r="S889" s="15"/>
      <c r="T889" s="15"/>
      <c r="U889" s="15"/>
      <c r="V889" s="15"/>
      <c r="W889" s="15"/>
      <c r="X889" s="15"/>
      <c r="Y889" s="15"/>
      <c r="Z889" s="15"/>
    </row>
    <row r="890" spans="1:26" ht="94.5" customHeight="1">
      <c r="A890" s="343" t="s">
        <v>736</v>
      </c>
      <c r="B890" s="168" t="s">
        <v>4067</v>
      </c>
      <c r="C890" s="949">
        <v>0.7</v>
      </c>
      <c r="D890" s="949">
        <v>0.5</v>
      </c>
      <c r="E890" s="949">
        <v>0.5</v>
      </c>
      <c r="F890" s="949">
        <v>0.8</v>
      </c>
      <c r="G890" s="951">
        <v>0.5</v>
      </c>
      <c r="H890" s="720">
        <v>0.5</v>
      </c>
      <c r="I890" s="712"/>
      <c r="J890" s="722" t="s">
        <v>4068</v>
      </c>
      <c r="K890" s="956" t="s">
        <v>2411</v>
      </c>
      <c r="L890" s="967" t="s">
        <v>4069</v>
      </c>
      <c r="M890" s="956" t="s">
        <v>4070</v>
      </c>
      <c r="N890" s="956" t="s">
        <v>4071</v>
      </c>
      <c r="O890" s="967" t="s">
        <v>4072</v>
      </c>
      <c r="P890" s="77"/>
      <c r="Q890" s="77"/>
      <c r="R890" s="77"/>
      <c r="S890" s="15"/>
      <c r="T890" s="15"/>
      <c r="U890" s="15"/>
      <c r="V890" s="15"/>
      <c r="W890" s="15"/>
      <c r="X890" s="15"/>
      <c r="Y890" s="15"/>
      <c r="Z890" s="15"/>
    </row>
    <row r="891" spans="1:26" ht="23.25" customHeight="1">
      <c r="A891" s="15"/>
      <c r="B891" s="723"/>
      <c r="C891" s="949"/>
      <c r="D891" s="949"/>
      <c r="E891" s="949"/>
      <c r="F891" s="949"/>
      <c r="G891" s="949"/>
      <c r="H891" s="949"/>
      <c r="I891" s="712"/>
      <c r="J891" s="717"/>
      <c r="K891" s="968"/>
      <c r="L891" s="968"/>
      <c r="M891" s="968"/>
      <c r="N891" s="724"/>
      <c r="O891" s="968"/>
      <c r="P891" s="77"/>
      <c r="Q891" s="77"/>
      <c r="R891" s="77"/>
      <c r="S891" s="725"/>
      <c r="T891" s="15"/>
      <c r="U891" s="15"/>
      <c r="V891" s="15"/>
      <c r="W891" s="15"/>
      <c r="X891" s="15"/>
      <c r="Y891" s="15"/>
      <c r="Z891" s="15"/>
    </row>
    <row r="892" spans="1:26" ht="87.75" customHeight="1">
      <c r="A892" s="343" t="s">
        <v>736</v>
      </c>
      <c r="B892" s="727" t="s">
        <v>511</v>
      </c>
      <c r="C892" s="949">
        <v>0.9</v>
      </c>
      <c r="D892" s="949">
        <v>0.8</v>
      </c>
      <c r="E892" s="949">
        <v>0.72</v>
      </c>
      <c r="F892" s="949">
        <v>0.6</v>
      </c>
      <c r="G892" s="949">
        <v>0.7</v>
      </c>
      <c r="H892" s="949">
        <v>0.6</v>
      </c>
      <c r="I892" s="712"/>
      <c r="J892" s="717" t="s">
        <v>4073</v>
      </c>
      <c r="K892" s="956" t="s">
        <v>4074</v>
      </c>
      <c r="L892" s="728" t="s">
        <v>4075</v>
      </c>
      <c r="M892" s="956" t="s">
        <v>4076</v>
      </c>
      <c r="N892" s="969" t="s">
        <v>4077</v>
      </c>
      <c r="O892" s="969" t="s">
        <v>4078</v>
      </c>
      <c r="P892" s="77"/>
      <c r="Q892" s="77"/>
      <c r="R892" s="77"/>
      <c r="S892" s="725"/>
      <c r="T892" s="15"/>
      <c r="U892" s="15"/>
      <c r="V892" s="15"/>
      <c r="W892" s="15"/>
      <c r="X892" s="15"/>
      <c r="Y892" s="15"/>
      <c r="Z892" s="15"/>
    </row>
    <row r="893" spans="1:26" ht="24" customHeight="1">
      <c r="A893" s="343"/>
      <c r="B893" s="727"/>
      <c r="C893" s="949"/>
      <c r="D893" s="949"/>
      <c r="E893" s="949"/>
      <c r="F893" s="949"/>
      <c r="G893" s="949"/>
      <c r="H893" s="949"/>
      <c r="I893" s="15"/>
      <c r="J893" s="717"/>
      <c r="K893" s="956"/>
      <c r="L893" s="729"/>
      <c r="M893" s="956"/>
      <c r="N893" s="970"/>
      <c r="O893" s="970"/>
      <c r="P893" s="77"/>
      <c r="Q893" s="77"/>
      <c r="R893" s="77"/>
      <c r="S893" s="725"/>
      <c r="T893" s="15"/>
      <c r="U893" s="15"/>
      <c r="V893" s="15"/>
      <c r="W893" s="15"/>
      <c r="X893" s="15"/>
      <c r="Y893" s="15"/>
      <c r="Z893" s="15"/>
    </row>
    <row r="894" spans="1:26" ht="77.25" customHeight="1">
      <c r="A894" s="343" t="s">
        <v>736</v>
      </c>
      <c r="B894" s="727" t="s">
        <v>4079</v>
      </c>
      <c r="C894" s="949"/>
      <c r="D894" s="949"/>
      <c r="E894" s="949"/>
      <c r="F894" s="949"/>
      <c r="G894" s="949"/>
      <c r="H894" s="949"/>
      <c r="I894" s="712"/>
      <c r="J894" s="81"/>
      <c r="K894" s="81"/>
      <c r="L894" s="81"/>
      <c r="M894" s="81"/>
      <c r="N894" s="81"/>
      <c r="O894" s="81"/>
      <c r="P894" s="77"/>
      <c r="Q894" s="77"/>
      <c r="R894" s="77"/>
      <c r="S894" s="15"/>
      <c r="T894" s="15"/>
      <c r="U894" s="15"/>
      <c r="V894" s="15"/>
      <c r="W894" s="15"/>
      <c r="X894" s="15"/>
      <c r="Y894" s="15"/>
      <c r="Z894" s="15"/>
    </row>
    <row r="895" spans="1:26" ht="26.25" customHeight="1">
      <c r="A895" s="343"/>
      <c r="B895" s="947" t="s">
        <v>2420</v>
      </c>
      <c r="C895" s="949">
        <v>0</v>
      </c>
      <c r="D895" s="949">
        <v>1</v>
      </c>
      <c r="E895" s="949">
        <v>0.5</v>
      </c>
      <c r="F895" s="949" t="s">
        <v>1073</v>
      </c>
      <c r="G895" s="949">
        <v>0.5</v>
      </c>
      <c r="H895" s="949">
        <v>0.5</v>
      </c>
      <c r="I895" s="712"/>
      <c r="J895" s="968" t="s">
        <v>960</v>
      </c>
      <c r="K895" s="579" t="s">
        <v>1060</v>
      </c>
      <c r="L895" s="967" t="s">
        <v>4080</v>
      </c>
      <c r="M895" s="968" t="s">
        <v>1073</v>
      </c>
      <c r="N895" s="956" t="s">
        <v>960</v>
      </c>
      <c r="O895" s="968" t="s">
        <v>1060</v>
      </c>
      <c r="P895" s="77"/>
      <c r="Q895" s="77"/>
      <c r="R895" s="77"/>
      <c r="S895" s="15"/>
      <c r="T895" s="15"/>
      <c r="U895" s="15"/>
      <c r="V895" s="15"/>
      <c r="W895" s="15"/>
      <c r="X895" s="15"/>
      <c r="Y895" s="15"/>
      <c r="Z895" s="15"/>
    </row>
    <row r="896" spans="1:26" ht="24.75" customHeight="1">
      <c r="A896" s="343"/>
      <c r="B896" s="947" t="s">
        <v>2423</v>
      </c>
      <c r="C896" s="949">
        <v>0</v>
      </c>
      <c r="D896" s="949">
        <v>1</v>
      </c>
      <c r="E896" s="949">
        <v>0</v>
      </c>
      <c r="F896" s="949">
        <v>1</v>
      </c>
      <c r="G896" s="949">
        <v>0</v>
      </c>
      <c r="H896" s="949">
        <v>1</v>
      </c>
      <c r="I896" s="712"/>
      <c r="J896" s="968" t="s">
        <v>960</v>
      </c>
      <c r="K896" s="81" t="s">
        <v>1060</v>
      </c>
      <c r="L896" s="731" t="s">
        <v>960</v>
      </c>
      <c r="M896" s="968" t="s">
        <v>1060</v>
      </c>
      <c r="N896" s="81" t="s">
        <v>960</v>
      </c>
      <c r="O896" s="968" t="s">
        <v>1060</v>
      </c>
      <c r="P896" s="77"/>
      <c r="Q896" s="77"/>
      <c r="R896" s="77"/>
      <c r="S896" s="15"/>
      <c r="T896" s="15"/>
      <c r="U896" s="15"/>
      <c r="V896" s="15"/>
      <c r="W896" s="15"/>
      <c r="X896" s="15"/>
      <c r="Y896" s="15"/>
      <c r="Z896" s="15"/>
    </row>
    <row r="897" spans="1:26" ht="27" customHeight="1">
      <c r="A897" s="343"/>
      <c r="B897" s="947" t="s">
        <v>2426</v>
      </c>
      <c r="C897" s="949">
        <v>0.5</v>
      </c>
      <c r="D897" s="949">
        <v>1</v>
      </c>
      <c r="E897" s="949">
        <v>1</v>
      </c>
      <c r="F897" s="949">
        <v>1</v>
      </c>
      <c r="G897" s="949">
        <v>1</v>
      </c>
      <c r="H897" s="949">
        <v>1</v>
      </c>
      <c r="I897" s="712"/>
      <c r="J897" s="968" t="s">
        <v>4081</v>
      </c>
      <c r="K897" s="81" t="s">
        <v>1060</v>
      </c>
      <c r="L897" s="732" t="s">
        <v>4082</v>
      </c>
      <c r="M897" s="968" t="s">
        <v>1060</v>
      </c>
      <c r="N897" s="733" t="s">
        <v>1060</v>
      </c>
      <c r="O897" s="968" t="s">
        <v>1060</v>
      </c>
      <c r="P897" s="77"/>
      <c r="Q897" s="77"/>
      <c r="R897" s="77"/>
      <c r="S897" s="15"/>
      <c r="T897" s="15"/>
      <c r="U897" s="15"/>
      <c r="V897" s="15"/>
      <c r="W897" s="15"/>
      <c r="X897" s="15"/>
      <c r="Y897" s="15"/>
      <c r="Z897" s="15"/>
    </row>
    <row r="898" spans="1:26" ht="21" customHeight="1">
      <c r="A898" s="343"/>
      <c r="B898" s="168"/>
      <c r="C898" s="195"/>
      <c r="D898" s="195"/>
      <c r="E898" s="195"/>
      <c r="F898" s="195"/>
      <c r="G898" s="195"/>
      <c r="H898" s="195"/>
      <c r="I898" s="712"/>
      <c r="J898" s="195"/>
      <c r="K898" s="195"/>
      <c r="L898" s="195"/>
      <c r="M898" s="195"/>
      <c r="N898" s="195"/>
      <c r="O898" s="195"/>
      <c r="P898" s="77"/>
      <c r="Q898" s="77"/>
      <c r="R898" s="77"/>
      <c r="S898" s="15"/>
      <c r="T898" s="15"/>
      <c r="U898" s="15"/>
      <c r="V898" s="15"/>
      <c r="W898" s="15"/>
      <c r="X898" s="15"/>
      <c r="Y898" s="15"/>
      <c r="Z898" s="15"/>
    </row>
    <row r="899" spans="1:26" ht="77.25" customHeight="1">
      <c r="A899" s="343" t="s">
        <v>736</v>
      </c>
      <c r="B899" s="168" t="s">
        <v>4083</v>
      </c>
      <c r="C899" s="195">
        <v>0.5</v>
      </c>
      <c r="D899" s="949">
        <v>1</v>
      </c>
      <c r="E899" s="195">
        <v>0.7</v>
      </c>
      <c r="F899" s="195">
        <v>0.7</v>
      </c>
      <c r="G899" s="951">
        <v>1</v>
      </c>
      <c r="H899" s="195">
        <v>0</v>
      </c>
      <c r="I899" s="712"/>
      <c r="J899" s="956"/>
      <c r="K899" s="195" t="s">
        <v>960</v>
      </c>
      <c r="L899" s="956"/>
      <c r="M899" s="603" t="s">
        <v>4084</v>
      </c>
      <c r="N899" s="734">
        <v>1</v>
      </c>
      <c r="O899" s="956"/>
      <c r="P899" s="77"/>
      <c r="Q899" s="77"/>
      <c r="R899" s="77"/>
      <c r="S899" s="15"/>
      <c r="T899" s="15"/>
      <c r="U899" s="15"/>
      <c r="V899" s="15"/>
      <c r="W899" s="15"/>
      <c r="X899" s="15"/>
      <c r="Y899" s="15"/>
      <c r="Z899" s="15"/>
    </row>
    <row r="900" spans="1:26" ht="27" customHeight="1">
      <c r="A900" s="343"/>
      <c r="B900" s="168"/>
      <c r="C900" s="949"/>
      <c r="D900" s="949"/>
      <c r="E900" s="949"/>
      <c r="F900" s="949"/>
      <c r="G900" s="949"/>
      <c r="H900" s="949"/>
      <c r="I900" s="15"/>
      <c r="J900" s="81"/>
      <c r="K900" s="81"/>
      <c r="L900" s="81"/>
      <c r="M900" s="81"/>
      <c r="N900" s="81"/>
      <c r="O900" s="81"/>
      <c r="P900" s="77"/>
      <c r="Q900" s="77"/>
      <c r="R900" s="77"/>
      <c r="S900" s="15"/>
      <c r="T900" s="15"/>
      <c r="U900" s="15"/>
      <c r="V900" s="15"/>
      <c r="W900" s="15"/>
      <c r="X900" s="15"/>
      <c r="Y900" s="15"/>
      <c r="Z900" s="15"/>
    </row>
    <row r="901" spans="1:26" ht="39.75" customHeight="1">
      <c r="A901" s="343" t="s">
        <v>736</v>
      </c>
      <c r="B901" s="168" t="s">
        <v>513</v>
      </c>
      <c r="C901" s="195">
        <v>0.5</v>
      </c>
      <c r="D901" s="949">
        <v>0.7</v>
      </c>
      <c r="E901" s="949">
        <v>1</v>
      </c>
      <c r="F901" s="195">
        <v>0.7</v>
      </c>
      <c r="G901" s="949">
        <v>1</v>
      </c>
      <c r="H901" s="949">
        <v>0.1</v>
      </c>
      <c r="I901" s="712"/>
      <c r="J901" s="717" t="s">
        <v>4085</v>
      </c>
      <c r="K901" s="968" t="s">
        <v>4086</v>
      </c>
      <c r="L901" s="81" t="s">
        <v>4087</v>
      </c>
      <c r="M901" s="956" t="s">
        <v>4088</v>
      </c>
      <c r="N901" s="81" t="s">
        <v>4087</v>
      </c>
      <c r="O901" s="968" t="s">
        <v>4089</v>
      </c>
      <c r="P901" s="77"/>
      <c r="Q901" s="77"/>
      <c r="R901" s="77"/>
      <c r="S901" s="15"/>
      <c r="T901" s="15"/>
      <c r="U901" s="15"/>
      <c r="V901" s="15"/>
      <c r="W901" s="15"/>
      <c r="X901" s="15"/>
      <c r="Y901" s="15"/>
      <c r="Z901" s="15"/>
    </row>
    <row r="902" spans="1:26" ht="24.75" customHeight="1">
      <c r="A902" s="343"/>
      <c r="B902" s="168"/>
      <c r="C902" s="195"/>
      <c r="D902" s="949"/>
      <c r="E902" s="949"/>
      <c r="F902" s="195"/>
      <c r="G902" s="949"/>
      <c r="H902" s="949"/>
      <c r="I902" s="15"/>
      <c r="J902" s="717"/>
      <c r="K902" s="968"/>
      <c r="L902" s="81"/>
      <c r="M902" s="956"/>
      <c r="N902" s="81"/>
      <c r="O902" s="968"/>
      <c r="P902" s="77"/>
      <c r="Q902" s="77"/>
      <c r="R902" s="77"/>
      <c r="S902" s="15"/>
      <c r="T902" s="15"/>
      <c r="U902" s="15"/>
      <c r="V902" s="15"/>
      <c r="W902" s="15"/>
      <c r="X902" s="15"/>
      <c r="Y902" s="15"/>
      <c r="Z902" s="15"/>
    </row>
    <row r="903" spans="1:26" ht="27" customHeight="1">
      <c r="A903" s="736" t="s">
        <v>2436</v>
      </c>
      <c r="B903" s="70" t="s">
        <v>514</v>
      </c>
      <c r="C903" s="687"/>
      <c r="D903" s="687"/>
      <c r="E903" s="687"/>
      <c r="F903" s="687"/>
      <c r="G903" s="687"/>
      <c r="H903" s="687"/>
      <c r="I903" s="712"/>
      <c r="J903" s="74"/>
      <c r="K903" s="74"/>
      <c r="L903" s="74"/>
      <c r="M903" s="74"/>
      <c r="N903" s="74"/>
      <c r="O903" s="74"/>
      <c r="P903" s="76"/>
      <c r="Q903" s="76"/>
      <c r="R903" s="76"/>
      <c r="S903" s="23"/>
      <c r="T903" s="23"/>
      <c r="U903" s="23"/>
      <c r="V903" s="23"/>
      <c r="W903" s="23"/>
      <c r="X903" s="23"/>
      <c r="Y903" s="23"/>
      <c r="Z903" s="23"/>
    </row>
    <row r="904" spans="1:26" ht="28.5" customHeight="1">
      <c r="A904" s="343" t="s">
        <v>736</v>
      </c>
      <c r="B904" s="168" t="s">
        <v>4090</v>
      </c>
      <c r="C904" s="195">
        <v>0.5</v>
      </c>
      <c r="D904" s="949">
        <v>0.5</v>
      </c>
      <c r="E904" s="949">
        <v>1</v>
      </c>
      <c r="F904" s="949">
        <v>0</v>
      </c>
      <c r="G904" s="949">
        <v>0.7</v>
      </c>
      <c r="H904" s="949">
        <v>0.8</v>
      </c>
      <c r="I904" s="712"/>
      <c r="J904" s="968" t="s">
        <v>2450</v>
      </c>
      <c r="K904" s="956" t="s">
        <v>4091</v>
      </c>
      <c r="L904" s="737" t="s">
        <v>4092</v>
      </c>
      <c r="M904" s="956" t="s">
        <v>748</v>
      </c>
      <c r="N904" s="956" t="s">
        <v>2441</v>
      </c>
      <c r="O904" s="967" t="s">
        <v>4093</v>
      </c>
      <c r="P904" s="77"/>
      <c r="Q904" s="77"/>
      <c r="R904" s="77"/>
      <c r="S904" s="15"/>
      <c r="T904" s="15"/>
      <c r="U904" s="15"/>
      <c r="V904" s="15"/>
      <c r="W904" s="15"/>
      <c r="X904" s="15"/>
      <c r="Y904" s="15"/>
      <c r="Z904" s="15"/>
    </row>
    <row r="905" spans="1:26" ht="21" customHeight="1">
      <c r="A905" s="15"/>
      <c r="B905" s="723"/>
      <c r="C905" s="949"/>
      <c r="D905" s="949"/>
      <c r="E905" s="949"/>
      <c r="F905" s="949"/>
      <c r="G905" s="949"/>
      <c r="H905" s="949"/>
      <c r="I905" s="712"/>
      <c r="J905" s="968"/>
      <c r="K905" s="968"/>
      <c r="L905" s="738"/>
      <c r="M905" s="968"/>
      <c r="N905" s="968"/>
      <c r="O905" s="968"/>
      <c r="P905" s="77"/>
      <c r="Q905" s="77"/>
      <c r="R905" s="77"/>
      <c r="S905" s="15"/>
      <c r="T905" s="15"/>
      <c r="U905" s="15"/>
      <c r="V905" s="15"/>
      <c r="W905" s="15"/>
      <c r="X905" s="15"/>
      <c r="Y905" s="15"/>
      <c r="Z905" s="15"/>
    </row>
    <row r="906" spans="1:26" ht="66.75" customHeight="1">
      <c r="A906" s="343" t="s">
        <v>736</v>
      </c>
      <c r="B906" s="168" t="s">
        <v>4094</v>
      </c>
      <c r="C906" s="949">
        <v>0.3</v>
      </c>
      <c r="D906" s="949">
        <v>0.7</v>
      </c>
      <c r="E906" s="949">
        <v>0.7</v>
      </c>
      <c r="F906" s="949">
        <v>0.5</v>
      </c>
      <c r="G906" s="949">
        <v>0.7</v>
      </c>
      <c r="H906" s="949">
        <v>0.5</v>
      </c>
      <c r="I906" s="712"/>
      <c r="J906" s="968" t="s">
        <v>2450</v>
      </c>
      <c r="K906" s="956" t="s">
        <v>811</v>
      </c>
      <c r="L906" s="737" t="s">
        <v>4095</v>
      </c>
      <c r="M906" s="956" t="s">
        <v>4096</v>
      </c>
      <c r="N906" s="956" t="s">
        <v>4097</v>
      </c>
      <c r="O906" s="967" t="s">
        <v>4098</v>
      </c>
      <c r="P906" s="77"/>
      <c r="Q906" s="77"/>
      <c r="R906" s="77"/>
      <c r="S906" s="15"/>
      <c r="T906" s="15"/>
      <c r="U906" s="15"/>
      <c r="V906" s="15"/>
      <c r="W906" s="15"/>
      <c r="X906" s="15"/>
      <c r="Y906" s="15"/>
      <c r="Z906" s="15"/>
    </row>
    <row r="907" spans="1:26" ht="21.75" customHeight="1">
      <c r="A907" s="343"/>
      <c r="B907" s="168"/>
      <c r="C907" s="949"/>
      <c r="D907" s="949"/>
      <c r="E907" s="949"/>
      <c r="F907" s="949"/>
      <c r="G907" s="949"/>
      <c r="H907" s="949"/>
      <c r="I907" s="712"/>
      <c r="J907" s="968"/>
      <c r="K907" s="968"/>
      <c r="L907" s="738"/>
      <c r="M907" s="968"/>
      <c r="N907" s="968"/>
      <c r="O907" s="968"/>
      <c r="P907" s="77"/>
      <c r="Q907" s="77"/>
      <c r="R907" s="77"/>
      <c r="S907" s="15"/>
      <c r="T907" s="15"/>
      <c r="U907" s="15"/>
      <c r="V907" s="15"/>
      <c r="W907" s="15"/>
      <c r="X907" s="15"/>
      <c r="Y907" s="15"/>
      <c r="Z907" s="15"/>
    </row>
    <row r="908" spans="1:26" ht="82.5" customHeight="1">
      <c r="A908" s="343" t="s">
        <v>736</v>
      </c>
      <c r="B908" s="168" t="s">
        <v>4099</v>
      </c>
      <c r="C908" s="949">
        <v>0.5</v>
      </c>
      <c r="D908" s="949">
        <v>0.5</v>
      </c>
      <c r="E908" s="949">
        <v>0.3</v>
      </c>
      <c r="F908" s="949">
        <v>0.3</v>
      </c>
      <c r="G908" s="949">
        <v>0.5</v>
      </c>
      <c r="H908" s="949">
        <v>0</v>
      </c>
      <c r="I908" s="712"/>
      <c r="J908" s="968" t="s">
        <v>2450</v>
      </c>
      <c r="K908" s="81" t="s">
        <v>4100</v>
      </c>
      <c r="L908" s="740" t="s">
        <v>4101</v>
      </c>
      <c r="M908" s="81" t="s">
        <v>748</v>
      </c>
      <c r="N908" s="81" t="s">
        <v>2462</v>
      </c>
      <c r="O908" s="741" t="s">
        <v>748</v>
      </c>
      <c r="P908" s="77"/>
      <c r="Q908" s="77"/>
      <c r="R908" s="77"/>
      <c r="S908" s="15"/>
      <c r="T908" s="15"/>
      <c r="U908" s="15"/>
      <c r="V908" s="15"/>
      <c r="W908" s="15"/>
      <c r="X908" s="15"/>
      <c r="Y908" s="15"/>
      <c r="Z908" s="15"/>
    </row>
    <row r="909" spans="1:26" ht="26.25" customHeight="1">
      <c r="A909" s="343"/>
      <c r="B909" s="144"/>
      <c r="C909" s="971"/>
      <c r="D909" s="971"/>
      <c r="E909" s="971"/>
      <c r="F909" s="971"/>
      <c r="G909" s="971"/>
      <c r="H909" s="971"/>
      <c r="I909" s="15"/>
      <c r="J909" s="972"/>
      <c r="K909" s="75"/>
      <c r="L909" s="743"/>
      <c r="M909" s="75"/>
      <c r="N909" s="75"/>
      <c r="O909" s="744"/>
      <c r="P909" s="77"/>
      <c r="Q909" s="77"/>
      <c r="R909" s="77"/>
      <c r="S909" s="15"/>
      <c r="T909" s="15"/>
      <c r="U909" s="15"/>
      <c r="V909" s="15"/>
      <c r="W909" s="15"/>
      <c r="X909" s="15"/>
      <c r="Y909" s="15"/>
      <c r="Z909" s="15"/>
    </row>
    <row r="910" spans="1:26" ht="31.5" customHeight="1">
      <c r="A910" s="745" t="s">
        <v>2448</v>
      </c>
      <c r="B910" s="70" t="s">
        <v>517</v>
      </c>
      <c r="C910" s="687"/>
      <c r="D910" s="687"/>
      <c r="E910" s="687"/>
      <c r="F910" s="687"/>
      <c r="G910" s="687"/>
      <c r="H910" s="687"/>
      <c r="I910" s="712"/>
      <c r="J910" s="74"/>
      <c r="K910" s="74"/>
      <c r="L910" s="74"/>
      <c r="M910" s="74"/>
      <c r="N910" s="74"/>
      <c r="O910" s="74"/>
      <c r="P910" s="76"/>
      <c r="Q910" s="76"/>
      <c r="R910" s="76"/>
      <c r="S910" s="23"/>
      <c r="T910" s="23"/>
      <c r="U910" s="23"/>
      <c r="V910" s="23"/>
      <c r="W910" s="23"/>
      <c r="X910" s="23"/>
      <c r="Y910" s="23"/>
      <c r="Z910" s="23"/>
    </row>
    <row r="911" spans="1:26" ht="46.5" customHeight="1">
      <c r="A911" s="714" t="s">
        <v>736</v>
      </c>
      <c r="B911" s="168" t="s">
        <v>2449</v>
      </c>
      <c r="C911" s="195">
        <v>1</v>
      </c>
      <c r="D911" s="195">
        <v>0.5</v>
      </c>
      <c r="E911" s="195">
        <v>0.6</v>
      </c>
      <c r="F911" s="195">
        <v>0.2</v>
      </c>
      <c r="G911" s="195">
        <v>0.3</v>
      </c>
      <c r="H911" s="195">
        <v>0.8</v>
      </c>
      <c r="I911" s="712"/>
      <c r="J911" s="968" t="s">
        <v>2450</v>
      </c>
      <c r="K911" s="968" t="s">
        <v>2450</v>
      </c>
      <c r="L911" s="968" t="s">
        <v>2450</v>
      </c>
      <c r="M911" s="81" t="s">
        <v>2450</v>
      </c>
      <c r="N911" s="81" t="s">
        <v>2450</v>
      </c>
      <c r="O911" s="81" t="s">
        <v>2450</v>
      </c>
      <c r="P911" s="77"/>
      <c r="Q911" s="77"/>
      <c r="R911" s="77"/>
      <c r="S911" s="15"/>
      <c r="T911" s="15"/>
      <c r="U911" s="15"/>
      <c r="V911" s="15"/>
      <c r="W911" s="15"/>
      <c r="X911" s="15"/>
      <c r="Y911" s="15"/>
      <c r="Z911" s="15"/>
    </row>
    <row r="912" spans="1:26" ht="22.5" customHeight="1">
      <c r="A912" s="714"/>
      <c r="B912" s="249"/>
      <c r="C912" s="746"/>
      <c r="D912" s="195"/>
      <c r="E912" s="195"/>
      <c r="F912" s="195"/>
      <c r="G912" s="195"/>
      <c r="H912" s="195"/>
      <c r="I912" s="712"/>
      <c r="J912" s="968"/>
      <c r="K912" s="968"/>
      <c r="L912" s="738"/>
      <c r="M912" s="968"/>
      <c r="N912" s="747"/>
      <c r="O912" s="968"/>
      <c r="P912" s="77"/>
      <c r="Q912" s="77"/>
      <c r="R912" s="77"/>
      <c r="S912" s="15"/>
      <c r="T912" s="15"/>
      <c r="U912" s="15"/>
      <c r="V912" s="15"/>
      <c r="W912" s="15"/>
      <c r="X912" s="15"/>
      <c r="Y912" s="15"/>
      <c r="Z912" s="15"/>
    </row>
    <row r="913" spans="1:26" ht="51.75" customHeight="1">
      <c r="A913" s="714" t="s">
        <v>736</v>
      </c>
      <c r="B913" s="249" t="s">
        <v>4102</v>
      </c>
      <c r="C913" s="746">
        <v>0.7</v>
      </c>
      <c r="D913" s="195">
        <v>1</v>
      </c>
      <c r="E913" s="195">
        <v>0</v>
      </c>
      <c r="F913" s="195">
        <v>0</v>
      </c>
      <c r="G913" s="195">
        <v>0</v>
      </c>
      <c r="H913" s="195">
        <v>0</v>
      </c>
      <c r="I913" s="712"/>
      <c r="J913" s="968" t="s">
        <v>4103</v>
      </c>
      <c r="K913" s="81" t="s">
        <v>4104</v>
      </c>
      <c r="L913" s="740" t="s">
        <v>748</v>
      </c>
      <c r="M913" s="968" t="s">
        <v>748</v>
      </c>
      <c r="N913" s="81" t="s">
        <v>748</v>
      </c>
      <c r="O913" s="731" t="s">
        <v>748</v>
      </c>
      <c r="P913" s="77"/>
      <c r="Q913" s="77"/>
      <c r="R913" s="77"/>
      <c r="S913" s="15"/>
      <c r="T913" s="15"/>
      <c r="U913" s="15"/>
      <c r="V913" s="15"/>
      <c r="W913" s="15"/>
      <c r="X913" s="15"/>
      <c r="Y913" s="15"/>
      <c r="Z913" s="15"/>
    </row>
    <row r="914" spans="1:26" ht="23.25" customHeight="1">
      <c r="A914" s="714"/>
      <c r="B914" s="168"/>
      <c r="C914" s="195"/>
      <c r="D914" s="195"/>
      <c r="E914" s="195"/>
      <c r="F914" s="195"/>
      <c r="G914" s="195"/>
      <c r="H914" s="195"/>
      <c r="I914" s="712"/>
      <c r="J914" s="968"/>
      <c r="K914" s="968"/>
      <c r="L914" s="738"/>
      <c r="M914" s="968"/>
      <c r="N914" s="968"/>
      <c r="O914" s="968"/>
      <c r="P914" s="77"/>
      <c r="Q914" s="77"/>
      <c r="R914" s="77"/>
      <c r="S914" s="15"/>
      <c r="T914" s="15"/>
      <c r="U914" s="15"/>
      <c r="V914" s="15"/>
      <c r="W914" s="15"/>
      <c r="X914" s="15"/>
      <c r="Y914" s="15"/>
      <c r="Z914" s="15"/>
    </row>
    <row r="915" spans="1:26" ht="52.5" customHeight="1">
      <c r="A915" s="714" t="s">
        <v>736</v>
      </c>
      <c r="B915" s="168" t="s">
        <v>4105</v>
      </c>
      <c r="C915" s="195">
        <v>1</v>
      </c>
      <c r="D915" s="195">
        <v>0</v>
      </c>
      <c r="E915" s="195">
        <v>1</v>
      </c>
      <c r="F915" s="195">
        <v>0</v>
      </c>
      <c r="G915" s="195">
        <v>1</v>
      </c>
      <c r="H915" s="195">
        <v>1</v>
      </c>
      <c r="I915" s="712"/>
      <c r="J915" s="968" t="s">
        <v>811</v>
      </c>
      <c r="K915" s="81" t="s">
        <v>1060</v>
      </c>
      <c r="L915" s="738" t="s">
        <v>811</v>
      </c>
      <c r="M915" s="968" t="s">
        <v>748</v>
      </c>
      <c r="N915" s="81" t="s">
        <v>811</v>
      </c>
      <c r="O915" s="731" t="s">
        <v>4106</v>
      </c>
      <c r="P915" s="77"/>
      <c r="Q915" s="77"/>
      <c r="R915" s="77"/>
      <c r="S915" s="15"/>
      <c r="T915" s="15"/>
      <c r="U915" s="15"/>
      <c r="V915" s="15"/>
      <c r="W915" s="15"/>
      <c r="X915" s="15"/>
      <c r="Y915" s="15"/>
      <c r="Z915" s="15"/>
    </row>
    <row r="916" spans="1:26" ht="24.75" customHeight="1">
      <c r="A916" s="714"/>
      <c r="B916" s="144"/>
      <c r="C916" s="271"/>
      <c r="D916" s="271"/>
      <c r="E916" s="271"/>
      <c r="F916" s="271"/>
      <c r="G916" s="271"/>
      <c r="H916" s="271"/>
      <c r="I916" s="15"/>
      <c r="J916" s="972"/>
      <c r="K916" s="75"/>
      <c r="L916" s="748"/>
      <c r="M916" s="972"/>
      <c r="N916" s="75"/>
      <c r="O916" s="744"/>
      <c r="P916" s="77"/>
      <c r="Q916" s="77"/>
      <c r="R916" s="77"/>
      <c r="S916" s="15"/>
      <c r="T916" s="15"/>
      <c r="U916" s="15"/>
      <c r="V916" s="15"/>
      <c r="W916" s="15"/>
      <c r="X916" s="15"/>
      <c r="Y916" s="15"/>
      <c r="Z916" s="15"/>
    </row>
    <row r="917" spans="1:26" ht="13.5" customHeight="1">
      <c r="A917" s="736" t="s">
        <v>2456</v>
      </c>
      <c r="B917" s="683" t="s">
        <v>520</v>
      </c>
      <c r="C917" s="687"/>
      <c r="D917" s="687"/>
      <c r="E917" s="687"/>
      <c r="F917" s="687"/>
      <c r="G917" s="687"/>
      <c r="H917" s="687"/>
      <c r="I917" s="712"/>
      <c r="J917" s="74"/>
      <c r="K917" s="74"/>
      <c r="L917" s="74"/>
      <c r="M917" s="74"/>
      <c r="N917" s="74"/>
      <c r="O917" s="74"/>
      <c r="P917" s="76"/>
      <c r="Q917" s="76"/>
      <c r="R917" s="76"/>
      <c r="S917" s="23"/>
      <c r="T917" s="23"/>
      <c r="U917" s="23"/>
      <c r="V917" s="23"/>
      <c r="W917" s="23"/>
      <c r="X917" s="23"/>
      <c r="Y917" s="23"/>
      <c r="Z917" s="23"/>
    </row>
    <row r="918" spans="1:26" ht="93" customHeight="1">
      <c r="A918" s="2" t="s">
        <v>736</v>
      </c>
      <c r="B918" s="168" t="s">
        <v>2457</v>
      </c>
      <c r="C918" s="195"/>
      <c r="D918" s="195"/>
      <c r="E918" s="195"/>
      <c r="F918" s="195"/>
      <c r="G918" s="195"/>
      <c r="H918" s="195"/>
      <c r="I918" s="712"/>
      <c r="J918" s="81"/>
      <c r="K918" s="81"/>
      <c r="L918" s="81"/>
      <c r="M918" s="81"/>
      <c r="N918" s="81"/>
      <c r="O918" s="81"/>
      <c r="P918" s="77"/>
      <c r="Q918" s="77"/>
      <c r="R918" s="77"/>
      <c r="S918" s="15"/>
      <c r="T918" s="15"/>
      <c r="U918" s="15"/>
      <c r="V918" s="15"/>
      <c r="W918" s="15"/>
      <c r="X918" s="15"/>
      <c r="Y918" s="15"/>
      <c r="Z918" s="15"/>
    </row>
    <row r="919" spans="1:26" ht="27.75" customHeight="1">
      <c r="A919" s="2"/>
      <c r="B919" s="968" t="s">
        <v>4107</v>
      </c>
      <c r="C919" s="949">
        <v>1</v>
      </c>
      <c r="D919" s="949">
        <v>1</v>
      </c>
      <c r="E919" s="949">
        <v>1</v>
      </c>
      <c r="F919" s="949">
        <v>1</v>
      </c>
      <c r="G919" s="949">
        <v>0</v>
      </c>
      <c r="H919" s="949">
        <v>0</v>
      </c>
      <c r="I919" s="712" t="s">
        <v>4108</v>
      </c>
      <c r="J919" s="968" t="s">
        <v>811</v>
      </c>
      <c r="K919" s="956" t="s">
        <v>960</v>
      </c>
      <c r="L919" s="967" t="s">
        <v>4109</v>
      </c>
      <c r="M919" s="956" t="s">
        <v>4110</v>
      </c>
      <c r="N919" s="956" t="s">
        <v>748</v>
      </c>
      <c r="O919" s="967" t="s">
        <v>748</v>
      </c>
      <c r="P919" s="77"/>
      <c r="Q919" s="77"/>
      <c r="R919" s="77"/>
      <c r="S919" s="15"/>
      <c r="T919" s="15"/>
      <c r="U919" s="15"/>
      <c r="V919" s="15"/>
      <c r="W919" s="15"/>
      <c r="X919" s="15"/>
      <c r="Y919" s="15"/>
      <c r="Z919" s="15"/>
    </row>
    <row r="920" spans="1:26" ht="51" customHeight="1">
      <c r="A920" s="2"/>
      <c r="B920" s="968" t="s">
        <v>4111</v>
      </c>
      <c r="C920" s="949">
        <v>0.7</v>
      </c>
      <c r="D920" s="949">
        <v>0.5</v>
      </c>
      <c r="E920" s="949">
        <v>0.3</v>
      </c>
      <c r="F920" s="949">
        <v>0.5</v>
      </c>
      <c r="G920" s="949">
        <v>1</v>
      </c>
      <c r="H920" s="949">
        <v>0</v>
      </c>
      <c r="I920" s="712"/>
      <c r="J920" s="968" t="s">
        <v>4112</v>
      </c>
      <c r="K920" s="956" t="s">
        <v>2411</v>
      </c>
      <c r="L920" s="749" t="s">
        <v>4113</v>
      </c>
      <c r="M920" s="956" t="s">
        <v>4114</v>
      </c>
      <c r="N920" s="956" t="s">
        <v>2468</v>
      </c>
      <c r="O920" s="967" t="s">
        <v>748</v>
      </c>
      <c r="P920" s="77"/>
      <c r="Q920" s="77"/>
      <c r="R920" s="77"/>
      <c r="S920" s="15"/>
      <c r="T920" s="15"/>
      <c r="U920" s="15"/>
      <c r="V920" s="15"/>
      <c r="W920" s="15"/>
      <c r="X920" s="15"/>
      <c r="Y920" s="15"/>
      <c r="Z920" s="15"/>
    </row>
    <row r="921" spans="1:26" ht="27.75" customHeight="1">
      <c r="A921" s="2"/>
      <c r="B921" s="968" t="s">
        <v>2469</v>
      </c>
      <c r="C921" s="949">
        <v>1</v>
      </c>
      <c r="D921" s="949">
        <v>1</v>
      </c>
      <c r="E921" s="949">
        <v>1</v>
      </c>
      <c r="F921" s="949">
        <v>1</v>
      </c>
      <c r="G921" s="949">
        <v>1</v>
      </c>
      <c r="H921" s="949">
        <v>1</v>
      </c>
      <c r="I921" s="712" t="s">
        <v>4108</v>
      </c>
      <c r="J921" s="968" t="s">
        <v>811</v>
      </c>
      <c r="K921" s="968" t="s">
        <v>811</v>
      </c>
      <c r="L921" s="967" t="s">
        <v>811</v>
      </c>
      <c r="M921" s="956" t="s">
        <v>4115</v>
      </c>
      <c r="N921" s="956" t="s">
        <v>811</v>
      </c>
      <c r="O921" s="967" t="s">
        <v>811</v>
      </c>
      <c r="P921" s="77"/>
      <c r="Q921" s="77"/>
      <c r="R921" s="77"/>
      <c r="S921" s="15"/>
      <c r="T921" s="15"/>
      <c r="U921" s="15"/>
      <c r="V921" s="15"/>
      <c r="W921" s="15"/>
      <c r="X921" s="15"/>
      <c r="Y921" s="15"/>
      <c r="Z921" s="15"/>
    </row>
    <row r="922" spans="1:26" ht="30.75" customHeight="1">
      <c r="A922" s="2"/>
      <c r="B922" s="751" t="s">
        <v>2471</v>
      </c>
      <c r="C922" s="949">
        <v>1</v>
      </c>
      <c r="D922" s="949">
        <v>1</v>
      </c>
      <c r="E922" s="949">
        <v>1</v>
      </c>
      <c r="F922" s="949">
        <v>1</v>
      </c>
      <c r="G922" s="949">
        <v>1</v>
      </c>
      <c r="H922" s="949">
        <v>1</v>
      </c>
      <c r="I922" s="712" t="s">
        <v>38</v>
      </c>
      <c r="J922" s="968" t="s">
        <v>4116</v>
      </c>
      <c r="K922" s="81">
        <v>2012</v>
      </c>
      <c r="L922" s="731" t="s">
        <v>4117</v>
      </c>
      <c r="M922" s="81">
        <v>2010</v>
      </c>
      <c r="N922" s="81" t="s">
        <v>4118</v>
      </c>
      <c r="O922" s="731" t="s">
        <v>4119</v>
      </c>
      <c r="P922" s="77"/>
      <c r="Q922" s="77"/>
      <c r="R922" s="77"/>
      <c r="S922" s="15"/>
      <c r="T922" s="15"/>
      <c r="U922" s="15"/>
      <c r="V922" s="15"/>
      <c r="W922" s="15"/>
      <c r="X922" s="15"/>
      <c r="Y922" s="15"/>
      <c r="Z922" s="15"/>
    </row>
    <row r="923" spans="1:26" ht="55.5" customHeight="1">
      <c r="A923" s="2"/>
      <c r="B923" s="968" t="s">
        <v>2473</v>
      </c>
      <c r="C923" s="949">
        <v>1</v>
      </c>
      <c r="D923" s="949">
        <v>1</v>
      </c>
      <c r="E923" s="949">
        <v>1</v>
      </c>
      <c r="F923" s="949">
        <v>1</v>
      </c>
      <c r="G923" s="949">
        <v>1</v>
      </c>
      <c r="H923" s="949">
        <v>1</v>
      </c>
      <c r="I923" s="712" t="s">
        <v>4108</v>
      </c>
      <c r="J923" s="968" t="s">
        <v>4120</v>
      </c>
      <c r="K923" s="81" t="s">
        <v>4121</v>
      </c>
      <c r="L923" s="731" t="s">
        <v>811</v>
      </c>
      <c r="M923" s="81" t="s">
        <v>811</v>
      </c>
      <c r="N923" s="81" t="s">
        <v>811</v>
      </c>
      <c r="O923" s="731" t="s">
        <v>811</v>
      </c>
      <c r="P923" s="77"/>
      <c r="Q923" s="77"/>
      <c r="R923" s="77"/>
      <c r="S923" s="15"/>
      <c r="T923" s="15"/>
      <c r="U923" s="15"/>
      <c r="V923" s="15"/>
      <c r="W923" s="15"/>
      <c r="X923" s="15"/>
      <c r="Y923" s="15"/>
      <c r="Z923" s="15"/>
    </row>
    <row r="924" spans="1:26" ht="66.75" customHeight="1">
      <c r="A924" s="2" t="s">
        <v>736</v>
      </c>
      <c r="B924" s="168" t="s">
        <v>2474</v>
      </c>
      <c r="C924" s="195">
        <v>0.5</v>
      </c>
      <c r="D924" s="195">
        <v>0.5</v>
      </c>
      <c r="E924" s="195">
        <v>0.5</v>
      </c>
      <c r="F924" s="195">
        <v>0.5</v>
      </c>
      <c r="G924" s="195">
        <v>0</v>
      </c>
      <c r="H924" s="949">
        <v>0.5</v>
      </c>
      <c r="I924" s="712" t="s">
        <v>4122</v>
      </c>
      <c r="J924" s="968" t="s">
        <v>4123</v>
      </c>
      <c r="K924" s="579" t="s">
        <v>4124</v>
      </c>
      <c r="L924" s="967" t="s">
        <v>4125</v>
      </c>
      <c r="M924" s="956" t="s">
        <v>4126</v>
      </c>
      <c r="N924" s="956" t="s">
        <v>2480</v>
      </c>
      <c r="O924" s="967" t="s">
        <v>4127</v>
      </c>
      <c r="P924" s="77"/>
      <c r="Q924" s="77"/>
      <c r="R924" s="77"/>
      <c r="S924" s="15"/>
      <c r="T924" s="15"/>
      <c r="U924" s="15"/>
      <c r="V924" s="15"/>
      <c r="W924" s="15"/>
      <c r="X924" s="15"/>
      <c r="Y924" s="15"/>
      <c r="Z924" s="15"/>
    </row>
    <row r="925" spans="1:26" ht="27.75" customHeight="1">
      <c r="A925" s="2"/>
      <c r="B925" s="931"/>
      <c r="C925" s="271"/>
      <c r="D925" s="271"/>
      <c r="E925" s="271"/>
      <c r="F925" s="271"/>
      <c r="G925" s="271"/>
      <c r="H925" s="971"/>
      <c r="I925" s="15"/>
      <c r="J925" s="972"/>
      <c r="K925" s="911"/>
      <c r="L925" s="973"/>
      <c r="M925" s="911"/>
      <c r="N925" s="911"/>
      <c r="O925" s="973"/>
      <c r="P925" s="77"/>
      <c r="Q925" s="77"/>
      <c r="R925" s="77"/>
      <c r="S925" s="15"/>
      <c r="T925" s="15"/>
      <c r="U925" s="15"/>
      <c r="V925" s="15"/>
      <c r="W925" s="15"/>
      <c r="X925" s="15"/>
      <c r="Y925" s="15"/>
      <c r="Z925" s="15"/>
    </row>
    <row r="926" spans="1:26" ht="33" customHeight="1">
      <c r="A926" s="2609" t="s">
        <v>4128</v>
      </c>
      <c r="B926" s="2607"/>
      <c r="C926" s="700">
        <f t="shared" ref="C926:H926" si="167">AVERAGE(C929,C931,C933,C935,C938,C940,C942,C944,C946,C948,C950,C952)</f>
        <v>0.43677688257937847</v>
      </c>
      <c r="D926" s="700">
        <f t="shared" si="167"/>
        <v>0.51951328799806618</v>
      </c>
      <c r="E926" s="700">
        <f t="shared" si="167"/>
        <v>0.67778458816543308</v>
      </c>
      <c r="F926" s="700">
        <f t="shared" si="167"/>
        <v>0.53688554168016533</v>
      </c>
      <c r="G926" s="700">
        <f t="shared" si="167"/>
        <v>0.56399034304902773</v>
      </c>
      <c r="H926" s="700">
        <f t="shared" si="167"/>
        <v>0.52332937452782813</v>
      </c>
      <c r="I926" s="23"/>
      <c r="J926" s="974"/>
      <c r="K926" s="912"/>
      <c r="L926" s="975"/>
      <c r="M926" s="912"/>
      <c r="N926" s="912"/>
      <c r="O926" s="975"/>
      <c r="P926" s="76"/>
      <c r="Q926" s="76"/>
      <c r="R926" s="76"/>
      <c r="S926" s="23"/>
      <c r="T926" s="23"/>
      <c r="U926" s="23"/>
      <c r="V926" s="23"/>
      <c r="W926" s="23"/>
      <c r="X926" s="23"/>
      <c r="Y926" s="23"/>
      <c r="Z926" s="23"/>
    </row>
    <row r="927" spans="1:26" ht="19.5" customHeight="1">
      <c r="A927" s="754"/>
      <c r="B927" s="149"/>
      <c r="C927" s="755">
        <v>0.32</v>
      </c>
      <c r="D927" s="755">
        <v>0.55000000000000004</v>
      </c>
      <c r="E927" s="755">
        <v>0.74</v>
      </c>
      <c r="F927" s="755">
        <v>0.59</v>
      </c>
      <c r="G927" s="755">
        <v>0.5</v>
      </c>
      <c r="H927" s="755">
        <v>0.49</v>
      </c>
      <c r="I927" s="15"/>
      <c r="J927" s="972"/>
      <c r="K927" s="911"/>
      <c r="L927" s="973"/>
      <c r="M927" s="911"/>
      <c r="N927" s="911"/>
      <c r="O927" s="973"/>
      <c r="P927" s="77"/>
      <c r="Q927" s="77"/>
      <c r="R927" s="77"/>
      <c r="S927" s="15"/>
      <c r="T927" s="15"/>
      <c r="U927" s="15"/>
      <c r="V927" s="15"/>
      <c r="W927" s="15"/>
      <c r="X927" s="15"/>
      <c r="Y927" s="15"/>
      <c r="Z927" s="15"/>
    </row>
    <row r="928" spans="1:26" ht="13.5" customHeight="1">
      <c r="A928" s="736" t="s">
        <v>2482</v>
      </c>
      <c r="B928" s="70" t="s">
        <v>4129</v>
      </c>
      <c r="C928" s="687"/>
      <c r="D928" s="687"/>
      <c r="E928" s="687"/>
      <c r="F928" s="687"/>
      <c r="G928" s="687"/>
      <c r="H928" s="687"/>
      <c r="I928" s="712"/>
      <c r="J928" s="74"/>
      <c r="K928" s="74"/>
      <c r="L928" s="74"/>
      <c r="M928" s="74"/>
      <c r="N928" s="74"/>
      <c r="O928" s="74"/>
      <c r="P928" s="76"/>
      <c r="Q928" s="76"/>
      <c r="R928" s="76"/>
      <c r="S928" s="23"/>
      <c r="T928" s="23"/>
      <c r="U928" s="23"/>
      <c r="V928" s="23"/>
      <c r="W928" s="23"/>
      <c r="X928" s="23"/>
      <c r="Y928" s="23"/>
      <c r="Z928" s="23"/>
    </row>
    <row r="929" spans="1:26" ht="57" customHeight="1">
      <c r="A929" s="714" t="s">
        <v>736</v>
      </c>
      <c r="B929" s="168" t="s">
        <v>444</v>
      </c>
      <c r="C929" s="195">
        <f>(O929-J929)/P929</f>
        <v>0.54951734000715058</v>
      </c>
      <c r="D929" s="195">
        <f>(O929-K929)/P929</f>
        <v>0.56381837683232039</v>
      </c>
      <c r="E929" s="195">
        <f>(O929-L929)/P929</f>
        <v>1</v>
      </c>
      <c r="F929" s="195">
        <f>(O929-M929)/P929</f>
        <v>0.92491955666785852</v>
      </c>
      <c r="G929" s="195">
        <f>(O929-N929)/P929</f>
        <v>0.63174830175187702</v>
      </c>
      <c r="H929" s="195">
        <f>(O929-O929)/P929</f>
        <v>0</v>
      </c>
      <c r="I929" s="757"/>
      <c r="J929" s="976">
        <v>0.154</v>
      </c>
      <c r="K929" s="976">
        <v>0.15</v>
      </c>
      <c r="L929" s="976">
        <v>2.8000000000000001E-2</v>
      </c>
      <c r="M929" s="976">
        <v>4.9000000000000002E-2</v>
      </c>
      <c r="N929" s="758">
        <v>0.13100000000000001</v>
      </c>
      <c r="O929" s="759">
        <v>0.30769999999999997</v>
      </c>
      <c r="P929" s="77">
        <f>(O929-L929)/1</f>
        <v>0.27969999999999995</v>
      </c>
      <c r="Q929" s="77"/>
      <c r="R929" s="77"/>
      <c r="S929" s="15"/>
      <c r="T929" s="15"/>
      <c r="U929" s="15"/>
      <c r="V929" s="15"/>
      <c r="W929" s="15"/>
      <c r="X929" s="15"/>
      <c r="Y929" s="15"/>
      <c r="Z929" s="15"/>
    </row>
    <row r="930" spans="1:26" ht="21.75" customHeight="1">
      <c r="A930" s="714"/>
      <c r="B930" s="168"/>
      <c r="C930" s="195"/>
      <c r="D930" s="195"/>
      <c r="E930" s="195"/>
      <c r="F930" s="195"/>
      <c r="G930" s="195"/>
      <c r="H930" s="195"/>
      <c r="I930" s="2"/>
      <c r="J930" s="976"/>
      <c r="K930" s="976"/>
      <c r="L930" s="976"/>
      <c r="M930" s="976"/>
      <c r="N930" s="758"/>
      <c r="O930" s="759"/>
      <c r="P930" s="77"/>
      <c r="Q930" s="77"/>
      <c r="R930" s="77"/>
      <c r="S930" s="15"/>
      <c r="T930" s="15"/>
      <c r="U930" s="15"/>
      <c r="V930" s="15"/>
      <c r="W930" s="15"/>
      <c r="X930" s="15"/>
      <c r="Y930" s="15"/>
      <c r="Z930" s="15"/>
    </row>
    <row r="931" spans="1:26" ht="72" customHeight="1">
      <c r="A931" s="714"/>
      <c r="B931" s="761" t="s">
        <v>2484</v>
      </c>
      <c r="C931" s="195">
        <f>(2459896.3-2459896.3)/P931</f>
        <v>0</v>
      </c>
      <c r="D931" s="195">
        <f>(2459896.3-263576.6)/P931</f>
        <v>0.90308667181767799</v>
      </c>
      <c r="E931" s="195">
        <f>(2459896.3-1371734)/P931</f>
        <v>0.44743252537618711</v>
      </c>
      <c r="F931" s="195">
        <f>(2459896.3-824427)/P931</f>
        <v>0.67247519885059881</v>
      </c>
      <c r="G931" s="195">
        <f>(2459896.3-668905)/P931</f>
        <v>0.73642301363112872</v>
      </c>
      <c r="H931" s="195">
        <f>(2459896.3-27882)/P931</f>
        <v>1</v>
      </c>
      <c r="I931" s="712"/>
      <c r="J931" s="762" t="s">
        <v>4130</v>
      </c>
      <c r="K931" s="365" t="s">
        <v>4131</v>
      </c>
      <c r="L931" s="956" t="s">
        <v>2487</v>
      </c>
      <c r="M931" s="977" t="s">
        <v>2488</v>
      </c>
      <c r="N931" s="956" t="s">
        <v>4132</v>
      </c>
      <c r="O931" s="977" t="s">
        <v>4133</v>
      </c>
      <c r="P931" s="77">
        <f>(2459896.3-27882)/1</f>
        <v>2432014.2999999998</v>
      </c>
      <c r="Q931" s="77"/>
      <c r="R931" s="77"/>
      <c r="S931" s="15"/>
      <c r="T931" s="15"/>
      <c r="U931" s="15"/>
      <c r="V931" s="15"/>
      <c r="W931" s="15"/>
      <c r="X931" s="15"/>
      <c r="Y931" s="15"/>
      <c r="Z931" s="15"/>
    </row>
    <row r="932" spans="1:26" ht="21" customHeight="1">
      <c r="A932" s="714"/>
      <c r="B932" s="168"/>
      <c r="C932" s="195"/>
      <c r="D932" s="195"/>
      <c r="E932" s="949"/>
      <c r="F932" s="949"/>
      <c r="G932" s="949"/>
      <c r="H932" s="949"/>
      <c r="I932" s="712"/>
      <c r="J932" s="514"/>
      <c r="K932" s="978"/>
      <c r="L932" s="978"/>
      <c r="M932" s="979"/>
      <c r="N932" s="979"/>
      <c r="O932" s="979"/>
      <c r="P932" s="77"/>
      <c r="Q932" s="77"/>
      <c r="R932" s="77"/>
      <c r="S932" s="15"/>
      <c r="T932" s="15"/>
      <c r="U932" s="15"/>
      <c r="V932" s="15"/>
      <c r="W932" s="15"/>
      <c r="X932" s="15"/>
      <c r="Y932" s="15"/>
      <c r="Z932" s="15"/>
    </row>
    <row r="933" spans="1:26" ht="42" customHeight="1">
      <c r="A933" s="714" t="s">
        <v>736</v>
      </c>
      <c r="B933" s="168" t="s">
        <v>445</v>
      </c>
      <c r="C933" s="195">
        <f>(440-288.9)/P933</f>
        <v>0.62958333333333338</v>
      </c>
      <c r="D933" s="195">
        <f>(440-400)/P933</f>
        <v>0.16666666666666666</v>
      </c>
      <c r="E933" s="949">
        <f>(440-408.8)/P933</f>
        <v>0.12999999999999995</v>
      </c>
      <c r="F933" s="949">
        <f>(440-200)/P933</f>
        <v>1</v>
      </c>
      <c r="G933" s="949">
        <f>(440-220)/P933</f>
        <v>0.91666666666666663</v>
      </c>
      <c r="H933" s="949">
        <f>(440-440)/P933</f>
        <v>0</v>
      </c>
      <c r="I933" s="712"/>
      <c r="J933" s="514" t="s">
        <v>4134</v>
      </c>
      <c r="K933" s="978" t="s">
        <v>4135</v>
      </c>
      <c r="L933" s="978" t="s">
        <v>4136</v>
      </c>
      <c r="M933" s="980" t="s">
        <v>2494</v>
      </c>
      <c r="N933" s="978" t="s">
        <v>4137</v>
      </c>
      <c r="O933" s="964" t="s">
        <v>4138</v>
      </c>
      <c r="P933" s="77">
        <f>440-200</f>
        <v>240</v>
      </c>
      <c r="Q933" s="77"/>
      <c r="R933" s="77"/>
      <c r="S933" s="15"/>
      <c r="T933" s="15"/>
      <c r="U933" s="15"/>
      <c r="V933" s="15"/>
      <c r="W933" s="15"/>
      <c r="X933" s="15"/>
      <c r="Y933" s="15"/>
      <c r="Z933" s="15"/>
    </row>
    <row r="934" spans="1:26" ht="20.25" customHeight="1">
      <c r="A934" s="714"/>
      <c r="B934" s="168"/>
      <c r="C934" s="195"/>
      <c r="D934" s="195"/>
      <c r="E934" s="195"/>
      <c r="F934" s="195"/>
      <c r="G934" s="195"/>
      <c r="H934" s="195"/>
      <c r="I934" s="712"/>
      <c r="J934" s="981"/>
      <c r="K934" s="981"/>
      <c r="L934" s="981"/>
      <c r="M934" s="981"/>
      <c r="N934" s="981"/>
      <c r="O934" s="981"/>
      <c r="P934" s="77"/>
      <c r="Q934" s="77"/>
      <c r="R934" s="77"/>
      <c r="S934" s="15"/>
      <c r="T934" s="15"/>
      <c r="U934" s="15"/>
      <c r="V934" s="15"/>
      <c r="W934" s="15"/>
      <c r="X934" s="15"/>
      <c r="Y934" s="15"/>
      <c r="Z934" s="15"/>
    </row>
    <row r="935" spans="1:26" ht="27.75" customHeight="1">
      <c r="A935" s="714" t="s">
        <v>736</v>
      </c>
      <c r="B935" s="168" t="s">
        <v>446</v>
      </c>
      <c r="C935" s="195">
        <f>(J935-M935)/P935</f>
        <v>0.38750000000000001</v>
      </c>
      <c r="D935" s="195">
        <f>(K935-M935)/P935</f>
        <v>0.1</v>
      </c>
      <c r="E935" s="195">
        <f>(L935-M935)/P935</f>
        <v>1</v>
      </c>
      <c r="F935" s="195">
        <v>0</v>
      </c>
      <c r="G935" s="195">
        <f>(N935-M935)/P935</f>
        <v>3.4375000000000003E-2</v>
      </c>
      <c r="H935" s="195">
        <f>(O935-M935)/P935</f>
        <v>0.9375</v>
      </c>
      <c r="I935" s="712"/>
      <c r="J935" s="762">
        <v>6.2</v>
      </c>
      <c r="K935" s="195">
        <v>1.6</v>
      </c>
      <c r="L935" s="981">
        <v>16</v>
      </c>
      <c r="M935" s="981">
        <v>0</v>
      </c>
      <c r="N935" s="981">
        <v>0.55000000000000004</v>
      </c>
      <c r="O935" s="982">
        <v>15</v>
      </c>
      <c r="P935" s="772">
        <f>L935-M935</f>
        <v>16</v>
      </c>
      <c r="Q935" s="77"/>
      <c r="R935" s="77"/>
      <c r="S935" s="15"/>
      <c r="T935" s="15"/>
      <c r="U935" s="15"/>
      <c r="V935" s="15"/>
      <c r="W935" s="15"/>
      <c r="X935" s="15"/>
      <c r="Y935" s="15"/>
      <c r="Z935" s="15"/>
    </row>
    <row r="936" spans="1:26" ht="13.5" customHeight="1">
      <c r="A936" s="45"/>
      <c r="B936" s="773"/>
      <c r="C936" s="774"/>
      <c r="D936" s="774"/>
      <c r="E936" s="774"/>
      <c r="F936" s="774"/>
      <c r="G936" s="774"/>
      <c r="H936" s="774"/>
      <c r="I936" s="712"/>
      <c r="J936" s="762"/>
      <c r="K936" s="195"/>
      <c r="L936" s="981"/>
      <c r="M936" s="981"/>
      <c r="N936" s="981"/>
      <c r="O936" s="981"/>
      <c r="P936" s="772"/>
      <c r="Q936" s="77"/>
      <c r="R936" s="77"/>
      <c r="S936" s="15"/>
      <c r="T936" s="15"/>
      <c r="U936" s="15"/>
      <c r="V936" s="15"/>
      <c r="W936" s="15"/>
      <c r="X936" s="15"/>
      <c r="Y936" s="15"/>
      <c r="Z936" s="15"/>
    </row>
    <row r="937" spans="1:26" ht="13.5" customHeight="1">
      <c r="A937" s="736" t="s">
        <v>2497</v>
      </c>
      <c r="B937" s="775" t="s">
        <v>4139</v>
      </c>
      <c r="C937" s="687"/>
      <c r="D937" s="687"/>
      <c r="E937" s="687"/>
      <c r="F937" s="687"/>
      <c r="G937" s="687"/>
      <c r="H937" s="687"/>
      <c r="I937" s="712"/>
      <c r="J937" s="912"/>
      <c r="K937" s="912"/>
      <c r="L937" s="912"/>
      <c r="M937" s="912"/>
      <c r="N937" s="912"/>
      <c r="O937" s="912"/>
      <c r="P937" s="76"/>
      <c r="Q937" s="76"/>
      <c r="R937" s="76"/>
      <c r="S937" s="23"/>
      <c r="T937" s="23"/>
      <c r="U937" s="23"/>
      <c r="V937" s="23"/>
      <c r="W937" s="23"/>
      <c r="X937" s="23"/>
      <c r="Y937" s="23"/>
      <c r="Z937" s="23"/>
    </row>
    <row r="938" spans="1:26" ht="55.5" customHeight="1">
      <c r="A938" s="714" t="s">
        <v>736</v>
      </c>
      <c r="B938" s="168" t="s">
        <v>4140</v>
      </c>
      <c r="C938" s="195">
        <f>(J938-M938)/P938</f>
        <v>1</v>
      </c>
      <c r="D938" s="195">
        <f>(K938-M938)/P938</f>
        <v>0.83199327973118919</v>
      </c>
      <c r="E938" s="195">
        <f>(L938-M938)/P938</f>
        <v>0.9623184927397096</v>
      </c>
      <c r="F938" s="195">
        <f>(M938-M938)/P938</f>
        <v>0</v>
      </c>
      <c r="G938" s="195">
        <f>(N938-M938)/P938</f>
        <v>0.20148805952238089</v>
      </c>
      <c r="H938" s="195">
        <f>(O938-M938)/P938</f>
        <v>0.22872914916596662</v>
      </c>
      <c r="I938" s="712"/>
      <c r="J938" s="776">
        <v>0.54</v>
      </c>
      <c r="K938" s="983">
        <v>0.4</v>
      </c>
      <c r="L938" s="983">
        <v>0.50860000000000005</v>
      </c>
      <c r="M938" s="777">
        <v>-0.29330000000000001</v>
      </c>
      <c r="N938" s="983">
        <v>-0.12540000000000001</v>
      </c>
      <c r="O938" s="983">
        <v>-0.1027</v>
      </c>
      <c r="P938" s="77">
        <f>(J938-M938)/1</f>
        <v>0.83330000000000004</v>
      </c>
      <c r="Q938" s="77"/>
      <c r="R938" s="77"/>
      <c r="S938" s="15"/>
      <c r="T938" s="15"/>
      <c r="U938" s="15"/>
      <c r="V938" s="15"/>
      <c r="W938" s="15"/>
      <c r="X938" s="15"/>
      <c r="Y938" s="15"/>
      <c r="Z938" s="15"/>
    </row>
    <row r="939" spans="1:26" ht="13.5" customHeight="1">
      <c r="A939" s="714"/>
      <c r="B939" s="168"/>
      <c r="C939" s="195"/>
      <c r="D939" s="195"/>
      <c r="E939" s="195"/>
      <c r="F939" s="195"/>
      <c r="G939" s="195"/>
      <c r="H939" s="195"/>
      <c r="I939" s="712"/>
      <c r="J939" s="976"/>
      <c r="K939" s="779"/>
      <c r="L939" s="976"/>
      <c r="M939" s="976"/>
      <c r="N939" s="976"/>
      <c r="O939" s="976"/>
      <c r="P939" s="77"/>
      <c r="Q939" s="77"/>
      <c r="R939" s="77"/>
      <c r="S939" s="15"/>
      <c r="T939" s="15"/>
      <c r="U939" s="15"/>
      <c r="V939" s="15"/>
      <c r="W939" s="15"/>
      <c r="X939" s="15"/>
      <c r="Y939" s="15"/>
      <c r="Z939" s="15"/>
    </row>
    <row r="940" spans="1:26" ht="42" customHeight="1">
      <c r="A940" s="714" t="s">
        <v>736</v>
      </c>
      <c r="B940" s="168" t="s">
        <v>526</v>
      </c>
      <c r="C940" s="195">
        <f>(O940-J940)/P940</f>
        <v>0.80025641025641037</v>
      </c>
      <c r="D940" s="195">
        <f>(O940-11.5%)/P940</f>
        <v>0.73076923076923084</v>
      </c>
      <c r="E940" s="195">
        <f>(O940-L940)/P940</f>
        <v>1</v>
      </c>
      <c r="F940" s="195">
        <f>(O940-M940)/P940</f>
        <v>0</v>
      </c>
      <c r="G940" s="195">
        <f>(O940-N940)/P940</f>
        <v>0.18205128205128207</v>
      </c>
      <c r="H940" s="195">
        <f>(O940-O940)/P940</f>
        <v>0</v>
      </c>
      <c r="I940" s="712"/>
      <c r="J940" s="976">
        <v>8.7900000000000006E-2</v>
      </c>
      <c r="K940" s="984" t="s">
        <v>4141</v>
      </c>
      <c r="L940" s="976">
        <v>0.01</v>
      </c>
      <c r="M940" s="976">
        <v>0.4</v>
      </c>
      <c r="N940" s="976">
        <v>0.32900000000000001</v>
      </c>
      <c r="O940" s="976">
        <v>0.4</v>
      </c>
      <c r="P940" s="77">
        <f>(O940-L940)/1</f>
        <v>0.39</v>
      </c>
      <c r="Q940" s="77"/>
      <c r="R940" s="77"/>
      <c r="S940" s="15"/>
      <c r="T940" s="15"/>
      <c r="U940" s="15"/>
      <c r="V940" s="15"/>
      <c r="W940" s="15"/>
      <c r="X940" s="15"/>
      <c r="Y940" s="15"/>
      <c r="Z940" s="15"/>
    </row>
    <row r="941" spans="1:26" ht="13.5" customHeight="1">
      <c r="A941" s="714"/>
      <c r="B941" s="168"/>
      <c r="C941" s="195"/>
      <c r="D941" s="195"/>
      <c r="E941" s="195"/>
      <c r="F941" s="195"/>
      <c r="G941" s="195"/>
      <c r="H941" s="195"/>
      <c r="I941" s="712"/>
      <c r="J941" s="949"/>
      <c r="K941" s="195"/>
      <c r="L941" s="956"/>
      <c r="M941" s="949"/>
      <c r="N941" s="949"/>
      <c r="O941" s="949"/>
      <c r="P941" s="77"/>
      <c r="Q941" s="77"/>
      <c r="R941" s="77"/>
      <c r="S941" s="15"/>
      <c r="T941" s="15"/>
      <c r="U941" s="15"/>
      <c r="V941" s="15"/>
      <c r="W941" s="15"/>
      <c r="X941" s="15"/>
      <c r="Y941" s="15"/>
      <c r="Z941" s="15"/>
    </row>
    <row r="942" spans="1:26" ht="13.5" customHeight="1">
      <c r="A942" s="714" t="s">
        <v>736</v>
      </c>
      <c r="B942" s="168" t="s">
        <v>448</v>
      </c>
      <c r="C942" s="195">
        <f>(J942-J942)/P942</f>
        <v>0</v>
      </c>
      <c r="D942" s="195">
        <v>0.9</v>
      </c>
      <c r="E942" s="195">
        <f>(J942-L942)/P942</f>
        <v>0.70009643201542915</v>
      </c>
      <c r="F942" s="195">
        <f>(J942-M942)/P942</f>
        <v>0.89681774349083898</v>
      </c>
      <c r="G942" s="195">
        <f>(J942-N942)/P942</f>
        <v>0.72324011571841851</v>
      </c>
      <c r="H942" s="195">
        <f>(J942-O942)/P942</f>
        <v>1</v>
      </c>
      <c r="I942" s="712"/>
      <c r="J942" s="762">
        <v>31.4</v>
      </c>
      <c r="K942" s="945" t="s">
        <v>4142</v>
      </c>
      <c r="L942" s="956">
        <v>9.6199999999999992</v>
      </c>
      <c r="M942" s="956">
        <v>3.5</v>
      </c>
      <c r="N942" s="949">
        <v>8.9</v>
      </c>
      <c r="O942" s="967">
        <v>0.28999999999999998</v>
      </c>
      <c r="P942" s="77">
        <f>(J942-O942)/1</f>
        <v>31.11</v>
      </c>
      <c r="Q942" s="77"/>
      <c r="R942" s="77"/>
      <c r="S942" s="15"/>
      <c r="T942" s="15"/>
      <c r="U942" s="15"/>
      <c r="V942" s="15"/>
      <c r="W942" s="15"/>
      <c r="X942" s="15"/>
      <c r="Y942" s="15"/>
      <c r="Z942" s="15"/>
    </row>
    <row r="943" spans="1:26" ht="13.5" customHeight="1">
      <c r="A943" s="714"/>
      <c r="B943" s="168"/>
      <c r="C943" s="195"/>
      <c r="D943" s="195"/>
      <c r="E943" s="195"/>
      <c r="F943" s="195"/>
      <c r="G943" s="195"/>
      <c r="H943" s="195"/>
      <c r="I943" s="712"/>
      <c r="J943" s="949"/>
      <c r="K943" s="195"/>
      <c r="L943" s="949"/>
      <c r="M943" s="949"/>
      <c r="N943" s="949"/>
      <c r="O943" s="949"/>
      <c r="P943" s="77"/>
      <c r="Q943" s="77"/>
      <c r="R943" s="77"/>
      <c r="S943" s="15"/>
      <c r="T943" s="15"/>
      <c r="U943" s="15"/>
      <c r="V943" s="15"/>
      <c r="W943" s="15"/>
      <c r="X943" s="15"/>
      <c r="Y943" s="15"/>
      <c r="Z943" s="15"/>
    </row>
    <row r="944" spans="1:26" ht="13.5" customHeight="1">
      <c r="A944" s="714" t="s">
        <v>736</v>
      </c>
      <c r="B944" s="168" t="s">
        <v>449</v>
      </c>
      <c r="C944" s="195">
        <f>(L944-J944)/P944</f>
        <v>0.41775325977933797</v>
      </c>
      <c r="D944" s="195">
        <f>(L944-K944)/P944</f>
        <v>0.66399197592778336</v>
      </c>
      <c r="E944" s="195">
        <f>(L944-L944)/P944</f>
        <v>0</v>
      </c>
      <c r="F944" s="195">
        <f>(L944-M944)/P944</f>
        <v>0.7893681043129388</v>
      </c>
      <c r="G944" s="195">
        <f>(L944-N944)/P944</f>
        <v>0.86459378134403209</v>
      </c>
      <c r="H944" s="195">
        <f>(L944-O944)/P944</f>
        <v>1</v>
      </c>
      <c r="I944" s="712"/>
      <c r="J944" s="762">
        <v>13.91</v>
      </c>
      <c r="K944" s="951">
        <v>9</v>
      </c>
      <c r="L944" s="949">
        <v>22.24</v>
      </c>
      <c r="M944" s="956">
        <v>6.5</v>
      </c>
      <c r="N944" s="949">
        <v>5</v>
      </c>
      <c r="O944" s="967">
        <v>2.2999999999999998</v>
      </c>
      <c r="P944" s="77">
        <f>(L944-O944)/1</f>
        <v>19.939999999999998</v>
      </c>
      <c r="Q944" s="77"/>
      <c r="R944" s="77"/>
      <c r="S944" s="15"/>
      <c r="T944" s="15"/>
      <c r="U944" s="15"/>
      <c r="V944" s="15"/>
      <c r="W944" s="15"/>
      <c r="X944" s="15"/>
      <c r="Y944" s="15"/>
      <c r="Z944" s="15"/>
    </row>
    <row r="945" spans="1:26" ht="13.5" customHeight="1">
      <c r="A945" s="714"/>
      <c r="B945" s="168"/>
      <c r="C945" s="195"/>
      <c r="D945" s="195"/>
      <c r="E945" s="195"/>
      <c r="F945" s="195"/>
      <c r="G945" s="195"/>
      <c r="H945" s="195"/>
      <c r="I945" s="712"/>
      <c r="J945" s="976"/>
      <c r="K945" s="985"/>
      <c r="L945" s="976"/>
      <c r="M945" s="968"/>
      <c r="N945" s="986"/>
      <c r="O945" s="986"/>
      <c r="P945" s="77"/>
      <c r="Q945" s="77"/>
      <c r="R945" s="77"/>
      <c r="S945" s="15"/>
      <c r="T945" s="15"/>
      <c r="U945" s="15"/>
      <c r="V945" s="15"/>
      <c r="W945" s="15"/>
      <c r="X945" s="15"/>
      <c r="Y945" s="15"/>
      <c r="Z945" s="15"/>
    </row>
    <row r="946" spans="1:26" ht="13.5" customHeight="1">
      <c r="A946" s="714" t="s">
        <v>736</v>
      </c>
      <c r="B946" s="168" t="s">
        <v>450</v>
      </c>
      <c r="C946" s="195">
        <f>(17.6%-N946)/P946</f>
        <v>0.25418060200668896</v>
      </c>
      <c r="D946" s="195">
        <f>(K946-N946)/P946</f>
        <v>0</v>
      </c>
      <c r="E946" s="195">
        <f>(L946-N946)/P946</f>
        <v>0.96989966555183948</v>
      </c>
      <c r="F946" s="195">
        <f>(M946-N946)/P946</f>
        <v>1</v>
      </c>
      <c r="G946" s="195">
        <f>(N946-N946)/P946</f>
        <v>0</v>
      </c>
      <c r="H946" s="195">
        <f>(O946-N946)/P946</f>
        <v>2.6755852842809336E-2</v>
      </c>
      <c r="I946" s="712"/>
      <c r="J946" s="976" t="s">
        <v>4143</v>
      </c>
      <c r="K946" s="985">
        <v>0.1</v>
      </c>
      <c r="L946" s="976">
        <v>0.39</v>
      </c>
      <c r="M946" s="976">
        <v>0.39900000000000002</v>
      </c>
      <c r="N946" s="976">
        <v>0.1</v>
      </c>
      <c r="O946" s="987">
        <v>0.108</v>
      </c>
      <c r="P946" s="77">
        <f>(M946-N946)/1</f>
        <v>0.29900000000000004</v>
      </c>
      <c r="Q946" s="77"/>
      <c r="R946" s="77"/>
      <c r="S946" s="15"/>
      <c r="T946" s="15"/>
      <c r="U946" s="15"/>
      <c r="V946" s="15"/>
      <c r="W946" s="15"/>
      <c r="X946" s="15"/>
      <c r="Y946" s="15"/>
      <c r="Z946" s="15"/>
    </row>
    <row r="947" spans="1:26" ht="13.5" customHeight="1">
      <c r="A947" s="714"/>
      <c r="B947" s="168"/>
      <c r="C947" s="195"/>
      <c r="D947" s="195"/>
      <c r="E947" s="195"/>
      <c r="F947" s="195"/>
      <c r="G947" s="195"/>
      <c r="H947" s="195"/>
      <c r="I947" s="712"/>
      <c r="J947" s="976"/>
      <c r="K947" s="976"/>
      <c r="L947" s="976"/>
      <c r="M947" s="986"/>
      <c r="N947" s="986"/>
      <c r="O947" s="986"/>
      <c r="P947" s="77"/>
      <c r="Q947" s="77"/>
      <c r="R947" s="77"/>
      <c r="S947" s="15"/>
      <c r="T947" s="15"/>
      <c r="U947" s="15"/>
      <c r="V947" s="15"/>
      <c r="W947" s="15"/>
      <c r="X947" s="15"/>
      <c r="Y947" s="15"/>
      <c r="Z947" s="15"/>
    </row>
    <row r="948" spans="1:26" ht="27.75" customHeight="1">
      <c r="A948" s="714" t="s">
        <v>736</v>
      </c>
      <c r="B948" s="168" t="s">
        <v>451</v>
      </c>
      <c r="C948" s="195">
        <f>(J948-K948)/P948</f>
        <v>0.20253164556962025</v>
      </c>
      <c r="D948" s="195">
        <f>(K948-K948)/P948</f>
        <v>0</v>
      </c>
      <c r="E948" s="195">
        <f>(L948-K948)/P948</f>
        <v>0.4050632911392405</v>
      </c>
      <c r="F948" s="195">
        <f>(M948-K948)/P948</f>
        <v>0.32911392405063283</v>
      </c>
      <c r="G948" s="195">
        <f>(N948-K948)/P948</f>
        <v>1</v>
      </c>
      <c r="H948" s="195">
        <f>(O948-K948)/P948</f>
        <v>0.72151898734177211</v>
      </c>
      <c r="I948" s="712"/>
      <c r="J948" s="976">
        <v>6.0999999999999999E-2</v>
      </c>
      <c r="K948" s="779">
        <v>4.4999999999999998E-2</v>
      </c>
      <c r="L948" s="976">
        <v>7.6999999999999999E-2</v>
      </c>
      <c r="M948" s="976">
        <v>7.0999999999999994E-2</v>
      </c>
      <c r="N948" s="976">
        <v>0.124</v>
      </c>
      <c r="O948" s="986">
        <v>0.10199999999999999</v>
      </c>
      <c r="P948" s="77">
        <f>(N948-K948)/1</f>
        <v>7.9000000000000001E-2</v>
      </c>
      <c r="Q948" s="77"/>
      <c r="R948" s="77"/>
      <c r="S948" s="15"/>
      <c r="T948" s="15"/>
      <c r="U948" s="15"/>
      <c r="V948" s="15"/>
      <c r="W948" s="15"/>
      <c r="X948" s="15"/>
      <c r="Y948" s="15"/>
      <c r="Z948" s="15"/>
    </row>
    <row r="949" spans="1:26" ht="13.5" customHeight="1">
      <c r="A949" s="714"/>
      <c r="B949" s="168"/>
      <c r="C949" s="195"/>
      <c r="D949" s="195"/>
      <c r="E949" s="195"/>
      <c r="F949" s="195"/>
      <c r="G949" s="195"/>
      <c r="H949" s="195"/>
      <c r="I949" s="712"/>
      <c r="J949" s="976"/>
      <c r="K949" s="976"/>
      <c r="L949" s="976"/>
      <c r="M949" s="976"/>
      <c r="N949" s="976"/>
      <c r="O949" s="976"/>
      <c r="P949" s="77"/>
      <c r="Q949" s="77"/>
      <c r="R949" s="77"/>
      <c r="S949" s="15"/>
      <c r="T949" s="15"/>
      <c r="U949" s="15"/>
      <c r="V949" s="15"/>
      <c r="W949" s="15"/>
      <c r="X949" s="15"/>
      <c r="Y949" s="15"/>
      <c r="Z949" s="15"/>
    </row>
    <row r="950" spans="1:26" ht="27.75" customHeight="1">
      <c r="A950" s="714" t="s">
        <v>736</v>
      </c>
      <c r="B950" s="168" t="s">
        <v>452</v>
      </c>
      <c r="C950" s="195">
        <f>(J950-J950)/P950</f>
        <v>0</v>
      </c>
      <c r="D950" s="195">
        <f>(J950-K950)/P950</f>
        <v>0.93197278911564641</v>
      </c>
      <c r="E950" s="195">
        <f>(J950-L950)/P950</f>
        <v>1</v>
      </c>
      <c r="F950" s="195">
        <f>(J950-M950)/P950</f>
        <v>0.82993197278911568</v>
      </c>
      <c r="G950" s="195">
        <f>(J950-N950)/P950</f>
        <v>0.52380952380952384</v>
      </c>
      <c r="H950" s="195">
        <f>(J950-O950)/P950</f>
        <v>0.7142857142857143</v>
      </c>
      <c r="I950" s="712"/>
      <c r="J950" s="976">
        <v>0.57399999999999995</v>
      </c>
      <c r="K950" s="976">
        <v>0.3</v>
      </c>
      <c r="L950" s="976">
        <v>0.28000000000000003</v>
      </c>
      <c r="M950" s="976">
        <v>0.33</v>
      </c>
      <c r="N950" s="976">
        <v>0.42</v>
      </c>
      <c r="O950" s="988">
        <v>0.36399999999999999</v>
      </c>
      <c r="P950" s="77">
        <f>(J950-L950)/1</f>
        <v>0.29399999999999993</v>
      </c>
      <c r="Q950" s="77"/>
      <c r="R950" s="77"/>
      <c r="S950" s="15"/>
      <c r="T950" s="15"/>
      <c r="U950" s="15"/>
      <c r="V950" s="15"/>
      <c r="W950" s="15"/>
      <c r="X950" s="15"/>
      <c r="Y950" s="15"/>
      <c r="Z950" s="15"/>
    </row>
    <row r="951" spans="1:26" ht="13.5" customHeight="1">
      <c r="A951" s="714"/>
      <c r="B951" s="113"/>
      <c r="C951" s="195"/>
      <c r="D951" s="195"/>
      <c r="E951" s="195"/>
      <c r="F951" s="195"/>
      <c r="G951" s="195"/>
      <c r="H951" s="195"/>
      <c r="I951" s="712"/>
      <c r="J951" s="956"/>
      <c r="K951" s="956"/>
      <c r="L951" s="956"/>
      <c r="M951" s="968"/>
      <c r="N951" s="968"/>
      <c r="O951" s="968"/>
      <c r="P951" s="77"/>
      <c r="Q951" s="77"/>
      <c r="R951" s="77"/>
      <c r="S951" s="15"/>
      <c r="T951" s="15"/>
      <c r="U951" s="15"/>
      <c r="V951" s="15"/>
      <c r="W951" s="15"/>
      <c r="X951" s="15"/>
      <c r="Y951" s="15"/>
      <c r="Z951" s="15"/>
    </row>
    <row r="952" spans="1:26" ht="27.75" customHeight="1">
      <c r="A952" s="714" t="s">
        <v>736</v>
      </c>
      <c r="B952" s="113" t="s">
        <v>453</v>
      </c>
      <c r="C952" s="195">
        <f>(4.9-J952)/P952</f>
        <v>1</v>
      </c>
      <c r="D952" s="195">
        <f>(4.9-K952)/P952</f>
        <v>0.44186046511627908</v>
      </c>
      <c r="E952" s="195">
        <f>(4.9-2.67)/P952</f>
        <v>0.51860465116279075</v>
      </c>
      <c r="F952" s="195">
        <f>(4.9-4.9)/P952</f>
        <v>0</v>
      </c>
      <c r="G952" s="195">
        <f>(4.9-0.8)/P952</f>
        <v>0.95348837209302317</v>
      </c>
      <c r="H952" s="195">
        <f>(4.9-2.1)/P952</f>
        <v>0.65116279069767435</v>
      </c>
      <c r="I952" s="712"/>
      <c r="J952" s="956">
        <v>0.6</v>
      </c>
      <c r="K952" s="956">
        <v>3</v>
      </c>
      <c r="L952" s="989" t="s">
        <v>4144</v>
      </c>
      <c r="M952" s="956" t="s">
        <v>4145</v>
      </c>
      <c r="N952" s="956" t="s">
        <v>4146</v>
      </c>
      <c r="O952" s="967" t="s">
        <v>4147</v>
      </c>
      <c r="P952" s="77">
        <f>4.9-0.6</f>
        <v>4.3000000000000007</v>
      </c>
      <c r="Q952" s="77"/>
      <c r="R952" s="77"/>
      <c r="S952" s="15"/>
      <c r="T952" s="15"/>
      <c r="U952" s="15"/>
      <c r="V952" s="15"/>
      <c r="W952" s="15"/>
      <c r="X952" s="15"/>
      <c r="Y952" s="15"/>
      <c r="Z952" s="15"/>
    </row>
    <row r="953" spans="1:26" ht="13.5" customHeight="1">
      <c r="A953" s="143"/>
      <c r="B953" s="931"/>
      <c r="C953" s="87"/>
      <c r="D953" s="87"/>
      <c r="E953" s="87"/>
      <c r="F953" s="87"/>
      <c r="G953" s="87"/>
      <c r="H953" s="87"/>
      <c r="I953" s="135"/>
      <c r="J953" s="75"/>
      <c r="K953" s="75"/>
      <c r="L953" s="75"/>
      <c r="M953" s="75"/>
      <c r="N953" s="75"/>
      <c r="O953" s="75"/>
      <c r="P953" s="149"/>
      <c r="Q953" s="149"/>
      <c r="R953" s="149"/>
      <c r="S953" s="149"/>
      <c r="T953" s="149"/>
      <c r="U953" s="149"/>
      <c r="V953" s="149"/>
      <c r="W953" s="149"/>
      <c r="X953" s="149"/>
      <c r="Y953" s="149"/>
      <c r="Z953" s="149"/>
    </row>
    <row r="954" spans="1:26" ht="42" customHeight="1">
      <c r="A954" s="596" t="s">
        <v>2509</v>
      </c>
      <c r="B954" s="158" t="s">
        <v>4148</v>
      </c>
      <c r="C954" s="350">
        <f t="shared" ref="C954:H954" si="168">AVERAGE(C955,C982,C991,C1000)</f>
        <v>0.63592215163813892</v>
      </c>
      <c r="D954" s="350">
        <f t="shared" si="168"/>
        <v>0.47700135286159639</v>
      </c>
      <c r="E954" s="350">
        <f t="shared" si="168"/>
        <v>0.39097148697135464</v>
      </c>
      <c r="F954" s="350">
        <f t="shared" si="168"/>
        <v>0.511832024586789</v>
      </c>
      <c r="G954" s="350">
        <f t="shared" si="168"/>
        <v>0.71875</v>
      </c>
      <c r="H954" s="350">
        <f t="shared" si="168"/>
        <v>0.66511344920887006</v>
      </c>
      <c r="I954" s="161"/>
      <c r="J954" s="63"/>
      <c r="K954" s="63"/>
      <c r="L954" s="63"/>
      <c r="M954" s="63"/>
      <c r="N954" s="63"/>
      <c r="O954" s="63"/>
      <c r="P954" s="165"/>
      <c r="Q954" s="165"/>
      <c r="R954" s="165"/>
      <c r="S954" s="161"/>
      <c r="T954" s="161"/>
      <c r="U954" s="161"/>
      <c r="V954" s="161"/>
      <c r="W954" s="161"/>
      <c r="X954" s="161"/>
      <c r="Y954" s="161"/>
      <c r="Z954" s="161"/>
    </row>
    <row r="955" spans="1:26" ht="13.5" customHeight="1">
      <c r="A955" s="550" t="s">
        <v>2511</v>
      </c>
      <c r="B955" s="133" t="s">
        <v>2512</v>
      </c>
      <c r="C955" s="299">
        <f t="shared" ref="C955:H955" si="169">AVERAGE(C956,C958,C960,C964,C968,C974,C976,C978,C980)</f>
        <v>0.54368860655255569</v>
      </c>
      <c r="D955" s="299">
        <f t="shared" si="169"/>
        <v>0.40800541144638547</v>
      </c>
      <c r="E955" s="299">
        <f t="shared" si="169"/>
        <v>0.18888594788541851</v>
      </c>
      <c r="F955" s="299">
        <f t="shared" si="169"/>
        <v>0.79732809834715601</v>
      </c>
      <c r="G955" s="299">
        <f t="shared" si="169"/>
        <v>0.75</v>
      </c>
      <c r="H955" s="299">
        <f t="shared" si="169"/>
        <v>0.53545379683548022</v>
      </c>
      <c r="I955" s="135"/>
      <c r="J955" s="74"/>
      <c r="K955" s="74"/>
      <c r="L955" s="74"/>
      <c r="M955" s="74"/>
      <c r="N955" s="74"/>
      <c r="O955" s="74"/>
      <c r="P955" s="137"/>
      <c r="Q955" s="137"/>
      <c r="R955" s="137"/>
      <c r="S955" s="138"/>
      <c r="T955" s="138"/>
      <c r="U955" s="138"/>
      <c r="V955" s="138"/>
      <c r="W955" s="138"/>
      <c r="X955" s="138"/>
      <c r="Y955" s="138"/>
      <c r="Z955" s="138"/>
    </row>
    <row r="956" spans="1:26" ht="94.5" customHeight="1">
      <c r="A956" s="143" t="s">
        <v>736</v>
      </c>
      <c r="B956" s="168" t="s">
        <v>456</v>
      </c>
      <c r="C956" s="944">
        <v>0.5</v>
      </c>
      <c r="D956" s="944">
        <v>0.5</v>
      </c>
      <c r="E956" s="80">
        <v>0.5</v>
      </c>
      <c r="F956" s="80">
        <v>1</v>
      </c>
      <c r="G956" s="80">
        <v>1</v>
      </c>
      <c r="H956" s="80">
        <v>0.5</v>
      </c>
      <c r="I956" s="135" t="s">
        <v>3953</v>
      </c>
      <c r="J956" s="81" t="s">
        <v>4149</v>
      </c>
      <c r="K956" s="399" t="s">
        <v>4150</v>
      </c>
      <c r="L956" s="188" t="s">
        <v>4151</v>
      </c>
      <c r="M956" s="339" t="s">
        <v>4152</v>
      </c>
      <c r="N956" s="339" t="s">
        <v>4153</v>
      </c>
      <c r="O956" s="81" t="s">
        <v>4154</v>
      </c>
      <c r="P956" s="146"/>
      <c r="Q956" s="146"/>
      <c r="R956" s="146"/>
      <c r="S956" s="149"/>
      <c r="T956" s="149"/>
      <c r="U956" s="149"/>
      <c r="V956" s="149"/>
      <c r="W956" s="149"/>
      <c r="X956" s="149"/>
      <c r="Y956" s="149"/>
      <c r="Z956" s="149"/>
    </row>
    <row r="957" spans="1:26" ht="30" customHeight="1">
      <c r="A957" s="143"/>
      <c r="B957" s="957"/>
      <c r="C957" s="80"/>
      <c r="D957" s="80"/>
      <c r="E957" s="80"/>
      <c r="F957" s="80"/>
      <c r="G957" s="80"/>
      <c r="H957" s="80"/>
      <c r="I957" s="135"/>
      <c r="J957" s="80"/>
      <c r="K957" s="80"/>
      <c r="L957" s="188"/>
      <c r="M957" s="80"/>
      <c r="N957" s="339"/>
      <c r="O957" s="81"/>
      <c r="P957" s="146"/>
      <c r="Q957" s="146"/>
      <c r="R957" s="146"/>
      <c r="S957" s="149"/>
      <c r="T957" s="149"/>
      <c r="U957" s="149"/>
      <c r="V957" s="149"/>
      <c r="W957" s="149"/>
      <c r="X957" s="149"/>
      <c r="Y957" s="149"/>
      <c r="Z957" s="149"/>
    </row>
    <row r="958" spans="1:26" ht="81.75" customHeight="1">
      <c r="A958" s="143" t="s">
        <v>736</v>
      </c>
      <c r="B958" s="168" t="s">
        <v>458</v>
      </c>
      <c r="C958" s="80">
        <v>0.5</v>
      </c>
      <c r="D958" s="80">
        <v>0.5</v>
      </c>
      <c r="E958" s="80">
        <v>0</v>
      </c>
      <c r="F958" s="80">
        <v>1</v>
      </c>
      <c r="G958" s="80">
        <v>0.5</v>
      </c>
      <c r="H958" s="944">
        <v>0.5</v>
      </c>
      <c r="I958" s="73" t="s">
        <v>3857</v>
      </c>
      <c r="J958" s="182" t="s">
        <v>4155</v>
      </c>
      <c r="K958" s="81" t="s">
        <v>4156</v>
      </c>
      <c r="L958" s="81" t="s">
        <v>4157</v>
      </c>
      <c r="M958" s="339" t="s">
        <v>4158</v>
      </c>
      <c r="N958" s="339" t="s">
        <v>2523</v>
      </c>
      <c r="O958" s="81" t="s">
        <v>2524</v>
      </c>
      <c r="P958" s="146"/>
      <c r="Q958" s="146"/>
      <c r="R958" s="146"/>
      <c r="S958" s="149"/>
      <c r="T958" s="149"/>
      <c r="U958" s="149"/>
      <c r="V958" s="149"/>
      <c r="W958" s="149"/>
      <c r="X958" s="149"/>
      <c r="Y958" s="149"/>
      <c r="Z958" s="149"/>
    </row>
    <row r="959" spans="1:26" ht="13.5" customHeight="1">
      <c r="A959" s="143"/>
      <c r="B959" s="168"/>
      <c r="C959" s="80"/>
      <c r="D959" s="80"/>
      <c r="E959" s="80"/>
      <c r="F959" s="80"/>
      <c r="G959" s="80"/>
      <c r="H959" s="80"/>
      <c r="I959" s="135"/>
      <c r="J959" s="80"/>
      <c r="K959" s="178"/>
      <c r="L959" s="188"/>
      <c r="M959" s="80"/>
      <c r="N959" s="339"/>
      <c r="O959" s="81"/>
      <c r="P959" s="146"/>
      <c r="Q959" s="146"/>
      <c r="R959" s="146"/>
      <c r="S959" s="149"/>
      <c r="T959" s="149"/>
      <c r="U959" s="149"/>
      <c r="V959" s="149"/>
      <c r="W959" s="149"/>
      <c r="X959" s="149"/>
      <c r="Y959" s="149"/>
      <c r="Z959" s="149"/>
    </row>
    <row r="960" spans="1:26" ht="55.5" customHeight="1">
      <c r="A960" s="143" t="s">
        <v>736</v>
      </c>
      <c r="B960" s="168" t="s">
        <v>460</v>
      </c>
      <c r="C960" s="80">
        <f t="shared" ref="C960:H960" si="170">AVERAGE(C961:C962)</f>
        <v>0.75</v>
      </c>
      <c r="D960" s="80">
        <f t="shared" si="170"/>
        <v>1</v>
      </c>
      <c r="E960" s="80">
        <f t="shared" si="170"/>
        <v>0</v>
      </c>
      <c r="F960" s="80">
        <f t="shared" si="170"/>
        <v>1</v>
      </c>
      <c r="G960" s="80">
        <f t="shared" si="170"/>
        <v>0.75</v>
      </c>
      <c r="H960" s="80">
        <f t="shared" si="170"/>
        <v>0.75</v>
      </c>
      <c r="I960" s="135"/>
      <c r="J960" s="80"/>
      <c r="K960" s="178"/>
      <c r="L960" s="81"/>
      <c r="M960" s="80"/>
      <c r="N960" s="339" t="s">
        <v>4159</v>
      </c>
      <c r="O960" s="81"/>
      <c r="P960" s="146"/>
      <c r="Q960" s="146"/>
      <c r="R960" s="146"/>
      <c r="S960" s="149"/>
      <c r="T960" s="149"/>
      <c r="U960" s="149"/>
      <c r="V960" s="149"/>
      <c r="W960" s="149"/>
      <c r="X960" s="149"/>
      <c r="Y960" s="149"/>
      <c r="Z960" s="149"/>
    </row>
    <row r="961" spans="1:26" ht="41.25" customHeight="1">
      <c r="A961" s="143"/>
      <c r="B961" s="957" t="s">
        <v>461</v>
      </c>
      <c r="C961" s="80">
        <v>1</v>
      </c>
      <c r="D961" s="80">
        <v>1</v>
      </c>
      <c r="E961" s="80">
        <v>0</v>
      </c>
      <c r="F961" s="80">
        <v>1</v>
      </c>
      <c r="G961" s="80">
        <v>1</v>
      </c>
      <c r="H961" s="944">
        <v>0.5</v>
      </c>
      <c r="I961" s="135" t="s">
        <v>4160</v>
      </c>
      <c r="J961" s="178" t="s">
        <v>4161</v>
      </c>
      <c r="K961" s="178" t="s">
        <v>2526</v>
      </c>
      <c r="L961" s="81" t="s">
        <v>4162</v>
      </c>
      <c r="M961" s="339" t="s">
        <v>4163</v>
      </c>
      <c r="N961" s="339" t="s">
        <v>2529</v>
      </c>
      <c r="O961" s="81" t="s">
        <v>4164</v>
      </c>
      <c r="P961" s="146"/>
      <c r="Q961" s="146"/>
      <c r="R961" s="146"/>
      <c r="S961" s="149"/>
      <c r="T961" s="149"/>
      <c r="U961" s="149"/>
      <c r="V961" s="149"/>
      <c r="W961" s="149"/>
      <c r="X961" s="149"/>
      <c r="Y961" s="149"/>
      <c r="Z961" s="149"/>
    </row>
    <row r="962" spans="1:26" ht="64.5" customHeight="1">
      <c r="A962" s="143"/>
      <c r="B962" s="957" t="s">
        <v>463</v>
      </c>
      <c r="C962" s="80">
        <v>0.5</v>
      </c>
      <c r="D962" s="80">
        <v>1</v>
      </c>
      <c r="E962" s="80">
        <v>0</v>
      </c>
      <c r="F962" s="80">
        <v>1</v>
      </c>
      <c r="G962" s="80">
        <v>0.5</v>
      </c>
      <c r="H962" s="323">
        <v>1</v>
      </c>
      <c r="I962" s="135" t="s">
        <v>4160</v>
      </c>
      <c r="J962" s="182" t="s">
        <v>4165</v>
      </c>
      <c r="K962" s="178" t="s">
        <v>2532</v>
      </c>
      <c r="L962" s="188" t="s">
        <v>748</v>
      </c>
      <c r="M962" s="81" t="s">
        <v>4166</v>
      </c>
      <c r="N962" s="385" t="s">
        <v>2535</v>
      </c>
      <c r="O962" s="81" t="s">
        <v>4167</v>
      </c>
      <c r="P962" s="146"/>
      <c r="Q962" s="146"/>
      <c r="R962" s="146"/>
      <c r="S962" s="149"/>
      <c r="T962" s="149"/>
      <c r="U962" s="149"/>
      <c r="V962" s="149"/>
      <c r="W962" s="149"/>
      <c r="X962" s="149"/>
      <c r="Y962" s="149"/>
      <c r="Z962" s="149"/>
    </row>
    <row r="963" spans="1:26" ht="30" customHeight="1">
      <c r="A963" s="143"/>
      <c r="B963" s="957"/>
      <c r="C963" s="80"/>
      <c r="D963" s="80"/>
      <c r="E963" s="80"/>
      <c r="F963" s="80"/>
      <c r="G963" s="80"/>
      <c r="H963" s="80"/>
      <c r="I963" s="135"/>
      <c r="J963" s="794"/>
      <c r="K963" s="178"/>
      <c r="L963" s="188"/>
      <c r="M963" s="80"/>
      <c r="N963" s="339"/>
      <c r="O963" s="81"/>
      <c r="P963" s="146"/>
      <c r="Q963" s="146"/>
      <c r="R963" s="146"/>
      <c r="S963" s="149"/>
      <c r="T963" s="149"/>
      <c r="U963" s="149"/>
      <c r="V963" s="149"/>
      <c r="W963" s="149"/>
      <c r="X963" s="149"/>
      <c r="Y963" s="149"/>
      <c r="Z963" s="149"/>
    </row>
    <row r="964" spans="1:26" ht="27.75" customHeight="1">
      <c r="A964" s="143" t="s">
        <v>736</v>
      </c>
      <c r="B964" s="168" t="s">
        <v>464</v>
      </c>
      <c r="C964" s="80">
        <f t="shared" ref="C964:H964" si="171">AVERAGE(C965:C966)</f>
        <v>0.5</v>
      </c>
      <c r="D964" s="80">
        <f t="shared" si="171"/>
        <v>0</v>
      </c>
      <c r="E964" s="80">
        <f t="shared" si="171"/>
        <v>0</v>
      </c>
      <c r="F964" s="80">
        <f t="shared" si="171"/>
        <v>1</v>
      </c>
      <c r="G964" s="80">
        <f t="shared" si="171"/>
        <v>1</v>
      </c>
      <c r="H964" s="80">
        <f t="shared" si="171"/>
        <v>0.5</v>
      </c>
      <c r="I964" s="135"/>
      <c r="J964" s="80"/>
      <c r="K964" s="178"/>
      <c r="L964" s="188"/>
      <c r="M964" s="80"/>
      <c r="N964" s="339"/>
      <c r="O964" s="81"/>
      <c r="P964" s="146"/>
      <c r="Q964" s="146"/>
      <c r="R964" s="146"/>
      <c r="S964" s="149"/>
      <c r="T964" s="149"/>
      <c r="U964" s="149"/>
      <c r="V964" s="149"/>
      <c r="W964" s="149"/>
      <c r="X964" s="149"/>
      <c r="Y964" s="149"/>
      <c r="Z964" s="149"/>
    </row>
    <row r="965" spans="1:26" ht="66.75" customHeight="1">
      <c r="A965" s="143"/>
      <c r="B965" s="957" t="s">
        <v>465</v>
      </c>
      <c r="C965" s="80">
        <v>0.5</v>
      </c>
      <c r="D965" s="80">
        <v>0</v>
      </c>
      <c r="E965" s="80">
        <v>0</v>
      </c>
      <c r="F965" s="80">
        <v>1</v>
      </c>
      <c r="G965" s="80">
        <v>1</v>
      </c>
      <c r="H965" s="80">
        <v>0.5</v>
      </c>
      <c r="I965" s="135" t="s">
        <v>4168</v>
      </c>
      <c r="J965" s="339" t="s">
        <v>4169</v>
      </c>
      <c r="K965" s="339" t="s">
        <v>4170</v>
      </c>
      <c r="L965" s="188" t="s">
        <v>748</v>
      </c>
      <c r="M965" s="339" t="s">
        <v>2540</v>
      </c>
      <c r="N965" s="339" t="s">
        <v>4171</v>
      </c>
      <c r="O965" s="81" t="s">
        <v>4172</v>
      </c>
      <c r="P965" s="146"/>
      <c r="Q965" s="146"/>
      <c r="R965" s="146"/>
      <c r="S965" s="149"/>
      <c r="T965" s="149"/>
      <c r="U965" s="149"/>
      <c r="V965" s="149"/>
      <c r="W965" s="149"/>
      <c r="X965" s="149"/>
      <c r="Y965" s="149"/>
      <c r="Z965" s="149"/>
    </row>
    <row r="966" spans="1:26" ht="63" customHeight="1">
      <c r="A966" s="143"/>
      <c r="B966" s="957" t="s">
        <v>467</v>
      </c>
      <c r="C966" s="178" t="s">
        <v>2544</v>
      </c>
      <c r="D966" s="178">
        <v>0</v>
      </c>
      <c r="E966" s="178">
        <v>0</v>
      </c>
      <c r="F966" s="962" t="s">
        <v>2544</v>
      </c>
      <c r="G966" s="962" t="s">
        <v>2544</v>
      </c>
      <c r="H966" s="962" t="s">
        <v>2544</v>
      </c>
      <c r="I966" s="135"/>
      <c r="J966" s="81" t="s">
        <v>4173</v>
      </c>
      <c r="K966" s="178" t="s">
        <v>2544</v>
      </c>
      <c r="L966" s="178" t="s">
        <v>2544</v>
      </c>
      <c r="M966" s="178" t="s">
        <v>4174</v>
      </c>
      <c r="N966" s="339" t="s">
        <v>4175</v>
      </c>
      <c r="O966" s="178" t="s">
        <v>2544</v>
      </c>
      <c r="P966" s="146"/>
      <c r="Q966" s="146"/>
      <c r="R966" s="146"/>
      <c r="S966" s="149"/>
      <c r="T966" s="149"/>
      <c r="U966" s="149"/>
      <c r="V966" s="149"/>
      <c r="W966" s="149"/>
      <c r="X966" s="149"/>
      <c r="Y966" s="149"/>
      <c r="Z966" s="149"/>
    </row>
    <row r="967" spans="1:26" ht="24.75" customHeight="1">
      <c r="A967" s="143"/>
      <c r="B967" s="168"/>
      <c r="C967" s="80"/>
      <c r="D967" s="80"/>
      <c r="E967" s="80"/>
      <c r="F967" s="80"/>
      <c r="G967" s="80"/>
      <c r="H967" s="80"/>
      <c r="I967" s="135"/>
      <c r="J967" s="80"/>
      <c r="K967" s="178"/>
      <c r="L967" s="188"/>
      <c r="M967" s="81"/>
      <c r="N967" s="339"/>
      <c r="O967" s="81"/>
      <c r="P967" s="146"/>
      <c r="Q967" s="146"/>
      <c r="R967" s="146"/>
      <c r="S967" s="149"/>
      <c r="T967" s="149"/>
      <c r="U967" s="149"/>
      <c r="V967" s="149"/>
      <c r="W967" s="149"/>
      <c r="X967" s="149"/>
      <c r="Y967" s="149"/>
      <c r="Z967" s="149"/>
    </row>
    <row r="968" spans="1:26" ht="79.5" customHeight="1">
      <c r="A968" s="143" t="s">
        <v>736</v>
      </c>
      <c r="B968" s="168" t="s">
        <v>468</v>
      </c>
      <c r="C968" s="80">
        <f t="shared" ref="C968:H968" si="172">AVERAGE(C969:C972)</f>
        <v>0.5</v>
      </c>
      <c r="D968" s="80">
        <f t="shared" si="172"/>
        <v>0.5</v>
      </c>
      <c r="E968" s="80">
        <f t="shared" si="172"/>
        <v>0.25</v>
      </c>
      <c r="F968" s="80">
        <f t="shared" si="172"/>
        <v>0.875</v>
      </c>
      <c r="G968" s="80">
        <f t="shared" si="172"/>
        <v>0.5</v>
      </c>
      <c r="H968" s="80">
        <f t="shared" si="172"/>
        <v>0.5</v>
      </c>
      <c r="I968" s="135"/>
      <c r="J968" s="81" t="s">
        <v>4176</v>
      </c>
      <c r="K968" s="178"/>
      <c r="L968" s="188"/>
      <c r="M968" s="80"/>
      <c r="N968" s="339"/>
      <c r="O968" s="81"/>
      <c r="P968" s="146"/>
      <c r="Q968" s="146"/>
      <c r="R968" s="146"/>
      <c r="S968" s="149"/>
      <c r="T968" s="149"/>
      <c r="U968" s="149"/>
      <c r="V968" s="149"/>
      <c r="W968" s="149"/>
      <c r="X968" s="149"/>
      <c r="Y968" s="149"/>
      <c r="Z968" s="149"/>
    </row>
    <row r="969" spans="1:26" ht="39" customHeight="1">
      <c r="A969" s="143"/>
      <c r="B969" s="957" t="s">
        <v>4177</v>
      </c>
      <c r="C969" s="80">
        <v>0.5</v>
      </c>
      <c r="D969" s="80">
        <v>0.5</v>
      </c>
      <c r="E969" s="80">
        <v>0</v>
      </c>
      <c r="F969" s="80">
        <v>1</v>
      </c>
      <c r="G969" s="80">
        <v>0.5</v>
      </c>
      <c r="H969" s="80">
        <v>0.5</v>
      </c>
      <c r="I969" s="135" t="s">
        <v>4160</v>
      </c>
      <c r="J969" s="81" t="s">
        <v>4178</v>
      </c>
      <c r="K969" s="81" t="s">
        <v>4179</v>
      </c>
      <c r="L969" s="81" t="s">
        <v>4180</v>
      </c>
      <c r="M969" s="339" t="s">
        <v>2551</v>
      </c>
      <c r="N969" s="339" t="s">
        <v>4181</v>
      </c>
      <c r="O969" s="81" t="s">
        <v>4182</v>
      </c>
      <c r="P969" s="146"/>
      <c r="Q969" s="146"/>
      <c r="R969" s="146"/>
      <c r="S969" s="149"/>
      <c r="T969" s="149"/>
      <c r="U969" s="149"/>
      <c r="V969" s="149"/>
      <c r="W969" s="149"/>
      <c r="X969" s="149"/>
      <c r="Y969" s="149"/>
      <c r="Z969" s="149"/>
    </row>
    <row r="970" spans="1:26" ht="42.75" customHeight="1">
      <c r="A970" s="143"/>
      <c r="B970" s="957" t="s">
        <v>470</v>
      </c>
      <c r="C970" s="80">
        <v>0.5</v>
      </c>
      <c r="D970" s="80">
        <v>0.5</v>
      </c>
      <c r="E970" s="80">
        <v>0</v>
      </c>
      <c r="F970" s="80">
        <v>1</v>
      </c>
      <c r="G970" s="80">
        <v>0.5</v>
      </c>
      <c r="H970" s="80">
        <v>0.5</v>
      </c>
      <c r="I970" s="135" t="s">
        <v>4160</v>
      </c>
      <c r="J970" s="81" t="s">
        <v>4183</v>
      </c>
      <c r="K970" s="81" t="s">
        <v>4184</v>
      </c>
      <c r="L970" s="81" t="s">
        <v>4185</v>
      </c>
      <c r="M970" s="81" t="s">
        <v>2557</v>
      </c>
      <c r="N970" s="385" t="s">
        <v>2558</v>
      </c>
      <c r="O970" s="81" t="s">
        <v>4182</v>
      </c>
      <c r="P970" s="146"/>
      <c r="Q970" s="146"/>
      <c r="R970" s="146"/>
      <c r="S970" s="149"/>
      <c r="T970" s="149"/>
      <c r="U970" s="149"/>
      <c r="V970" s="149"/>
      <c r="W970" s="149"/>
      <c r="X970" s="149"/>
      <c r="Y970" s="149"/>
      <c r="Z970" s="149"/>
    </row>
    <row r="971" spans="1:26" ht="38.25" customHeight="1">
      <c r="A971" s="143"/>
      <c r="B971" s="957" t="s">
        <v>471</v>
      </c>
      <c r="C971" s="80">
        <v>0.5</v>
      </c>
      <c r="D971" s="80">
        <v>0.5</v>
      </c>
      <c r="E971" s="80">
        <v>0.5</v>
      </c>
      <c r="F971" s="80">
        <v>0.5</v>
      </c>
      <c r="G971" s="80">
        <v>0.5</v>
      </c>
      <c r="H971" s="80">
        <v>0.5</v>
      </c>
      <c r="I971" s="135"/>
      <c r="J971" s="81" t="s">
        <v>4186</v>
      </c>
      <c r="K971" s="81" t="s">
        <v>4187</v>
      </c>
      <c r="L971" s="188" t="s">
        <v>4188</v>
      </c>
      <c r="M971" s="385" t="s">
        <v>4189</v>
      </c>
      <c r="N971" s="339" t="s">
        <v>2564</v>
      </c>
      <c r="O971" s="81" t="s">
        <v>4182</v>
      </c>
      <c r="P971" s="146"/>
      <c r="Q971" s="146"/>
      <c r="R971" s="146"/>
      <c r="S971" s="149"/>
      <c r="T971" s="149"/>
      <c r="U971" s="149"/>
      <c r="V971" s="149"/>
      <c r="W971" s="149"/>
      <c r="X971" s="149"/>
      <c r="Y971" s="149"/>
      <c r="Z971" s="149"/>
    </row>
    <row r="972" spans="1:26" ht="30.75" customHeight="1">
      <c r="A972" s="143"/>
      <c r="B972" s="957" t="s">
        <v>472</v>
      </c>
      <c r="C972" s="80">
        <v>0.5</v>
      </c>
      <c r="D972" s="80">
        <v>0.5</v>
      </c>
      <c r="E972" s="944">
        <v>0.5</v>
      </c>
      <c r="F972" s="80">
        <v>1</v>
      </c>
      <c r="G972" s="80">
        <v>0.5</v>
      </c>
      <c r="H972" s="80">
        <v>0.5</v>
      </c>
      <c r="I972" s="135" t="s">
        <v>4160</v>
      </c>
      <c r="J972" s="81" t="s">
        <v>4190</v>
      </c>
      <c r="K972" s="81" t="s">
        <v>4191</v>
      </c>
      <c r="L972" s="442" t="s">
        <v>4192</v>
      </c>
      <c r="M972" s="797" t="s">
        <v>2569</v>
      </c>
      <c r="N972" s="385" t="s">
        <v>2558</v>
      </c>
      <c r="O972" s="81" t="s">
        <v>4193</v>
      </c>
      <c r="P972" s="146"/>
      <c r="Q972" s="146"/>
      <c r="R972" s="146"/>
      <c r="S972" s="149"/>
      <c r="T972" s="149"/>
      <c r="U972" s="149"/>
      <c r="V972" s="149"/>
      <c r="W972" s="149"/>
      <c r="X972" s="149"/>
      <c r="Y972" s="149"/>
      <c r="Z972" s="149"/>
    </row>
    <row r="973" spans="1:26" ht="27.75" customHeight="1">
      <c r="A973" s="143"/>
      <c r="B973" s="957"/>
      <c r="C973" s="80"/>
      <c r="D973" s="80"/>
      <c r="E973" s="80"/>
      <c r="F973" s="80"/>
      <c r="G973" s="80"/>
      <c r="H973" s="80"/>
      <c r="I973" s="135"/>
      <c r="J973" s="80"/>
      <c r="K973" s="178"/>
      <c r="L973" s="81" t="s">
        <v>4180</v>
      </c>
      <c r="M973" s="80"/>
      <c r="N973" s="339"/>
      <c r="O973" s="81"/>
      <c r="P973" s="146"/>
      <c r="Q973" s="146"/>
      <c r="R973" s="146"/>
      <c r="S973" s="149"/>
      <c r="T973" s="149"/>
      <c r="U973" s="149"/>
      <c r="V973" s="149"/>
      <c r="W973" s="149"/>
      <c r="X973" s="149"/>
      <c r="Y973" s="149"/>
      <c r="Z973" s="149"/>
    </row>
    <row r="974" spans="1:26" ht="68.25" customHeight="1">
      <c r="A974" s="143" t="s">
        <v>736</v>
      </c>
      <c r="B974" s="168" t="s">
        <v>2571</v>
      </c>
      <c r="C974" s="80">
        <v>0.5</v>
      </c>
      <c r="D974" s="80">
        <v>0</v>
      </c>
      <c r="E974" s="80">
        <v>0</v>
      </c>
      <c r="F974" s="80">
        <v>1</v>
      </c>
      <c r="G974" s="80">
        <v>0.5</v>
      </c>
      <c r="H974" s="944">
        <v>1</v>
      </c>
      <c r="I974" s="261" t="s">
        <v>474</v>
      </c>
      <c r="J974" s="81" t="s">
        <v>4194</v>
      </c>
      <c r="K974" s="81" t="s">
        <v>4195</v>
      </c>
      <c r="L974" s="81" t="s">
        <v>4196</v>
      </c>
      <c r="M974" s="81" t="s">
        <v>4197</v>
      </c>
      <c r="N974" s="339" t="s">
        <v>2576</v>
      </c>
      <c r="O974" s="81" t="s">
        <v>4198</v>
      </c>
      <c r="P974" s="146"/>
      <c r="Q974" s="146"/>
      <c r="R974" s="146"/>
      <c r="S974" s="149"/>
      <c r="T974" s="149"/>
      <c r="U974" s="149"/>
      <c r="V974" s="149"/>
      <c r="W974" s="149"/>
      <c r="X974" s="149"/>
      <c r="Y974" s="149"/>
      <c r="Z974" s="149"/>
    </row>
    <row r="975" spans="1:26" ht="13.5" customHeight="1">
      <c r="A975" s="143"/>
      <c r="B975" s="168"/>
      <c r="C975" s="80"/>
      <c r="D975" s="80"/>
      <c r="E975" s="80"/>
      <c r="F975" s="80"/>
      <c r="G975" s="80"/>
      <c r="H975" s="323"/>
      <c r="I975" s="135"/>
      <c r="J975" s="80"/>
      <c r="K975" s="178"/>
      <c r="L975" s="188"/>
      <c r="M975" s="80"/>
      <c r="N975" s="339"/>
      <c r="O975" s="81"/>
      <c r="P975" s="146"/>
      <c r="Q975" s="146"/>
      <c r="R975" s="146"/>
      <c r="S975" s="149"/>
      <c r="T975" s="149"/>
      <c r="U975" s="149"/>
      <c r="V975" s="149"/>
      <c r="W975" s="149"/>
      <c r="X975" s="149"/>
      <c r="Y975" s="149"/>
      <c r="Z975" s="149"/>
    </row>
    <row r="976" spans="1:26" ht="111.75" customHeight="1">
      <c r="A976" s="143" t="s">
        <v>736</v>
      </c>
      <c r="B976" s="168" t="s">
        <v>4199</v>
      </c>
      <c r="C976" s="80">
        <f>0.0243/0.03778</f>
        <v>0.64319745897300151</v>
      </c>
      <c r="D976" s="80">
        <f>0.0065/0.03778</f>
        <v>0.17204870301746955</v>
      </c>
      <c r="E976" s="80">
        <f>0.017/0.03778</f>
        <v>0.44997353096876658</v>
      </c>
      <c r="F976" s="80">
        <f>0.03026/0.03778</f>
        <v>0.80095288512440443</v>
      </c>
      <c r="G976" s="80">
        <v>1</v>
      </c>
      <c r="H976" s="80">
        <f>0.0215/0.03778</f>
        <v>0.56908417151932233</v>
      </c>
      <c r="I976" s="135" t="s">
        <v>476</v>
      </c>
      <c r="J976" s="182" t="s">
        <v>4200</v>
      </c>
      <c r="K976" s="399" t="s">
        <v>4201</v>
      </c>
      <c r="L976" s="442" t="s">
        <v>4202</v>
      </c>
      <c r="M976" s="442" t="s">
        <v>4203</v>
      </c>
      <c r="N976" s="385" t="s">
        <v>4204</v>
      </c>
      <c r="O976" s="182" t="s">
        <v>4205</v>
      </c>
      <c r="P976" s="146"/>
      <c r="Q976" s="146"/>
      <c r="R976" s="146"/>
      <c r="S976" s="149"/>
      <c r="T976" s="149"/>
      <c r="U976" s="149"/>
      <c r="V976" s="149"/>
      <c r="W976" s="149"/>
      <c r="X976" s="149"/>
      <c r="Y976" s="149"/>
      <c r="Z976" s="149"/>
    </row>
    <row r="977" spans="1:26" ht="13.5" customHeight="1">
      <c r="A977" s="143"/>
      <c r="B977" s="957"/>
      <c r="C977" s="957"/>
      <c r="D977" s="514"/>
      <c r="E977" s="642"/>
      <c r="F977" s="514"/>
      <c r="G977" s="514"/>
      <c r="H977" s="514"/>
      <c r="I977" s="135"/>
      <c r="J977" s="80"/>
      <c r="K977" s="178"/>
      <c r="L977" s="188"/>
      <c r="M977" s="80"/>
      <c r="N977" s="339"/>
      <c r="O977" s="798"/>
      <c r="P977" s="146"/>
      <c r="Q977" s="146"/>
      <c r="R977" s="146"/>
      <c r="S977" s="149"/>
      <c r="T977" s="149"/>
      <c r="U977" s="149"/>
      <c r="V977" s="149"/>
      <c r="W977" s="149"/>
      <c r="X977" s="149"/>
      <c r="Y977" s="149"/>
      <c r="Z977" s="149"/>
    </row>
    <row r="978" spans="1:26" ht="110.25" customHeight="1">
      <c r="A978" s="143" t="s">
        <v>736</v>
      </c>
      <c r="B978" s="168" t="s">
        <v>477</v>
      </c>
      <c r="C978" s="80">
        <v>0.5</v>
      </c>
      <c r="D978" s="323">
        <v>1</v>
      </c>
      <c r="E978" s="80">
        <v>0.5</v>
      </c>
      <c r="F978" s="80">
        <v>0.5</v>
      </c>
      <c r="G978" s="80">
        <v>1</v>
      </c>
      <c r="H978" s="944">
        <v>0.5</v>
      </c>
      <c r="I978" s="135" t="s">
        <v>4160</v>
      </c>
      <c r="J978" s="81" t="s">
        <v>4206</v>
      </c>
      <c r="K978" s="442" t="s">
        <v>4207</v>
      </c>
      <c r="L978" s="81" t="s">
        <v>4208</v>
      </c>
      <c r="M978" s="81" t="s">
        <v>4209</v>
      </c>
      <c r="N978" s="339" t="s">
        <v>2589</v>
      </c>
      <c r="O978" s="81" t="s">
        <v>4210</v>
      </c>
      <c r="P978" s="146"/>
      <c r="Q978" s="146"/>
      <c r="R978" s="146"/>
      <c r="S978" s="149"/>
      <c r="T978" s="149"/>
      <c r="U978" s="149"/>
      <c r="V978" s="149"/>
      <c r="W978" s="149"/>
      <c r="X978" s="149"/>
      <c r="Y978" s="149"/>
      <c r="Z978" s="149"/>
    </row>
    <row r="979" spans="1:26" ht="19.5" customHeight="1">
      <c r="A979" s="143"/>
      <c r="B979" s="168"/>
      <c r="C979" s="81"/>
      <c r="D979" s="80"/>
      <c r="E979" s="80"/>
      <c r="F979" s="80"/>
      <c r="G979" s="80"/>
      <c r="H979" s="80"/>
      <c r="I979" s="135"/>
      <c r="J979" s="81"/>
      <c r="K979" s="81"/>
      <c r="L979" s="188"/>
      <c r="M979" s="80"/>
      <c r="N979" s="339"/>
      <c r="O979" s="81"/>
      <c r="P979" s="146"/>
      <c r="Q979" s="146"/>
      <c r="R979" s="146"/>
      <c r="S979" s="149"/>
      <c r="T979" s="149"/>
      <c r="U979" s="149"/>
      <c r="V979" s="149"/>
      <c r="W979" s="149"/>
      <c r="X979" s="149"/>
      <c r="Y979" s="149"/>
      <c r="Z979" s="149"/>
    </row>
    <row r="980" spans="1:26" ht="81.75" customHeight="1">
      <c r="A980" s="143" t="s">
        <v>736</v>
      </c>
      <c r="B980" s="168" t="s">
        <v>478</v>
      </c>
      <c r="C980" s="944">
        <v>0.5</v>
      </c>
      <c r="D980" s="944">
        <v>0</v>
      </c>
      <c r="E980" s="944">
        <v>0</v>
      </c>
      <c r="F980" s="944">
        <v>0</v>
      </c>
      <c r="G980" s="944">
        <v>0.5</v>
      </c>
      <c r="H980" s="80">
        <v>0</v>
      </c>
      <c r="I980" s="135" t="s">
        <v>4160</v>
      </c>
      <c r="J980" s="182" t="s">
        <v>4211</v>
      </c>
      <c r="K980" s="182" t="s">
        <v>2592</v>
      </c>
      <c r="L980" s="188" t="s">
        <v>748</v>
      </c>
      <c r="M980" s="81" t="s">
        <v>4212</v>
      </c>
      <c r="N980" s="385" t="s">
        <v>4213</v>
      </c>
      <c r="O980" s="188" t="s">
        <v>748</v>
      </c>
      <c r="P980" s="146"/>
      <c r="Q980" s="146"/>
      <c r="R980" s="146"/>
      <c r="S980" s="149"/>
      <c r="T980" s="149"/>
      <c r="U980" s="149"/>
      <c r="V980" s="149"/>
      <c r="W980" s="149"/>
      <c r="X980" s="149"/>
      <c r="Y980" s="149"/>
      <c r="Z980" s="149"/>
    </row>
    <row r="981" spans="1:26" ht="14.25" customHeight="1">
      <c r="A981" s="143"/>
      <c r="B981" s="144"/>
      <c r="C981" s="908"/>
      <c r="D981" s="908"/>
      <c r="E981" s="908"/>
      <c r="F981" s="908"/>
      <c r="G981" s="908"/>
      <c r="H981" s="87"/>
      <c r="I981" s="135"/>
      <c r="J981" s="637"/>
      <c r="K981" s="521"/>
      <c r="L981" s="609"/>
      <c r="M981" s="75"/>
      <c r="N981" s="756"/>
      <c r="O981" s="609"/>
      <c r="P981" s="146"/>
      <c r="Q981" s="146"/>
      <c r="R981" s="146"/>
      <c r="S981" s="149"/>
      <c r="T981" s="149"/>
      <c r="U981" s="149"/>
      <c r="V981" s="149"/>
      <c r="W981" s="149"/>
      <c r="X981" s="149"/>
      <c r="Y981" s="149"/>
      <c r="Z981" s="149"/>
    </row>
    <row r="982" spans="1:26" ht="13.5" customHeight="1">
      <c r="A982" s="550" t="s">
        <v>2595</v>
      </c>
      <c r="B982" s="133" t="s">
        <v>479</v>
      </c>
      <c r="C982" s="72">
        <f t="shared" ref="C982:H982" si="173">AVERAGE(C983,C985,C987,C989)</f>
        <v>0.75</v>
      </c>
      <c r="D982" s="72">
        <f t="shared" si="173"/>
        <v>0.75</v>
      </c>
      <c r="E982" s="72">
        <f t="shared" si="173"/>
        <v>0.75</v>
      </c>
      <c r="F982" s="72">
        <f t="shared" si="173"/>
        <v>0.375</v>
      </c>
      <c r="G982" s="72">
        <f t="shared" si="173"/>
        <v>0.75</v>
      </c>
      <c r="H982" s="72">
        <f t="shared" si="173"/>
        <v>0.625</v>
      </c>
      <c r="I982" s="135"/>
      <c r="J982" s="74"/>
      <c r="K982" s="203"/>
      <c r="L982" s="203"/>
      <c r="M982" s="203"/>
      <c r="N982" s="203"/>
      <c r="O982" s="203"/>
      <c r="P982" s="205"/>
      <c r="Q982" s="205"/>
      <c r="R982" s="205"/>
      <c r="S982" s="206"/>
      <c r="T982" s="206"/>
      <c r="U982" s="206"/>
      <c r="V982" s="206"/>
      <c r="W982" s="206"/>
      <c r="X982" s="206"/>
      <c r="Y982" s="206"/>
      <c r="Z982" s="206"/>
    </row>
    <row r="983" spans="1:26" ht="57.75" customHeight="1">
      <c r="A983" s="143" t="s">
        <v>736</v>
      </c>
      <c r="B983" s="168" t="s">
        <v>480</v>
      </c>
      <c r="C983" s="80">
        <v>1</v>
      </c>
      <c r="D983" s="80">
        <v>1</v>
      </c>
      <c r="E983" s="80">
        <v>1</v>
      </c>
      <c r="F983" s="944">
        <v>0</v>
      </c>
      <c r="G983" s="80">
        <v>1</v>
      </c>
      <c r="H983" s="80">
        <v>0.5</v>
      </c>
      <c r="I983" s="135" t="s">
        <v>481</v>
      </c>
      <c r="J983" s="399" t="s">
        <v>4214</v>
      </c>
      <c r="K983" s="81" t="s">
        <v>811</v>
      </c>
      <c r="L983" s="81" t="s">
        <v>811</v>
      </c>
      <c r="M983" s="182" t="s">
        <v>748</v>
      </c>
      <c r="N983" s="81" t="s">
        <v>4215</v>
      </c>
      <c r="O983" s="81" t="s">
        <v>2592</v>
      </c>
      <c r="P983" s="146"/>
      <c r="Q983" s="146"/>
      <c r="R983" s="146"/>
      <c r="S983" s="149"/>
      <c r="T983" s="149"/>
      <c r="U983" s="149"/>
      <c r="V983" s="149"/>
      <c r="W983" s="149"/>
      <c r="X983" s="149"/>
      <c r="Y983" s="149"/>
      <c r="Z983" s="149"/>
    </row>
    <row r="984" spans="1:26" ht="29.25" customHeight="1">
      <c r="A984" s="143"/>
      <c r="B984" s="168"/>
      <c r="C984" s="178"/>
      <c r="D984" s="178"/>
      <c r="E984" s="188"/>
      <c r="F984" s="80"/>
      <c r="G984" s="80"/>
      <c r="H984" s="80"/>
      <c r="I984" s="135"/>
      <c r="J984" s="81"/>
      <c r="K984" s="81"/>
      <c r="L984" s="81"/>
      <c r="M984" s="81"/>
      <c r="N984" s="81"/>
      <c r="O984" s="81"/>
      <c r="P984" s="146"/>
      <c r="Q984" s="146"/>
      <c r="R984" s="146"/>
      <c r="S984" s="149"/>
      <c r="T984" s="149"/>
      <c r="U984" s="149"/>
      <c r="V984" s="149"/>
      <c r="W984" s="149"/>
      <c r="X984" s="149"/>
      <c r="Y984" s="149"/>
      <c r="Z984" s="149"/>
    </row>
    <row r="985" spans="1:26" ht="98.25" customHeight="1">
      <c r="A985" s="143" t="s">
        <v>736</v>
      </c>
      <c r="B985" s="168" t="s">
        <v>482</v>
      </c>
      <c r="C985" s="80">
        <v>1</v>
      </c>
      <c r="D985" s="80">
        <v>1</v>
      </c>
      <c r="E985" s="80">
        <v>1</v>
      </c>
      <c r="F985" s="944">
        <v>1</v>
      </c>
      <c r="G985" s="80">
        <v>1</v>
      </c>
      <c r="H985" s="80">
        <v>1</v>
      </c>
      <c r="I985" s="135" t="s">
        <v>123</v>
      </c>
      <c r="J985" s="956" t="s">
        <v>4216</v>
      </c>
      <c r="K985" s="81" t="s">
        <v>811</v>
      </c>
      <c r="L985" s="182" t="s">
        <v>811</v>
      </c>
      <c r="M985" s="182" t="s">
        <v>811</v>
      </c>
      <c r="N985" s="81" t="s">
        <v>4217</v>
      </c>
      <c r="O985" s="81" t="s">
        <v>811</v>
      </c>
      <c r="P985" s="146"/>
      <c r="Q985" s="146"/>
      <c r="R985" s="146"/>
      <c r="S985" s="149"/>
      <c r="T985" s="149"/>
      <c r="U985" s="149"/>
      <c r="V985" s="149"/>
      <c r="W985" s="149"/>
      <c r="X985" s="149"/>
      <c r="Y985" s="149"/>
      <c r="Z985" s="149"/>
    </row>
    <row r="986" spans="1:26" ht="13.5" customHeight="1">
      <c r="A986" s="143"/>
      <c r="B986" s="168"/>
      <c r="C986" s="80"/>
      <c r="D986" s="80"/>
      <c r="E986" s="80"/>
      <c r="F986" s="80"/>
      <c r="G986" s="80"/>
      <c r="H986" s="80"/>
      <c r="I986" s="135"/>
      <c r="J986" s="81"/>
      <c r="K986" s="81"/>
      <c r="L986" s="81"/>
      <c r="M986" s="81"/>
      <c r="N986" s="170"/>
      <c r="O986" s="81"/>
      <c r="P986" s="146"/>
      <c r="Q986" s="146"/>
      <c r="R986" s="146"/>
      <c r="S986" s="149"/>
      <c r="T986" s="149"/>
      <c r="U986" s="149"/>
      <c r="V986" s="149"/>
      <c r="W986" s="149"/>
      <c r="X986" s="149"/>
      <c r="Y986" s="149"/>
      <c r="Z986" s="149"/>
    </row>
    <row r="987" spans="1:26" ht="81" customHeight="1">
      <c r="A987" s="143" t="s">
        <v>736</v>
      </c>
      <c r="B987" s="168" t="s">
        <v>483</v>
      </c>
      <c r="C987" s="80">
        <v>1</v>
      </c>
      <c r="D987" s="80">
        <v>1</v>
      </c>
      <c r="E987" s="80">
        <v>1</v>
      </c>
      <c r="F987" s="80">
        <v>0.5</v>
      </c>
      <c r="G987" s="80">
        <v>1</v>
      </c>
      <c r="H987" s="80">
        <v>1</v>
      </c>
      <c r="I987" s="135" t="s">
        <v>484</v>
      </c>
      <c r="J987" s="81" t="s">
        <v>2605</v>
      </c>
      <c r="K987" s="81" t="s">
        <v>2605</v>
      </c>
      <c r="L987" s="182" t="s">
        <v>2605</v>
      </c>
      <c r="M987" s="182" t="s">
        <v>4218</v>
      </c>
      <c r="N987" s="81" t="s">
        <v>2607</v>
      </c>
      <c r="O987" s="81" t="s">
        <v>4219</v>
      </c>
      <c r="P987" s="146"/>
      <c r="Q987" s="146"/>
      <c r="R987" s="146"/>
      <c r="S987" s="149"/>
      <c r="T987" s="149"/>
      <c r="U987" s="149"/>
      <c r="V987" s="149"/>
      <c r="W987" s="149"/>
      <c r="X987" s="149"/>
      <c r="Y987" s="149"/>
      <c r="Z987" s="149"/>
    </row>
    <row r="988" spans="1:26" ht="13.5" customHeight="1">
      <c r="A988" s="143"/>
      <c r="B988" s="957"/>
      <c r="C988" s="80"/>
      <c r="D988" s="80"/>
      <c r="E988" s="80"/>
      <c r="F988" s="80"/>
      <c r="G988" s="80"/>
      <c r="H988" s="80"/>
      <c r="I988" s="135"/>
      <c r="J988" s="81"/>
      <c r="K988" s="81"/>
      <c r="L988" s="81"/>
      <c r="M988" s="81"/>
      <c r="N988" s="81"/>
      <c r="O988" s="81"/>
      <c r="P988" s="146"/>
      <c r="Q988" s="146"/>
      <c r="R988" s="146"/>
      <c r="S988" s="149"/>
      <c r="T988" s="149"/>
      <c r="U988" s="149"/>
      <c r="V988" s="149"/>
      <c r="W988" s="149"/>
      <c r="X988" s="149"/>
      <c r="Y988" s="149"/>
      <c r="Z988" s="149"/>
    </row>
    <row r="989" spans="1:26" ht="74.25" customHeight="1">
      <c r="A989" s="143" t="s">
        <v>736</v>
      </c>
      <c r="B989" s="168" t="s">
        <v>485</v>
      </c>
      <c r="C989" s="80">
        <v>0</v>
      </c>
      <c r="D989" s="80">
        <v>0</v>
      </c>
      <c r="E989" s="80">
        <v>0</v>
      </c>
      <c r="F989" s="80">
        <v>0</v>
      </c>
      <c r="G989" s="80">
        <v>0</v>
      </c>
      <c r="H989" s="80">
        <v>0</v>
      </c>
      <c r="I989" s="135" t="s">
        <v>123</v>
      </c>
      <c r="J989" s="81" t="s">
        <v>748</v>
      </c>
      <c r="K989" s="81" t="s">
        <v>748</v>
      </c>
      <c r="L989" s="81" t="s">
        <v>748</v>
      </c>
      <c r="M989" s="81" t="s">
        <v>748</v>
      </c>
      <c r="N989" s="81" t="s">
        <v>748</v>
      </c>
      <c r="O989" s="81" t="s">
        <v>748</v>
      </c>
      <c r="P989" s="146"/>
      <c r="Q989" s="146"/>
      <c r="R989" s="146"/>
      <c r="S989" s="149"/>
      <c r="T989" s="149"/>
      <c r="U989" s="149"/>
      <c r="V989" s="149"/>
      <c r="W989" s="149"/>
      <c r="X989" s="149"/>
      <c r="Y989" s="149"/>
      <c r="Z989" s="149"/>
    </row>
    <row r="990" spans="1:26" ht="13.5" customHeight="1">
      <c r="A990" s="143"/>
      <c r="B990" s="144"/>
      <c r="C990" s="87"/>
      <c r="D990" s="87"/>
      <c r="E990" s="87"/>
      <c r="F990" s="87"/>
      <c r="G990" s="87"/>
      <c r="H990" s="87"/>
      <c r="I990" s="135"/>
      <c r="J990" s="75"/>
      <c r="K990" s="75"/>
      <c r="L990" s="75"/>
      <c r="M990" s="75"/>
      <c r="N990" s="75"/>
      <c r="O990" s="75"/>
      <c r="P990" s="146"/>
      <c r="Q990" s="146"/>
      <c r="R990" s="146"/>
      <c r="S990" s="149"/>
      <c r="T990" s="149"/>
      <c r="U990" s="149"/>
      <c r="V990" s="149"/>
      <c r="W990" s="149"/>
      <c r="X990" s="149"/>
      <c r="Y990" s="149"/>
      <c r="Z990" s="149"/>
    </row>
    <row r="991" spans="1:26" ht="13.5" customHeight="1">
      <c r="A991" s="373" t="s">
        <v>2609</v>
      </c>
      <c r="B991" s="133" t="s">
        <v>486</v>
      </c>
      <c r="C991" s="72">
        <f t="shared" ref="C991:H991" si="174">AVERAGE(C992,C994,C996,C998)</f>
        <v>1</v>
      </c>
      <c r="D991" s="72">
        <f t="shared" si="174"/>
        <v>0.75</v>
      </c>
      <c r="E991" s="72">
        <f t="shared" si="174"/>
        <v>0.625</v>
      </c>
      <c r="F991" s="72">
        <f t="shared" si="174"/>
        <v>0.875</v>
      </c>
      <c r="G991" s="72">
        <f t="shared" si="174"/>
        <v>0.875</v>
      </c>
      <c r="H991" s="72">
        <f t="shared" si="174"/>
        <v>0.75</v>
      </c>
      <c r="I991" s="135"/>
      <c r="J991" s="74"/>
      <c r="K991" s="203"/>
      <c r="L991" s="203"/>
      <c r="M991" s="203"/>
      <c r="N991" s="203"/>
      <c r="O991" s="203"/>
      <c r="P991" s="205"/>
      <c r="Q991" s="205"/>
      <c r="R991" s="205"/>
      <c r="S991" s="206"/>
      <c r="T991" s="206"/>
      <c r="U991" s="206"/>
      <c r="V991" s="206"/>
      <c r="W991" s="206"/>
      <c r="X991" s="206"/>
      <c r="Y991" s="206"/>
      <c r="Z991" s="206"/>
    </row>
    <row r="992" spans="1:26" ht="81.75" customHeight="1">
      <c r="A992" s="143" t="s">
        <v>736</v>
      </c>
      <c r="B992" s="168" t="s">
        <v>487</v>
      </c>
      <c r="C992" s="80">
        <v>1</v>
      </c>
      <c r="D992" s="80">
        <v>1</v>
      </c>
      <c r="E992" s="80">
        <v>1</v>
      </c>
      <c r="F992" s="80">
        <v>1</v>
      </c>
      <c r="G992" s="80">
        <v>1</v>
      </c>
      <c r="H992" s="80">
        <v>0.5</v>
      </c>
      <c r="I992" s="135" t="s">
        <v>481</v>
      </c>
      <c r="J992" s="81" t="s">
        <v>811</v>
      </c>
      <c r="K992" s="81" t="s">
        <v>811</v>
      </c>
      <c r="L992" s="81" t="s">
        <v>811</v>
      </c>
      <c r="M992" s="182" t="s">
        <v>4220</v>
      </c>
      <c r="N992" s="81" t="s">
        <v>4221</v>
      </c>
      <c r="O992" s="81" t="s">
        <v>4222</v>
      </c>
      <c r="P992" s="146"/>
      <c r="Q992" s="146"/>
      <c r="R992" s="146"/>
      <c r="S992" s="149"/>
      <c r="T992" s="149"/>
      <c r="U992" s="149"/>
      <c r="V992" s="149"/>
      <c r="W992" s="149"/>
      <c r="X992" s="149"/>
      <c r="Y992" s="149"/>
      <c r="Z992" s="149"/>
    </row>
    <row r="993" spans="1:26" ht="13.5" customHeight="1">
      <c r="A993" s="143"/>
      <c r="B993" s="168"/>
      <c r="C993" s="80"/>
      <c r="D993" s="80"/>
      <c r="E993" s="80"/>
      <c r="F993" s="80"/>
      <c r="G993" s="80"/>
      <c r="H993" s="80"/>
      <c r="I993" s="135"/>
      <c r="J993" s="170"/>
      <c r="K993" s="81"/>
      <c r="L993" s="81"/>
      <c r="M993" s="81"/>
      <c r="N993" s="81"/>
      <c r="O993" s="81"/>
      <c r="P993" s="146"/>
      <c r="Q993" s="146"/>
      <c r="R993" s="146"/>
      <c r="S993" s="149"/>
      <c r="T993" s="149"/>
      <c r="U993" s="149"/>
      <c r="V993" s="149"/>
      <c r="W993" s="149"/>
      <c r="X993" s="149"/>
      <c r="Y993" s="149"/>
      <c r="Z993" s="149"/>
    </row>
    <row r="994" spans="1:26" ht="77.25" customHeight="1">
      <c r="A994" s="143" t="s">
        <v>736</v>
      </c>
      <c r="B994" s="168" t="s">
        <v>488</v>
      </c>
      <c r="C994" s="80">
        <v>1</v>
      </c>
      <c r="D994" s="80">
        <v>0</v>
      </c>
      <c r="E994" s="80">
        <v>0</v>
      </c>
      <c r="F994" s="80">
        <v>1</v>
      </c>
      <c r="G994" s="80">
        <v>1</v>
      </c>
      <c r="H994" s="80">
        <v>1</v>
      </c>
      <c r="I994" s="135" t="s">
        <v>123</v>
      </c>
      <c r="J994" s="81" t="s">
        <v>4223</v>
      </c>
      <c r="K994" s="81" t="s">
        <v>748</v>
      </c>
      <c r="L994" s="81" t="s">
        <v>748</v>
      </c>
      <c r="M994" s="81" t="s">
        <v>4224</v>
      </c>
      <c r="N994" s="81" t="s">
        <v>4225</v>
      </c>
      <c r="O994" s="81" t="s">
        <v>811</v>
      </c>
      <c r="P994" s="146"/>
      <c r="Q994" s="146"/>
      <c r="R994" s="146"/>
      <c r="S994" s="149"/>
      <c r="T994" s="149"/>
      <c r="U994" s="149"/>
      <c r="V994" s="149"/>
      <c r="W994" s="149"/>
      <c r="X994" s="149"/>
      <c r="Y994" s="149"/>
      <c r="Z994" s="149"/>
    </row>
    <row r="995" spans="1:26" ht="13.5" customHeight="1">
      <c r="A995" s="143"/>
      <c r="B995" s="168"/>
      <c r="C995" s="80"/>
      <c r="D995" s="80"/>
      <c r="E995" s="80"/>
      <c r="F995" s="80"/>
      <c r="G995" s="80"/>
      <c r="H995" s="80"/>
      <c r="I995" s="135"/>
      <c r="J995" s="170"/>
      <c r="K995" s="81"/>
      <c r="L995" s="81"/>
      <c r="M995" s="81"/>
      <c r="N995" s="81"/>
      <c r="O995" s="81"/>
      <c r="P995" s="146"/>
      <c r="Q995" s="146"/>
      <c r="R995" s="146"/>
      <c r="S995" s="149"/>
      <c r="T995" s="149"/>
      <c r="U995" s="149"/>
      <c r="V995" s="149"/>
      <c r="W995" s="149"/>
      <c r="X995" s="149"/>
      <c r="Y995" s="149"/>
      <c r="Z995" s="149"/>
    </row>
    <row r="996" spans="1:26" ht="108" customHeight="1">
      <c r="A996" s="143" t="s">
        <v>736</v>
      </c>
      <c r="B996" s="168" t="s">
        <v>489</v>
      </c>
      <c r="C996" s="80">
        <v>1</v>
      </c>
      <c r="D996" s="80">
        <v>1</v>
      </c>
      <c r="E996" s="944">
        <v>0.5</v>
      </c>
      <c r="F996" s="80">
        <v>0.5</v>
      </c>
      <c r="G996" s="80">
        <v>0.5</v>
      </c>
      <c r="H996" s="80">
        <v>1</v>
      </c>
      <c r="I996" s="135" t="s">
        <v>481</v>
      </c>
      <c r="J996" s="81" t="s">
        <v>2617</v>
      </c>
      <c r="K996" s="81" t="s">
        <v>811</v>
      </c>
      <c r="L996" s="182" t="s">
        <v>4226</v>
      </c>
      <c r="M996" s="182" t="s">
        <v>4227</v>
      </c>
      <c r="N996" s="81" t="s">
        <v>4228</v>
      </c>
      <c r="O996" s="81" t="s">
        <v>4229</v>
      </c>
      <c r="P996" s="146"/>
      <c r="Q996" s="146"/>
      <c r="R996" s="146"/>
      <c r="S996" s="149"/>
      <c r="T996" s="149"/>
      <c r="U996" s="149"/>
      <c r="V996" s="149"/>
      <c r="W996" s="149"/>
      <c r="X996" s="149"/>
      <c r="Y996" s="149"/>
      <c r="Z996" s="149"/>
    </row>
    <row r="997" spans="1:26" ht="13.5" customHeight="1">
      <c r="A997" s="143"/>
      <c r="B997" s="168"/>
      <c r="C997" s="80"/>
      <c r="D997" s="80"/>
      <c r="E997" s="80"/>
      <c r="F997" s="80"/>
      <c r="G997" s="80"/>
      <c r="H997" s="80"/>
      <c r="I997" s="135"/>
      <c r="J997" s="170"/>
      <c r="K997" s="81"/>
      <c r="L997" s="81"/>
      <c r="M997" s="81"/>
      <c r="N997" s="170"/>
      <c r="O997" s="81"/>
      <c r="P997" s="146"/>
      <c r="Q997" s="146"/>
      <c r="R997" s="146"/>
      <c r="S997" s="149"/>
      <c r="T997" s="149"/>
      <c r="U997" s="149"/>
      <c r="V997" s="149"/>
      <c r="W997" s="149"/>
      <c r="X997" s="149"/>
      <c r="Y997" s="149"/>
      <c r="Z997" s="149"/>
    </row>
    <row r="998" spans="1:26" ht="48" customHeight="1">
      <c r="A998" s="143" t="s">
        <v>736</v>
      </c>
      <c r="B998" s="168" t="s">
        <v>490</v>
      </c>
      <c r="C998" s="80">
        <v>1</v>
      </c>
      <c r="D998" s="80">
        <v>1</v>
      </c>
      <c r="E998" s="80">
        <v>1</v>
      </c>
      <c r="F998" s="80">
        <v>1</v>
      </c>
      <c r="G998" s="80">
        <v>1</v>
      </c>
      <c r="H998" s="80">
        <v>0.5</v>
      </c>
      <c r="I998" s="135" t="s">
        <v>123</v>
      </c>
      <c r="J998" s="81" t="s">
        <v>811</v>
      </c>
      <c r="K998" s="81" t="s">
        <v>811</v>
      </c>
      <c r="L998" s="81" t="s">
        <v>811</v>
      </c>
      <c r="M998" s="81" t="s">
        <v>4230</v>
      </c>
      <c r="N998" s="81" t="s">
        <v>4231</v>
      </c>
      <c r="O998" s="81" t="s">
        <v>2592</v>
      </c>
      <c r="P998" s="146"/>
      <c r="Q998" s="146"/>
      <c r="R998" s="146"/>
      <c r="S998" s="149"/>
      <c r="T998" s="149"/>
      <c r="U998" s="149"/>
      <c r="V998" s="149"/>
      <c r="W998" s="149"/>
      <c r="X998" s="149"/>
      <c r="Y998" s="149"/>
      <c r="Z998" s="149"/>
    </row>
    <row r="999" spans="1:26" ht="13.5" customHeight="1">
      <c r="A999" s="143"/>
      <c r="B999" s="144"/>
      <c r="C999" s="87"/>
      <c r="D999" s="87"/>
      <c r="E999" s="87"/>
      <c r="F999" s="87"/>
      <c r="G999" s="87"/>
      <c r="H999" s="87"/>
      <c r="I999" s="135"/>
      <c r="J999" s="75"/>
      <c r="K999" s="75"/>
      <c r="L999" s="75"/>
      <c r="M999" s="75"/>
      <c r="N999" s="75"/>
      <c r="O999" s="75"/>
      <c r="P999" s="146"/>
      <c r="Q999" s="146"/>
      <c r="R999" s="146"/>
      <c r="S999" s="149"/>
      <c r="T999" s="149"/>
      <c r="U999" s="149"/>
      <c r="V999" s="149"/>
      <c r="W999" s="149"/>
      <c r="X999" s="149"/>
      <c r="Y999" s="149"/>
      <c r="Z999" s="149"/>
    </row>
    <row r="1000" spans="1:26" ht="27.75" customHeight="1">
      <c r="A1000" s="373" t="s">
        <v>2623</v>
      </c>
      <c r="B1000" s="133" t="s">
        <v>2624</v>
      </c>
      <c r="C1000" s="299">
        <f t="shared" ref="C1000:H1000" si="175">AVERAGE(C1001,C1003)</f>
        <v>0.25</v>
      </c>
      <c r="D1000" s="299">
        <f t="shared" si="175"/>
        <v>0</v>
      </c>
      <c r="E1000" s="299">
        <f t="shared" si="175"/>
        <v>0</v>
      </c>
      <c r="F1000" s="299">
        <f t="shared" si="175"/>
        <v>0</v>
      </c>
      <c r="G1000" s="299">
        <f t="shared" si="175"/>
        <v>0.5</v>
      </c>
      <c r="H1000" s="299">
        <f t="shared" si="175"/>
        <v>0.75</v>
      </c>
      <c r="I1000" s="135"/>
      <c r="J1000" s="74"/>
      <c r="K1000" s="203"/>
      <c r="L1000" s="203"/>
      <c r="M1000" s="203"/>
      <c r="N1000" s="203"/>
      <c r="O1000" s="203"/>
      <c r="P1000" s="205"/>
      <c r="Q1000" s="205"/>
      <c r="R1000" s="205"/>
      <c r="S1000" s="206"/>
      <c r="T1000" s="206"/>
      <c r="U1000" s="206"/>
      <c r="V1000" s="206"/>
      <c r="W1000" s="206"/>
      <c r="X1000" s="206"/>
      <c r="Y1000" s="206"/>
      <c r="Z1000" s="206"/>
    </row>
    <row r="1001" spans="1:26" ht="144" customHeight="1">
      <c r="A1001" s="143" t="s">
        <v>736</v>
      </c>
      <c r="B1001" s="168" t="s">
        <v>2625</v>
      </c>
      <c r="C1001" s="80">
        <v>0</v>
      </c>
      <c r="D1001" s="80">
        <v>0</v>
      </c>
      <c r="E1001" s="80">
        <v>0</v>
      </c>
      <c r="F1001" s="80">
        <v>0</v>
      </c>
      <c r="G1001" s="80">
        <v>0</v>
      </c>
      <c r="H1001" s="80">
        <v>1</v>
      </c>
      <c r="I1001" s="135" t="s">
        <v>123</v>
      </c>
      <c r="J1001" s="170" t="s">
        <v>2627</v>
      </c>
      <c r="K1001" s="170" t="s">
        <v>2627</v>
      </c>
      <c r="L1001" s="81" t="s">
        <v>2627</v>
      </c>
      <c r="M1001" s="81" t="s">
        <v>2627</v>
      </c>
      <c r="N1001" s="81" t="s">
        <v>4232</v>
      </c>
      <c r="O1001" s="81" t="s">
        <v>4233</v>
      </c>
      <c r="P1001" s="146"/>
      <c r="Q1001" s="146"/>
      <c r="R1001" s="146"/>
      <c r="S1001" s="149"/>
      <c r="T1001" s="149"/>
      <c r="U1001" s="149"/>
      <c r="V1001" s="149"/>
      <c r="W1001" s="149"/>
      <c r="X1001" s="149"/>
      <c r="Y1001" s="149"/>
      <c r="Z1001" s="149"/>
    </row>
    <row r="1002" spans="1:26" ht="13.5" customHeight="1">
      <c r="A1002" s="143"/>
      <c r="B1002" s="168"/>
      <c r="C1002" s="80"/>
      <c r="D1002" s="80"/>
      <c r="E1002" s="80"/>
      <c r="F1002" s="80"/>
      <c r="G1002" s="80"/>
      <c r="H1002" s="80"/>
      <c r="I1002" s="135"/>
      <c r="J1002" s="81"/>
      <c r="K1002" s="81"/>
      <c r="L1002" s="81"/>
      <c r="M1002" s="81"/>
      <c r="N1002" s="170"/>
      <c r="O1002" s="81"/>
      <c r="P1002" s="146"/>
      <c r="Q1002" s="146"/>
      <c r="R1002" s="146"/>
      <c r="S1002" s="149"/>
      <c r="T1002" s="149"/>
      <c r="U1002" s="149"/>
      <c r="V1002" s="149"/>
      <c r="W1002" s="149"/>
      <c r="X1002" s="149"/>
      <c r="Y1002" s="149"/>
      <c r="Z1002" s="149"/>
    </row>
    <row r="1003" spans="1:26" ht="120" customHeight="1">
      <c r="A1003" s="143" t="s">
        <v>736</v>
      </c>
      <c r="B1003" s="168" t="s">
        <v>199</v>
      </c>
      <c r="C1003" s="80">
        <v>0.5</v>
      </c>
      <c r="D1003" s="80">
        <v>0</v>
      </c>
      <c r="E1003" s="80">
        <v>0</v>
      </c>
      <c r="F1003" s="80">
        <v>0</v>
      </c>
      <c r="G1003" s="80">
        <v>1</v>
      </c>
      <c r="H1003" s="80">
        <v>0.5</v>
      </c>
      <c r="I1003" s="135" t="s">
        <v>481</v>
      </c>
      <c r="J1003" s="81" t="s">
        <v>4234</v>
      </c>
      <c r="K1003" s="81" t="s">
        <v>748</v>
      </c>
      <c r="L1003" s="81" t="s">
        <v>748</v>
      </c>
      <c r="M1003" s="182" t="s">
        <v>748</v>
      </c>
      <c r="N1003" s="81" t="s">
        <v>2630</v>
      </c>
      <c r="O1003" s="81" t="s">
        <v>2592</v>
      </c>
      <c r="P1003" s="146"/>
      <c r="Q1003" s="146"/>
      <c r="R1003" s="146"/>
      <c r="S1003" s="149"/>
      <c r="T1003" s="149"/>
      <c r="U1003" s="149"/>
      <c r="V1003" s="149"/>
      <c r="W1003" s="149"/>
      <c r="X1003" s="149"/>
      <c r="Y1003" s="149"/>
      <c r="Z1003" s="149"/>
    </row>
    <row r="1004" spans="1:26" ht="13.5" customHeight="1">
      <c r="A1004" s="803"/>
      <c r="B1004" s="990"/>
      <c r="C1004" s="804"/>
      <c r="D1004" s="804"/>
      <c r="E1004" s="805"/>
      <c r="F1004" s="805"/>
      <c r="G1004" s="805"/>
      <c r="H1004" s="805"/>
      <c r="I1004" s="806"/>
      <c r="J1004" s="807"/>
      <c r="K1004" s="807"/>
      <c r="L1004" s="807"/>
      <c r="M1004" s="807"/>
      <c r="N1004" s="807"/>
      <c r="O1004" s="807"/>
      <c r="P1004" s="808"/>
      <c r="Q1004" s="808"/>
      <c r="R1004" s="808"/>
      <c r="S1004" s="806"/>
      <c r="T1004" s="806"/>
      <c r="U1004" s="806"/>
      <c r="V1004" s="806"/>
      <c r="W1004" s="806"/>
      <c r="X1004" s="806"/>
      <c r="Y1004" s="806"/>
      <c r="Z1004" s="806"/>
    </row>
    <row r="1005" spans="1:26" ht="13.5" customHeight="1">
      <c r="A1005" s="803"/>
      <c r="B1005" s="990"/>
      <c r="C1005" s="804"/>
      <c r="D1005" s="804"/>
      <c r="E1005" s="805"/>
      <c r="F1005" s="805"/>
      <c r="G1005" s="805"/>
      <c r="H1005" s="805"/>
      <c r="I1005" s="806"/>
      <c r="J1005" s="807"/>
      <c r="K1005" s="807"/>
      <c r="L1005" s="807"/>
      <c r="M1005" s="807"/>
      <c r="N1005" s="807"/>
      <c r="O1005" s="807"/>
      <c r="P1005" s="808"/>
      <c r="Q1005" s="808"/>
      <c r="R1005" s="808"/>
      <c r="S1005" s="806"/>
      <c r="T1005" s="806"/>
      <c r="U1005" s="806"/>
      <c r="V1005" s="806"/>
      <c r="W1005" s="806"/>
      <c r="X1005" s="806"/>
      <c r="Y1005" s="806"/>
      <c r="Z1005" s="806"/>
    </row>
    <row r="1006" spans="1:26" ht="13.5" customHeight="1">
      <c r="A1006" s="143"/>
      <c r="B1006" s="929"/>
      <c r="C1006" s="911"/>
      <c r="D1006" s="911"/>
      <c r="E1006" s="87"/>
      <c r="F1006" s="87"/>
      <c r="G1006" s="87"/>
      <c r="H1006" s="87"/>
      <c r="I1006" s="135"/>
      <c r="J1006" s="291"/>
      <c r="K1006" s="953"/>
      <c r="L1006" s="953"/>
      <c r="M1006" s="291"/>
      <c r="N1006" s="953"/>
      <c r="O1006" s="953"/>
      <c r="P1006" s="149"/>
      <c r="Q1006" s="149"/>
      <c r="R1006" s="149"/>
      <c r="S1006" s="149"/>
      <c r="T1006" s="149"/>
      <c r="U1006" s="149"/>
      <c r="V1006" s="149"/>
      <c r="W1006" s="149"/>
      <c r="X1006" s="149"/>
      <c r="Y1006" s="149"/>
      <c r="Z1006" s="149"/>
    </row>
    <row r="1007" spans="1:26" ht="13.5" customHeight="1">
      <c r="A1007" s="143"/>
      <c r="B1007" s="929"/>
      <c r="C1007" s="911"/>
      <c r="D1007" s="911"/>
      <c r="E1007" s="87"/>
      <c r="F1007" s="87"/>
      <c r="G1007" s="87"/>
      <c r="H1007" s="87"/>
      <c r="I1007" s="135"/>
      <c r="J1007" s="291"/>
      <c r="K1007" s="953"/>
      <c r="L1007" s="953"/>
      <c r="M1007" s="291"/>
      <c r="N1007" s="953"/>
      <c r="O1007" s="953"/>
      <c r="P1007" s="149"/>
      <c r="Q1007" s="149"/>
      <c r="R1007" s="149"/>
      <c r="S1007" s="149"/>
      <c r="T1007" s="149"/>
      <c r="U1007" s="149"/>
      <c r="V1007" s="149"/>
      <c r="W1007" s="149"/>
      <c r="X1007" s="149"/>
      <c r="Y1007" s="149"/>
      <c r="Z1007" s="149"/>
    </row>
    <row r="1008" spans="1:26" ht="13.5" customHeight="1">
      <c r="A1008" s="143"/>
      <c r="B1008" s="929"/>
      <c r="C1008" s="911"/>
      <c r="D1008" s="911"/>
      <c r="E1008" s="87"/>
      <c r="F1008" s="87"/>
      <c r="G1008" s="87"/>
      <c r="H1008" s="87"/>
      <c r="I1008" s="135"/>
      <c r="J1008" s="291"/>
      <c r="K1008" s="953"/>
      <c r="L1008" s="953"/>
      <c r="M1008" s="291"/>
      <c r="N1008" s="953"/>
      <c r="O1008" s="953"/>
      <c r="P1008" s="149"/>
      <c r="Q1008" s="149"/>
      <c r="R1008" s="149"/>
      <c r="S1008" s="149"/>
      <c r="T1008" s="149"/>
      <c r="U1008" s="149"/>
      <c r="V1008" s="149"/>
      <c r="W1008" s="149"/>
      <c r="X1008" s="149"/>
      <c r="Y1008" s="149"/>
      <c r="Z1008" s="149"/>
    </row>
    <row r="1009" spans="1:26" ht="13.5" customHeight="1">
      <c r="A1009" s="143"/>
      <c r="B1009" s="929"/>
      <c r="C1009" s="911"/>
      <c r="D1009" s="911"/>
      <c r="E1009" s="87"/>
      <c r="F1009" s="87"/>
      <c r="G1009" s="87"/>
      <c r="H1009" s="87"/>
      <c r="I1009" s="135"/>
      <c r="J1009" s="291"/>
      <c r="K1009" s="953"/>
      <c r="L1009" s="953"/>
      <c r="M1009" s="291"/>
      <c r="N1009" s="953"/>
      <c r="O1009" s="953"/>
      <c r="P1009" s="149"/>
      <c r="Q1009" s="149"/>
      <c r="R1009" s="149"/>
      <c r="S1009" s="149"/>
      <c r="T1009" s="149"/>
      <c r="U1009" s="149"/>
      <c r="V1009" s="149"/>
      <c r="W1009" s="149"/>
      <c r="X1009" s="149"/>
      <c r="Y1009" s="149"/>
      <c r="Z1009" s="149"/>
    </row>
    <row r="1010" spans="1:26" ht="13.5" customHeight="1">
      <c r="A1010" s="143"/>
      <c r="B1010" s="929"/>
      <c r="C1010" s="911"/>
      <c r="D1010" s="911"/>
      <c r="E1010" s="87"/>
      <c r="F1010" s="87"/>
      <c r="G1010" s="87"/>
      <c r="H1010" s="87"/>
      <c r="I1010" s="135"/>
      <c r="J1010" s="291"/>
      <c r="K1010" s="953"/>
      <c r="L1010" s="953"/>
      <c r="M1010" s="291"/>
      <c r="N1010" s="953"/>
      <c r="O1010" s="953"/>
      <c r="P1010" s="149"/>
      <c r="Q1010" s="149"/>
      <c r="R1010" s="149"/>
      <c r="S1010" s="149"/>
      <c r="T1010" s="149"/>
      <c r="U1010" s="149"/>
      <c r="V1010" s="149"/>
      <c r="W1010" s="149"/>
      <c r="X1010" s="149"/>
      <c r="Y1010" s="149"/>
      <c r="Z1010" s="149"/>
    </row>
    <row r="1011" spans="1:26" ht="13.5" customHeight="1">
      <c r="A1011" s="143"/>
      <c r="B1011" s="929"/>
      <c r="C1011" s="911"/>
      <c r="D1011" s="911"/>
      <c r="E1011" s="87"/>
      <c r="F1011" s="87"/>
      <c r="G1011" s="87"/>
      <c r="H1011" s="87"/>
      <c r="I1011" s="135"/>
      <c r="J1011" s="291"/>
      <c r="K1011" s="953"/>
      <c r="L1011" s="953"/>
      <c r="M1011" s="291"/>
      <c r="N1011" s="953"/>
      <c r="O1011" s="953"/>
      <c r="P1011" s="149"/>
      <c r="Q1011" s="149"/>
      <c r="R1011" s="149"/>
      <c r="S1011" s="149"/>
      <c r="T1011" s="149"/>
      <c r="U1011" s="149"/>
      <c r="V1011" s="149"/>
      <c r="W1011" s="149"/>
      <c r="X1011" s="149"/>
      <c r="Y1011" s="149"/>
      <c r="Z1011" s="149"/>
    </row>
    <row r="1012" spans="1:26" ht="13.5" customHeight="1">
      <c r="A1012" s="143"/>
      <c r="B1012" s="929"/>
      <c r="C1012" s="911"/>
      <c r="D1012" s="911"/>
      <c r="E1012" s="87"/>
      <c r="F1012" s="87"/>
      <c r="G1012" s="87"/>
      <c r="H1012" s="87"/>
      <c r="I1012" s="135"/>
      <c r="J1012" s="291"/>
      <c r="K1012" s="953"/>
      <c r="L1012" s="953"/>
      <c r="M1012" s="291"/>
      <c r="N1012" s="953"/>
      <c r="O1012" s="953"/>
      <c r="P1012" s="149"/>
      <c r="Q1012" s="149"/>
      <c r="R1012" s="149"/>
      <c r="S1012" s="149"/>
      <c r="T1012" s="149"/>
      <c r="U1012" s="149"/>
      <c r="V1012" s="149"/>
      <c r="W1012" s="149"/>
      <c r="X1012" s="149"/>
      <c r="Y1012" s="149"/>
      <c r="Z1012" s="149"/>
    </row>
    <row r="1013" spans="1:26" ht="13.5" customHeight="1">
      <c r="A1013" s="143"/>
      <c r="B1013" s="929"/>
      <c r="C1013" s="911"/>
      <c r="D1013" s="911"/>
      <c r="E1013" s="87"/>
      <c r="F1013" s="87"/>
      <c r="G1013" s="87"/>
      <c r="H1013" s="87"/>
      <c r="I1013" s="135"/>
      <c r="J1013" s="291"/>
      <c r="K1013" s="953"/>
      <c r="L1013" s="953"/>
      <c r="M1013" s="291"/>
      <c r="N1013" s="953"/>
      <c r="O1013" s="953"/>
      <c r="P1013" s="149"/>
      <c r="Q1013" s="149"/>
      <c r="R1013" s="149"/>
      <c r="S1013" s="149"/>
      <c r="T1013" s="149"/>
      <c r="U1013" s="149"/>
      <c r="V1013" s="149"/>
      <c r="W1013" s="149"/>
      <c r="X1013" s="149"/>
      <c r="Y1013" s="149"/>
      <c r="Z1013" s="149"/>
    </row>
    <row r="1014" spans="1:26" ht="13.5" customHeight="1">
      <c r="A1014" s="143"/>
      <c r="B1014" s="929"/>
      <c r="C1014" s="911"/>
      <c r="D1014" s="911"/>
      <c r="E1014" s="87"/>
      <c r="F1014" s="87"/>
      <c r="G1014" s="87"/>
      <c r="H1014" s="87"/>
      <c r="I1014" s="135"/>
      <c r="J1014" s="291"/>
      <c r="K1014" s="953"/>
      <c r="L1014" s="953"/>
      <c r="M1014" s="291"/>
      <c r="N1014" s="953"/>
      <c r="O1014" s="953"/>
      <c r="P1014" s="149"/>
      <c r="Q1014" s="149"/>
      <c r="R1014" s="149"/>
      <c r="S1014" s="149"/>
      <c r="T1014" s="149"/>
      <c r="U1014" s="149"/>
      <c r="V1014" s="149"/>
      <c r="W1014" s="149"/>
      <c r="X1014" s="149"/>
      <c r="Y1014" s="149"/>
      <c r="Z1014" s="149"/>
    </row>
    <row r="1015" spans="1:26" ht="13.5" customHeight="1">
      <c r="A1015" s="143"/>
      <c r="B1015" s="929"/>
      <c r="C1015" s="911"/>
      <c r="D1015" s="911"/>
      <c r="E1015" s="87"/>
      <c r="F1015" s="87"/>
      <c r="G1015" s="87"/>
      <c r="H1015" s="87"/>
      <c r="I1015" s="135"/>
      <c r="J1015" s="291"/>
      <c r="K1015" s="953"/>
      <c r="L1015" s="953"/>
      <c r="M1015" s="291"/>
      <c r="N1015" s="953"/>
      <c r="O1015" s="953"/>
      <c r="P1015" s="149"/>
      <c r="Q1015" s="149"/>
      <c r="R1015" s="149"/>
      <c r="S1015" s="149"/>
      <c r="T1015" s="149"/>
      <c r="U1015" s="149"/>
      <c r="V1015" s="149"/>
      <c r="W1015" s="149"/>
      <c r="X1015" s="149"/>
      <c r="Y1015" s="149"/>
      <c r="Z1015" s="149"/>
    </row>
    <row r="1016" spans="1:26" ht="13.5" customHeight="1">
      <c r="A1016" s="143"/>
      <c r="B1016" s="929"/>
      <c r="C1016" s="911"/>
      <c r="D1016" s="911"/>
      <c r="E1016" s="87"/>
      <c r="F1016" s="87"/>
      <c r="G1016" s="87"/>
      <c r="H1016" s="87"/>
      <c r="I1016" s="135"/>
      <c r="J1016" s="291"/>
      <c r="K1016" s="953"/>
      <c r="L1016" s="953"/>
      <c r="M1016" s="291"/>
      <c r="N1016" s="953"/>
      <c r="O1016" s="953"/>
      <c r="P1016" s="149"/>
      <c r="Q1016" s="149"/>
      <c r="R1016" s="149"/>
      <c r="S1016" s="149"/>
      <c r="T1016" s="149"/>
      <c r="U1016" s="149"/>
      <c r="V1016" s="149"/>
      <c r="W1016" s="149"/>
      <c r="X1016" s="149"/>
      <c r="Y1016" s="149"/>
      <c r="Z1016" s="149"/>
    </row>
    <row r="1017" spans="1:26" ht="13.5" customHeight="1">
      <c r="A1017" s="143"/>
      <c r="B1017" s="929"/>
      <c r="C1017" s="911"/>
      <c r="D1017" s="911"/>
      <c r="E1017" s="87"/>
      <c r="F1017" s="87"/>
      <c r="G1017" s="87"/>
      <c r="H1017" s="87"/>
      <c r="I1017" s="135"/>
      <c r="J1017" s="291"/>
      <c r="K1017" s="953"/>
      <c r="L1017" s="953"/>
      <c r="M1017" s="291"/>
      <c r="N1017" s="953"/>
      <c r="O1017" s="953"/>
      <c r="P1017" s="149"/>
      <c r="Q1017" s="149"/>
      <c r="R1017" s="149"/>
      <c r="S1017" s="149"/>
      <c r="T1017" s="149"/>
      <c r="U1017" s="149"/>
      <c r="V1017" s="149"/>
      <c r="W1017" s="149"/>
      <c r="X1017" s="149"/>
      <c r="Y1017" s="149"/>
      <c r="Z1017" s="149"/>
    </row>
    <row r="1018" spans="1:26" ht="13.5" customHeight="1">
      <c r="A1018" s="143"/>
      <c r="B1018" s="929"/>
      <c r="C1018" s="911"/>
      <c r="D1018" s="911"/>
      <c r="E1018" s="87"/>
      <c r="F1018" s="87"/>
      <c r="G1018" s="87"/>
      <c r="H1018" s="87"/>
      <c r="I1018" s="135"/>
      <c r="J1018" s="291"/>
      <c r="K1018" s="953"/>
      <c r="L1018" s="953"/>
      <c r="M1018" s="291"/>
      <c r="N1018" s="953"/>
      <c r="O1018" s="953"/>
      <c r="P1018" s="149"/>
      <c r="Q1018" s="149"/>
      <c r="R1018" s="149"/>
      <c r="S1018" s="149"/>
      <c r="T1018" s="149"/>
      <c r="U1018" s="149"/>
      <c r="V1018" s="149"/>
      <c r="W1018" s="149"/>
      <c r="X1018" s="149"/>
      <c r="Y1018" s="149"/>
      <c r="Z1018" s="149"/>
    </row>
    <row r="1019" spans="1:26" ht="13.5" customHeight="1">
      <c r="A1019" s="143"/>
      <c r="B1019" s="929"/>
      <c r="C1019" s="911"/>
      <c r="D1019" s="911"/>
      <c r="E1019" s="87"/>
      <c r="F1019" s="87"/>
      <c r="G1019" s="87"/>
      <c r="H1019" s="87"/>
      <c r="I1019" s="135"/>
      <c r="J1019" s="291"/>
      <c r="K1019" s="953"/>
      <c r="L1019" s="953"/>
      <c r="M1019" s="291"/>
      <c r="N1019" s="953"/>
      <c r="O1019" s="953"/>
      <c r="P1019" s="149"/>
      <c r="Q1019" s="149"/>
      <c r="R1019" s="149"/>
      <c r="S1019" s="149"/>
      <c r="T1019" s="149"/>
      <c r="U1019" s="149"/>
      <c r="V1019" s="149"/>
      <c r="W1019" s="149"/>
      <c r="X1019" s="149"/>
      <c r="Y1019" s="149"/>
      <c r="Z1019" s="149"/>
    </row>
    <row r="1020" spans="1:26" ht="13.5" customHeight="1">
      <c r="A1020" s="143"/>
      <c r="B1020" s="929"/>
      <c r="C1020" s="911"/>
      <c r="D1020" s="911"/>
      <c r="E1020" s="87"/>
      <c r="F1020" s="87"/>
      <c r="G1020" s="87"/>
      <c r="H1020" s="87"/>
      <c r="I1020" s="135"/>
      <c r="J1020" s="291"/>
      <c r="K1020" s="953"/>
      <c r="L1020" s="953"/>
      <c r="M1020" s="291"/>
      <c r="N1020" s="953"/>
      <c r="O1020" s="953"/>
      <c r="P1020" s="149"/>
      <c r="Q1020" s="149"/>
      <c r="R1020" s="149"/>
      <c r="S1020" s="149"/>
      <c r="T1020" s="149"/>
      <c r="U1020" s="149"/>
      <c r="V1020" s="149"/>
      <c r="W1020" s="149"/>
      <c r="X1020" s="149"/>
      <c r="Y1020" s="149"/>
      <c r="Z1020" s="149"/>
    </row>
    <row r="1021" spans="1:26" ht="13.5" customHeight="1">
      <c r="A1021" s="143"/>
      <c r="B1021" s="929"/>
      <c r="C1021" s="911"/>
      <c r="D1021" s="911"/>
      <c r="E1021" s="87"/>
      <c r="F1021" s="87"/>
      <c r="G1021" s="87"/>
      <c r="H1021" s="87"/>
      <c r="I1021" s="135"/>
      <c r="J1021" s="291"/>
      <c r="K1021" s="953"/>
      <c r="L1021" s="953"/>
      <c r="M1021" s="291"/>
      <c r="N1021" s="953"/>
      <c r="O1021" s="953"/>
      <c r="P1021" s="149"/>
      <c r="Q1021" s="149"/>
      <c r="R1021" s="149"/>
      <c r="S1021" s="149"/>
      <c r="T1021" s="149"/>
      <c r="U1021" s="149"/>
      <c r="V1021" s="149"/>
      <c r="W1021" s="149"/>
      <c r="X1021" s="149"/>
      <c r="Y1021" s="149"/>
      <c r="Z1021" s="149"/>
    </row>
    <row r="1022" spans="1:26" ht="13.5" customHeight="1">
      <c r="A1022" s="143"/>
      <c r="B1022" s="929"/>
      <c r="C1022" s="911"/>
      <c r="D1022" s="911"/>
      <c r="E1022" s="87"/>
      <c r="F1022" s="87"/>
      <c r="G1022" s="87"/>
      <c r="H1022" s="87"/>
      <c r="I1022" s="135"/>
      <c r="J1022" s="291"/>
      <c r="K1022" s="953"/>
      <c r="L1022" s="953"/>
      <c r="M1022" s="291"/>
      <c r="N1022" s="953"/>
      <c r="O1022" s="953"/>
      <c r="P1022" s="149"/>
      <c r="Q1022" s="149"/>
      <c r="R1022" s="149"/>
      <c r="S1022" s="149"/>
      <c r="T1022" s="149"/>
      <c r="U1022" s="149"/>
      <c r="V1022" s="149"/>
      <c r="W1022" s="149"/>
      <c r="X1022" s="149"/>
      <c r="Y1022" s="149"/>
      <c r="Z1022" s="149"/>
    </row>
    <row r="1023" spans="1:26" ht="13.5" customHeight="1">
      <c r="A1023" s="143"/>
      <c r="B1023" s="929"/>
      <c r="C1023" s="911"/>
      <c r="D1023" s="911"/>
      <c r="E1023" s="87"/>
      <c r="F1023" s="87"/>
      <c r="G1023" s="87"/>
      <c r="H1023" s="87"/>
      <c r="I1023" s="135"/>
      <c r="J1023" s="291"/>
      <c r="K1023" s="953"/>
      <c r="L1023" s="953"/>
      <c r="M1023" s="291"/>
      <c r="N1023" s="953"/>
      <c r="O1023" s="953"/>
      <c r="P1023" s="149"/>
      <c r="Q1023" s="149"/>
      <c r="R1023" s="149"/>
      <c r="S1023" s="149"/>
      <c r="T1023" s="149"/>
      <c r="U1023" s="149"/>
      <c r="V1023" s="149"/>
      <c r="W1023" s="149"/>
      <c r="X1023" s="149"/>
      <c r="Y1023" s="149"/>
      <c r="Z1023" s="149"/>
    </row>
    <row r="1024" spans="1:26" ht="13.5" customHeight="1">
      <c r="A1024" s="143"/>
      <c r="B1024" s="929"/>
      <c r="C1024" s="911"/>
      <c r="D1024" s="911"/>
      <c r="E1024" s="87"/>
      <c r="F1024" s="87"/>
      <c r="G1024" s="87"/>
      <c r="H1024" s="87"/>
      <c r="I1024" s="135"/>
      <c r="J1024" s="291"/>
      <c r="K1024" s="953"/>
      <c r="L1024" s="953"/>
      <c r="M1024" s="291"/>
      <c r="N1024" s="953"/>
      <c r="O1024" s="953"/>
      <c r="P1024" s="149"/>
      <c r="Q1024" s="149"/>
      <c r="R1024" s="149"/>
      <c r="S1024" s="149"/>
      <c r="T1024" s="149"/>
      <c r="U1024" s="149"/>
      <c r="V1024" s="149"/>
      <c r="W1024" s="149"/>
      <c r="X1024" s="149"/>
      <c r="Y1024" s="149"/>
      <c r="Z1024" s="149"/>
    </row>
    <row r="1025" spans="1:26" ht="13.5" customHeight="1">
      <c r="A1025" s="143"/>
      <c r="B1025" s="929"/>
      <c r="C1025" s="911"/>
      <c r="D1025" s="911"/>
      <c r="E1025" s="87"/>
      <c r="F1025" s="87"/>
      <c r="G1025" s="87"/>
      <c r="H1025" s="87"/>
      <c r="I1025" s="135"/>
      <c r="J1025" s="291"/>
      <c r="K1025" s="953"/>
      <c r="L1025" s="953"/>
      <c r="M1025" s="291"/>
      <c r="N1025" s="953"/>
      <c r="O1025" s="953"/>
      <c r="P1025" s="149"/>
      <c r="Q1025" s="149"/>
      <c r="R1025" s="149"/>
      <c r="S1025" s="149"/>
      <c r="T1025" s="149"/>
      <c r="U1025" s="149"/>
      <c r="V1025" s="149"/>
      <c r="W1025" s="149"/>
      <c r="X1025" s="149"/>
      <c r="Y1025" s="149"/>
      <c r="Z1025" s="149"/>
    </row>
    <row r="1026" spans="1:26" ht="13.5" customHeight="1">
      <c r="A1026" s="143"/>
      <c r="B1026" s="929"/>
      <c r="C1026" s="911"/>
      <c r="D1026" s="911"/>
      <c r="E1026" s="87"/>
      <c r="F1026" s="87"/>
      <c r="G1026" s="87"/>
      <c r="H1026" s="87"/>
      <c r="I1026" s="135"/>
      <c r="J1026" s="291"/>
      <c r="K1026" s="953"/>
      <c r="L1026" s="953"/>
      <c r="M1026" s="291"/>
      <c r="N1026" s="953"/>
      <c r="O1026" s="953"/>
      <c r="P1026" s="149"/>
      <c r="Q1026" s="149"/>
      <c r="R1026" s="149"/>
      <c r="S1026" s="149"/>
      <c r="T1026" s="149"/>
      <c r="U1026" s="149"/>
      <c r="V1026" s="149"/>
      <c r="W1026" s="149"/>
      <c r="X1026" s="149"/>
      <c r="Y1026" s="149"/>
      <c r="Z1026" s="149"/>
    </row>
    <row r="1027" spans="1:26" ht="13.5" customHeight="1">
      <c r="A1027" s="143"/>
      <c r="B1027" s="929"/>
      <c r="C1027" s="911"/>
      <c r="D1027" s="911"/>
      <c r="E1027" s="87"/>
      <c r="F1027" s="87"/>
      <c r="G1027" s="87"/>
      <c r="H1027" s="87"/>
      <c r="I1027" s="135"/>
      <c r="J1027" s="291"/>
      <c r="K1027" s="953"/>
      <c r="L1027" s="953"/>
      <c r="M1027" s="291"/>
      <c r="N1027" s="953"/>
      <c r="O1027" s="953"/>
      <c r="P1027" s="149"/>
      <c r="Q1027" s="149"/>
      <c r="R1027" s="149"/>
      <c r="S1027" s="149"/>
      <c r="T1027" s="149"/>
      <c r="U1027" s="149"/>
      <c r="V1027" s="149"/>
      <c r="W1027" s="149"/>
      <c r="X1027" s="149"/>
      <c r="Y1027" s="149"/>
      <c r="Z1027" s="149"/>
    </row>
    <row r="1028" spans="1:26" ht="13.5" customHeight="1">
      <c r="A1028" s="143"/>
      <c r="B1028" s="929"/>
      <c r="C1028" s="911"/>
      <c r="D1028" s="911"/>
      <c r="E1028" s="87"/>
      <c r="F1028" s="87"/>
      <c r="G1028" s="87"/>
      <c r="H1028" s="87"/>
      <c r="I1028" s="135"/>
      <c r="J1028" s="291"/>
      <c r="K1028" s="953"/>
      <c r="L1028" s="953"/>
      <c r="M1028" s="291"/>
      <c r="N1028" s="953"/>
      <c r="O1028" s="953"/>
      <c r="P1028" s="149"/>
      <c r="Q1028" s="149"/>
      <c r="R1028" s="149"/>
      <c r="S1028" s="149"/>
      <c r="T1028" s="149"/>
      <c r="U1028" s="149"/>
      <c r="V1028" s="149"/>
      <c r="W1028" s="149"/>
      <c r="X1028" s="149"/>
      <c r="Y1028" s="149"/>
      <c r="Z1028" s="149"/>
    </row>
    <row r="1029" spans="1:26" ht="13.5" customHeight="1">
      <c r="A1029" s="143"/>
      <c r="B1029" s="929"/>
      <c r="C1029" s="911"/>
      <c r="D1029" s="911"/>
      <c r="E1029" s="87"/>
      <c r="F1029" s="87"/>
      <c r="G1029" s="87"/>
      <c r="H1029" s="87"/>
      <c r="I1029" s="135"/>
      <c r="J1029" s="291"/>
      <c r="K1029" s="953"/>
      <c r="L1029" s="953"/>
      <c r="M1029" s="291"/>
      <c r="N1029" s="953"/>
      <c r="O1029" s="953"/>
      <c r="P1029" s="149"/>
      <c r="Q1029" s="149"/>
      <c r="R1029" s="149"/>
      <c r="S1029" s="149"/>
      <c r="T1029" s="149"/>
      <c r="U1029" s="149"/>
      <c r="V1029" s="149"/>
      <c r="W1029" s="149"/>
      <c r="X1029" s="149"/>
      <c r="Y1029" s="149"/>
      <c r="Z1029" s="149"/>
    </row>
    <row r="1030" spans="1:26" ht="13.5" customHeight="1">
      <c r="A1030" s="143"/>
      <c r="B1030" s="929"/>
      <c r="C1030" s="911"/>
      <c r="D1030" s="911"/>
      <c r="E1030" s="87"/>
      <c r="F1030" s="87"/>
      <c r="G1030" s="87"/>
      <c r="H1030" s="87"/>
      <c r="I1030" s="135"/>
      <c r="J1030" s="291"/>
      <c r="K1030" s="953"/>
      <c r="L1030" s="953"/>
      <c r="M1030" s="291"/>
      <c r="N1030" s="953"/>
      <c r="O1030" s="953"/>
      <c r="P1030" s="149"/>
      <c r="Q1030" s="149"/>
      <c r="R1030" s="149"/>
      <c r="S1030" s="149"/>
      <c r="T1030" s="149"/>
      <c r="U1030" s="149"/>
      <c r="V1030" s="149"/>
      <c r="W1030" s="149"/>
      <c r="X1030" s="149"/>
      <c r="Y1030" s="149"/>
      <c r="Z1030" s="149"/>
    </row>
    <row r="1031" spans="1:26" ht="13.5" customHeight="1">
      <c r="A1031" s="143"/>
      <c r="B1031" s="929"/>
      <c r="C1031" s="911"/>
      <c r="D1031" s="911"/>
      <c r="E1031" s="87"/>
      <c r="F1031" s="87"/>
      <c r="G1031" s="87"/>
      <c r="H1031" s="87"/>
      <c r="I1031" s="135"/>
      <c r="J1031" s="291"/>
      <c r="K1031" s="953"/>
      <c r="L1031" s="953"/>
      <c r="M1031" s="291"/>
      <c r="N1031" s="953"/>
      <c r="O1031" s="953"/>
      <c r="P1031" s="149"/>
      <c r="Q1031" s="149"/>
      <c r="R1031" s="149"/>
      <c r="S1031" s="149"/>
      <c r="T1031" s="149"/>
      <c r="U1031" s="149"/>
      <c r="V1031" s="149"/>
      <c r="W1031" s="149"/>
      <c r="X1031" s="149"/>
      <c r="Y1031" s="149"/>
      <c r="Z1031" s="149"/>
    </row>
    <row r="1032" spans="1:26" ht="13.5" customHeight="1">
      <c r="A1032" s="143"/>
      <c r="B1032" s="929"/>
      <c r="C1032" s="911"/>
      <c r="D1032" s="911"/>
      <c r="E1032" s="87"/>
      <c r="F1032" s="87"/>
      <c r="G1032" s="87"/>
      <c r="H1032" s="87"/>
      <c r="I1032" s="135"/>
      <c r="J1032" s="291"/>
      <c r="K1032" s="953"/>
      <c r="L1032" s="953"/>
      <c r="M1032" s="291"/>
      <c r="N1032" s="953"/>
      <c r="O1032" s="953"/>
      <c r="P1032" s="149"/>
      <c r="Q1032" s="149"/>
      <c r="R1032" s="149"/>
      <c r="S1032" s="149"/>
      <c r="T1032" s="149"/>
      <c r="U1032" s="149"/>
      <c r="V1032" s="149"/>
      <c r="W1032" s="149"/>
      <c r="X1032" s="149"/>
      <c r="Y1032" s="149"/>
      <c r="Z1032" s="149"/>
    </row>
    <row r="1033" spans="1:26" ht="13.5" customHeight="1">
      <c r="A1033" s="143"/>
      <c r="B1033" s="929"/>
      <c r="C1033" s="911"/>
      <c r="D1033" s="911"/>
      <c r="E1033" s="87"/>
      <c r="F1033" s="87"/>
      <c r="G1033" s="87"/>
      <c r="H1033" s="87"/>
      <c r="I1033" s="135"/>
      <c r="J1033" s="291"/>
      <c r="K1033" s="953"/>
      <c r="L1033" s="953"/>
      <c r="M1033" s="291"/>
      <c r="N1033" s="953"/>
      <c r="O1033" s="953"/>
      <c r="P1033" s="149"/>
      <c r="Q1033" s="149"/>
      <c r="R1033" s="149"/>
      <c r="S1033" s="149"/>
      <c r="T1033" s="149"/>
      <c r="U1033" s="149"/>
      <c r="V1033" s="149"/>
      <c r="W1033" s="149"/>
      <c r="X1033" s="149"/>
      <c r="Y1033" s="149"/>
      <c r="Z1033" s="149"/>
    </row>
    <row r="1034" spans="1:26" ht="13.5" customHeight="1">
      <c r="A1034" s="143"/>
      <c r="B1034" s="929"/>
      <c r="C1034" s="911"/>
      <c r="D1034" s="911"/>
      <c r="E1034" s="87"/>
      <c r="F1034" s="87"/>
      <c r="G1034" s="87"/>
      <c r="H1034" s="87"/>
      <c r="I1034" s="135"/>
      <c r="J1034" s="291"/>
      <c r="K1034" s="953"/>
      <c r="L1034" s="953"/>
      <c r="M1034" s="291"/>
      <c r="N1034" s="953"/>
      <c r="O1034" s="953"/>
      <c r="P1034" s="149"/>
      <c r="Q1034" s="149"/>
      <c r="R1034" s="149"/>
      <c r="S1034" s="149"/>
      <c r="T1034" s="149"/>
      <c r="U1034" s="149"/>
      <c r="V1034" s="149"/>
      <c r="W1034" s="149"/>
      <c r="X1034" s="149"/>
      <c r="Y1034" s="149"/>
      <c r="Z1034" s="149"/>
    </row>
    <row r="1035" spans="1:26" ht="13.5" customHeight="1">
      <c r="A1035" s="143"/>
      <c r="B1035" s="929"/>
      <c r="C1035" s="911"/>
      <c r="D1035" s="911"/>
      <c r="E1035" s="87"/>
      <c r="F1035" s="87"/>
      <c r="G1035" s="87"/>
      <c r="H1035" s="87"/>
      <c r="I1035" s="135"/>
      <c r="J1035" s="291"/>
      <c r="K1035" s="953"/>
      <c r="L1035" s="953"/>
      <c r="M1035" s="291"/>
      <c r="N1035" s="953"/>
      <c r="O1035" s="953"/>
      <c r="P1035" s="149"/>
      <c r="Q1035" s="149"/>
      <c r="R1035" s="149"/>
      <c r="S1035" s="149"/>
      <c r="T1035" s="149"/>
      <c r="U1035" s="149"/>
      <c r="V1035" s="149"/>
      <c r="W1035" s="149"/>
      <c r="X1035" s="149"/>
      <c r="Y1035" s="149"/>
      <c r="Z1035" s="149"/>
    </row>
    <row r="1036" spans="1:26" ht="13.5" customHeight="1">
      <c r="A1036" s="143"/>
      <c r="B1036" s="929"/>
      <c r="C1036" s="911"/>
      <c r="D1036" s="911"/>
      <c r="E1036" s="87"/>
      <c r="F1036" s="87"/>
      <c r="G1036" s="87"/>
      <c r="H1036" s="87"/>
      <c r="I1036" s="135"/>
      <c r="J1036" s="291"/>
      <c r="K1036" s="953"/>
      <c r="L1036" s="953"/>
      <c r="M1036" s="291"/>
      <c r="N1036" s="953"/>
      <c r="O1036" s="953"/>
      <c r="P1036" s="149"/>
      <c r="Q1036" s="149"/>
      <c r="R1036" s="149"/>
      <c r="S1036" s="149"/>
      <c r="T1036" s="149"/>
      <c r="U1036" s="149"/>
      <c r="V1036" s="149"/>
      <c r="W1036" s="149"/>
      <c r="X1036" s="149"/>
      <c r="Y1036" s="149"/>
      <c r="Z1036" s="149"/>
    </row>
    <row r="1037" spans="1:26" ht="13.5" customHeight="1">
      <c r="A1037" s="143"/>
      <c r="B1037" s="929"/>
      <c r="C1037" s="911"/>
      <c r="D1037" s="911"/>
      <c r="E1037" s="87"/>
      <c r="F1037" s="87"/>
      <c r="G1037" s="87"/>
      <c r="H1037" s="87"/>
      <c r="I1037" s="135"/>
      <c r="J1037" s="291"/>
      <c r="K1037" s="953"/>
      <c r="L1037" s="953"/>
      <c r="M1037" s="291"/>
      <c r="N1037" s="953"/>
      <c r="O1037" s="953"/>
      <c r="P1037" s="149"/>
      <c r="Q1037" s="149"/>
      <c r="R1037" s="149"/>
      <c r="S1037" s="149"/>
      <c r="T1037" s="149"/>
      <c r="U1037" s="149"/>
      <c r="V1037" s="149"/>
      <c r="W1037" s="149"/>
      <c r="X1037" s="149"/>
      <c r="Y1037" s="149"/>
      <c r="Z1037" s="149"/>
    </row>
    <row r="1038" spans="1:26" ht="13.5" customHeight="1">
      <c r="A1038" s="143"/>
      <c r="B1038" s="929"/>
      <c r="C1038" s="911"/>
      <c r="D1038" s="911"/>
      <c r="E1038" s="87"/>
      <c r="F1038" s="87"/>
      <c r="G1038" s="87"/>
      <c r="H1038" s="87"/>
      <c r="I1038" s="135"/>
      <c r="J1038" s="291"/>
      <c r="K1038" s="953"/>
      <c r="L1038" s="953"/>
      <c r="M1038" s="291"/>
      <c r="N1038" s="953"/>
      <c r="O1038" s="953"/>
      <c r="P1038" s="149"/>
      <c r="Q1038" s="149"/>
      <c r="R1038" s="149"/>
      <c r="S1038" s="149"/>
      <c r="T1038" s="149"/>
      <c r="U1038" s="149"/>
      <c r="V1038" s="149"/>
      <c r="W1038" s="149"/>
      <c r="X1038" s="149"/>
      <c r="Y1038" s="149"/>
      <c r="Z1038" s="149"/>
    </row>
    <row r="1039" spans="1:26" ht="13.5" customHeight="1">
      <c r="A1039" s="143"/>
      <c r="B1039" s="929"/>
      <c r="C1039" s="911"/>
      <c r="D1039" s="911"/>
      <c r="E1039" s="87"/>
      <c r="F1039" s="87"/>
      <c r="G1039" s="87"/>
      <c r="H1039" s="87"/>
      <c r="I1039" s="135"/>
      <c r="J1039" s="291"/>
      <c r="K1039" s="953"/>
      <c r="L1039" s="953"/>
      <c r="M1039" s="291"/>
      <c r="N1039" s="953"/>
      <c r="O1039" s="953"/>
      <c r="P1039" s="149"/>
      <c r="Q1039" s="149"/>
      <c r="R1039" s="149"/>
      <c r="S1039" s="149"/>
      <c r="T1039" s="149"/>
      <c r="U1039" s="149"/>
      <c r="V1039" s="149"/>
      <c r="W1039" s="149"/>
      <c r="X1039" s="149"/>
      <c r="Y1039" s="149"/>
      <c r="Z1039" s="149"/>
    </row>
    <row r="1040" spans="1:26" ht="13.5" customHeight="1">
      <c r="A1040" s="143"/>
      <c r="B1040" s="929"/>
      <c r="C1040" s="911"/>
      <c r="D1040" s="911"/>
      <c r="E1040" s="87"/>
      <c r="F1040" s="87"/>
      <c r="G1040" s="87"/>
      <c r="H1040" s="87"/>
      <c r="I1040" s="135"/>
      <c r="J1040" s="291"/>
      <c r="K1040" s="953"/>
      <c r="L1040" s="953"/>
      <c r="M1040" s="291"/>
      <c r="N1040" s="953"/>
      <c r="O1040" s="953"/>
      <c r="P1040" s="149"/>
      <c r="Q1040" s="149"/>
      <c r="R1040" s="149"/>
      <c r="S1040" s="149"/>
      <c r="T1040" s="149"/>
      <c r="U1040" s="149"/>
      <c r="V1040" s="149"/>
      <c r="W1040" s="149"/>
      <c r="X1040" s="149"/>
      <c r="Y1040" s="149"/>
      <c r="Z1040" s="149"/>
    </row>
    <row r="1041" spans="1:26" ht="13.5" customHeight="1">
      <c r="A1041" s="143"/>
      <c r="B1041" s="929"/>
      <c r="C1041" s="911"/>
      <c r="D1041" s="911"/>
      <c r="E1041" s="87"/>
      <c r="F1041" s="87"/>
      <c r="G1041" s="87"/>
      <c r="H1041" s="87"/>
      <c r="I1041" s="135"/>
      <c r="J1041" s="291"/>
      <c r="K1041" s="953"/>
      <c r="L1041" s="953"/>
      <c r="M1041" s="291"/>
      <c r="N1041" s="953"/>
      <c r="O1041" s="953"/>
      <c r="P1041" s="149"/>
      <c r="Q1041" s="149"/>
      <c r="R1041" s="149"/>
      <c r="S1041" s="149"/>
      <c r="T1041" s="149"/>
      <c r="U1041" s="149"/>
      <c r="V1041" s="149"/>
      <c r="W1041" s="149"/>
      <c r="X1041" s="149"/>
      <c r="Y1041" s="149"/>
      <c r="Z1041" s="149"/>
    </row>
    <row r="1042" spans="1:26" ht="13.5" customHeight="1">
      <c r="A1042" s="143"/>
      <c r="B1042" s="929"/>
      <c r="C1042" s="911"/>
      <c r="D1042" s="911"/>
      <c r="E1042" s="87"/>
      <c r="F1042" s="87"/>
      <c r="G1042" s="87"/>
      <c r="H1042" s="87"/>
      <c r="I1042" s="135"/>
      <c r="J1042" s="291"/>
      <c r="K1042" s="953"/>
      <c r="L1042" s="953"/>
      <c r="M1042" s="291"/>
      <c r="N1042" s="953"/>
      <c r="O1042" s="953"/>
      <c r="P1042" s="149"/>
      <c r="Q1042" s="149"/>
      <c r="R1042" s="149"/>
      <c r="S1042" s="149"/>
      <c r="T1042" s="149"/>
      <c r="U1042" s="149"/>
      <c r="V1042" s="149"/>
      <c r="W1042" s="149"/>
      <c r="X1042" s="149"/>
      <c r="Y1042" s="149"/>
      <c r="Z1042" s="149"/>
    </row>
    <row r="1043" spans="1:26" ht="13.5" customHeight="1">
      <c r="A1043" s="143"/>
      <c r="B1043" s="929"/>
      <c r="C1043" s="911"/>
      <c r="D1043" s="911"/>
      <c r="E1043" s="87"/>
      <c r="F1043" s="87"/>
      <c r="G1043" s="87"/>
      <c r="H1043" s="87"/>
      <c r="I1043" s="135"/>
      <c r="J1043" s="291"/>
      <c r="K1043" s="953"/>
      <c r="L1043" s="953"/>
      <c r="M1043" s="291"/>
      <c r="N1043" s="953"/>
      <c r="O1043" s="953"/>
      <c r="P1043" s="149"/>
      <c r="Q1043" s="149"/>
      <c r="R1043" s="149"/>
      <c r="S1043" s="149"/>
      <c r="T1043" s="149"/>
      <c r="U1043" s="149"/>
      <c r="V1043" s="149"/>
      <c r="W1043" s="149"/>
      <c r="X1043" s="149"/>
      <c r="Y1043" s="149"/>
      <c r="Z1043" s="149"/>
    </row>
    <row r="1044" spans="1:26" ht="13.5" customHeight="1">
      <c r="A1044" s="143"/>
      <c r="B1044" s="929"/>
      <c r="C1044" s="911"/>
      <c r="D1044" s="911"/>
      <c r="E1044" s="87"/>
      <c r="F1044" s="87"/>
      <c r="G1044" s="87"/>
      <c r="H1044" s="87"/>
      <c r="I1044" s="135"/>
      <c r="J1044" s="291"/>
      <c r="K1044" s="953"/>
      <c r="L1044" s="953"/>
      <c r="M1044" s="291"/>
      <c r="N1044" s="953"/>
      <c r="O1044" s="953"/>
      <c r="P1044" s="149"/>
      <c r="Q1044" s="149"/>
      <c r="R1044" s="149"/>
      <c r="S1044" s="149"/>
      <c r="T1044" s="149"/>
      <c r="U1044" s="149"/>
      <c r="V1044" s="149"/>
      <c r="W1044" s="149"/>
      <c r="X1044" s="149"/>
      <c r="Y1044" s="149"/>
      <c r="Z1044" s="149"/>
    </row>
    <row r="1045" spans="1:26" ht="13.5" customHeight="1">
      <c r="A1045" s="143"/>
      <c r="B1045" s="929"/>
      <c r="C1045" s="911"/>
      <c r="D1045" s="911"/>
      <c r="E1045" s="87"/>
      <c r="F1045" s="87"/>
      <c r="G1045" s="87"/>
      <c r="H1045" s="87"/>
      <c r="I1045" s="135"/>
      <c r="J1045" s="291"/>
      <c r="K1045" s="953"/>
      <c r="L1045" s="953"/>
      <c r="M1045" s="291"/>
      <c r="N1045" s="953"/>
      <c r="O1045" s="953"/>
      <c r="P1045" s="149"/>
      <c r="Q1045" s="149"/>
      <c r="R1045" s="149"/>
      <c r="S1045" s="149"/>
      <c r="T1045" s="149"/>
      <c r="U1045" s="149"/>
      <c r="V1045" s="149"/>
      <c r="W1045" s="149"/>
      <c r="X1045" s="149"/>
      <c r="Y1045" s="149"/>
      <c r="Z1045" s="149"/>
    </row>
    <row r="1046" spans="1:26" ht="13.5" customHeight="1">
      <c r="A1046" s="143"/>
      <c r="B1046" s="929"/>
      <c r="C1046" s="911"/>
      <c r="D1046" s="911"/>
      <c r="E1046" s="87"/>
      <c r="F1046" s="87"/>
      <c r="G1046" s="87"/>
      <c r="H1046" s="87"/>
      <c r="I1046" s="135"/>
      <c r="J1046" s="291"/>
      <c r="K1046" s="953"/>
      <c r="L1046" s="953"/>
      <c r="M1046" s="291"/>
      <c r="N1046" s="953"/>
      <c r="O1046" s="953"/>
      <c r="P1046" s="149"/>
      <c r="Q1046" s="149"/>
      <c r="R1046" s="149"/>
      <c r="S1046" s="149"/>
      <c r="T1046" s="149"/>
      <c r="U1046" s="149"/>
      <c r="V1046" s="149"/>
      <c r="W1046" s="149"/>
      <c r="X1046" s="149"/>
      <c r="Y1046" s="149"/>
      <c r="Z1046" s="149"/>
    </row>
    <row r="1047" spans="1:26" ht="13.5" customHeight="1">
      <c r="A1047" s="143"/>
      <c r="B1047" s="929"/>
      <c r="C1047" s="911"/>
      <c r="D1047" s="911"/>
      <c r="E1047" s="87"/>
      <c r="F1047" s="87"/>
      <c r="G1047" s="87"/>
      <c r="H1047" s="87"/>
      <c r="I1047" s="135"/>
      <c r="J1047" s="291"/>
      <c r="K1047" s="953"/>
      <c r="L1047" s="953"/>
      <c r="M1047" s="291"/>
      <c r="N1047" s="953"/>
      <c r="O1047" s="953"/>
      <c r="P1047" s="149"/>
      <c r="Q1047" s="149"/>
      <c r="R1047" s="149"/>
      <c r="S1047" s="149"/>
      <c r="T1047" s="149"/>
      <c r="U1047" s="149"/>
      <c r="V1047" s="149"/>
      <c r="W1047" s="149"/>
      <c r="X1047" s="149"/>
      <c r="Y1047" s="149"/>
      <c r="Z1047" s="149"/>
    </row>
    <row r="1048" spans="1:26" ht="13.5" customHeight="1">
      <c r="A1048" s="143"/>
      <c r="B1048" s="929"/>
      <c r="C1048" s="911"/>
      <c r="D1048" s="911"/>
      <c r="E1048" s="87"/>
      <c r="F1048" s="87"/>
      <c r="G1048" s="87"/>
      <c r="H1048" s="87"/>
      <c r="I1048" s="135"/>
      <c r="J1048" s="291"/>
      <c r="K1048" s="953"/>
      <c r="L1048" s="953"/>
      <c r="M1048" s="291"/>
      <c r="N1048" s="953"/>
      <c r="O1048" s="953"/>
      <c r="P1048" s="149"/>
      <c r="Q1048" s="149"/>
      <c r="R1048" s="149"/>
      <c r="S1048" s="149"/>
      <c r="T1048" s="149"/>
      <c r="U1048" s="149"/>
      <c r="V1048" s="149"/>
      <c r="W1048" s="149"/>
      <c r="X1048" s="149"/>
      <c r="Y1048" s="149"/>
      <c r="Z1048" s="149"/>
    </row>
    <row r="1049" spans="1:26" ht="13.5" customHeight="1">
      <c r="A1049" s="143"/>
      <c r="B1049" s="929"/>
      <c r="C1049" s="911"/>
      <c r="D1049" s="911"/>
      <c r="E1049" s="87"/>
      <c r="F1049" s="87"/>
      <c r="G1049" s="87"/>
      <c r="H1049" s="87"/>
      <c r="I1049" s="135"/>
      <c r="J1049" s="291"/>
      <c r="K1049" s="953"/>
      <c r="L1049" s="953"/>
      <c r="M1049" s="291"/>
      <c r="N1049" s="953"/>
      <c r="O1049" s="953"/>
      <c r="P1049" s="149"/>
      <c r="Q1049" s="149"/>
      <c r="R1049" s="149"/>
      <c r="S1049" s="149"/>
      <c r="T1049" s="149"/>
      <c r="U1049" s="149"/>
      <c r="V1049" s="149"/>
      <c r="W1049" s="149"/>
      <c r="X1049" s="149"/>
      <c r="Y1049" s="149"/>
      <c r="Z1049" s="149"/>
    </row>
    <row r="1050" spans="1:26" ht="13.5" customHeight="1">
      <c r="A1050" s="143"/>
      <c r="B1050" s="929"/>
      <c r="C1050" s="911"/>
      <c r="D1050" s="911"/>
      <c r="E1050" s="87"/>
      <c r="F1050" s="87"/>
      <c r="G1050" s="87"/>
      <c r="H1050" s="87"/>
      <c r="I1050" s="135"/>
      <c r="J1050" s="291"/>
      <c r="K1050" s="953"/>
      <c r="L1050" s="953"/>
      <c r="M1050" s="291"/>
      <c r="N1050" s="953"/>
      <c r="O1050" s="953"/>
      <c r="P1050" s="149"/>
      <c r="Q1050" s="149"/>
      <c r="R1050" s="149"/>
      <c r="S1050" s="149"/>
      <c r="T1050" s="149"/>
      <c r="U1050" s="149"/>
      <c r="V1050" s="149"/>
      <c r="W1050" s="149"/>
      <c r="X1050" s="149"/>
      <c r="Y1050" s="149"/>
      <c r="Z1050" s="149"/>
    </row>
    <row r="1051" spans="1:26" ht="13.5" customHeight="1">
      <c r="A1051" s="143"/>
      <c r="B1051" s="929"/>
      <c r="C1051" s="911"/>
      <c r="D1051" s="911"/>
      <c r="E1051" s="87"/>
      <c r="F1051" s="87"/>
      <c r="G1051" s="87"/>
      <c r="H1051" s="87"/>
      <c r="I1051" s="135"/>
      <c r="J1051" s="291"/>
      <c r="K1051" s="953"/>
      <c r="L1051" s="953"/>
      <c r="M1051" s="291"/>
      <c r="N1051" s="953"/>
      <c r="O1051" s="953"/>
      <c r="P1051" s="149"/>
      <c r="Q1051" s="149"/>
      <c r="R1051" s="149"/>
      <c r="S1051" s="149"/>
      <c r="T1051" s="149"/>
      <c r="U1051" s="149"/>
      <c r="V1051" s="149"/>
      <c r="W1051" s="149"/>
      <c r="X1051" s="149"/>
      <c r="Y1051" s="149"/>
      <c r="Z1051" s="149"/>
    </row>
    <row r="1052" spans="1:26" ht="13.5" customHeight="1">
      <c r="A1052" s="143"/>
      <c r="B1052" s="929"/>
      <c r="C1052" s="911"/>
      <c r="D1052" s="911"/>
      <c r="E1052" s="87"/>
      <c r="F1052" s="87"/>
      <c r="G1052" s="87"/>
      <c r="H1052" s="87"/>
      <c r="I1052" s="135"/>
      <c r="J1052" s="291"/>
      <c r="K1052" s="953"/>
      <c r="L1052" s="953"/>
      <c r="M1052" s="291"/>
      <c r="N1052" s="953"/>
      <c r="O1052" s="953"/>
      <c r="P1052" s="149"/>
      <c r="Q1052" s="149"/>
      <c r="R1052" s="149"/>
      <c r="S1052" s="149"/>
      <c r="T1052" s="149"/>
      <c r="U1052" s="149"/>
      <c r="V1052" s="149"/>
      <c r="W1052" s="149"/>
      <c r="X1052" s="149"/>
      <c r="Y1052" s="149"/>
      <c r="Z1052" s="149"/>
    </row>
    <row r="1053" spans="1:26" ht="13.5" customHeight="1">
      <c r="A1053" s="143"/>
      <c r="B1053" s="929"/>
      <c r="C1053" s="911"/>
      <c r="D1053" s="911"/>
      <c r="E1053" s="87"/>
      <c r="F1053" s="87"/>
      <c r="G1053" s="87"/>
      <c r="H1053" s="87"/>
      <c r="I1053" s="135"/>
      <c r="J1053" s="291"/>
      <c r="K1053" s="953"/>
      <c r="L1053" s="953"/>
      <c r="M1053" s="291"/>
      <c r="N1053" s="953"/>
      <c r="O1053" s="953"/>
      <c r="P1053" s="149"/>
      <c r="Q1053" s="149"/>
      <c r="R1053" s="149"/>
      <c r="S1053" s="149"/>
      <c r="T1053" s="149"/>
      <c r="U1053" s="149"/>
      <c r="V1053" s="149"/>
      <c r="W1053" s="149"/>
      <c r="X1053" s="149"/>
      <c r="Y1053" s="149"/>
      <c r="Z1053" s="149"/>
    </row>
    <row r="1054" spans="1:26" ht="13.5" customHeight="1">
      <c r="A1054" s="143"/>
      <c r="B1054" s="929"/>
      <c r="C1054" s="911"/>
      <c r="D1054" s="911"/>
      <c r="E1054" s="87"/>
      <c r="F1054" s="87"/>
      <c r="G1054" s="87"/>
      <c r="H1054" s="87"/>
      <c r="I1054" s="135"/>
      <c r="J1054" s="291"/>
      <c r="K1054" s="953"/>
      <c r="L1054" s="953"/>
      <c r="M1054" s="291"/>
      <c r="N1054" s="953"/>
      <c r="O1054" s="953"/>
      <c r="P1054" s="149"/>
      <c r="Q1054" s="149"/>
      <c r="R1054" s="149"/>
      <c r="S1054" s="149"/>
      <c r="T1054" s="149"/>
      <c r="U1054" s="149"/>
      <c r="V1054" s="149"/>
      <c r="W1054" s="149"/>
      <c r="X1054" s="149"/>
      <c r="Y1054" s="149"/>
      <c r="Z1054" s="149"/>
    </row>
    <row r="1055" spans="1:26" ht="13.5" customHeight="1">
      <c r="A1055" s="143"/>
      <c r="B1055" s="929"/>
      <c r="C1055" s="911"/>
      <c r="D1055" s="911"/>
      <c r="E1055" s="87"/>
      <c r="F1055" s="87"/>
      <c r="G1055" s="87"/>
      <c r="H1055" s="87"/>
      <c r="I1055" s="135"/>
      <c r="J1055" s="291"/>
      <c r="K1055" s="953"/>
      <c r="L1055" s="953"/>
      <c r="M1055" s="291"/>
      <c r="N1055" s="953"/>
      <c r="O1055" s="953"/>
      <c r="P1055" s="149"/>
      <c r="Q1055" s="149"/>
      <c r="R1055" s="149"/>
      <c r="S1055" s="149"/>
      <c r="T1055" s="149"/>
      <c r="U1055" s="149"/>
      <c r="V1055" s="149"/>
      <c r="W1055" s="149"/>
      <c r="X1055" s="149"/>
      <c r="Y1055" s="149"/>
      <c r="Z1055" s="149"/>
    </row>
    <row r="1056" spans="1:26" ht="13.5" customHeight="1">
      <c r="A1056" s="143"/>
      <c r="B1056" s="929"/>
      <c r="C1056" s="911"/>
      <c r="D1056" s="911"/>
      <c r="E1056" s="87"/>
      <c r="F1056" s="87"/>
      <c r="G1056" s="87"/>
      <c r="H1056" s="87"/>
      <c r="I1056" s="135"/>
      <c r="J1056" s="291"/>
      <c r="K1056" s="953"/>
      <c r="L1056" s="953"/>
      <c r="M1056" s="291"/>
      <c r="N1056" s="953"/>
      <c r="O1056" s="953"/>
      <c r="P1056" s="149"/>
      <c r="Q1056" s="149"/>
      <c r="R1056" s="149"/>
      <c r="S1056" s="149"/>
      <c r="T1056" s="149"/>
      <c r="U1056" s="149"/>
      <c r="V1056" s="149"/>
      <c r="W1056" s="149"/>
      <c r="X1056" s="149"/>
      <c r="Y1056" s="149"/>
      <c r="Z1056" s="149"/>
    </row>
    <row r="1057" spans="1:26" ht="13.5" customHeight="1">
      <c r="A1057" s="143"/>
      <c r="B1057" s="929"/>
      <c r="C1057" s="911"/>
      <c r="D1057" s="911"/>
      <c r="E1057" s="87"/>
      <c r="F1057" s="87"/>
      <c r="G1057" s="87"/>
      <c r="H1057" s="87"/>
      <c r="I1057" s="135"/>
      <c r="J1057" s="291"/>
      <c r="K1057" s="953"/>
      <c r="L1057" s="953"/>
      <c r="M1057" s="291"/>
      <c r="N1057" s="953"/>
      <c r="O1057" s="953"/>
      <c r="P1057" s="149"/>
      <c r="Q1057" s="149"/>
      <c r="R1057" s="149"/>
      <c r="S1057" s="149"/>
      <c r="T1057" s="149"/>
      <c r="U1057" s="149"/>
      <c r="V1057" s="149"/>
      <c r="W1057" s="149"/>
      <c r="X1057" s="149"/>
      <c r="Y1057" s="149"/>
      <c r="Z1057" s="149"/>
    </row>
    <row r="1058" spans="1:26" ht="13.5" customHeight="1">
      <c r="A1058" s="2"/>
      <c r="B1058" s="952"/>
      <c r="C1058" s="271"/>
      <c r="D1058" s="271"/>
      <c r="E1058" s="271"/>
      <c r="F1058" s="271"/>
      <c r="G1058" s="271"/>
      <c r="H1058" s="271"/>
      <c r="I1058" s="18"/>
      <c r="J1058" s="291"/>
      <c r="K1058" s="953"/>
      <c r="L1058" s="953"/>
      <c r="M1058" s="291"/>
      <c r="N1058" s="953"/>
      <c r="O1058" s="953"/>
      <c r="P1058" s="15"/>
      <c r="Q1058" s="15"/>
      <c r="R1058" s="15"/>
      <c r="S1058" s="15"/>
      <c r="T1058" s="15"/>
      <c r="U1058" s="15"/>
      <c r="V1058" s="15"/>
      <c r="W1058" s="15"/>
      <c r="X1058" s="15"/>
      <c r="Y1058" s="15"/>
      <c r="Z1058" s="15"/>
    </row>
  </sheetData>
  <mergeCells count="10">
    <mergeCell ref="A882:B882"/>
    <mergeCell ref="B736:H736"/>
    <mergeCell ref="A926:B926"/>
    <mergeCell ref="J736:O736"/>
    <mergeCell ref="B2:H2"/>
    <mergeCell ref="J2:O2"/>
    <mergeCell ref="B4:H4"/>
    <mergeCell ref="J4:O4"/>
    <mergeCell ref="B552:H552"/>
    <mergeCell ref="J552:O552"/>
  </mergeCells>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A5A5A5"/>
  </sheetPr>
  <dimension ref="A1:Z1081"/>
  <sheetViews>
    <sheetView topLeftCell="A2" workbookViewId="0">
      <selection activeCell="J8" sqref="J8"/>
    </sheetView>
  </sheetViews>
  <sheetFormatPr defaultColWidth="15.140625" defaultRowHeight="15" customHeight="1"/>
  <cols>
    <col min="1" max="1" width="6.42578125" customWidth="1"/>
    <col min="2" max="2" width="27.140625" customWidth="1"/>
    <col min="3" max="3" width="12.7109375" customWidth="1"/>
    <col min="4" max="4" width="10" customWidth="1"/>
    <col min="5" max="5" width="11.42578125" customWidth="1"/>
    <col min="6" max="6" width="10.28515625" customWidth="1"/>
    <col min="7" max="7" width="12.42578125" customWidth="1"/>
    <col min="8" max="8" width="10.7109375" customWidth="1"/>
    <col min="9" max="9" width="12" customWidth="1"/>
    <col min="10" max="11" width="19" customWidth="1"/>
    <col min="12" max="12" width="18.42578125" customWidth="1"/>
    <col min="13" max="15" width="19" customWidth="1"/>
    <col min="16" max="26" width="8" customWidth="1"/>
  </cols>
  <sheetData>
    <row r="1" spans="1:26" ht="13.5" customHeight="1">
      <c r="A1" s="2" t="s">
        <v>0</v>
      </c>
      <c r="B1" s="3" t="s">
        <v>1</v>
      </c>
      <c r="C1" s="8" t="s">
        <v>2</v>
      </c>
      <c r="D1" s="8" t="s">
        <v>3</v>
      </c>
      <c r="E1" s="8" t="s">
        <v>4</v>
      </c>
      <c r="F1" s="8" t="s">
        <v>5</v>
      </c>
      <c r="G1" s="8" t="s">
        <v>6</v>
      </c>
      <c r="H1" s="8" t="s">
        <v>7</v>
      </c>
      <c r="I1" s="64" t="s">
        <v>2631</v>
      </c>
      <c r="J1" s="11" t="s">
        <v>2</v>
      </c>
      <c r="K1" s="11" t="s">
        <v>3</v>
      </c>
      <c r="L1" s="11" t="s">
        <v>4</v>
      </c>
      <c r="M1" s="11" t="s">
        <v>5</v>
      </c>
      <c r="N1" s="11" t="s">
        <v>6</v>
      </c>
      <c r="O1" s="11" t="s">
        <v>7</v>
      </c>
      <c r="P1" s="14"/>
      <c r="Q1" s="15"/>
      <c r="R1" s="15"/>
      <c r="S1" s="15"/>
      <c r="T1" s="15"/>
      <c r="U1" s="15"/>
      <c r="V1" s="15"/>
      <c r="W1" s="15"/>
      <c r="X1" s="15"/>
      <c r="Y1" s="15"/>
      <c r="Z1" s="15"/>
    </row>
    <row r="2" spans="1:26" ht="21" customHeight="1">
      <c r="A2" s="16"/>
      <c r="B2" s="2611" t="s">
        <v>728</v>
      </c>
      <c r="C2" s="2607"/>
      <c r="D2" s="2607"/>
      <c r="E2" s="2607"/>
      <c r="F2" s="2607"/>
      <c r="G2" s="2607"/>
      <c r="H2" s="2607"/>
      <c r="I2" s="485"/>
      <c r="J2" s="2612" t="s">
        <v>4235</v>
      </c>
      <c r="K2" s="2607"/>
      <c r="L2" s="2607"/>
      <c r="M2" s="2607"/>
      <c r="N2" s="2607"/>
      <c r="O2" s="2607"/>
      <c r="P2" s="23"/>
      <c r="Q2" s="23"/>
      <c r="R2" s="23"/>
      <c r="S2" s="23"/>
      <c r="T2" s="23"/>
      <c r="U2" s="23"/>
      <c r="V2" s="23"/>
      <c r="W2" s="23"/>
      <c r="X2" s="23"/>
      <c r="Y2" s="23"/>
      <c r="Z2" s="23"/>
    </row>
    <row r="3" spans="1:26" ht="19.5" customHeight="1">
      <c r="A3" s="27"/>
      <c r="B3" s="893" t="s">
        <v>12</v>
      </c>
      <c r="C3" s="30" t="e">
        <f t="shared" ref="C3:H3" si="0">AVERAGE(#REF!,#REF!,C738)</f>
        <v>#REF!</v>
      </c>
      <c r="D3" s="30" t="e">
        <f t="shared" si="0"/>
        <v>#REF!</v>
      </c>
      <c r="E3" s="30" t="e">
        <f t="shared" si="0"/>
        <v>#REF!</v>
      </c>
      <c r="F3" s="30" t="e">
        <f t="shared" si="0"/>
        <v>#REF!</v>
      </c>
      <c r="G3" s="30" t="e">
        <f t="shared" si="0"/>
        <v>#REF!</v>
      </c>
      <c r="H3" s="30" t="e">
        <f t="shared" si="0"/>
        <v>#REF!</v>
      </c>
      <c r="I3" s="62"/>
      <c r="J3" s="33"/>
      <c r="K3" s="33"/>
      <c r="L3" s="33"/>
      <c r="M3" s="33"/>
      <c r="N3" s="33"/>
      <c r="O3" s="33"/>
      <c r="P3" s="34"/>
      <c r="Q3" s="34"/>
      <c r="R3" s="34"/>
      <c r="S3" s="34"/>
      <c r="T3" s="34"/>
      <c r="U3" s="34"/>
      <c r="V3" s="34"/>
      <c r="W3" s="34"/>
      <c r="X3" s="34"/>
      <c r="Y3" s="34"/>
      <c r="Z3" s="34"/>
    </row>
    <row r="4" spans="1:26" ht="39.75" customHeight="1">
      <c r="A4" s="486"/>
      <c r="B4" s="487" t="s">
        <v>4236</v>
      </c>
      <c r="C4" s="488">
        <f t="shared" ref="C4:H4" si="1">AVERAGE(C6,C554,C739)</f>
        <v>0.55178460753515013</v>
      </c>
      <c r="D4" s="488">
        <f t="shared" si="1"/>
        <v>0.65158507516841391</v>
      </c>
      <c r="E4" s="488">
        <f t="shared" si="1"/>
        <v>0.30933233584007797</v>
      </c>
      <c r="F4" s="488">
        <f t="shared" si="1"/>
        <v>0.57965339309291275</v>
      </c>
      <c r="G4" s="488">
        <f t="shared" si="1"/>
        <v>0.56036989594809217</v>
      </c>
      <c r="H4" s="488">
        <f t="shared" si="1"/>
        <v>0.41577942239254312</v>
      </c>
      <c r="I4" s="62"/>
      <c r="J4" s="489"/>
      <c r="K4" s="489"/>
      <c r="L4" s="489"/>
      <c r="M4" s="489"/>
      <c r="N4" s="489"/>
      <c r="O4" s="489"/>
      <c r="P4" s="490"/>
      <c r="Q4" s="490"/>
      <c r="R4" s="490"/>
      <c r="S4" s="490"/>
      <c r="T4" s="490"/>
      <c r="U4" s="490"/>
      <c r="V4" s="490"/>
      <c r="W4" s="490"/>
      <c r="X4" s="490"/>
      <c r="Y4" s="490"/>
      <c r="Z4" s="490"/>
    </row>
    <row r="5" spans="1:26" ht="18.75" customHeight="1">
      <c r="A5" s="36" t="s">
        <v>730</v>
      </c>
      <c r="B5" s="2613" t="s">
        <v>731</v>
      </c>
      <c r="C5" s="2600"/>
      <c r="D5" s="2600"/>
      <c r="E5" s="2600"/>
      <c r="F5" s="2600"/>
      <c r="G5" s="2600"/>
      <c r="H5" s="2600"/>
      <c r="I5" s="492"/>
      <c r="J5" s="2614"/>
      <c r="K5" s="2600"/>
      <c r="L5" s="2600"/>
      <c r="M5" s="2600"/>
      <c r="N5" s="2600"/>
      <c r="O5" s="2600"/>
      <c r="P5" s="43"/>
      <c r="Q5" s="43"/>
      <c r="R5" s="43"/>
      <c r="S5" s="43"/>
      <c r="T5" s="43"/>
      <c r="U5" s="43"/>
      <c r="V5" s="43"/>
      <c r="W5" s="43"/>
      <c r="X5" s="43"/>
      <c r="Y5" s="43"/>
      <c r="Z5" s="43"/>
    </row>
    <row r="6" spans="1:26" ht="18" customHeight="1">
      <c r="A6" s="486"/>
      <c r="B6" s="493" t="s">
        <v>4237</v>
      </c>
      <c r="C6" s="488">
        <f t="shared" ref="C6:H6" si="2">AVERAGE(C7,C58,C71,C197,C242,C350,C398)</f>
        <v>0.59967001362919181</v>
      </c>
      <c r="D6" s="488">
        <f t="shared" si="2"/>
        <v>0.73266138940160264</v>
      </c>
      <c r="E6" s="488">
        <f t="shared" si="2"/>
        <v>0.24276524701611027</v>
      </c>
      <c r="F6" s="488">
        <f t="shared" si="2"/>
        <v>0.57479703227181767</v>
      </c>
      <c r="G6" s="488">
        <f t="shared" si="2"/>
        <v>0.56044473995910127</v>
      </c>
      <c r="H6" s="488">
        <f t="shared" si="2"/>
        <v>0.3166785185374773</v>
      </c>
      <c r="I6" s="62"/>
      <c r="J6" s="496"/>
      <c r="K6" s="496"/>
      <c r="L6" s="496"/>
      <c r="M6" s="496"/>
      <c r="N6" s="496"/>
      <c r="O6" s="496"/>
      <c r="P6" s="490"/>
      <c r="Q6" s="490"/>
      <c r="R6" s="490"/>
      <c r="S6" s="490"/>
      <c r="T6" s="490"/>
      <c r="U6" s="490"/>
      <c r="V6" s="490"/>
      <c r="W6" s="490"/>
      <c r="X6" s="490"/>
      <c r="Y6" s="490"/>
      <c r="Z6" s="490"/>
    </row>
    <row r="7" spans="1:26" ht="36" customHeight="1">
      <c r="A7" s="55" t="s">
        <v>733</v>
      </c>
      <c r="B7" s="59" t="s">
        <v>2633</v>
      </c>
      <c r="C7" s="61">
        <f t="shared" ref="C7:H7" si="3">AVERAGE(C8,C15,C22,C53)</f>
        <v>0.60834166666666667</v>
      </c>
      <c r="D7" s="61">
        <f t="shared" si="3"/>
        <v>0.86686666666666656</v>
      </c>
      <c r="E7" s="61">
        <f t="shared" si="3"/>
        <v>0.16208333333333333</v>
      </c>
      <c r="F7" s="61">
        <f t="shared" si="3"/>
        <v>0.39708333333333334</v>
      </c>
      <c r="G7" s="61">
        <f t="shared" si="3"/>
        <v>0.37527500000000003</v>
      </c>
      <c r="H7" s="61">
        <f t="shared" si="3"/>
        <v>5.0833333333333335E-2</v>
      </c>
      <c r="I7" s="62"/>
      <c r="J7" s="63"/>
      <c r="K7" s="63"/>
      <c r="L7" s="63"/>
      <c r="M7" s="63"/>
      <c r="N7" s="63"/>
      <c r="O7" s="63"/>
      <c r="P7" s="64"/>
      <c r="Q7" s="64"/>
      <c r="R7" s="64"/>
      <c r="S7" s="66"/>
      <c r="T7" s="66"/>
      <c r="U7" s="66"/>
      <c r="V7" s="66"/>
      <c r="W7" s="66"/>
      <c r="X7" s="66"/>
      <c r="Y7" s="66"/>
      <c r="Z7" s="66"/>
    </row>
    <row r="8" spans="1:26" ht="18.75" customHeight="1">
      <c r="A8" s="486" t="s">
        <v>15</v>
      </c>
      <c r="B8" s="497" t="s">
        <v>16</v>
      </c>
      <c r="C8" s="498">
        <f t="shared" ref="C8:H8" si="4">AVERAGE(C9,C11,C13)</f>
        <v>0.5</v>
      </c>
      <c r="D8" s="498">
        <f t="shared" si="4"/>
        <v>0.66666666666666663</v>
      </c>
      <c r="E8" s="498">
        <f t="shared" si="4"/>
        <v>0.16666666666666666</v>
      </c>
      <c r="F8" s="498">
        <f t="shared" si="4"/>
        <v>0.5</v>
      </c>
      <c r="G8" s="498">
        <f t="shared" si="4"/>
        <v>0</v>
      </c>
      <c r="H8" s="498">
        <f t="shared" si="4"/>
        <v>0</v>
      </c>
      <c r="I8" s="124"/>
      <c r="J8" s="499"/>
      <c r="K8" s="499" t="s">
        <v>2634</v>
      </c>
      <c r="L8" s="499"/>
      <c r="M8" s="499"/>
      <c r="N8" s="499"/>
      <c r="O8" s="499"/>
      <c r="P8" s="501"/>
      <c r="Q8" s="501"/>
      <c r="R8" s="501"/>
      <c r="S8" s="490"/>
      <c r="T8" s="490"/>
      <c r="U8" s="490"/>
      <c r="V8" s="490"/>
      <c r="W8" s="490"/>
      <c r="X8" s="490"/>
      <c r="Y8" s="490"/>
      <c r="Z8" s="490"/>
    </row>
    <row r="9" spans="1:26" ht="61.5" customHeight="1">
      <c r="A9" s="503" t="s">
        <v>736</v>
      </c>
      <c r="B9" s="504" t="s">
        <v>17</v>
      </c>
      <c r="C9" s="506">
        <v>1</v>
      </c>
      <c r="D9" s="506">
        <v>1</v>
      </c>
      <c r="E9" s="506">
        <v>0</v>
      </c>
      <c r="F9" s="506">
        <v>0.5</v>
      </c>
      <c r="G9" s="506">
        <v>0</v>
      </c>
      <c r="H9" s="506">
        <v>0</v>
      </c>
      <c r="I9" s="438" t="s">
        <v>2635</v>
      </c>
      <c r="J9" s="507" t="s">
        <v>4238</v>
      </c>
      <c r="K9" s="508" t="s">
        <v>4239</v>
      </c>
      <c r="L9" s="507" t="s">
        <v>4240</v>
      </c>
      <c r="M9" s="507" t="s">
        <v>4241</v>
      </c>
      <c r="N9" s="507" t="s">
        <v>4242</v>
      </c>
      <c r="O9" s="507" t="s">
        <v>4243</v>
      </c>
      <c r="P9" s="509"/>
      <c r="Q9" s="509"/>
      <c r="R9" s="509"/>
      <c r="S9" s="510"/>
      <c r="T9" s="510"/>
      <c r="U9" s="510"/>
      <c r="V9" s="510"/>
      <c r="W9" s="510"/>
      <c r="X9" s="510"/>
      <c r="Y9" s="510"/>
      <c r="Z9" s="510"/>
    </row>
    <row r="10" spans="1:26" ht="15" customHeight="1">
      <c r="A10" s="2"/>
      <c r="B10" s="3"/>
      <c r="C10" s="87"/>
      <c r="D10" s="87"/>
      <c r="E10" s="87"/>
      <c r="F10" s="87"/>
      <c r="G10" s="87"/>
      <c r="H10" s="87"/>
      <c r="I10" s="438"/>
      <c r="J10" s="75"/>
      <c r="K10" s="88"/>
      <c r="L10" s="75"/>
      <c r="M10" s="75"/>
      <c r="N10" s="75"/>
      <c r="O10" s="75"/>
      <c r="P10" s="77"/>
      <c r="Q10" s="77"/>
      <c r="R10" s="77"/>
      <c r="S10" s="15"/>
      <c r="T10" s="15"/>
      <c r="U10" s="15"/>
      <c r="V10" s="15"/>
      <c r="W10" s="15"/>
      <c r="X10" s="15"/>
      <c r="Y10" s="15"/>
      <c r="Z10" s="15"/>
    </row>
    <row r="11" spans="1:26" ht="66" customHeight="1">
      <c r="A11" s="503" t="s">
        <v>736</v>
      </c>
      <c r="B11" s="504" t="s">
        <v>19</v>
      </c>
      <c r="C11" s="506">
        <v>0.5</v>
      </c>
      <c r="D11" s="506">
        <v>0.5</v>
      </c>
      <c r="E11" s="506">
        <v>0.5</v>
      </c>
      <c r="F11" s="506">
        <v>1</v>
      </c>
      <c r="G11" s="506">
        <v>0</v>
      </c>
      <c r="H11" s="506">
        <v>0</v>
      </c>
      <c r="I11" s="438" t="s">
        <v>123</v>
      </c>
      <c r="J11" s="507" t="s">
        <v>4244</v>
      </c>
      <c r="K11" s="507" t="s">
        <v>4245</v>
      </c>
      <c r="L11" s="507" t="s">
        <v>4246</v>
      </c>
      <c r="M11" s="507" t="s">
        <v>4247</v>
      </c>
      <c r="N11" s="507" t="s">
        <v>748</v>
      </c>
      <c r="O11" s="507" t="s">
        <v>4248</v>
      </c>
      <c r="P11" s="77"/>
      <c r="Q11" s="77"/>
      <c r="R11" s="77"/>
      <c r="S11" s="15"/>
      <c r="T11" s="15"/>
      <c r="U11" s="15"/>
      <c r="V11" s="15"/>
      <c r="W11" s="15"/>
      <c r="X11" s="15"/>
      <c r="Y11" s="15"/>
      <c r="Z11" s="15"/>
    </row>
    <row r="12" spans="1:26" ht="15" customHeight="1">
      <c r="A12" s="2"/>
      <c r="B12" s="3"/>
      <c r="C12" s="87"/>
      <c r="D12" s="87"/>
      <c r="E12" s="87"/>
      <c r="F12" s="87"/>
      <c r="G12" s="87"/>
      <c r="H12" s="87"/>
      <c r="I12" s="438"/>
      <c r="J12" s="75"/>
      <c r="K12" s="75"/>
      <c r="L12" s="75"/>
      <c r="M12" s="75"/>
      <c r="N12" s="75"/>
      <c r="O12" s="75"/>
      <c r="P12" s="77"/>
      <c r="Q12" s="77"/>
      <c r="R12" s="77"/>
      <c r="S12" s="15"/>
      <c r="T12" s="15"/>
      <c r="U12" s="15"/>
      <c r="V12" s="15"/>
      <c r="W12" s="15"/>
      <c r="X12" s="15"/>
      <c r="Y12" s="15"/>
      <c r="Z12" s="15"/>
    </row>
    <row r="13" spans="1:26" ht="68.25" customHeight="1">
      <c r="A13" s="503" t="s">
        <v>736</v>
      </c>
      <c r="B13" s="504" t="s">
        <v>2647</v>
      </c>
      <c r="C13" s="506">
        <v>0</v>
      </c>
      <c r="D13" s="506">
        <v>0.5</v>
      </c>
      <c r="E13" s="506">
        <v>0</v>
      </c>
      <c r="F13" s="506">
        <v>0</v>
      </c>
      <c r="G13" s="506">
        <v>0</v>
      </c>
      <c r="H13" s="506">
        <v>0</v>
      </c>
      <c r="I13" s="438" t="s">
        <v>751</v>
      </c>
      <c r="J13" s="507" t="s">
        <v>4249</v>
      </c>
      <c r="K13" s="508" t="s">
        <v>4250</v>
      </c>
      <c r="L13" s="507" t="s">
        <v>4251</v>
      </c>
      <c r="M13" s="507" t="s">
        <v>4252</v>
      </c>
      <c r="N13" s="507" t="s">
        <v>4253</v>
      </c>
      <c r="O13" s="507" t="s">
        <v>4254</v>
      </c>
      <c r="P13" s="77"/>
      <c r="Q13" s="77"/>
      <c r="R13" s="77"/>
      <c r="S13" s="15"/>
      <c r="T13" s="15"/>
      <c r="U13" s="15"/>
      <c r="V13" s="15"/>
      <c r="W13" s="15"/>
      <c r="X13" s="15"/>
      <c r="Y13" s="15"/>
      <c r="Z13" s="15"/>
    </row>
    <row r="14" spans="1:26" ht="15.75" customHeight="1">
      <c r="A14" s="2"/>
      <c r="B14" s="3"/>
      <c r="C14" s="87"/>
      <c r="D14" s="87"/>
      <c r="E14" s="87"/>
      <c r="F14" s="87"/>
      <c r="G14" s="87"/>
      <c r="H14" s="87"/>
      <c r="I14" s="438"/>
      <c r="J14" s="75"/>
      <c r="K14" s="88"/>
      <c r="L14" s="75"/>
      <c r="M14" s="75"/>
      <c r="N14" s="75"/>
      <c r="O14" s="75"/>
      <c r="P14" s="77"/>
      <c r="Q14" s="77"/>
      <c r="R14" s="77"/>
      <c r="S14" s="15"/>
      <c r="T14" s="15"/>
      <c r="U14" s="15"/>
      <c r="V14" s="15"/>
      <c r="W14" s="15"/>
      <c r="X14" s="15"/>
      <c r="Y14" s="15"/>
      <c r="Z14" s="15"/>
    </row>
    <row r="15" spans="1:26" ht="27.75" customHeight="1">
      <c r="A15" s="486" t="s">
        <v>23</v>
      </c>
      <c r="B15" s="497" t="s">
        <v>24</v>
      </c>
      <c r="C15" s="498">
        <f t="shared" ref="C15:H15" si="5">AVERAGE(C16,C18,C20)</f>
        <v>0.16666666666666666</v>
      </c>
      <c r="D15" s="498">
        <f t="shared" si="5"/>
        <v>1</v>
      </c>
      <c r="E15" s="498">
        <f t="shared" si="5"/>
        <v>0.16666666666666666</v>
      </c>
      <c r="F15" s="498">
        <f t="shared" si="5"/>
        <v>0</v>
      </c>
      <c r="G15" s="498">
        <f t="shared" si="5"/>
        <v>0.25</v>
      </c>
      <c r="H15" s="498">
        <f t="shared" si="5"/>
        <v>0</v>
      </c>
      <c r="I15" s="124"/>
      <c r="J15" s="498"/>
      <c r="K15" s="498"/>
      <c r="L15" s="499"/>
      <c r="M15" s="499"/>
      <c r="N15" s="499"/>
      <c r="O15" s="498"/>
      <c r="P15" s="501"/>
      <c r="Q15" s="501"/>
      <c r="R15" s="501"/>
      <c r="S15" s="490"/>
      <c r="T15" s="490"/>
      <c r="U15" s="490"/>
      <c r="V15" s="490"/>
      <c r="W15" s="490"/>
      <c r="X15" s="490"/>
      <c r="Y15" s="490"/>
      <c r="Z15" s="490"/>
    </row>
    <row r="16" spans="1:26" ht="69" customHeight="1">
      <c r="A16" s="503" t="s">
        <v>736</v>
      </c>
      <c r="B16" s="504" t="s">
        <v>25</v>
      </c>
      <c r="C16" s="506">
        <v>0.5</v>
      </c>
      <c r="D16" s="506">
        <v>1</v>
      </c>
      <c r="E16" s="506">
        <v>0</v>
      </c>
      <c r="F16" s="506">
        <v>0</v>
      </c>
      <c r="G16" s="506">
        <v>0.5</v>
      </c>
      <c r="H16" s="506">
        <v>0</v>
      </c>
      <c r="I16" s="454" t="s">
        <v>2653</v>
      </c>
      <c r="J16" s="507" t="s">
        <v>4255</v>
      </c>
      <c r="K16" s="508" t="s">
        <v>4256</v>
      </c>
      <c r="L16" s="507" t="s">
        <v>4257</v>
      </c>
      <c r="M16" s="507" t="s">
        <v>4258</v>
      </c>
      <c r="N16" s="507" t="s">
        <v>4259</v>
      </c>
      <c r="O16" s="507" t="s">
        <v>4260</v>
      </c>
      <c r="P16" s="77"/>
      <c r="Q16" s="77"/>
      <c r="R16" s="77"/>
      <c r="S16" s="15"/>
      <c r="T16" s="15"/>
      <c r="U16" s="15"/>
      <c r="V16" s="15"/>
      <c r="W16" s="15"/>
      <c r="X16" s="15"/>
      <c r="Y16" s="15"/>
      <c r="Z16" s="15"/>
    </row>
    <row r="17" spans="1:26" ht="18.75" customHeight="1">
      <c r="A17" s="2"/>
      <c r="B17" s="3"/>
      <c r="C17" s="87"/>
      <c r="D17" s="87"/>
      <c r="E17" s="87"/>
      <c r="F17" s="87"/>
      <c r="G17" s="87"/>
      <c r="H17" s="87"/>
      <c r="I17" s="454"/>
      <c r="J17" s="75"/>
      <c r="K17" s="88"/>
      <c r="L17" s="75"/>
      <c r="M17" s="75"/>
      <c r="N17" s="75"/>
      <c r="O17" s="75"/>
      <c r="P17" s="77"/>
      <c r="Q17" s="77"/>
      <c r="R17" s="77"/>
      <c r="S17" s="15"/>
      <c r="T17" s="15"/>
      <c r="U17" s="15"/>
      <c r="V17" s="15"/>
      <c r="W17" s="15"/>
      <c r="X17" s="15"/>
      <c r="Y17" s="15"/>
      <c r="Z17" s="15"/>
    </row>
    <row r="18" spans="1:26" ht="44.25" customHeight="1">
      <c r="A18" s="503" t="s">
        <v>736</v>
      </c>
      <c r="B18" s="497" t="s">
        <v>27</v>
      </c>
      <c r="C18" s="991">
        <v>0</v>
      </c>
      <c r="D18" s="506">
        <v>1</v>
      </c>
      <c r="E18" s="506">
        <v>0.5</v>
      </c>
      <c r="F18" s="506">
        <v>0</v>
      </c>
      <c r="G18" s="506">
        <v>0</v>
      </c>
      <c r="H18" s="506">
        <v>0</v>
      </c>
      <c r="I18" s="454" t="s">
        <v>2660</v>
      </c>
      <c r="J18" s="507" t="s">
        <v>4261</v>
      </c>
      <c r="K18" s="508" t="s">
        <v>2662</v>
      </c>
      <c r="L18" s="507" t="s">
        <v>4262</v>
      </c>
      <c r="M18" s="507" t="s">
        <v>4263</v>
      </c>
      <c r="N18" s="507" t="s">
        <v>4264</v>
      </c>
      <c r="O18" s="507" t="s">
        <v>4265</v>
      </c>
      <c r="P18" s="77"/>
      <c r="Q18" s="77"/>
      <c r="R18" s="77"/>
      <c r="S18" s="15"/>
      <c r="T18" s="15"/>
      <c r="U18" s="15"/>
      <c r="V18" s="15"/>
      <c r="W18" s="15"/>
      <c r="X18" s="15"/>
      <c r="Y18" s="15"/>
      <c r="Z18" s="15"/>
    </row>
    <row r="19" spans="1:26" ht="21" customHeight="1">
      <c r="A19" s="2"/>
      <c r="B19" s="3"/>
      <c r="C19" s="908"/>
      <c r="D19" s="87"/>
      <c r="E19" s="87"/>
      <c r="F19" s="87"/>
      <c r="G19" s="87"/>
      <c r="H19" s="87"/>
      <c r="I19" s="454"/>
      <c r="J19" s="75"/>
      <c r="K19" s="88"/>
      <c r="L19" s="75"/>
      <c r="M19" s="75"/>
      <c r="N19" s="75"/>
      <c r="O19" s="75"/>
      <c r="P19" s="77"/>
      <c r="Q19" s="77"/>
      <c r="R19" s="77"/>
      <c r="S19" s="15"/>
      <c r="T19" s="15"/>
      <c r="U19" s="15"/>
      <c r="V19" s="15"/>
      <c r="W19" s="15"/>
      <c r="X19" s="15"/>
      <c r="Y19" s="15"/>
      <c r="Z19" s="15"/>
    </row>
    <row r="20" spans="1:26" ht="66.75" customHeight="1">
      <c r="A20" s="503" t="s">
        <v>736</v>
      </c>
      <c r="B20" s="504" t="s">
        <v>29</v>
      </c>
      <c r="C20" s="506">
        <v>0</v>
      </c>
      <c r="D20" s="506">
        <v>1</v>
      </c>
      <c r="E20" s="506">
        <v>0</v>
      </c>
      <c r="F20" s="506">
        <v>0</v>
      </c>
      <c r="G20" s="991" t="s">
        <v>4266</v>
      </c>
      <c r="H20" s="506">
        <v>0</v>
      </c>
      <c r="I20" s="454" t="s">
        <v>2666</v>
      </c>
      <c r="J20" s="507" t="s">
        <v>4267</v>
      </c>
      <c r="K20" s="507" t="s">
        <v>4268</v>
      </c>
      <c r="L20" s="507" t="s">
        <v>2669</v>
      </c>
      <c r="M20" s="507" t="s">
        <v>4269</v>
      </c>
      <c r="N20" s="507" t="s">
        <v>4270</v>
      </c>
      <c r="O20" s="507" t="s">
        <v>748</v>
      </c>
      <c r="P20" s="77"/>
      <c r="Q20" s="77"/>
      <c r="R20" s="77"/>
      <c r="S20" s="15"/>
      <c r="T20" s="15"/>
      <c r="U20" s="15"/>
      <c r="V20" s="15"/>
      <c r="W20" s="15"/>
      <c r="X20" s="15"/>
      <c r="Y20" s="15"/>
      <c r="Z20" s="15"/>
    </row>
    <row r="21" spans="1:26" ht="17.25" customHeight="1">
      <c r="A21" s="2"/>
      <c r="B21" s="3"/>
      <c r="C21" s="87"/>
      <c r="D21" s="87"/>
      <c r="E21" s="87"/>
      <c r="F21" s="87"/>
      <c r="G21" s="908"/>
      <c r="H21" s="87"/>
      <c r="I21" s="454"/>
      <c r="J21" s="75"/>
      <c r="K21" s="75"/>
      <c r="L21" s="75"/>
      <c r="M21" s="75"/>
      <c r="N21" s="75"/>
      <c r="O21" s="75"/>
      <c r="P21" s="77"/>
      <c r="Q21" s="77"/>
      <c r="R21" s="77"/>
      <c r="S21" s="15"/>
      <c r="T21" s="15"/>
      <c r="U21" s="15"/>
      <c r="V21" s="15"/>
      <c r="W21" s="15"/>
      <c r="X21" s="15"/>
      <c r="Y21" s="15"/>
      <c r="Z21" s="15"/>
    </row>
    <row r="22" spans="1:26" ht="13.5" customHeight="1">
      <c r="A22" s="486" t="s">
        <v>31</v>
      </c>
      <c r="B22" s="497" t="s">
        <v>2672</v>
      </c>
      <c r="C22" s="498">
        <f t="shared" ref="C22:H22" si="6">AVERAGE(C23,C25,C27,C29,C31,C33,C35,C37,C39,C41,C43,C45,C47,C49,C51)</f>
        <v>0.8</v>
      </c>
      <c r="D22" s="498">
        <f t="shared" si="6"/>
        <v>0.9</v>
      </c>
      <c r="E22" s="498">
        <f t="shared" si="6"/>
        <v>0.2</v>
      </c>
      <c r="F22" s="498">
        <f t="shared" si="6"/>
        <v>0.43333333333333335</v>
      </c>
      <c r="G22" s="498">
        <f t="shared" si="6"/>
        <v>0.5</v>
      </c>
      <c r="H22" s="498">
        <f t="shared" si="6"/>
        <v>0.13333333333333333</v>
      </c>
      <c r="I22" s="124"/>
      <c r="J22" s="498"/>
      <c r="K22" s="498"/>
      <c r="L22" s="499"/>
      <c r="M22" s="499"/>
      <c r="N22" s="499"/>
      <c r="O22" s="498"/>
      <c r="P22" s="501"/>
      <c r="Q22" s="501"/>
      <c r="R22" s="501"/>
      <c r="S22" s="490"/>
      <c r="T22" s="490"/>
      <c r="U22" s="490"/>
      <c r="V22" s="490"/>
      <c r="W22" s="490"/>
      <c r="X22" s="490"/>
      <c r="Y22" s="490"/>
      <c r="Z22" s="490"/>
    </row>
    <row r="23" spans="1:26" ht="91.5" customHeight="1">
      <c r="A23" s="503" t="s">
        <v>736</v>
      </c>
      <c r="B23" s="504" t="s">
        <v>33</v>
      </c>
      <c r="C23" s="506">
        <v>0.5</v>
      </c>
      <c r="D23" s="515">
        <v>0.5</v>
      </c>
      <c r="E23" s="506">
        <v>0</v>
      </c>
      <c r="F23" s="506">
        <v>0.5</v>
      </c>
      <c r="G23" s="506">
        <v>0</v>
      </c>
      <c r="H23" s="506">
        <v>0.5</v>
      </c>
      <c r="I23" s="454" t="s">
        <v>777</v>
      </c>
      <c r="J23" s="507" t="s">
        <v>4271</v>
      </c>
      <c r="K23" s="507" t="s">
        <v>4272</v>
      </c>
      <c r="L23" s="507" t="s">
        <v>4273</v>
      </c>
      <c r="M23" s="507" t="s">
        <v>4274</v>
      </c>
      <c r="N23" s="507" t="s">
        <v>748</v>
      </c>
      <c r="O23" s="507" t="s">
        <v>2678</v>
      </c>
      <c r="P23" s="77"/>
      <c r="Q23" s="77"/>
      <c r="R23" s="77"/>
      <c r="S23" s="15"/>
      <c r="T23" s="15"/>
      <c r="U23" s="15"/>
      <c r="V23" s="15"/>
      <c r="W23" s="15"/>
      <c r="X23" s="15"/>
      <c r="Y23" s="15"/>
      <c r="Z23" s="15"/>
    </row>
    <row r="24" spans="1:26" ht="18.75" customHeight="1">
      <c r="A24" s="2"/>
      <c r="B24" s="3"/>
      <c r="C24" s="87"/>
      <c r="D24" s="87"/>
      <c r="E24" s="87"/>
      <c r="F24" s="87"/>
      <c r="G24" s="87"/>
      <c r="H24" s="87"/>
      <c r="I24" s="454"/>
      <c r="J24" s="75"/>
      <c r="K24" s="75"/>
      <c r="L24" s="75"/>
      <c r="M24" s="75"/>
      <c r="N24" s="75"/>
      <c r="O24" s="75"/>
      <c r="P24" s="77"/>
      <c r="Q24" s="77"/>
      <c r="R24" s="77"/>
      <c r="S24" s="15"/>
      <c r="T24" s="15"/>
      <c r="U24" s="15"/>
      <c r="V24" s="15"/>
      <c r="W24" s="15"/>
      <c r="X24" s="15"/>
      <c r="Y24" s="15"/>
      <c r="Z24" s="15"/>
    </row>
    <row r="25" spans="1:26" ht="60.75" customHeight="1">
      <c r="A25" s="503" t="s">
        <v>736</v>
      </c>
      <c r="B25" s="517" t="s">
        <v>2679</v>
      </c>
      <c r="C25" s="506">
        <v>1</v>
      </c>
      <c r="D25" s="506">
        <v>1</v>
      </c>
      <c r="E25" s="506">
        <v>0.5</v>
      </c>
      <c r="F25" s="506">
        <v>0.5</v>
      </c>
      <c r="G25" s="506">
        <v>1</v>
      </c>
      <c r="H25" s="506">
        <v>0</v>
      </c>
      <c r="I25" s="454" t="s">
        <v>784</v>
      </c>
      <c r="J25" s="507" t="s">
        <v>4275</v>
      </c>
      <c r="K25" s="508" t="s">
        <v>4276</v>
      </c>
      <c r="L25" s="507" t="s">
        <v>4277</v>
      </c>
      <c r="M25" s="507" t="s">
        <v>4278</v>
      </c>
      <c r="N25" s="507" t="s">
        <v>4279</v>
      </c>
      <c r="O25" s="507" t="s">
        <v>4280</v>
      </c>
      <c r="P25" s="77"/>
      <c r="Q25" s="77"/>
      <c r="R25" s="77"/>
      <c r="S25" s="15"/>
      <c r="T25" s="15"/>
      <c r="U25" s="15"/>
      <c r="V25" s="15"/>
      <c r="W25" s="15"/>
      <c r="X25" s="15"/>
      <c r="Y25" s="15"/>
      <c r="Z25" s="15"/>
    </row>
    <row r="26" spans="1:26" ht="18.75" customHeight="1">
      <c r="A26" s="2"/>
      <c r="B26" s="3"/>
      <c r="C26" s="87"/>
      <c r="D26" s="87"/>
      <c r="E26" s="87"/>
      <c r="F26" s="87"/>
      <c r="G26" s="87"/>
      <c r="H26" s="87"/>
      <c r="I26" s="454"/>
      <c r="J26" s="75"/>
      <c r="K26" s="88"/>
      <c r="L26" s="75"/>
      <c r="M26" s="75"/>
      <c r="N26" s="75"/>
      <c r="O26" s="75"/>
      <c r="P26" s="77"/>
      <c r="Q26" s="77"/>
      <c r="R26" s="77"/>
      <c r="S26" s="15"/>
      <c r="T26" s="15"/>
      <c r="U26" s="15"/>
      <c r="V26" s="15"/>
      <c r="W26" s="15"/>
      <c r="X26" s="15"/>
      <c r="Y26" s="15"/>
      <c r="Z26" s="15"/>
    </row>
    <row r="27" spans="1:26" ht="70.5" customHeight="1">
      <c r="A27" s="503" t="s">
        <v>736</v>
      </c>
      <c r="B27" s="517" t="s">
        <v>37</v>
      </c>
      <c r="C27" s="506">
        <v>1</v>
      </c>
      <c r="D27" s="506">
        <v>1</v>
      </c>
      <c r="E27" s="506">
        <v>0</v>
      </c>
      <c r="F27" s="506">
        <v>1</v>
      </c>
      <c r="G27" s="506">
        <v>1</v>
      </c>
      <c r="H27" s="506">
        <v>0</v>
      </c>
      <c r="I27" s="454" t="s">
        <v>38</v>
      </c>
      <c r="J27" s="507" t="s">
        <v>4281</v>
      </c>
      <c r="K27" s="507" t="s">
        <v>4282</v>
      </c>
      <c r="L27" s="507" t="s">
        <v>748</v>
      </c>
      <c r="M27" s="507" t="s">
        <v>811</v>
      </c>
      <c r="N27" s="507" t="s">
        <v>811</v>
      </c>
      <c r="O27" s="507" t="s">
        <v>4283</v>
      </c>
      <c r="P27" s="77"/>
      <c r="Q27" s="77"/>
      <c r="R27" s="77"/>
      <c r="S27" s="15"/>
      <c r="T27" s="15"/>
      <c r="U27" s="15"/>
      <c r="V27" s="15"/>
      <c r="W27" s="15"/>
      <c r="X27" s="15"/>
      <c r="Y27" s="15"/>
      <c r="Z27" s="15"/>
    </row>
    <row r="28" spans="1:26" ht="15" customHeight="1">
      <c r="A28" s="2"/>
      <c r="B28" s="3"/>
      <c r="C28" s="87"/>
      <c r="D28" s="87"/>
      <c r="E28" s="87"/>
      <c r="F28" s="87"/>
      <c r="G28" s="87"/>
      <c r="H28" s="87"/>
      <c r="I28" s="454"/>
      <c r="J28" s="75"/>
      <c r="K28" s="75"/>
      <c r="L28" s="75"/>
      <c r="M28" s="75"/>
      <c r="N28" s="75"/>
      <c r="O28" s="75"/>
      <c r="P28" s="77"/>
      <c r="Q28" s="77"/>
      <c r="R28" s="77"/>
      <c r="S28" s="15"/>
      <c r="T28" s="15"/>
      <c r="U28" s="15"/>
      <c r="V28" s="15"/>
      <c r="W28" s="15"/>
      <c r="X28" s="15"/>
      <c r="Y28" s="15"/>
      <c r="Z28" s="15"/>
    </row>
    <row r="29" spans="1:26" ht="54.75" customHeight="1">
      <c r="A29" s="503" t="s">
        <v>736</v>
      </c>
      <c r="B29" s="517" t="s">
        <v>39</v>
      </c>
      <c r="C29" s="506">
        <v>1</v>
      </c>
      <c r="D29" s="506">
        <v>1</v>
      </c>
      <c r="E29" s="506">
        <v>0.5</v>
      </c>
      <c r="F29" s="506">
        <v>0.5</v>
      </c>
      <c r="G29" s="506">
        <v>1</v>
      </c>
      <c r="H29" s="506">
        <v>0</v>
      </c>
      <c r="I29" s="454" t="s">
        <v>797</v>
      </c>
      <c r="J29" s="507" t="s">
        <v>2692</v>
      </c>
      <c r="K29" s="507" t="s">
        <v>4284</v>
      </c>
      <c r="L29" s="507" t="s">
        <v>4285</v>
      </c>
      <c r="M29" s="507" t="s">
        <v>4286</v>
      </c>
      <c r="N29" s="507" t="s">
        <v>4287</v>
      </c>
      <c r="O29" s="507" t="s">
        <v>2697</v>
      </c>
      <c r="P29" s="77"/>
      <c r="Q29" s="77"/>
      <c r="R29" s="77"/>
      <c r="S29" s="15"/>
      <c r="T29" s="15"/>
      <c r="U29" s="15"/>
      <c r="V29" s="15"/>
      <c r="W29" s="15"/>
      <c r="X29" s="15"/>
      <c r="Y29" s="15"/>
      <c r="Z29" s="15"/>
    </row>
    <row r="30" spans="1:26" ht="21.75" customHeight="1">
      <c r="A30" s="2"/>
      <c r="B30" s="2"/>
      <c r="C30" s="2"/>
      <c r="D30" s="87"/>
      <c r="E30" s="87"/>
      <c r="F30" s="87"/>
      <c r="G30" s="87"/>
      <c r="H30" s="87"/>
      <c r="I30" s="454"/>
      <c r="J30" s="75"/>
      <c r="K30" s="75"/>
      <c r="L30" s="75"/>
      <c r="M30" s="75"/>
      <c r="N30" s="75"/>
      <c r="O30" s="75"/>
      <c r="P30" s="77"/>
      <c r="Q30" s="77"/>
      <c r="R30" s="77"/>
      <c r="S30" s="15"/>
      <c r="T30" s="15"/>
      <c r="U30" s="15"/>
      <c r="V30" s="15"/>
      <c r="W30" s="15"/>
      <c r="X30" s="15"/>
      <c r="Y30" s="15"/>
      <c r="Z30" s="15"/>
    </row>
    <row r="31" spans="1:26" ht="68.25" customHeight="1">
      <c r="A31" s="503" t="s">
        <v>736</v>
      </c>
      <c r="B31" s="517" t="s">
        <v>41</v>
      </c>
      <c r="C31" s="506">
        <v>0</v>
      </c>
      <c r="D31" s="506">
        <v>1</v>
      </c>
      <c r="E31" s="506">
        <v>0</v>
      </c>
      <c r="F31" s="506">
        <v>0</v>
      </c>
      <c r="G31" s="506">
        <v>0</v>
      </c>
      <c r="H31" s="506">
        <v>0</v>
      </c>
      <c r="I31" s="454" t="s">
        <v>38</v>
      </c>
      <c r="J31" s="507" t="s">
        <v>4288</v>
      </c>
      <c r="K31" s="507" t="s">
        <v>4289</v>
      </c>
      <c r="L31" s="507" t="s">
        <v>748</v>
      </c>
      <c r="M31" s="507" t="s">
        <v>4290</v>
      </c>
      <c r="N31" s="507" t="s">
        <v>748</v>
      </c>
      <c r="O31" s="507" t="s">
        <v>4291</v>
      </c>
      <c r="P31" s="77"/>
      <c r="Q31" s="77"/>
      <c r="R31" s="77"/>
      <c r="S31" s="15"/>
      <c r="T31" s="15"/>
      <c r="U31" s="15"/>
      <c r="V31" s="15"/>
      <c r="W31" s="15"/>
      <c r="X31" s="15"/>
      <c r="Y31" s="15"/>
      <c r="Z31" s="15"/>
    </row>
    <row r="32" spans="1:26" ht="20.25" customHeight="1">
      <c r="A32" s="2"/>
      <c r="B32" s="3"/>
      <c r="C32" s="87"/>
      <c r="D32" s="87"/>
      <c r="E32" s="87"/>
      <c r="F32" s="87"/>
      <c r="G32" s="87"/>
      <c r="H32" s="87"/>
      <c r="I32" s="454"/>
      <c r="J32" s="75"/>
      <c r="K32" s="75"/>
      <c r="L32" s="75"/>
      <c r="M32" s="75"/>
      <c r="N32" s="75"/>
      <c r="O32" s="75"/>
      <c r="P32" s="77"/>
      <c r="Q32" s="77"/>
      <c r="R32" s="77"/>
      <c r="S32" s="15"/>
      <c r="T32" s="15"/>
      <c r="U32" s="15"/>
      <c r="V32" s="15"/>
      <c r="W32" s="15"/>
      <c r="X32" s="15"/>
      <c r="Y32" s="15"/>
      <c r="Z32" s="15"/>
    </row>
    <row r="33" spans="1:26" ht="58.5" customHeight="1">
      <c r="A33" s="503" t="s">
        <v>736</v>
      </c>
      <c r="B33" s="517" t="s">
        <v>43</v>
      </c>
      <c r="C33" s="506">
        <v>1</v>
      </c>
      <c r="D33" s="506">
        <v>1</v>
      </c>
      <c r="E33" s="506">
        <v>1</v>
      </c>
      <c r="F33" s="506">
        <v>1</v>
      </c>
      <c r="G33" s="506">
        <v>1</v>
      </c>
      <c r="H33" s="506">
        <v>0.5</v>
      </c>
      <c r="I33" s="454" t="s">
        <v>38</v>
      </c>
      <c r="J33" s="507" t="s">
        <v>4292</v>
      </c>
      <c r="K33" s="508" t="s">
        <v>4293</v>
      </c>
      <c r="L33" s="507" t="s">
        <v>4294</v>
      </c>
      <c r="M33" s="507" t="s">
        <v>4295</v>
      </c>
      <c r="N33" s="507" t="s">
        <v>1068</v>
      </c>
      <c r="O33" s="507" t="s">
        <v>4296</v>
      </c>
      <c r="P33" s="77"/>
      <c r="Q33" s="77"/>
      <c r="R33" s="77"/>
      <c r="S33" s="15"/>
      <c r="T33" s="15"/>
      <c r="U33" s="15"/>
      <c r="V33" s="15"/>
      <c r="W33" s="15"/>
      <c r="X33" s="15"/>
      <c r="Y33" s="15"/>
      <c r="Z33" s="15"/>
    </row>
    <row r="34" spans="1:26" ht="18.75" customHeight="1">
      <c r="A34" s="2"/>
      <c r="B34" s="3"/>
      <c r="C34" s="87"/>
      <c r="D34" s="87"/>
      <c r="E34" s="87"/>
      <c r="F34" s="87"/>
      <c r="G34" s="87"/>
      <c r="H34" s="87"/>
      <c r="I34" s="454"/>
      <c r="J34" s="75"/>
      <c r="K34" s="88"/>
      <c r="L34" s="75"/>
      <c r="M34" s="75"/>
      <c r="N34" s="75"/>
      <c r="O34" s="75"/>
      <c r="P34" s="77"/>
      <c r="Q34" s="77"/>
      <c r="R34" s="77"/>
      <c r="S34" s="15"/>
      <c r="T34" s="15"/>
      <c r="U34" s="15"/>
      <c r="V34" s="15"/>
      <c r="W34" s="15"/>
      <c r="X34" s="15"/>
      <c r="Y34" s="15"/>
      <c r="Z34" s="15"/>
    </row>
    <row r="35" spans="1:26" ht="40.5" customHeight="1">
      <c r="A35" s="503" t="s">
        <v>736</v>
      </c>
      <c r="B35" s="517" t="s">
        <v>44</v>
      </c>
      <c r="C35" s="506">
        <v>1</v>
      </c>
      <c r="D35" s="506">
        <v>0.5</v>
      </c>
      <c r="E35" s="506">
        <v>0.5</v>
      </c>
      <c r="F35" s="506">
        <v>0.5</v>
      </c>
      <c r="G35" s="506">
        <v>0.5</v>
      </c>
      <c r="H35" s="506">
        <v>0</v>
      </c>
      <c r="I35" s="454" t="s">
        <v>815</v>
      </c>
      <c r="J35" s="507" t="s">
        <v>4297</v>
      </c>
      <c r="K35" s="508" t="s">
        <v>4298</v>
      </c>
      <c r="L35" s="507" t="s">
        <v>4299</v>
      </c>
      <c r="M35" s="507" t="s">
        <v>4300</v>
      </c>
      <c r="N35" s="507" t="s">
        <v>4301</v>
      </c>
      <c r="O35" s="507" t="s">
        <v>4302</v>
      </c>
      <c r="P35" s="77"/>
      <c r="Q35" s="77"/>
      <c r="R35" s="77"/>
      <c r="S35" s="15"/>
      <c r="T35" s="15"/>
      <c r="U35" s="15"/>
      <c r="V35" s="15"/>
      <c r="W35" s="15"/>
      <c r="X35" s="15"/>
      <c r="Y35" s="15"/>
      <c r="Z35" s="15"/>
    </row>
    <row r="36" spans="1:26" ht="24.75" customHeight="1">
      <c r="A36" s="2"/>
      <c r="B36" s="3"/>
      <c r="C36" s="87"/>
      <c r="D36" s="87"/>
      <c r="E36" s="87"/>
      <c r="F36" s="87"/>
      <c r="G36" s="87"/>
      <c r="H36" s="87"/>
      <c r="I36" s="454"/>
      <c r="J36" s="75"/>
      <c r="K36" s="88"/>
      <c r="L36" s="75"/>
      <c r="M36" s="75"/>
      <c r="N36" s="75"/>
      <c r="O36" s="75"/>
      <c r="P36" s="77"/>
      <c r="Q36" s="77"/>
      <c r="R36" s="77"/>
      <c r="S36" s="15"/>
      <c r="T36" s="15"/>
      <c r="U36" s="15"/>
      <c r="V36" s="15"/>
      <c r="W36" s="15"/>
      <c r="X36" s="15"/>
      <c r="Y36" s="15"/>
      <c r="Z36" s="15"/>
    </row>
    <row r="37" spans="1:26" ht="48.75" customHeight="1">
      <c r="A37" s="503" t="s">
        <v>736</v>
      </c>
      <c r="B37" s="517" t="s">
        <v>46</v>
      </c>
      <c r="C37" s="506">
        <v>1</v>
      </c>
      <c r="D37" s="506">
        <v>1</v>
      </c>
      <c r="E37" s="506">
        <v>0</v>
      </c>
      <c r="F37" s="506">
        <v>0</v>
      </c>
      <c r="G37" s="506">
        <v>0.5</v>
      </c>
      <c r="H37" s="506">
        <v>0</v>
      </c>
      <c r="I37" s="454" t="s">
        <v>822</v>
      </c>
      <c r="J37" s="507" t="s">
        <v>4303</v>
      </c>
      <c r="K37" s="508" t="s">
        <v>2714</v>
      </c>
      <c r="L37" s="507" t="s">
        <v>748</v>
      </c>
      <c r="M37" s="507" t="s">
        <v>4304</v>
      </c>
      <c r="N37" s="507" t="s">
        <v>4305</v>
      </c>
      <c r="O37" s="507" t="s">
        <v>4306</v>
      </c>
      <c r="P37" s="77"/>
      <c r="Q37" s="77"/>
      <c r="R37" s="77"/>
      <c r="S37" s="15"/>
      <c r="T37" s="15"/>
      <c r="U37" s="15"/>
      <c r="V37" s="15"/>
      <c r="W37" s="15"/>
      <c r="X37" s="15"/>
      <c r="Y37" s="15"/>
      <c r="Z37" s="15"/>
    </row>
    <row r="38" spans="1:26" ht="17.25" customHeight="1">
      <c r="A38" s="2"/>
      <c r="B38" s="3"/>
      <c r="C38" s="87"/>
      <c r="D38" s="87"/>
      <c r="E38" s="87"/>
      <c r="F38" s="87"/>
      <c r="G38" s="87"/>
      <c r="H38" s="87"/>
      <c r="I38" s="454"/>
      <c r="J38" s="75"/>
      <c r="K38" s="88"/>
      <c r="L38" s="75"/>
      <c r="M38" s="75"/>
      <c r="N38" s="75"/>
      <c r="O38" s="75"/>
      <c r="P38" s="77"/>
      <c r="Q38" s="77"/>
      <c r="R38" s="77"/>
      <c r="S38" s="15"/>
      <c r="T38" s="15"/>
      <c r="U38" s="15"/>
      <c r="V38" s="15"/>
      <c r="W38" s="15"/>
      <c r="X38" s="15"/>
      <c r="Y38" s="15"/>
      <c r="Z38" s="15"/>
    </row>
    <row r="39" spans="1:26" ht="36.75" customHeight="1">
      <c r="A39" s="503" t="s">
        <v>736</v>
      </c>
      <c r="B39" s="517" t="s">
        <v>48</v>
      </c>
      <c r="C39" s="506">
        <v>0.5</v>
      </c>
      <c r="D39" s="506">
        <v>0.5</v>
      </c>
      <c r="E39" s="506">
        <v>0</v>
      </c>
      <c r="F39" s="506">
        <v>0.5</v>
      </c>
      <c r="G39" s="506">
        <v>0.5</v>
      </c>
      <c r="H39" s="506">
        <v>0</v>
      </c>
      <c r="I39" s="454" t="s">
        <v>828</v>
      </c>
      <c r="J39" s="507" t="s">
        <v>4307</v>
      </c>
      <c r="K39" s="508" t="s">
        <v>4308</v>
      </c>
      <c r="L39" s="507" t="s">
        <v>748</v>
      </c>
      <c r="M39" s="507" t="s">
        <v>4309</v>
      </c>
      <c r="N39" s="507" t="s">
        <v>4310</v>
      </c>
      <c r="O39" s="507" t="s">
        <v>4311</v>
      </c>
      <c r="P39" s="77"/>
      <c r="Q39" s="77"/>
      <c r="R39" s="77"/>
      <c r="S39" s="15"/>
      <c r="T39" s="15"/>
      <c r="U39" s="15"/>
      <c r="V39" s="15"/>
      <c r="W39" s="15"/>
      <c r="X39" s="15"/>
      <c r="Y39" s="15"/>
      <c r="Z39" s="15"/>
    </row>
    <row r="40" spans="1:26" ht="21.75" customHeight="1">
      <c r="A40" s="2"/>
      <c r="B40" s="520"/>
      <c r="C40" s="520"/>
      <c r="D40" s="87"/>
      <c r="E40" s="87"/>
      <c r="F40" s="87"/>
      <c r="G40" s="87"/>
      <c r="H40" s="908"/>
      <c r="I40" s="438"/>
      <c r="J40" s="75"/>
      <c r="K40" s="75"/>
      <c r="L40" s="75"/>
      <c r="M40" s="75"/>
      <c r="N40" s="521"/>
      <c r="O40" s="75"/>
      <c r="P40" s="77"/>
      <c r="Q40" s="77"/>
      <c r="R40" s="77"/>
      <c r="S40" s="15"/>
      <c r="T40" s="15"/>
      <c r="U40" s="15"/>
      <c r="V40" s="15"/>
      <c r="W40" s="15"/>
      <c r="X40" s="15"/>
      <c r="Y40" s="15"/>
      <c r="Z40" s="15"/>
    </row>
    <row r="41" spans="1:26" ht="35.25" customHeight="1">
      <c r="A41" s="503" t="s">
        <v>736</v>
      </c>
      <c r="B41" s="517" t="s">
        <v>50</v>
      </c>
      <c r="C41" s="506">
        <v>1</v>
      </c>
      <c r="D41" s="506">
        <v>1</v>
      </c>
      <c r="E41" s="506">
        <v>0</v>
      </c>
      <c r="F41" s="506">
        <v>0.5</v>
      </c>
      <c r="G41" s="506">
        <v>0.5</v>
      </c>
      <c r="H41" s="506">
        <v>0</v>
      </c>
      <c r="I41" s="454" t="s">
        <v>4312</v>
      </c>
      <c r="J41" s="507" t="s">
        <v>4313</v>
      </c>
      <c r="K41" s="507" t="s">
        <v>4314</v>
      </c>
      <c r="L41" s="507" t="s">
        <v>748</v>
      </c>
      <c r="M41" s="507" t="s">
        <v>4315</v>
      </c>
      <c r="N41" s="507" t="s">
        <v>4316</v>
      </c>
      <c r="O41" s="507" t="s">
        <v>2730</v>
      </c>
      <c r="P41" s="77"/>
      <c r="Q41" s="77"/>
      <c r="R41" s="77"/>
      <c r="S41" s="15"/>
      <c r="T41" s="15"/>
      <c r="U41" s="15"/>
      <c r="V41" s="15"/>
      <c r="W41" s="15"/>
      <c r="X41" s="15"/>
      <c r="Y41" s="15"/>
      <c r="Z41" s="15"/>
    </row>
    <row r="42" spans="1:26" ht="13.5" customHeight="1">
      <c r="A42" s="2"/>
      <c r="B42" s="3"/>
      <c r="C42" s="87"/>
      <c r="D42" s="87"/>
      <c r="E42" s="908"/>
      <c r="F42" s="908"/>
      <c r="G42" s="87"/>
      <c r="H42" s="908"/>
      <c r="I42" s="438"/>
      <c r="J42" s="75"/>
      <c r="K42" s="75"/>
      <c r="L42" s="75"/>
      <c r="M42" s="75"/>
      <c r="N42" s="354"/>
      <c r="O42" s="75"/>
      <c r="P42" s="77"/>
      <c r="Q42" s="77"/>
      <c r="R42" s="77"/>
      <c r="S42" s="15"/>
      <c r="T42" s="15"/>
      <c r="U42" s="15"/>
      <c r="V42" s="15"/>
      <c r="W42" s="15"/>
      <c r="X42" s="15"/>
      <c r="Y42" s="15"/>
      <c r="Z42" s="15"/>
    </row>
    <row r="43" spans="1:26" ht="59.25" customHeight="1">
      <c r="A43" s="503" t="s">
        <v>736</v>
      </c>
      <c r="B43" s="517" t="s">
        <v>52</v>
      </c>
      <c r="C43" s="506">
        <v>1</v>
      </c>
      <c r="D43" s="506">
        <v>1</v>
      </c>
      <c r="E43" s="506">
        <v>0</v>
      </c>
      <c r="F43" s="506">
        <v>0.5</v>
      </c>
      <c r="G43" s="506">
        <v>0.5</v>
      </c>
      <c r="H43" s="506">
        <v>0</v>
      </c>
      <c r="I43" s="454" t="s">
        <v>53</v>
      </c>
      <c r="J43" s="507" t="s">
        <v>4317</v>
      </c>
      <c r="K43" s="507" t="s">
        <v>4318</v>
      </c>
      <c r="L43" s="507" t="s">
        <v>4319</v>
      </c>
      <c r="M43" s="507" t="s">
        <v>4320</v>
      </c>
      <c r="N43" s="507" t="s">
        <v>4321</v>
      </c>
      <c r="O43" s="507" t="s">
        <v>4322</v>
      </c>
      <c r="P43" s="77"/>
      <c r="Q43" s="77"/>
      <c r="R43" s="77"/>
      <c r="S43" s="15"/>
      <c r="T43" s="15"/>
      <c r="U43" s="15"/>
      <c r="V43" s="15"/>
      <c r="W43" s="15"/>
      <c r="X43" s="15"/>
      <c r="Y43" s="15"/>
      <c r="Z43" s="15"/>
    </row>
    <row r="44" spans="1:26" ht="26.25" customHeight="1">
      <c r="A44" s="2"/>
      <c r="B44" s="3"/>
      <c r="C44" s="87"/>
      <c r="D44" s="87"/>
      <c r="E44" s="87"/>
      <c r="F44" s="87"/>
      <c r="G44" s="87"/>
      <c r="H44" s="87"/>
      <c r="I44" s="454"/>
      <c r="J44" s="75"/>
      <c r="K44" s="75"/>
      <c r="L44" s="75"/>
      <c r="M44" s="75"/>
      <c r="N44" s="75"/>
      <c r="O44" s="75"/>
      <c r="P44" s="77"/>
      <c r="Q44" s="77"/>
      <c r="R44" s="77"/>
      <c r="S44" s="15"/>
      <c r="T44" s="15"/>
      <c r="U44" s="15"/>
      <c r="V44" s="15"/>
      <c r="W44" s="15"/>
      <c r="X44" s="15"/>
      <c r="Y44" s="15"/>
      <c r="Z44" s="15"/>
    </row>
    <row r="45" spans="1:26" ht="45" customHeight="1">
      <c r="A45" s="503" t="s">
        <v>736</v>
      </c>
      <c r="B45" s="517" t="s">
        <v>54</v>
      </c>
      <c r="C45" s="506">
        <v>1</v>
      </c>
      <c r="D45" s="506">
        <v>1</v>
      </c>
      <c r="E45" s="506">
        <v>0</v>
      </c>
      <c r="F45" s="506">
        <v>0</v>
      </c>
      <c r="G45" s="506">
        <v>0</v>
      </c>
      <c r="H45" s="506">
        <v>0</v>
      </c>
      <c r="I45" s="454" t="s">
        <v>848</v>
      </c>
      <c r="J45" s="507" t="s">
        <v>4323</v>
      </c>
      <c r="K45" s="507" t="s">
        <v>4324</v>
      </c>
      <c r="L45" s="507" t="s">
        <v>2739</v>
      </c>
      <c r="M45" s="507" t="s">
        <v>4325</v>
      </c>
      <c r="N45" s="507" t="s">
        <v>748</v>
      </c>
      <c r="O45" s="507" t="s">
        <v>2742</v>
      </c>
      <c r="P45" s="77"/>
      <c r="Q45" s="77"/>
      <c r="R45" s="77"/>
      <c r="S45" s="15"/>
      <c r="T45" s="15"/>
      <c r="U45" s="15"/>
      <c r="V45" s="15"/>
      <c r="W45" s="15"/>
      <c r="X45" s="15"/>
      <c r="Y45" s="15"/>
      <c r="Z45" s="15"/>
    </row>
    <row r="46" spans="1:26" ht="13.5" customHeight="1">
      <c r="A46" s="2"/>
      <c r="B46" s="3"/>
      <c r="C46" s="87"/>
      <c r="D46" s="87"/>
      <c r="E46" s="87"/>
      <c r="F46" s="87"/>
      <c r="G46" s="908"/>
      <c r="H46" s="908"/>
      <c r="I46" s="438"/>
      <c r="J46" s="75"/>
      <c r="K46" s="324"/>
      <c r="L46" s="75"/>
      <c r="M46" s="75"/>
      <c r="N46" s="75"/>
      <c r="O46" s="75"/>
      <c r="P46" s="77"/>
      <c r="Q46" s="77"/>
      <c r="R46" s="77"/>
      <c r="S46" s="15"/>
      <c r="T46" s="15"/>
      <c r="U46" s="15"/>
      <c r="V46" s="15"/>
      <c r="W46" s="15"/>
      <c r="X46" s="15"/>
      <c r="Y46" s="15"/>
      <c r="Z46" s="15"/>
    </row>
    <row r="47" spans="1:26" ht="52.5" customHeight="1">
      <c r="A47" s="503" t="s">
        <v>736</v>
      </c>
      <c r="B47" s="517" t="s">
        <v>56</v>
      </c>
      <c r="C47" s="506">
        <v>1</v>
      </c>
      <c r="D47" s="506">
        <v>1</v>
      </c>
      <c r="E47" s="506">
        <v>0.5</v>
      </c>
      <c r="F47" s="506">
        <v>1</v>
      </c>
      <c r="G47" s="506">
        <v>1</v>
      </c>
      <c r="H47" s="506">
        <v>1</v>
      </c>
      <c r="I47" s="454" t="s">
        <v>2743</v>
      </c>
      <c r="J47" s="507" t="s">
        <v>4326</v>
      </c>
      <c r="K47" s="507" t="s">
        <v>4327</v>
      </c>
      <c r="L47" s="507" t="s">
        <v>2746</v>
      </c>
      <c r="M47" s="507" t="s">
        <v>4328</v>
      </c>
      <c r="N47" s="507" t="s">
        <v>2748</v>
      </c>
      <c r="O47" s="507" t="s">
        <v>4329</v>
      </c>
      <c r="P47" s="77"/>
      <c r="Q47" s="77"/>
      <c r="R47" s="77"/>
      <c r="S47" s="15"/>
      <c r="T47" s="15"/>
      <c r="U47" s="15"/>
      <c r="V47" s="15"/>
      <c r="W47" s="15"/>
      <c r="X47" s="15"/>
      <c r="Y47" s="15"/>
      <c r="Z47" s="15"/>
    </row>
    <row r="48" spans="1:26" ht="13.5" customHeight="1">
      <c r="A48" s="2"/>
      <c r="B48" s="3"/>
      <c r="C48" s="87"/>
      <c r="D48" s="87"/>
      <c r="E48" s="87"/>
      <c r="F48" s="908"/>
      <c r="G48" s="908"/>
      <c r="H48" s="908"/>
      <c r="I48" s="438"/>
      <c r="J48" s="75"/>
      <c r="K48" s="75"/>
      <c r="L48" s="521"/>
      <c r="M48" s="75"/>
      <c r="N48" s="75"/>
      <c r="O48" s="75"/>
      <c r="P48" s="77"/>
      <c r="Q48" s="77"/>
      <c r="R48" s="77"/>
      <c r="S48" s="15"/>
      <c r="T48" s="15"/>
      <c r="U48" s="15"/>
      <c r="V48" s="15"/>
      <c r="W48" s="15"/>
      <c r="X48" s="15"/>
      <c r="Y48" s="15"/>
      <c r="Z48" s="15"/>
    </row>
    <row r="49" spans="1:26" ht="70.5" customHeight="1">
      <c r="A49" s="503" t="s">
        <v>736</v>
      </c>
      <c r="B49" s="517" t="s">
        <v>58</v>
      </c>
      <c r="C49" s="506">
        <v>0</v>
      </c>
      <c r="D49" s="506">
        <v>1</v>
      </c>
      <c r="E49" s="506">
        <v>0</v>
      </c>
      <c r="F49" s="506">
        <v>0</v>
      </c>
      <c r="G49" s="515">
        <v>0</v>
      </c>
      <c r="H49" s="506">
        <v>0</v>
      </c>
      <c r="I49" s="454" t="s">
        <v>862</v>
      </c>
      <c r="J49" s="507" t="s">
        <v>4330</v>
      </c>
      <c r="K49" s="507" t="s">
        <v>4331</v>
      </c>
      <c r="L49" s="507" t="s">
        <v>4332</v>
      </c>
      <c r="M49" s="507" t="s">
        <v>4333</v>
      </c>
      <c r="N49" s="507" t="s">
        <v>4334</v>
      </c>
      <c r="O49" s="507" t="s">
        <v>4335</v>
      </c>
      <c r="P49" s="77"/>
      <c r="Q49" s="77"/>
      <c r="R49" s="77"/>
      <c r="S49" s="15"/>
      <c r="T49" s="15"/>
      <c r="U49" s="15"/>
      <c r="V49" s="15"/>
      <c r="W49" s="15"/>
      <c r="X49" s="15"/>
      <c r="Y49" s="15"/>
      <c r="Z49" s="15"/>
    </row>
    <row r="50" spans="1:26" ht="21.75" customHeight="1">
      <c r="A50" s="2"/>
      <c r="B50" s="3"/>
      <c r="C50" s="87"/>
      <c r="D50" s="87"/>
      <c r="E50" s="87"/>
      <c r="F50" s="87"/>
      <c r="G50" s="87"/>
      <c r="H50" s="87"/>
      <c r="I50" s="454"/>
      <c r="J50" s="75"/>
      <c r="K50" s="75"/>
      <c r="L50" s="75"/>
      <c r="M50" s="75"/>
      <c r="N50" s="75"/>
      <c r="O50" s="75"/>
      <c r="P50" s="77"/>
      <c r="Q50" s="77"/>
      <c r="R50" s="77"/>
      <c r="S50" s="15"/>
      <c r="T50" s="15"/>
      <c r="U50" s="15"/>
      <c r="V50" s="15"/>
      <c r="W50" s="15"/>
      <c r="X50" s="15"/>
      <c r="Y50" s="15"/>
      <c r="Z50" s="15"/>
    </row>
    <row r="51" spans="1:26" ht="71.25" customHeight="1">
      <c r="A51" s="503" t="s">
        <v>736</v>
      </c>
      <c r="B51" s="517" t="s">
        <v>2756</v>
      </c>
      <c r="C51" s="506">
        <v>1</v>
      </c>
      <c r="D51" s="506">
        <v>1</v>
      </c>
      <c r="E51" s="506">
        <v>0</v>
      </c>
      <c r="F51" s="506">
        <v>0</v>
      </c>
      <c r="G51" s="506">
        <v>0</v>
      </c>
      <c r="H51" s="506">
        <v>0</v>
      </c>
      <c r="I51" s="454" t="s">
        <v>38</v>
      </c>
      <c r="J51" s="507" t="s">
        <v>4336</v>
      </c>
      <c r="K51" s="507" t="s">
        <v>4337</v>
      </c>
      <c r="L51" s="507" t="s">
        <v>748</v>
      </c>
      <c r="M51" s="507" t="s">
        <v>4338</v>
      </c>
      <c r="N51" s="507" t="s">
        <v>2761</v>
      </c>
      <c r="O51" s="507" t="s">
        <v>4339</v>
      </c>
      <c r="P51" s="77"/>
      <c r="Q51" s="77"/>
      <c r="R51" s="77"/>
      <c r="S51" s="15"/>
      <c r="T51" s="15"/>
      <c r="U51" s="15"/>
      <c r="V51" s="15"/>
      <c r="W51" s="15"/>
      <c r="X51" s="15"/>
      <c r="Y51" s="15"/>
      <c r="Z51" s="15"/>
    </row>
    <row r="52" spans="1:26" ht="22.5" customHeight="1">
      <c r="A52" s="2"/>
      <c r="B52" s="3"/>
      <c r="C52" s="87"/>
      <c r="D52" s="87"/>
      <c r="E52" s="87"/>
      <c r="F52" s="87"/>
      <c r="G52" s="87"/>
      <c r="H52" s="87"/>
      <c r="I52" s="454"/>
      <c r="J52" s="75"/>
      <c r="K52" s="75"/>
      <c r="L52" s="75"/>
      <c r="M52" s="75"/>
      <c r="N52" s="75"/>
      <c r="O52" s="75"/>
      <c r="P52" s="77"/>
      <c r="Q52" s="77"/>
      <c r="R52" s="77"/>
      <c r="S52" s="15"/>
      <c r="T52" s="15"/>
      <c r="U52" s="15"/>
      <c r="V52" s="15"/>
      <c r="W52" s="15"/>
      <c r="X52" s="15"/>
      <c r="Y52" s="15"/>
      <c r="Z52" s="15"/>
    </row>
    <row r="53" spans="1:26" ht="13.5" customHeight="1">
      <c r="A53" s="522" t="s">
        <v>875</v>
      </c>
      <c r="B53" s="497" t="s">
        <v>62</v>
      </c>
      <c r="C53" s="506">
        <f t="shared" ref="C53:H53" si="7">AVERAGE(C54,C56)</f>
        <v>0.9667</v>
      </c>
      <c r="D53" s="506">
        <f t="shared" si="7"/>
        <v>0.90079999999999993</v>
      </c>
      <c r="E53" s="506">
        <f t="shared" si="7"/>
        <v>0.115</v>
      </c>
      <c r="F53" s="506">
        <f t="shared" si="7"/>
        <v>0.65500000000000003</v>
      </c>
      <c r="G53" s="506">
        <f t="shared" si="7"/>
        <v>0.75109999999999999</v>
      </c>
      <c r="H53" s="506">
        <f t="shared" si="7"/>
        <v>7.0000000000000007E-2</v>
      </c>
      <c r="I53" s="438"/>
      <c r="J53" s="506"/>
      <c r="K53" s="506"/>
      <c r="L53" s="507"/>
      <c r="M53" s="507"/>
      <c r="N53" s="506"/>
      <c r="O53" s="506"/>
      <c r="P53" s="509"/>
      <c r="Q53" s="509"/>
      <c r="R53" s="509"/>
      <c r="S53" s="510"/>
      <c r="T53" s="510"/>
      <c r="U53" s="510"/>
      <c r="V53" s="510"/>
      <c r="W53" s="510"/>
      <c r="X53" s="510"/>
      <c r="Y53" s="510"/>
      <c r="Z53" s="510"/>
    </row>
    <row r="54" spans="1:26" ht="95.25" customHeight="1">
      <c r="A54" s="503" t="s">
        <v>736</v>
      </c>
      <c r="B54" s="517" t="s">
        <v>876</v>
      </c>
      <c r="C54" s="506">
        <v>0.97</v>
      </c>
      <c r="D54" s="506" t="s">
        <v>877</v>
      </c>
      <c r="E54" s="506">
        <v>0.23</v>
      </c>
      <c r="F54" s="506">
        <v>0.72</v>
      </c>
      <c r="G54" s="506">
        <v>0.69</v>
      </c>
      <c r="H54" s="506">
        <v>0.14000000000000001</v>
      </c>
      <c r="I54" s="454" t="s">
        <v>64</v>
      </c>
      <c r="J54" s="507" t="s">
        <v>4340</v>
      </c>
      <c r="K54" s="508" t="s">
        <v>4341</v>
      </c>
      <c r="L54" s="507" t="s">
        <v>4342</v>
      </c>
      <c r="M54" s="523" t="s">
        <v>4343</v>
      </c>
      <c r="N54" s="507" t="s">
        <v>4344</v>
      </c>
      <c r="O54" s="507" t="s">
        <v>4345</v>
      </c>
      <c r="P54" s="77"/>
      <c r="Q54" s="77"/>
      <c r="R54" s="77"/>
      <c r="S54" s="15"/>
      <c r="T54" s="15"/>
      <c r="U54" s="15"/>
      <c r="V54" s="15"/>
      <c r="W54" s="15"/>
      <c r="X54" s="15"/>
      <c r="Y54" s="15"/>
      <c r="Z54" s="15"/>
    </row>
    <row r="55" spans="1:26" ht="13.5" customHeight="1">
      <c r="A55" s="2"/>
      <c r="B55" s="3"/>
      <c r="C55" s="87"/>
      <c r="D55" s="87"/>
      <c r="E55" s="87"/>
      <c r="F55" s="87"/>
      <c r="G55" s="87"/>
      <c r="H55" s="87"/>
      <c r="I55" s="454"/>
      <c r="J55" s="75"/>
      <c r="K55" s="88"/>
      <c r="L55" s="75"/>
      <c r="M55" s="524"/>
      <c r="N55" s="75"/>
      <c r="O55" s="75"/>
      <c r="P55" s="77"/>
      <c r="Q55" s="77"/>
      <c r="R55" s="77"/>
      <c r="S55" s="15"/>
      <c r="T55" s="15"/>
      <c r="U55" s="15"/>
      <c r="V55" s="15"/>
      <c r="W55" s="15"/>
      <c r="X55" s="15"/>
      <c r="Y55" s="15"/>
      <c r="Z55" s="15"/>
    </row>
    <row r="56" spans="1:26" ht="113.25" customHeight="1">
      <c r="A56" s="525" t="s">
        <v>736</v>
      </c>
      <c r="B56" s="526" t="s">
        <v>63</v>
      </c>
      <c r="C56" s="528">
        <f>(3.66-100)/(0-100)</f>
        <v>0.96340000000000003</v>
      </c>
      <c r="D56" s="528">
        <f>(9.92-100)/(0-100)</f>
        <v>0.90079999999999993</v>
      </c>
      <c r="E56" s="528">
        <f>(100-100)/(-100)</f>
        <v>0</v>
      </c>
      <c r="F56" s="528">
        <v>0.59</v>
      </c>
      <c r="G56" s="528">
        <f>(18.78-100)/(-100)</f>
        <v>0.81220000000000003</v>
      </c>
      <c r="H56" s="528">
        <f>(100-100)/(-100)</f>
        <v>0</v>
      </c>
      <c r="I56" s="454" t="s">
        <v>64</v>
      </c>
      <c r="J56" s="530" t="s">
        <v>4346</v>
      </c>
      <c r="K56" s="530" t="s">
        <v>2770</v>
      </c>
      <c r="L56" s="530" t="s">
        <v>3531</v>
      </c>
      <c r="M56" s="530" t="s">
        <v>4347</v>
      </c>
      <c r="N56" s="530" t="s">
        <v>4348</v>
      </c>
      <c r="O56" s="530" t="s">
        <v>4349</v>
      </c>
      <c r="P56" s="531"/>
      <c r="Q56" s="531"/>
      <c r="R56" s="531"/>
      <c r="S56" s="532"/>
      <c r="T56" s="532"/>
      <c r="U56" s="532"/>
      <c r="V56" s="532"/>
      <c r="W56" s="532"/>
      <c r="X56" s="532"/>
      <c r="Y56" s="532"/>
      <c r="Z56" s="532"/>
    </row>
    <row r="57" spans="1:26" ht="30" customHeight="1">
      <c r="A57" s="2"/>
      <c r="B57" s="3"/>
      <c r="C57" s="87"/>
      <c r="D57" s="87"/>
      <c r="E57" s="87"/>
      <c r="F57" s="87"/>
      <c r="G57" s="87"/>
      <c r="H57" s="87"/>
      <c r="I57" s="454"/>
      <c r="J57" s="75"/>
      <c r="K57" s="75"/>
      <c r="L57" s="75"/>
      <c r="M57" s="75"/>
      <c r="N57" s="75"/>
      <c r="O57" s="75"/>
      <c r="P57" s="77"/>
      <c r="Q57" s="77"/>
      <c r="R57" s="77"/>
      <c r="S57" s="15"/>
      <c r="T57" s="15"/>
      <c r="U57" s="15"/>
      <c r="V57" s="15"/>
      <c r="W57" s="15"/>
      <c r="X57" s="15"/>
      <c r="Y57" s="15"/>
      <c r="Z57" s="15"/>
    </row>
    <row r="58" spans="1:26" ht="27.75" customHeight="1">
      <c r="A58" s="123" t="s">
        <v>891</v>
      </c>
      <c r="B58" s="124" t="s">
        <v>892</v>
      </c>
      <c r="C58" s="126">
        <f t="shared" ref="C58:H58" si="8">AVERAGE(C59,C64)</f>
        <v>0.5973529432639475</v>
      </c>
      <c r="D58" s="126">
        <f t="shared" si="8"/>
        <v>0.68412669044058094</v>
      </c>
      <c r="E58" s="126">
        <f t="shared" si="8"/>
        <v>0.15395396122996841</v>
      </c>
      <c r="F58" s="126">
        <f t="shared" si="8"/>
        <v>0.62402753089764518</v>
      </c>
      <c r="G58" s="126">
        <f t="shared" si="8"/>
        <v>0.53591980501180747</v>
      </c>
      <c r="H58" s="126">
        <f t="shared" si="8"/>
        <v>0.26947994378842244</v>
      </c>
      <c r="I58" s="124"/>
      <c r="J58" s="63"/>
      <c r="K58" s="63"/>
      <c r="L58" s="63"/>
      <c r="M58" s="63"/>
      <c r="N58" s="63"/>
      <c r="O58" s="63"/>
      <c r="P58" s="128"/>
      <c r="Q58" s="128"/>
      <c r="R58" s="128"/>
      <c r="S58" s="124"/>
      <c r="T58" s="124"/>
      <c r="U58" s="124"/>
      <c r="V58" s="124"/>
      <c r="W58" s="124"/>
      <c r="X58" s="124"/>
      <c r="Y58" s="124"/>
      <c r="Z58" s="124"/>
    </row>
    <row r="59" spans="1:26" ht="13.5" customHeight="1">
      <c r="A59" s="533" t="s">
        <v>893</v>
      </c>
      <c r="B59" s="517" t="s">
        <v>187</v>
      </c>
      <c r="C59" s="506">
        <f t="shared" ref="C59:H59" si="9">AVERAGE(C60,C62)</f>
        <v>0.52671646853847687</v>
      </c>
      <c r="D59" s="506">
        <f t="shared" si="9"/>
        <v>0.68571369834147944</v>
      </c>
      <c r="E59" s="506">
        <f t="shared" si="9"/>
        <v>0.15843702298903739</v>
      </c>
      <c r="F59" s="506">
        <f t="shared" si="9"/>
        <v>0.62503918877941733</v>
      </c>
      <c r="G59" s="506">
        <f t="shared" si="9"/>
        <v>0.57845336663737146</v>
      </c>
      <c r="H59" s="506">
        <f t="shared" si="9"/>
        <v>0.28102337964033691</v>
      </c>
      <c r="I59" s="454"/>
      <c r="J59" s="507"/>
      <c r="K59" s="507"/>
      <c r="L59" s="507"/>
      <c r="M59" s="507"/>
      <c r="N59" s="507"/>
      <c r="O59" s="507"/>
      <c r="P59" s="534"/>
      <c r="Q59" s="534"/>
      <c r="R59" s="534"/>
      <c r="S59" s="535"/>
      <c r="T59" s="535"/>
      <c r="U59" s="535"/>
      <c r="V59" s="535"/>
      <c r="W59" s="535"/>
      <c r="X59" s="535"/>
      <c r="Y59" s="535"/>
      <c r="Z59" s="535"/>
    </row>
    <row r="60" spans="1:26" ht="27.75" customHeight="1">
      <c r="A60" s="503" t="s">
        <v>736</v>
      </c>
      <c r="B60" s="517" t="s">
        <v>4350</v>
      </c>
      <c r="C60" s="506">
        <f t="shared" ref="C60:H60" si="10">(J60-96)/(18-96)</f>
        <v>0.47435897435897434</v>
      </c>
      <c r="D60" s="506">
        <f t="shared" si="10"/>
        <v>0.53846153846153844</v>
      </c>
      <c r="E60" s="506">
        <f t="shared" si="10"/>
        <v>3.8461538461538464E-2</v>
      </c>
      <c r="F60" s="506">
        <f t="shared" si="10"/>
        <v>0.5641025641025641</v>
      </c>
      <c r="G60" s="506">
        <f t="shared" si="10"/>
        <v>0.39743589743589741</v>
      </c>
      <c r="H60" s="506">
        <f t="shared" si="10"/>
        <v>0.20512820512820512</v>
      </c>
      <c r="I60" s="454" t="s">
        <v>4351</v>
      </c>
      <c r="J60" s="507">
        <v>59</v>
      </c>
      <c r="K60" s="507">
        <v>54</v>
      </c>
      <c r="L60" s="507">
        <v>93</v>
      </c>
      <c r="M60" s="507">
        <v>52</v>
      </c>
      <c r="N60" s="507">
        <v>65</v>
      </c>
      <c r="O60" s="507">
        <v>80</v>
      </c>
      <c r="P60" s="534">
        <v>2012</v>
      </c>
      <c r="Q60" s="534"/>
      <c r="R60" s="534"/>
      <c r="S60" s="535"/>
      <c r="T60" s="535"/>
      <c r="U60" s="535"/>
      <c r="V60" s="535"/>
      <c r="W60" s="535"/>
      <c r="X60" s="535"/>
      <c r="Y60" s="535"/>
      <c r="Z60" s="535"/>
    </row>
    <row r="61" spans="1:26" ht="13.5" customHeight="1">
      <c r="A61" s="143"/>
      <c r="B61" s="144"/>
      <c r="C61" s="536"/>
      <c r="D61" s="536"/>
      <c r="E61" s="536"/>
      <c r="F61" s="536"/>
      <c r="G61" s="536"/>
      <c r="H61" s="536"/>
      <c r="I61" s="454"/>
      <c r="J61" s="75"/>
      <c r="K61" s="75"/>
      <c r="L61" s="75"/>
      <c r="M61" s="75"/>
      <c r="N61" s="75"/>
      <c r="O61" s="75"/>
      <c r="P61" s="146"/>
      <c r="Q61" s="146"/>
      <c r="R61" s="146"/>
      <c r="S61" s="149"/>
      <c r="T61" s="149"/>
      <c r="U61" s="149"/>
      <c r="V61" s="149"/>
      <c r="W61" s="149"/>
      <c r="X61" s="149"/>
      <c r="Y61" s="149"/>
      <c r="Z61" s="149"/>
    </row>
    <row r="62" spans="1:26" ht="42" customHeight="1">
      <c r="A62" s="503" t="s">
        <v>736</v>
      </c>
      <c r="B62" s="517" t="s">
        <v>4352</v>
      </c>
      <c r="C62" s="506">
        <f t="shared" ref="C62:H62" si="11">(J62-140.67)/((-9)-140.67)</f>
        <v>0.57907396271797951</v>
      </c>
      <c r="D62" s="506">
        <f t="shared" si="11"/>
        <v>0.83296585822142044</v>
      </c>
      <c r="E62" s="506">
        <f t="shared" si="11"/>
        <v>0.27841250751653634</v>
      </c>
      <c r="F62" s="506">
        <f t="shared" si="11"/>
        <v>0.68597581345627046</v>
      </c>
      <c r="G62" s="506">
        <f t="shared" si="11"/>
        <v>0.75947083583884545</v>
      </c>
      <c r="H62" s="506">
        <f t="shared" si="11"/>
        <v>0.3569185541524687</v>
      </c>
      <c r="I62" s="454" t="s">
        <v>4353</v>
      </c>
      <c r="J62" s="507">
        <v>54</v>
      </c>
      <c r="K62" s="507">
        <v>16</v>
      </c>
      <c r="L62" s="507">
        <v>99</v>
      </c>
      <c r="M62" s="507">
        <v>38</v>
      </c>
      <c r="N62" s="507">
        <v>27</v>
      </c>
      <c r="O62" s="507">
        <v>87.25</v>
      </c>
      <c r="P62" s="534"/>
      <c r="Q62" s="534"/>
      <c r="R62" s="534"/>
      <c r="S62" s="535"/>
      <c r="T62" s="535"/>
      <c r="U62" s="535"/>
      <c r="V62" s="535"/>
      <c r="W62" s="535"/>
      <c r="X62" s="535"/>
      <c r="Y62" s="535"/>
      <c r="Z62" s="535"/>
    </row>
    <row r="63" spans="1:26" ht="13.5" customHeight="1">
      <c r="A63" s="143"/>
      <c r="B63" s="144"/>
      <c r="C63" s="87"/>
      <c r="D63" s="87"/>
      <c r="E63" s="87"/>
      <c r="F63" s="87"/>
      <c r="G63" s="87"/>
      <c r="H63" s="87"/>
      <c r="I63" s="454"/>
      <c r="J63" s="75"/>
      <c r="K63" s="75"/>
      <c r="L63" s="75"/>
      <c r="M63" s="75"/>
      <c r="N63" s="75"/>
      <c r="O63" s="75"/>
      <c r="P63" s="146"/>
      <c r="Q63" s="146"/>
      <c r="R63" s="146"/>
      <c r="S63" s="149"/>
      <c r="T63" s="149"/>
      <c r="U63" s="149"/>
      <c r="V63" s="149"/>
      <c r="W63" s="149"/>
      <c r="X63" s="149"/>
      <c r="Y63" s="149"/>
      <c r="Z63" s="149"/>
    </row>
    <row r="64" spans="1:26" ht="33" customHeight="1">
      <c r="A64" s="533" t="s">
        <v>898</v>
      </c>
      <c r="B64" s="517" t="s">
        <v>899</v>
      </c>
      <c r="C64" s="506">
        <f t="shared" ref="C64:H64" si="12">AVERAGE(C65,C67,C69)</f>
        <v>0.66798941798941802</v>
      </c>
      <c r="D64" s="506">
        <f t="shared" si="12"/>
        <v>0.68253968253968245</v>
      </c>
      <c r="E64" s="506">
        <f t="shared" si="12"/>
        <v>0.14947089947089945</v>
      </c>
      <c r="F64" s="506">
        <f t="shared" si="12"/>
        <v>0.62301587301587302</v>
      </c>
      <c r="G64" s="506">
        <f t="shared" si="12"/>
        <v>0.49338624338624343</v>
      </c>
      <c r="H64" s="506">
        <f t="shared" si="12"/>
        <v>0.25793650793650791</v>
      </c>
      <c r="I64" s="454"/>
      <c r="J64" s="507"/>
      <c r="K64" s="507"/>
      <c r="L64" s="507"/>
      <c r="M64" s="507"/>
      <c r="N64" s="507"/>
      <c r="O64" s="507"/>
      <c r="P64" s="534"/>
      <c r="Q64" s="534"/>
      <c r="R64" s="534"/>
      <c r="S64" s="535"/>
      <c r="T64" s="535"/>
      <c r="U64" s="535"/>
      <c r="V64" s="535"/>
      <c r="W64" s="535"/>
      <c r="X64" s="535"/>
      <c r="Y64" s="535"/>
      <c r="Z64" s="535"/>
    </row>
    <row r="65" spans="1:26" ht="84" customHeight="1">
      <c r="A65" s="503" t="s">
        <v>736</v>
      </c>
      <c r="B65" s="517" t="s">
        <v>4354</v>
      </c>
      <c r="C65" s="506">
        <f t="shared" ref="C65:H65" si="13">(J65-1)/(10-1)</f>
        <v>0.44444444444444442</v>
      </c>
      <c r="D65" s="506">
        <f t="shared" si="13"/>
        <v>0.66666666666666663</v>
      </c>
      <c r="E65" s="506">
        <f t="shared" si="13"/>
        <v>0.22222222222222221</v>
      </c>
      <c r="F65" s="506">
        <f t="shared" si="13"/>
        <v>0.66666666666666663</v>
      </c>
      <c r="G65" s="506">
        <f t="shared" si="13"/>
        <v>0.44444444444444442</v>
      </c>
      <c r="H65" s="506">
        <f t="shared" si="13"/>
        <v>0.33333333333333331</v>
      </c>
      <c r="I65" s="454" t="s">
        <v>901</v>
      </c>
      <c r="J65" s="507">
        <v>5</v>
      </c>
      <c r="K65" s="507">
        <v>7</v>
      </c>
      <c r="L65" s="507">
        <v>3</v>
      </c>
      <c r="M65" s="507">
        <v>7</v>
      </c>
      <c r="N65" s="507">
        <v>5</v>
      </c>
      <c r="O65" s="507">
        <v>4</v>
      </c>
      <c r="P65" s="534"/>
      <c r="Q65" s="534"/>
      <c r="R65" s="534"/>
      <c r="S65" s="535"/>
      <c r="T65" s="535"/>
      <c r="U65" s="535"/>
      <c r="V65" s="535"/>
      <c r="W65" s="535"/>
      <c r="X65" s="535"/>
      <c r="Y65" s="535"/>
      <c r="Z65" s="535"/>
    </row>
    <row r="66" spans="1:26" ht="13.5" customHeight="1">
      <c r="A66" s="143"/>
      <c r="B66" s="3"/>
      <c r="C66" s="87"/>
      <c r="D66" s="87"/>
      <c r="E66" s="87"/>
      <c r="F66" s="87"/>
      <c r="G66" s="87"/>
      <c r="H66" s="87"/>
      <c r="I66" s="454"/>
      <c r="J66" s="540"/>
      <c r="K66" s="75"/>
      <c r="L66" s="75"/>
      <c r="M66" s="75"/>
      <c r="N66" s="75"/>
      <c r="O66" s="75"/>
      <c r="P66" s="146"/>
      <c r="Q66" s="146"/>
      <c r="R66" s="146"/>
      <c r="S66" s="149"/>
      <c r="T66" s="149"/>
      <c r="U66" s="149"/>
      <c r="V66" s="149"/>
      <c r="W66" s="149"/>
      <c r="X66" s="149"/>
      <c r="Y66" s="149"/>
      <c r="Z66" s="149"/>
    </row>
    <row r="67" spans="1:26" ht="121.5" customHeight="1">
      <c r="A67" s="503" t="s">
        <v>736</v>
      </c>
      <c r="B67" s="497" t="s">
        <v>4355</v>
      </c>
      <c r="C67" s="506">
        <f t="shared" ref="C67:H67" si="14">(J67-7)/(1.75-7)</f>
        <v>0.80952380952380953</v>
      </c>
      <c r="D67" s="506">
        <f t="shared" si="14"/>
        <v>0.7142857142857143</v>
      </c>
      <c r="E67" s="506">
        <f t="shared" si="14"/>
        <v>0.14285714285714285</v>
      </c>
      <c r="F67" s="506">
        <f t="shared" si="14"/>
        <v>0.61904761904761907</v>
      </c>
      <c r="G67" s="506">
        <f t="shared" si="14"/>
        <v>0.61904761904761907</v>
      </c>
      <c r="H67" s="506">
        <f t="shared" si="14"/>
        <v>0.19047619047619047</v>
      </c>
      <c r="I67" s="438" t="s">
        <v>2780</v>
      </c>
      <c r="J67" s="507">
        <v>2.75</v>
      </c>
      <c r="K67" s="507">
        <v>3.25</v>
      </c>
      <c r="L67" s="507">
        <v>6.25</v>
      </c>
      <c r="M67" s="507">
        <v>3.75</v>
      </c>
      <c r="N67" s="507">
        <v>3.75</v>
      </c>
      <c r="O67" s="507">
        <v>6</v>
      </c>
      <c r="P67" s="534">
        <v>2012</v>
      </c>
      <c r="Q67" s="534"/>
      <c r="R67" s="534"/>
      <c r="S67" s="535"/>
      <c r="T67" s="535"/>
      <c r="U67" s="535"/>
      <c r="V67" s="535"/>
      <c r="W67" s="535"/>
      <c r="X67" s="535"/>
      <c r="Y67" s="535"/>
      <c r="Z67" s="535"/>
    </row>
    <row r="68" spans="1:26" ht="13.5" customHeight="1">
      <c r="A68" s="143"/>
      <c r="B68" s="3"/>
      <c r="C68" s="87"/>
      <c r="D68" s="87"/>
      <c r="E68" s="87"/>
      <c r="F68" s="87"/>
      <c r="G68" s="87"/>
      <c r="H68" s="87"/>
      <c r="I68" s="454"/>
      <c r="J68" s="75"/>
      <c r="K68" s="75"/>
      <c r="L68" s="75"/>
      <c r="M68" s="75"/>
      <c r="N68" s="75"/>
      <c r="O68" s="75"/>
      <c r="P68" s="146"/>
      <c r="Q68" s="146"/>
      <c r="R68" s="146"/>
      <c r="S68" s="149"/>
      <c r="T68" s="149"/>
      <c r="U68" s="149"/>
      <c r="V68" s="149"/>
      <c r="W68" s="149"/>
      <c r="X68" s="149"/>
      <c r="Y68" s="149"/>
      <c r="Z68" s="149"/>
    </row>
    <row r="69" spans="1:26" ht="90.75" customHeight="1">
      <c r="A69" s="503" t="s">
        <v>736</v>
      </c>
      <c r="B69" s="517" t="s">
        <v>4356</v>
      </c>
      <c r="C69" s="506">
        <f t="shared" ref="C69:H69" si="15">(J69-0)/(12-0)</f>
        <v>0.75</v>
      </c>
      <c r="D69" s="506">
        <f t="shared" si="15"/>
        <v>0.66666666666666663</v>
      </c>
      <c r="E69" s="506">
        <f t="shared" si="15"/>
        <v>8.3333333333333329E-2</v>
      </c>
      <c r="F69" s="506">
        <f t="shared" si="15"/>
        <v>0.58333333333333337</v>
      </c>
      <c r="G69" s="506">
        <f t="shared" si="15"/>
        <v>0.41666666666666669</v>
      </c>
      <c r="H69" s="506">
        <f t="shared" si="15"/>
        <v>0.25</v>
      </c>
      <c r="I69" s="454" t="s">
        <v>2782</v>
      </c>
      <c r="J69" s="507">
        <v>9</v>
      </c>
      <c r="K69" s="507">
        <v>8</v>
      </c>
      <c r="L69" s="507">
        <v>1</v>
      </c>
      <c r="M69" s="507">
        <v>7</v>
      </c>
      <c r="N69" s="507">
        <v>5</v>
      </c>
      <c r="O69" s="507">
        <v>3</v>
      </c>
      <c r="P69" s="534"/>
      <c r="Q69" s="534"/>
      <c r="R69" s="534"/>
      <c r="S69" s="535"/>
      <c r="T69" s="535"/>
      <c r="U69" s="535"/>
      <c r="V69" s="535"/>
      <c r="W69" s="535"/>
      <c r="X69" s="535"/>
      <c r="Y69" s="535"/>
      <c r="Z69" s="535"/>
    </row>
    <row r="70" spans="1:26" ht="15.75" customHeight="1">
      <c r="A70" s="143"/>
      <c r="B70" s="144"/>
      <c r="C70" s="87"/>
      <c r="D70" s="87"/>
      <c r="E70" s="87"/>
      <c r="F70" s="87"/>
      <c r="G70" s="87"/>
      <c r="H70" s="87"/>
      <c r="I70" s="454"/>
      <c r="J70" s="75"/>
      <c r="K70" s="75"/>
      <c r="L70" s="75"/>
      <c r="M70" s="75"/>
      <c r="N70" s="75"/>
      <c r="O70" s="75"/>
      <c r="P70" s="146"/>
      <c r="Q70" s="146"/>
      <c r="R70" s="146"/>
      <c r="S70" s="149"/>
      <c r="T70" s="149"/>
      <c r="U70" s="149"/>
      <c r="V70" s="149"/>
      <c r="W70" s="149"/>
      <c r="X70" s="149"/>
      <c r="Y70" s="149"/>
      <c r="Z70" s="149"/>
    </row>
    <row r="71" spans="1:26" ht="13.5" customHeight="1">
      <c r="A71" s="123" t="s">
        <v>906</v>
      </c>
      <c r="B71" s="158" t="s">
        <v>907</v>
      </c>
      <c r="C71" s="160">
        <f t="shared" ref="C71:H71" si="16">AVERAGE(C72,C88)</f>
        <v>0.64393969802528295</v>
      </c>
      <c r="D71" s="160">
        <f t="shared" si="16"/>
        <v>0.66685857997215581</v>
      </c>
      <c r="E71" s="160">
        <f t="shared" si="16"/>
        <v>0.15673529452057003</v>
      </c>
      <c r="F71" s="160">
        <f t="shared" si="16"/>
        <v>0.58000812743637697</v>
      </c>
      <c r="G71" s="160">
        <f t="shared" si="16"/>
        <v>0.52925858115724034</v>
      </c>
      <c r="H71" s="160">
        <f t="shared" si="16"/>
        <v>0.48267627887633346</v>
      </c>
      <c r="I71" s="161"/>
      <c r="J71" s="63"/>
      <c r="K71" s="63"/>
      <c r="L71" s="163"/>
      <c r="M71" s="63"/>
      <c r="N71" s="63"/>
      <c r="O71" s="63"/>
      <c r="P71" s="165"/>
      <c r="Q71" s="165"/>
      <c r="R71" s="165"/>
      <c r="S71" s="161"/>
      <c r="T71" s="161"/>
      <c r="U71" s="161"/>
      <c r="V71" s="161"/>
      <c r="W71" s="161"/>
      <c r="X71" s="161"/>
      <c r="Y71" s="161"/>
      <c r="Z71" s="161"/>
    </row>
    <row r="72" spans="1:26" ht="13.5" customHeight="1">
      <c r="A72" s="547" t="s">
        <v>908</v>
      </c>
      <c r="B72" s="992" t="s">
        <v>909</v>
      </c>
      <c r="C72" s="506">
        <f t="shared" ref="C72:H72" si="17">AVERAGE(C73,C79)</f>
        <v>0.63416305916305915</v>
      </c>
      <c r="D72" s="506">
        <f t="shared" si="17"/>
        <v>0.80568181818181817</v>
      </c>
      <c r="E72" s="506">
        <f t="shared" si="17"/>
        <v>0.12471139971139972</v>
      </c>
      <c r="F72" s="506">
        <f t="shared" si="17"/>
        <v>0.76148989898989905</v>
      </c>
      <c r="G72" s="506">
        <f t="shared" si="17"/>
        <v>0.64536435786435786</v>
      </c>
      <c r="H72" s="506">
        <f t="shared" si="17"/>
        <v>0.501461038961039</v>
      </c>
      <c r="I72" s="454"/>
      <c r="J72" s="507"/>
      <c r="K72" s="507"/>
      <c r="L72" s="551"/>
      <c r="M72" s="507"/>
      <c r="N72" s="507"/>
      <c r="O72" s="507"/>
      <c r="P72" s="534"/>
      <c r="Q72" s="534"/>
      <c r="R72" s="534"/>
      <c r="S72" s="535"/>
      <c r="T72" s="535"/>
      <c r="U72" s="535"/>
      <c r="V72" s="535"/>
      <c r="W72" s="535"/>
      <c r="X72" s="535"/>
      <c r="Y72" s="535"/>
      <c r="Z72" s="535"/>
    </row>
    <row r="73" spans="1:26" ht="42" customHeight="1">
      <c r="A73" s="533" t="s">
        <v>736</v>
      </c>
      <c r="B73" s="517" t="s">
        <v>910</v>
      </c>
      <c r="C73" s="506">
        <f t="shared" ref="C73:H73" si="18">AVERAGE(C74:C77)</f>
        <v>0.554040404040404</v>
      </c>
      <c r="D73" s="506">
        <f t="shared" si="18"/>
        <v>0.61136363636363633</v>
      </c>
      <c r="E73" s="506">
        <f t="shared" si="18"/>
        <v>0.10656565656565657</v>
      </c>
      <c r="F73" s="506">
        <f t="shared" si="18"/>
        <v>0.52297979797979799</v>
      </c>
      <c r="G73" s="506">
        <f t="shared" si="18"/>
        <v>0.43358585858585863</v>
      </c>
      <c r="H73" s="506">
        <f t="shared" si="18"/>
        <v>0.28863636363636364</v>
      </c>
      <c r="I73" s="454"/>
      <c r="J73" s="507"/>
      <c r="K73" s="507"/>
      <c r="L73" s="551"/>
      <c r="M73" s="507"/>
      <c r="N73" s="507"/>
      <c r="O73" s="507"/>
      <c r="P73" s="534"/>
      <c r="Q73" s="534"/>
      <c r="R73" s="534"/>
      <c r="S73" s="535"/>
      <c r="T73" s="535"/>
      <c r="U73" s="535"/>
      <c r="V73" s="535"/>
      <c r="W73" s="535"/>
      <c r="X73" s="535"/>
      <c r="Y73" s="535"/>
      <c r="Z73" s="535"/>
    </row>
    <row r="74" spans="1:26" ht="59.25" customHeight="1">
      <c r="A74" s="533"/>
      <c r="B74" s="993" t="s">
        <v>4357</v>
      </c>
      <c r="C74" s="506">
        <f t="shared" ref="C74:H74" si="19">(J74-3)/(14-3)</f>
        <v>0.72727272727272729</v>
      </c>
      <c r="D74" s="506">
        <f t="shared" si="19"/>
        <v>0.54545454545454541</v>
      </c>
      <c r="E74" s="506">
        <f t="shared" si="19"/>
        <v>0.18181818181818182</v>
      </c>
      <c r="F74" s="506">
        <f t="shared" si="19"/>
        <v>0.63636363636363635</v>
      </c>
      <c r="G74" s="506">
        <f t="shared" si="19"/>
        <v>0.54545454545454541</v>
      </c>
      <c r="H74" s="506">
        <f t="shared" si="19"/>
        <v>0.45454545454545453</v>
      </c>
      <c r="I74" s="454" t="s">
        <v>4358</v>
      </c>
      <c r="J74" s="507">
        <v>11</v>
      </c>
      <c r="K74" s="507">
        <v>9</v>
      </c>
      <c r="L74" s="507">
        <v>5</v>
      </c>
      <c r="M74" s="507">
        <v>10</v>
      </c>
      <c r="N74" s="507">
        <v>9</v>
      </c>
      <c r="O74" s="507">
        <v>8</v>
      </c>
      <c r="P74" s="534">
        <f>MIN(J74:O74)</f>
        <v>5</v>
      </c>
      <c r="Q74" s="534">
        <f>MAX(J74:P74)</f>
        <v>11</v>
      </c>
      <c r="R74" s="534"/>
      <c r="S74" s="535"/>
      <c r="T74" s="535"/>
      <c r="U74" s="535"/>
      <c r="V74" s="535"/>
      <c r="W74" s="535"/>
      <c r="X74" s="535"/>
      <c r="Y74" s="535"/>
      <c r="Z74" s="535"/>
    </row>
    <row r="75" spans="1:26" ht="128.25" customHeight="1">
      <c r="A75" s="533"/>
      <c r="B75" s="993" t="s">
        <v>2785</v>
      </c>
      <c r="C75" s="506">
        <f t="shared" ref="C75:H75" si="20">(J75-1)/(16-1)</f>
        <v>0.6</v>
      </c>
      <c r="D75" s="506">
        <f t="shared" si="20"/>
        <v>0.73333333333333328</v>
      </c>
      <c r="E75" s="506">
        <f t="shared" si="20"/>
        <v>0.13333333333333333</v>
      </c>
      <c r="F75" s="506">
        <f t="shared" si="20"/>
        <v>0.73333333333333328</v>
      </c>
      <c r="G75" s="506">
        <f t="shared" si="20"/>
        <v>0.46666666666666667</v>
      </c>
      <c r="H75" s="506">
        <f t="shared" si="20"/>
        <v>0.2</v>
      </c>
      <c r="I75" s="454" t="s">
        <v>2786</v>
      </c>
      <c r="J75" s="507">
        <v>10</v>
      </c>
      <c r="K75" s="507">
        <v>12</v>
      </c>
      <c r="L75" s="507">
        <v>3</v>
      </c>
      <c r="M75" s="507">
        <v>12</v>
      </c>
      <c r="N75" s="507">
        <v>8</v>
      </c>
      <c r="O75" s="507">
        <v>4</v>
      </c>
      <c r="P75" s="534"/>
      <c r="Q75" s="534"/>
      <c r="R75" s="534"/>
      <c r="S75" s="535"/>
      <c r="T75" s="535"/>
      <c r="U75" s="535"/>
      <c r="V75" s="535"/>
      <c r="W75" s="535"/>
      <c r="X75" s="535"/>
      <c r="Y75" s="535"/>
      <c r="Z75" s="535"/>
    </row>
    <row r="76" spans="1:26" ht="64.5" customHeight="1">
      <c r="A76" s="533"/>
      <c r="B76" s="993" t="s">
        <v>2787</v>
      </c>
      <c r="C76" s="506">
        <f t="shared" ref="C76:H76" si="21">(J76-2)/(8-2)</f>
        <v>0.33333333333333331</v>
      </c>
      <c r="D76" s="506">
        <f t="shared" si="21"/>
        <v>0.5</v>
      </c>
      <c r="E76" s="506">
        <f t="shared" si="21"/>
        <v>0</v>
      </c>
      <c r="F76" s="506">
        <f t="shared" si="21"/>
        <v>0.16666666666666666</v>
      </c>
      <c r="G76" s="506">
        <f t="shared" si="21"/>
        <v>0.16666666666666666</v>
      </c>
      <c r="H76" s="506">
        <f t="shared" si="21"/>
        <v>0.16666666666666666</v>
      </c>
      <c r="I76" s="454" t="s">
        <v>4359</v>
      </c>
      <c r="J76" s="507">
        <v>4</v>
      </c>
      <c r="K76" s="507">
        <v>5</v>
      </c>
      <c r="L76" s="507">
        <v>2</v>
      </c>
      <c r="M76" s="507">
        <v>3</v>
      </c>
      <c r="N76" s="507">
        <v>3</v>
      </c>
      <c r="O76" s="507">
        <v>3</v>
      </c>
      <c r="P76" s="534"/>
      <c r="Q76" s="534"/>
      <c r="R76" s="534"/>
      <c r="S76" s="535"/>
      <c r="T76" s="535"/>
      <c r="U76" s="535"/>
      <c r="V76" s="535"/>
      <c r="W76" s="535"/>
      <c r="X76" s="535"/>
      <c r="Y76" s="535"/>
      <c r="Z76" s="535"/>
    </row>
    <row r="77" spans="1:26" ht="59.25" customHeight="1">
      <c r="A77" s="533"/>
      <c r="B77" s="993" t="s">
        <v>2789</v>
      </c>
      <c r="C77" s="506">
        <f t="shared" ref="C77:H77" si="22">(J77-1)/(10-1)</f>
        <v>0.55555555555555558</v>
      </c>
      <c r="D77" s="506">
        <f t="shared" si="22"/>
        <v>0.66666666666666663</v>
      </c>
      <c r="E77" s="506">
        <f t="shared" si="22"/>
        <v>0.1111111111111111</v>
      </c>
      <c r="F77" s="506">
        <f t="shared" si="22"/>
        <v>0.55555555555555558</v>
      </c>
      <c r="G77" s="506">
        <f t="shared" si="22"/>
        <v>0.55555555555555558</v>
      </c>
      <c r="H77" s="506">
        <f t="shared" si="22"/>
        <v>0.33333333333333331</v>
      </c>
      <c r="I77" s="454" t="s">
        <v>2790</v>
      </c>
      <c r="J77" s="507">
        <v>6</v>
      </c>
      <c r="K77" s="507">
        <v>7</v>
      </c>
      <c r="L77" s="507">
        <v>2</v>
      </c>
      <c r="M77" s="507">
        <v>6</v>
      </c>
      <c r="N77" s="507">
        <v>6</v>
      </c>
      <c r="O77" s="507">
        <v>4</v>
      </c>
      <c r="P77" s="534"/>
      <c r="Q77" s="534"/>
      <c r="R77" s="534"/>
      <c r="S77" s="535"/>
      <c r="T77" s="535"/>
      <c r="U77" s="535"/>
      <c r="V77" s="535"/>
      <c r="W77" s="535"/>
      <c r="X77" s="535"/>
      <c r="Y77" s="535"/>
      <c r="Z77" s="535"/>
    </row>
    <row r="78" spans="1:26" ht="13.5" customHeight="1">
      <c r="A78" s="143"/>
      <c r="B78" s="929"/>
      <c r="C78" s="87"/>
      <c r="D78" s="87"/>
      <c r="E78" s="87"/>
      <c r="F78" s="87"/>
      <c r="G78" s="87"/>
      <c r="H78" s="87"/>
      <c r="I78" s="454"/>
      <c r="J78" s="291"/>
      <c r="K78" s="953"/>
      <c r="L78" s="953"/>
      <c r="M78" s="291"/>
      <c r="N78" s="953"/>
      <c r="O78" s="953"/>
      <c r="P78" s="149"/>
      <c r="Q78" s="149"/>
      <c r="R78" s="149"/>
      <c r="S78" s="149"/>
      <c r="T78" s="149"/>
      <c r="U78" s="149"/>
      <c r="V78" s="149"/>
      <c r="W78" s="149"/>
      <c r="X78" s="149"/>
      <c r="Y78" s="149"/>
      <c r="Z78" s="149"/>
    </row>
    <row r="79" spans="1:26" ht="13.5" customHeight="1">
      <c r="A79" s="533" t="s">
        <v>736</v>
      </c>
      <c r="B79" s="517" t="s">
        <v>76</v>
      </c>
      <c r="C79" s="506">
        <f t="shared" ref="C79:H79" si="23">AVERAGE(C80:C86)</f>
        <v>0.7142857142857143</v>
      </c>
      <c r="D79" s="506">
        <f t="shared" si="23"/>
        <v>1</v>
      </c>
      <c r="E79" s="506">
        <f t="shared" si="23"/>
        <v>0.14285714285714285</v>
      </c>
      <c r="F79" s="506">
        <f t="shared" si="23"/>
        <v>1</v>
      </c>
      <c r="G79" s="506">
        <f t="shared" si="23"/>
        <v>0.8571428571428571</v>
      </c>
      <c r="H79" s="506">
        <f t="shared" si="23"/>
        <v>0.7142857142857143</v>
      </c>
      <c r="I79" s="454"/>
      <c r="J79" s="507"/>
      <c r="K79" s="507"/>
      <c r="L79" s="507"/>
      <c r="M79" s="507"/>
      <c r="N79" s="507"/>
      <c r="O79" s="507"/>
      <c r="P79" s="534"/>
      <c r="Q79" s="534"/>
      <c r="R79" s="534"/>
      <c r="S79" s="535"/>
      <c r="T79" s="535"/>
      <c r="U79" s="535"/>
      <c r="V79" s="535"/>
      <c r="W79" s="535"/>
      <c r="X79" s="535"/>
      <c r="Y79" s="535"/>
      <c r="Z79" s="535"/>
    </row>
    <row r="80" spans="1:26" ht="42" customHeight="1">
      <c r="A80" s="533"/>
      <c r="B80" s="993" t="s">
        <v>919</v>
      </c>
      <c r="C80" s="506">
        <v>1</v>
      </c>
      <c r="D80" s="506">
        <v>1</v>
      </c>
      <c r="E80" s="506">
        <v>0</v>
      </c>
      <c r="F80" s="506">
        <v>1</v>
      </c>
      <c r="G80" s="506">
        <v>1</v>
      </c>
      <c r="H80" s="506">
        <v>1</v>
      </c>
      <c r="I80" s="454"/>
      <c r="J80" s="506" t="s">
        <v>920</v>
      </c>
      <c r="K80" s="506" t="s">
        <v>920</v>
      </c>
      <c r="L80" s="553" t="s">
        <v>748</v>
      </c>
      <c r="M80" s="507" t="s">
        <v>2791</v>
      </c>
      <c r="N80" s="507" t="s">
        <v>922</v>
      </c>
      <c r="O80" s="507" t="s">
        <v>922</v>
      </c>
      <c r="P80" s="534"/>
      <c r="Q80" s="534"/>
      <c r="R80" s="534"/>
      <c r="S80" s="535"/>
      <c r="T80" s="535"/>
      <c r="U80" s="535"/>
      <c r="V80" s="535"/>
      <c r="W80" s="535"/>
      <c r="X80" s="535"/>
      <c r="Y80" s="535"/>
      <c r="Z80" s="535"/>
    </row>
    <row r="81" spans="1:26" ht="111.75" customHeight="1">
      <c r="A81" s="533"/>
      <c r="B81" s="993" t="s">
        <v>78</v>
      </c>
      <c r="C81" s="506">
        <v>0</v>
      </c>
      <c r="D81" s="506">
        <v>1</v>
      </c>
      <c r="E81" s="506">
        <v>1</v>
      </c>
      <c r="F81" s="506">
        <v>1</v>
      </c>
      <c r="G81" s="506">
        <v>0</v>
      </c>
      <c r="H81" s="506">
        <v>0</v>
      </c>
      <c r="I81" s="454" t="s">
        <v>38</v>
      </c>
      <c r="J81" s="507" t="s">
        <v>4360</v>
      </c>
      <c r="K81" s="507" t="s">
        <v>811</v>
      </c>
      <c r="L81" s="507" t="s">
        <v>811</v>
      </c>
      <c r="M81" s="507" t="s">
        <v>4361</v>
      </c>
      <c r="N81" s="507" t="s">
        <v>4362</v>
      </c>
      <c r="O81" s="507" t="s">
        <v>748</v>
      </c>
      <c r="P81" s="534"/>
      <c r="Q81" s="534"/>
      <c r="R81" s="534"/>
      <c r="S81" s="535"/>
      <c r="T81" s="535"/>
      <c r="U81" s="535"/>
      <c r="V81" s="535"/>
      <c r="W81" s="535"/>
      <c r="X81" s="535"/>
      <c r="Y81" s="535"/>
      <c r="Z81" s="535"/>
    </row>
    <row r="82" spans="1:26" ht="39.75" customHeight="1">
      <c r="A82" s="533"/>
      <c r="B82" s="993" t="s">
        <v>4363</v>
      </c>
      <c r="C82" s="506">
        <v>1</v>
      </c>
      <c r="D82" s="506">
        <v>1</v>
      </c>
      <c r="E82" s="506">
        <v>0</v>
      </c>
      <c r="F82" s="991">
        <v>1</v>
      </c>
      <c r="G82" s="991">
        <v>1</v>
      </c>
      <c r="H82" s="991">
        <v>1</v>
      </c>
      <c r="I82" s="454" t="s">
        <v>38</v>
      </c>
      <c r="J82" s="551" t="s">
        <v>930</v>
      </c>
      <c r="K82" s="551" t="s">
        <v>4364</v>
      </c>
      <c r="L82" s="507" t="s">
        <v>748</v>
      </c>
      <c r="M82" s="551" t="s">
        <v>920</v>
      </c>
      <c r="N82" s="507" t="s">
        <v>4365</v>
      </c>
      <c r="O82" s="551" t="s">
        <v>4366</v>
      </c>
      <c r="P82" s="534"/>
      <c r="Q82" s="534"/>
      <c r="R82" s="534"/>
      <c r="S82" s="535"/>
      <c r="T82" s="535"/>
      <c r="U82" s="535"/>
      <c r="V82" s="535"/>
      <c r="W82" s="535"/>
      <c r="X82" s="535"/>
      <c r="Y82" s="535"/>
      <c r="Z82" s="535"/>
    </row>
    <row r="83" spans="1:26" ht="100.5" customHeight="1">
      <c r="A83" s="533"/>
      <c r="B83" s="993" t="s">
        <v>2798</v>
      </c>
      <c r="C83" s="506">
        <v>1</v>
      </c>
      <c r="D83" s="506">
        <v>1</v>
      </c>
      <c r="E83" s="506">
        <v>0</v>
      </c>
      <c r="F83" s="506">
        <v>1</v>
      </c>
      <c r="G83" s="506">
        <v>1</v>
      </c>
      <c r="H83" s="506">
        <v>1</v>
      </c>
      <c r="I83" s="454" t="s">
        <v>38</v>
      </c>
      <c r="J83" s="507" t="s">
        <v>811</v>
      </c>
      <c r="K83" s="507" t="s">
        <v>811</v>
      </c>
      <c r="L83" s="507" t="s">
        <v>748</v>
      </c>
      <c r="M83" s="507" t="s">
        <v>811</v>
      </c>
      <c r="N83" s="507" t="s">
        <v>4367</v>
      </c>
      <c r="O83" s="507" t="s">
        <v>811</v>
      </c>
      <c r="P83" s="534"/>
      <c r="Q83" s="534"/>
      <c r="R83" s="534"/>
      <c r="S83" s="535"/>
      <c r="T83" s="535"/>
      <c r="U83" s="535"/>
      <c r="V83" s="535"/>
      <c r="W83" s="535"/>
      <c r="X83" s="535"/>
      <c r="Y83" s="535"/>
      <c r="Z83" s="535"/>
    </row>
    <row r="84" spans="1:26" ht="130.5" customHeight="1">
      <c r="A84" s="533"/>
      <c r="B84" s="993" t="s">
        <v>2800</v>
      </c>
      <c r="C84" s="506">
        <v>1</v>
      </c>
      <c r="D84" s="506">
        <v>1</v>
      </c>
      <c r="E84" s="506">
        <v>0</v>
      </c>
      <c r="F84" s="506">
        <v>1</v>
      </c>
      <c r="G84" s="506">
        <v>1</v>
      </c>
      <c r="H84" s="506">
        <v>0</v>
      </c>
      <c r="I84" s="454" t="s">
        <v>38</v>
      </c>
      <c r="J84" s="553" t="s">
        <v>2801</v>
      </c>
      <c r="K84" s="553" t="s">
        <v>2802</v>
      </c>
      <c r="L84" s="553" t="s">
        <v>748</v>
      </c>
      <c r="M84" s="507" t="s">
        <v>2803</v>
      </c>
      <c r="N84" s="555" t="s">
        <v>2804</v>
      </c>
      <c r="O84" s="507" t="s">
        <v>2805</v>
      </c>
      <c r="P84" s="534"/>
      <c r="Q84" s="534"/>
      <c r="R84" s="534"/>
      <c r="S84" s="535"/>
      <c r="T84" s="535"/>
      <c r="U84" s="535"/>
      <c r="V84" s="535"/>
      <c r="W84" s="535"/>
      <c r="X84" s="535"/>
      <c r="Y84" s="535"/>
      <c r="Z84" s="535"/>
    </row>
    <row r="85" spans="1:26" ht="125.25" customHeight="1">
      <c r="A85" s="533"/>
      <c r="B85" s="993" t="s">
        <v>82</v>
      </c>
      <c r="C85" s="506">
        <v>1</v>
      </c>
      <c r="D85" s="506">
        <v>1</v>
      </c>
      <c r="E85" s="506">
        <v>0</v>
      </c>
      <c r="F85" s="506">
        <v>1</v>
      </c>
      <c r="G85" s="506">
        <v>1</v>
      </c>
      <c r="H85" s="506">
        <v>1</v>
      </c>
      <c r="I85" s="454" t="s">
        <v>38</v>
      </c>
      <c r="J85" s="507" t="s">
        <v>4368</v>
      </c>
      <c r="K85" s="551" t="s">
        <v>4364</v>
      </c>
      <c r="L85" s="507" t="s">
        <v>4369</v>
      </c>
      <c r="M85" s="507" t="s">
        <v>2808</v>
      </c>
      <c r="N85" s="507" t="s">
        <v>4370</v>
      </c>
      <c r="O85" s="507" t="s">
        <v>4371</v>
      </c>
      <c r="P85" s="534"/>
      <c r="Q85" s="534"/>
      <c r="R85" s="534"/>
      <c r="S85" s="535"/>
      <c r="T85" s="535"/>
      <c r="U85" s="535"/>
      <c r="V85" s="535"/>
      <c r="W85" s="535"/>
      <c r="X85" s="535"/>
      <c r="Y85" s="535"/>
      <c r="Z85" s="535"/>
    </row>
    <row r="86" spans="1:26" ht="66" customHeight="1">
      <c r="A86" s="533"/>
      <c r="B86" s="993" t="s">
        <v>83</v>
      </c>
      <c r="C86" s="506">
        <v>0</v>
      </c>
      <c r="D86" s="506">
        <v>1</v>
      </c>
      <c r="E86" s="506">
        <v>0</v>
      </c>
      <c r="F86" s="506">
        <v>1</v>
      </c>
      <c r="G86" s="506">
        <v>1</v>
      </c>
      <c r="H86" s="506">
        <v>1</v>
      </c>
      <c r="I86" s="454" t="s">
        <v>38</v>
      </c>
      <c r="J86" s="507" t="s">
        <v>4372</v>
      </c>
      <c r="K86" s="507" t="s">
        <v>4373</v>
      </c>
      <c r="L86" s="507" t="s">
        <v>748</v>
      </c>
      <c r="M86" s="507" t="s">
        <v>4374</v>
      </c>
      <c r="N86" s="507" t="s">
        <v>4375</v>
      </c>
      <c r="O86" s="507" t="s">
        <v>4376</v>
      </c>
      <c r="P86" s="534"/>
      <c r="Q86" s="534"/>
      <c r="R86" s="534"/>
      <c r="S86" s="535"/>
      <c r="T86" s="535"/>
      <c r="U86" s="535"/>
      <c r="V86" s="535"/>
      <c r="W86" s="535"/>
      <c r="X86" s="535"/>
      <c r="Y86" s="535"/>
      <c r="Z86" s="535"/>
    </row>
    <row r="87" spans="1:26" ht="13.5" customHeight="1">
      <c r="A87" s="143"/>
      <c r="B87" s="144"/>
      <c r="C87" s="87"/>
      <c r="D87" s="87"/>
      <c r="E87" s="87"/>
      <c r="F87" s="87"/>
      <c r="G87" s="87"/>
      <c r="H87" s="87"/>
      <c r="I87" s="454"/>
      <c r="J87" s="75"/>
      <c r="K87" s="75"/>
      <c r="L87" s="75"/>
      <c r="M87" s="75"/>
      <c r="N87" s="75"/>
      <c r="O87" s="75"/>
      <c r="P87" s="146"/>
      <c r="Q87" s="146"/>
      <c r="R87" s="146"/>
      <c r="S87" s="149"/>
      <c r="T87" s="149"/>
      <c r="U87" s="149"/>
      <c r="V87" s="149"/>
      <c r="W87" s="149"/>
      <c r="X87" s="149"/>
      <c r="Y87" s="149"/>
      <c r="Z87" s="149"/>
    </row>
    <row r="88" spans="1:26" ht="36" customHeight="1">
      <c r="A88" s="556" t="s">
        <v>954</v>
      </c>
      <c r="B88" s="517" t="s">
        <v>243</v>
      </c>
      <c r="C88" s="498">
        <f t="shared" ref="C88:H88" si="24">AVERAGE(C89,C104,C166)</f>
        <v>0.65371633688750663</v>
      </c>
      <c r="D88" s="498">
        <f t="shared" si="24"/>
        <v>0.52803534176249334</v>
      </c>
      <c r="E88" s="498">
        <f t="shared" si="24"/>
        <v>0.18875918932974034</v>
      </c>
      <c r="F88" s="498">
        <f t="shared" si="24"/>
        <v>0.39852635588285495</v>
      </c>
      <c r="G88" s="498">
        <f t="shared" si="24"/>
        <v>0.4131528044501227</v>
      </c>
      <c r="H88" s="498">
        <f t="shared" si="24"/>
        <v>0.46389151879162799</v>
      </c>
      <c r="I88" s="161"/>
      <c r="J88" s="499"/>
      <c r="K88" s="499"/>
      <c r="L88" s="499"/>
      <c r="M88" s="499"/>
      <c r="N88" s="499"/>
      <c r="O88" s="499"/>
      <c r="P88" s="558"/>
      <c r="Q88" s="558"/>
      <c r="R88" s="558"/>
      <c r="S88" s="559"/>
      <c r="T88" s="559"/>
      <c r="U88" s="559"/>
      <c r="V88" s="559"/>
      <c r="W88" s="559"/>
      <c r="X88" s="559"/>
      <c r="Y88" s="559"/>
      <c r="Z88" s="559"/>
    </row>
    <row r="89" spans="1:26" ht="53.25" customHeight="1">
      <c r="A89" s="533" t="s">
        <v>955</v>
      </c>
      <c r="B89" s="517" t="s">
        <v>245</v>
      </c>
      <c r="C89" s="506">
        <f t="shared" ref="C89:H89" si="25">AVERAGE(C90,C92,C94,C96,C98,C100,C102)</f>
        <v>0.8571428571428571</v>
      </c>
      <c r="D89" s="506">
        <f t="shared" si="25"/>
        <v>0.5714285714285714</v>
      </c>
      <c r="E89" s="506">
        <f t="shared" si="25"/>
        <v>0</v>
      </c>
      <c r="F89" s="506">
        <f t="shared" si="25"/>
        <v>0.2857142857142857</v>
      </c>
      <c r="G89" s="506">
        <f t="shared" si="25"/>
        <v>0.5714285714285714</v>
      </c>
      <c r="H89" s="506">
        <f t="shared" si="25"/>
        <v>0.42857142857142855</v>
      </c>
      <c r="I89" s="454"/>
      <c r="J89" s="507"/>
      <c r="K89" s="507"/>
      <c r="L89" s="507"/>
      <c r="M89" s="507"/>
      <c r="N89" s="507"/>
      <c r="O89" s="507"/>
      <c r="P89" s="534"/>
      <c r="Q89" s="534"/>
      <c r="R89" s="534"/>
      <c r="S89" s="535"/>
      <c r="T89" s="535"/>
      <c r="U89" s="535"/>
      <c r="V89" s="535"/>
      <c r="W89" s="535"/>
      <c r="X89" s="535"/>
      <c r="Y89" s="535"/>
      <c r="Z89" s="535"/>
    </row>
    <row r="90" spans="1:26" ht="24" customHeight="1">
      <c r="A90" s="533" t="s">
        <v>736</v>
      </c>
      <c r="B90" s="560" t="s">
        <v>246</v>
      </c>
      <c r="C90" s="506">
        <v>1</v>
      </c>
      <c r="D90" s="506">
        <v>0</v>
      </c>
      <c r="E90" s="506">
        <v>0</v>
      </c>
      <c r="F90" s="506">
        <v>1</v>
      </c>
      <c r="G90" s="506">
        <v>1</v>
      </c>
      <c r="H90" s="506">
        <v>0</v>
      </c>
      <c r="I90" s="454" t="s">
        <v>38</v>
      </c>
      <c r="J90" s="507" t="s">
        <v>811</v>
      </c>
      <c r="K90" s="507" t="s">
        <v>748</v>
      </c>
      <c r="L90" s="507" t="s">
        <v>748</v>
      </c>
      <c r="M90" s="507" t="s">
        <v>2816</v>
      </c>
      <c r="N90" s="507" t="s">
        <v>811</v>
      </c>
      <c r="O90" s="507" t="s">
        <v>748</v>
      </c>
      <c r="P90" s="534"/>
      <c r="Q90" s="534"/>
      <c r="R90" s="534"/>
      <c r="S90" s="535"/>
      <c r="T90" s="535"/>
      <c r="U90" s="535"/>
      <c r="V90" s="535"/>
      <c r="W90" s="535"/>
      <c r="X90" s="535"/>
      <c r="Y90" s="535"/>
      <c r="Z90" s="535"/>
    </row>
    <row r="91" spans="1:26" ht="13.5" customHeight="1">
      <c r="A91" s="143"/>
      <c r="B91" s="562"/>
      <c r="C91" s="87"/>
      <c r="D91" s="87"/>
      <c r="E91" s="87"/>
      <c r="F91" s="87"/>
      <c r="G91" s="87"/>
      <c r="H91" s="87"/>
      <c r="I91" s="454"/>
      <c r="J91" s="75"/>
      <c r="K91" s="87"/>
      <c r="L91" s="75"/>
      <c r="M91" s="75"/>
      <c r="N91" s="271"/>
      <c r="O91" s="87"/>
      <c r="P91" s="146"/>
      <c r="Q91" s="146"/>
      <c r="R91" s="146"/>
      <c r="S91" s="149"/>
      <c r="T91" s="149"/>
      <c r="U91" s="149"/>
      <c r="V91" s="149"/>
      <c r="W91" s="149"/>
      <c r="X91" s="149"/>
      <c r="Y91" s="149"/>
      <c r="Z91" s="149"/>
    </row>
    <row r="92" spans="1:26" ht="27.75" customHeight="1">
      <c r="A92" s="533" t="s">
        <v>736</v>
      </c>
      <c r="B92" s="560" t="s">
        <v>247</v>
      </c>
      <c r="C92" s="506">
        <v>1</v>
      </c>
      <c r="D92" s="506">
        <v>1</v>
      </c>
      <c r="E92" s="506">
        <v>0</v>
      </c>
      <c r="F92" s="506">
        <v>0</v>
      </c>
      <c r="G92" s="506">
        <v>1</v>
      </c>
      <c r="H92" s="506">
        <v>1</v>
      </c>
      <c r="I92" s="454" t="s">
        <v>38</v>
      </c>
      <c r="J92" s="507" t="s">
        <v>2605</v>
      </c>
      <c r="K92" s="507" t="s">
        <v>811</v>
      </c>
      <c r="L92" s="507" t="s">
        <v>4377</v>
      </c>
      <c r="M92" s="507" t="s">
        <v>2819</v>
      </c>
      <c r="N92" s="507" t="s">
        <v>4378</v>
      </c>
      <c r="O92" s="507" t="s">
        <v>4379</v>
      </c>
      <c r="P92" s="534"/>
      <c r="Q92" s="534"/>
      <c r="R92" s="534"/>
      <c r="S92" s="535"/>
      <c r="T92" s="535"/>
      <c r="U92" s="535"/>
      <c r="V92" s="535"/>
      <c r="W92" s="535"/>
      <c r="X92" s="535"/>
      <c r="Y92" s="535"/>
      <c r="Z92" s="535"/>
    </row>
    <row r="93" spans="1:26" ht="13.5" customHeight="1">
      <c r="A93" s="143"/>
      <c r="B93" s="562"/>
      <c r="C93" s="87"/>
      <c r="D93" s="87"/>
      <c r="E93" s="87"/>
      <c r="F93" s="87"/>
      <c r="G93" s="87"/>
      <c r="H93" s="87"/>
      <c r="I93" s="454"/>
      <c r="J93" s="75"/>
      <c r="K93" s="87"/>
      <c r="L93" s="75"/>
      <c r="M93" s="75"/>
      <c r="N93" s="198"/>
      <c r="O93" s="87"/>
      <c r="P93" s="146"/>
      <c r="Q93" s="146"/>
      <c r="R93" s="146"/>
      <c r="S93" s="149"/>
      <c r="T93" s="149"/>
      <c r="U93" s="149"/>
      <c r="V93" s="149"/>
      <c r="W93" s="149"/>
      <c r="X93" s="149"/>
      <c r="Y93" s="149"/>
      <c r="Z93" s="149"/>
    </row>
    <row r="94" spans="1:26" ht="60" customHeight="1">
      <c r="A94" s="533" t="s">
        <v>736</v>
      </c>
      <c r="B94" s="560" t="s">
        <v>248</v>
      </c>
      <c r="C94" s="506">
        <v>0</v>
      </c>
      <c r="D94" s="506">
        <v>0</v>
      </c>
      <c r="E94" s="506">
        <v>0</v>
      </c>
      <c r="F94" s="506">
        <v>0</v>
      </c>
      <c r="G94" s="506">
        <v>0</v>
      </c>
      <c r="H94" s="506">
        <v>1</v>
      </c>
      <c r="I94" s="454" t="s">
        <v>38</v>
      </c>
      <c r="J94" s="551" t="s">
        <v>748</v>
      </c>
      <c r="K94" s="507" t="s">
        <v>4380</v>
      </c>
      <c r="L94" s="551" t="s">
        <v>748</v>
      </c>
      <c r="M94" s="507" t="s">
        <v>763</v>
      </c>
      <c r="N94" s="551" t="s">
        <v>748</v>
      </c>
      <c r="O94" s="551" t="s">
        <v>811</v>
      </c>
      <c r="P94" s="534"/>
      <c r="Q94" s="534"/>
      <c r="R94" s="534"/>
      <c r="S94" s="535"/>
      <c r="T94" s="535"/>
      <c r="U94" s="535"/>
      <c r="V94" s="535"/>
      <c r="W94" s="535"/>
      <c r="X94" s="535"/>
      <c r="Y94" s="535"/>
      <c r="Z94" s="535"/>
    </row>
    <row r="95" spans="1:26" ht="13.5" customHeight="1">
      <c r="A95" s="143"/>
      <c r="B95" s="562"/>
      <c r="C95" s="87"/>
      <c r="D95" s="87"/>
      <c r="E95" s="87"/>
      <c r="F95" s="87"/>
      <c r="G95" s="87"/>
      <c r="H95" s="87"/>
      <c r="I95" s="454"/>
      <c r="J95" s="198"/>
      <c r="K95" s="87"/>
      <c r="L95" s="75"/>
      <c r="M95" s="75"/>
      <c r="N95" s="198"/>
      <c r="O95" s="87"/>
      <c r="P95" s="146"/>
      <c r="Q95" s="146"/>
      <c r="R95" s="146"/>
      <c r="S95" s="149"/>
      <c r="T95" s="149"/>
      <c r="U95" s="149"/>
      <c r="V95" s="149"/>
      <c r="W95" s="149"/>
      <c r="X95" s="149"/>
      <c r="Y95" s="149"/>
      <c r="Z95" s="149"/>
    </row>
    <row r="96" spans="1:26" ht="43.5" customHeight="1">
      <c r="A96" s="533" t="s">
        <v>736</v>
      </c>
      <c r="B96" s="560" t="s">
        <v>249</v>
      </c>
      <c r="C96" s="506">
        <v>1</v>
      </c>
      <c r="D96" s="994">
        <v>0</v>
      </c>
      <c r="E96" s="506">
        <v>0</v>
      </c>
      <c r="F96" s="506">
        <v>0</v>
      </c>
      <c r="G96" s="506">
        <v>1</v>
      </c>
      <c r="H96" s="506">
        <v>0</v>
      </c>
      <c r="I96" s="454" t="s">
        <v>38</v>
      </c>
      <c r="J96" s="507" t="s">
        <v>962</v>
      </c>
      <c r="K96" s="507" t="s">
        <v>4381</v>
      </c>
      <c r="L96" s="551" t="s">
        <v>748</v>
      </c>
      <c r="M96" s="507" t="s">
        <v>748</v>
      </c>
      <c r="N96" s="507" t="s">
        <v>4382</v>
      </c>
      <c r="O96" s="507" t="s">
        <v>2824</v>
      </c>
      <c r="P96" s="534"/>
      <c r="Q96" s="534"/>
      <c r="R96" s="534"/>
      <c r="S96" s="535"/>
      <c r="T96" s="535"/>
      <c r="U96" s="535"/>
      <c r="V96" s="535"/>
      <c r="W96" s="535"/>
      <c r="X96" s="535"/>
      <c r="Y96" s="535"/>
      <c r="Z96" s="535"/>
    </row>
    <row r="97" spans="1:26" ht="21.75" customHeight="1">
      <c r="A97" s="143"/>
      <c r="B97" s="562"/>
      <c r="C97" s="87"/>
      <c r="D97" s="908"/>
      <c r="E97" s="87"/>
      <c r="F97" s="87"/>
      <c r="G97" s="87"/>
      <c r="H97" s="87"/>
      <c r="I97" s="454"/>
      <c r="J97" s="75"/>
      <c r="K97" s="75"/>
      <c r="L97" s="198"/>
      <c r="M97" s="75"/>
      <c r="N97" s="75"/>
      <c r="O97" s="75"/>
      <c r="P97" s="146"/>
      <c r="Q97" s="146"/>
      <c r="R97" s="146"/>
      <c r="S97" s="149"/>
      <c r="T97" s="149"/>
      <c r="U97" s="149"/>
      <c r="V97" s="149"/>
      <c r="W97" s="149"/>
      <c r="X97" s="149"/>
      <c r="Y97" s="149"/>
      <c r="Z97" s="149"/>
    </row>
    <row r="98" spans="1:26" ht="42" customHeight="1">
      <c r="A98" s="533" t="s">
        <v>736</v>
      </c>
      <c r="B98" s="560" t="s">
        <v>250</v>
      </c>
      <c r="C98" s="506">
        <v>1</v>
      </c>
      <c r="D98" s="506">
        <v>1</v>
      </c>
      <c r="E98" s="506">
        <v>0</v>
      </c>
      <c r="F98" s="506">
        <v>1</v>
      </c>
      <c r="G98" s="506">
        <v>1</v>
      </c>
      <c r="H98" s="506">
        <v>1</v>
      </c>
      <c r="I98" s="454" t="s">
        <v>38</v>
      </c>
      <c r="J98" s="507" t="s">
        <v>965</v>
      </c>
      <c r="K98" s="551" t="s">
        <v>811</v>
      </c>
      <c r="L98" s="551" t="s">
        <v>748</v>
      </c>
      <c r="M98" s="507" t="s">
        <v>2825</v>
      </c>
      <c r="N98" s="507" t="s">
        <v>4383</v>
      </c>
      <c r="O98" s="551" t="s">
        <v>811</v>
      </c>
      <c r="P98" s="534"/>
      <c r="Q98" s="534"/>
      <c r="R98" s="534"/>
      <c r="S98" s="535"/>
      <c r="T98" s="535"/>
      <c r="U98" s="535"/>
      <c r="V98" s="535"/>
      <c r="W98" s="535"/>
      <c r="X98" s="535"/>
      <c r="Y98" s="535"/>
      <c r="Z98" s="535"/>
    </row>
    <row r="99" spans="1:26" ht="13.5" customHeight="1">
      <c r="A99" s="143"/>
      <c r="B99" s="562"/>
      <c r="C99" s="87"/>
      <c r="D99" s="87"/>
      <c r="E99" s="87"/>
      <c r="F99" s="87"/>
      <c r="G99" s="87"/>
      <c r="H99" s="87"/>
      <c r="I99" s="454"/>
      <c r="J99" s="198"/>
      <c r="K99" s="198"/>
      <c r="L99" s="75"/>
      <c r="M99" s="75"/>
      <c r="N99" s="271"/>
      <c r="O99" s="87"/>
      <c r="P99" s="146"/>
      <c r="Q99" s="146"/>
      <c r="R99" s="146"/>
      <c r="S99" s="149"/>
      <c r="T99" s="149"/>
      <c r="U99" s="149"/>
      <c r="V99" s="149"/>
      <c r="W99" s="149"/>
      <c r="X99" s="149"/>
      <c r="Y99" s="149"/>
      <c r="Z99" s="149"/>
    </row>
    <row r="100" spans="1:26" ht="27.75" customHeight="1">
      <c r="A100" s="533" t="s">
        <v>736</v>
      </c>
      <c r="B100" s="560" t="s">
        <v>251</v>
      </c>
      <c r="C100" s="506">
        <v>1</v>
      </c>
      <c r="D100" s="506">
        <v>1</v>
      </c>
      <c r="E100" s="506">
        <v>0</v>
      </c>
      <c r="F100" s="506">
        <v>0</v>
      </c>
      <c r="G100" s="506">
        <v>0</v>
      </c>
      <c r="H100" s="506">
        <v>0</v>
      </c>
      <c r="I100" s="454" t="s">
        <v>38</v>
      </c>
      <c r="J100" s="507" t="s">
        <v>967</v>
      </c>
      <c r="K100" s="551" t="s">
        <v>811</v>
      </c>
      <c r="L100" s="551" t="s">
        <v>748</v>
      </c>
      <c r="M100" s="507" t="s">
        <v>748</v>
      </c>
      <c r="N100" s="551" t="s">
        <v>748</v>
      </c>
      <c r="O100" s="551" t="s">
        <v>748</v>
      </c>
      <c r="P100" s="534"/>
      <c r="Q100" s="534"/>
      <c r="R100" s="534"/>
      <c r="S100" s="535"/>
      <c r="T100" s="535"/>
      <c r="U100" s="535"/>
      <c r="V100" s="535"/>
      <c r="W100" s="535"/>
      <c r="X100" s="535"/>
      <c r="Y100" s="535"/>
      <c r="Z100" s="535"/>
    </row>
    <row r="101" spans="1:26" ht="13.5" customHeight="1">
      <c r="A101" s="143"/>
      <c r="B101" s="562"/>
      <c r="C101" s="87"/>
      <c r="D101" s="87"/>
      <c r="E101" s="87"/>
      <c r="F101" s="87"/>
      <c r="G101" s="87"/>
      <c r="H101" s="87"/>
      <c r="I101" s="454"/>
      <c r="J101" s="198"/>
      <c r="K101" s="198"/>
      <c r="L101" s="75"/>
      <c r="M101" s="75"/>
      <c r="N101" s="271"/>
      <c r="O101" s="87"/>
      <c r="P101" s="146"/>
      <c r="Q101" s="146"/>
      <c r="R101" s="146"/>
      <c r="S101" s="149"/>
      <c r="T101" s="149"/>
      <c r="U101" s="149"/>
      <c r="V101" s="149"/>
      <c r="W101" s="149"/>
      <c r="X101" s="149"/>
      <c r="Y101" s="149"/>
      <c r="Z101" s="149"/>
    </row>
    <row r="102" spans="1:26" ht="27.75" customHeight="1">
      <c r="A102" s="533" t="s">
        <v>736</v>
      </c>
      <c r="B102" s="560" t="s">
        <v>252</v>
      </c>
      <c r="C102" s="506">
        <v>1</v>
      </c>
      <c r="D102" s="506">
        <v>1</v>
      </c>
      <c r="E102" s="506">
        <v>0</v>
      </c>
      <c r="F102" s="506">
        <v>0</v>
      </c>
      <c r="G102" s="506">
        <v>0</v>
      </c>
      <c r="H102" s="506">
        <v>0</v>
      </c>
      <c r="I102" s="454" t="s">
        <v>38</v>
      </c>
      <c r="J102" s="507" t="s">
        <v>969</v>
      </c>
      <c r="K102" s="551" t="s">
        <v>811</v>
      </c>
      <c r="L102" s="551" t="s">
        <v>748</v>
      </c>
      <c r="M102" s="507" t="s">
        <v>748</v>
      </c>
      <c r="N102" s="551" t="s">
        <v>748</v>
      </c>
      <c r="O102" s="551" t="s">
        <v>748</v>
      </c>
      <c r="P102" s="534"/>
      <c r="Q102" s="534"/>
      <c r="R102" s="534"/>
      <c r="S102" s="535"/>
      <c r="T102" s="535"/>
      <c r="U102" s="535"/>
      <c r="V102" s="535"/>
      <c r="W102" s="535"/>
      <c r="X102" s="535"/>
      <c r="Y102" s="535"/>
      <c r="Z102" s="535"/>
    </row>
    <row r="103" spans="1:26" ht="20.25" customHeight="1">
      <c r="A103" s="143"/>
      <c r="B103" s="197"/>
      <c r="C103" s="87"/>
      <c r="D103" s="87"/>
      <c r="E103" s="87"/>
      <c r="F103" s="87"/>
      <c r="G103" s="87"/>
      <c r="H103" s="87"/>
      <c r="I103" s="454"/>
      <c r="J103" s="75"/>
      <c r="K103" s="198"/>
      <c r="L103" s="198"/>
      <c r="M103" s="75"/>
      <c r="N103" s="198"/>
      <c r="O103" s="198"/>
      <c r="P103" s="146"/>
      <c r="Q103" s="146"/>
      <c r="R103" s="146"/>
      <c r="S103" s="149"/>
      <c r="T103" s="149"/>
      <c r="U103" s="149"/>
      <c r="V103" s="149"/>
      <c r="W103" s="149"/>
      <c r="X103" s="149"/>
      <c r="Y103" s="149"/>
      <c r="Z103" s="149"/>
    </row>
    <row r="104" spans="1:26" ht="27.75" customHeight="1">
      <c r="A104" s="566" t="s">
        <v>970</v>
      </c>
      <c r="B104" s="504" t="s">
        <v>4384</v>
      </c>
      <c r="C104" s="506">
        <f t="shared" ref="C104:H104" si="26">AVERAGE(C105,C107,C116,C118,C138,C140,C148,C153,C157,C164)</f>
        <v>0.63518207282913164</v>
      </c>
      <c r="D104" s="506">
        <f t="shared" si="26"/>
        <v>0.54466386554621848</v>
      </c>
      <c r="E104" s="506">
        <f t="shared" si="26"/>
        <v>0.31429971988795519</v>
      </c>
      <c r="F104" s="506">
        <f t="shared" si="26"/>
        <v>0.50759103641456582</v>
      </c>
      <c r="G104" s="506">
        <f t="shared" si="26"/>
        <v>0.40280112044817928</v>
      </c>
      <c r="H104" s="506">
        <f t="shared" si="26"/>
        <v>0.4733893557422969</v>
      </c>
      <c r="I104" s="454"/>
      <c r="J104" s="507"/>
      <c r="K104" s="571"/>
      <c r="L104" s="571"/>
      <c r="M104" s="499"/>
      <c r="N104" s="499"/>
      <c r="O104" s="571"/>
      <c r="P104" s="558"/>
      <c r="Q104" s="558"/>
      <c r="R104" s="558"/>
      <c r="S104" s="559"/>
      <c r="T104" s="559"/>
      <c r="U104" s="559"/>
      <c r="V104" s="559"/>
      <c r="W104" s="559"/>
      <c r="X104" s="559"/>
      <c r="Y104" s="559"/>
      <c r="Z104" s="559"/>
    </row>
    <row r="105" spans="1:26" ht="92.25" customHeight="1">
      <c r="A105" s="533" t="s">
        <v>736</v>
      </c>
      <c r="B105" s="504" t="s">
        <v>255</v>
      </c>
      <c r="C105" s="506">
        <v>0</v>
      </c>
      <c r="D105" s="506">
        <v>0</v>
      </c>
      <c r="E105" s="506">
        <v>0</v>
      </c>
      <c r="F105" s="506">
        <v>0</v>
      </c>
      <c r="G105" s="506">
        <v>0</v>
      </c>
      <c r="H105" s="506">
        <v>0</v>
      </c>
      <c r="I105" s="454" t="s">
        <v>38</v>
      </c>
      <c r="J105" s="507" t="s">
        <v>763</v>
      </c>
      <c r="K105" s="507" t="s">
        <v>4385</v>
      </c>
      <c r="L105" s="507" t="s">
        <v>4386</v>
      </c>
      <c r="M105" s="507" t="s">
        <v>4387</v>
      </c>
      <c r="N105" s="507" t="s">
        <v>2830</v>
      </c>
      <c r="O105" s="507" t="s">
        <v>4388</v>
      </c>
      <c r="P105" s="208"/>
      <c r="Q105" s="208"/>
      <c r="R105" s="208"/>
      <c r="S105" s="210"/>
      <c r="T105" s="210"/>
      <c r="U105" s="210"/>
      <c r="V105" s="210"/>
      <c r="W105" s="210"/>
      <c r="X105" s="210"/>
      <c r="Y105" s="210"/>
      <c r="Z105" s="210"/>
    </row>
    <row r="106" spans="1:26" ht="19.5" customHeight="1">
      <c r="A106" s="143"/>
      <c r="B106" s="79"/>
      <c r="C106" s="87"/>
      <c r="D106" s="87"/>
      <c r="E106" s="87"/>
      <c r="F106" s="87"/>
      <c r="G106" s="87"/>
      <c r="H106" s="87"/>
      <c r="I106" s="454"/>
      <c r="J106" s="75"/>
      <c r="K106" s="75"/>
      <c r="L106" s="75"/>
      <c r="M106" s="75"/>
      <c r="N106" s="75"/>
      <c r="O106" s="75"/>
      <c r="P106" s="208"/>
      <c r="Q106" s="208"/>
      <c r="R106" s="208"/>
      <c r="S106" s="210"/>
      <c r="T106" s="210"/>
      <c r="U106" s="210"/>
      <c r="V106" s="210"/>
      <c r="W106" s="210"/>
      <c r="X106" s="210"/>
      <c r="Y106" s="210"/>
      <c r="Z106" s="210"/>
    </row>
    <row r="107" spans="1:26" ht="87.75" customHeight="1">
      <c r="A107" s="533" t="s">
        <v>736</v>
      </c>
      <c r="B107" s="504" t="s">
        <v>4389</v>
      </c>
      <c r="C107" s="506">
        <f t="shared" ref="C107:H107" si="27">AVERAGE(C108:C114)</f>
        <v>0.5714285714285714</v>
      </c>
      <c r="D107" s="506">
        <f t="shared" si="27"/>
        <v>0.21428571428571427</v>
      </c>
      <c r="E107" s="506">
        <f t="shared" si="27"/>
        <v>0.5714285714285714</v>
      </c>
      <c r="F107" s="506">
        <f t="shared" si="27"/>
        <v>0.7857142857142857</v>
      </c>
      <c r="G107" s="506">
        <f t="shared" si="27"/>
        <v>0.7142857142857143</v>
      </c>
      <c r="H107" s="506">
        <f t="shared" si="27"/>
        <v>0.7142857142857143</v>
      </c>
      <c r="I107" s="454"/>
      <c r="J107" s="507"/>
      <c r="K107" s="507"/>
      <c r="L107" s="507"/>
      <c r="M107" s="507"/>
      <c r="N107" s="507"/>
      <c r="O107" s="507"/>
      <c r="P107" s="558"/>
      <c r="Q107" s="558"/>
      <c r="R107" s="558"/>
      <c r="S107" s="559"/>
      <c r="T107" s="559"/>
      <c r="U107" s="559"/>
      <c r="V107" s="559"/>
      <c r="W107" s="559"/>
      <c r="X107" s="559"/>
      <c r="Y107" s="559"/>
      <c r="Z107" s="559"/>
    </row>
    <row r="108" spans="1:26" ht="32.25" customHeight="1">
      <c r="A108" s="533"/>
      <c r="B108" s="574" t="s">
        <v>257</v>
      </c>
      <c r="C108" s="506">
        <v>1</v>
      </c>
      <c r="D108" s="515">
        <v>1</v>
      </c>
      <c r="E108" s="506">
        <v>1</v>
      </c>
      <c r="F108" s="515">
        <v>1</v>
      </c>
      <c r="G108" s="506">
        <v>1</v>
      </c>
      <c r="H108" s="506">
        <v>1</v>
      </c>
      <c r="I108" s="454" t="s">
        <v>2832</v>
      </c>
      <c r="J108" s="507" t="s">
        <v>976</v>
      </c>
      <c r="K108" s="507" t="s">
        <v>4390</v>
      </c>
      <c r="L108" s="551" t="s">
        <v>811</v>
      </c>
      <c r="M108" s="507" t="s">
        <v>2833</v>
      </c>
      <c r="N108" s="551" t="s">
        <v>811</v>
      </c>
      <c r="O108" s="507" t="s">
        <v>1068</v>
      </c>
      <c r="P108" s="558"/>
      <c r="Q108" s="558"/>
      <c r="R108" s="558"/>
      <c r="S108" s="559"/>
      <c r="T108" s="559"/>
      <c r="U108" s="559"/>
      <c r="V108" s="559"/>
      <c r="W108" s="559"/>
      <c r="X108" s="559"/>
      <c r="Y108" s="559"/>
      <c r="Z108" s="559"/>
    </row>
    <row r="109" spans="1:26" ht="35.25" customHeight="1">
      <c r="A109" s="533"/>
      <c r="B109" s="574" t="s">
        <v>259</v>
      </c>
      <c r="C109" s="506">
        <v>1</v>
      </c>
      <c r="D109" s="506">
        <v>0</v>
      </c>
      <c r="E109" s="506">
        <v>1</v>
      </c>
      <c r="F109" s="506">
        <v>1</v>
      </c>
      <c r="G109" s="506">
        <v>1</v>
      </c>
      <c r="H109" s="506">
        <v>1</v>
      </c>
      <c r="I109" s="454" t="s">
        <v>123</v>
      </c>
      <c r="J109" s="507" t="s">
        <v>2835</v>
      </c>
      <c r="K109" s="507" t="s">
        <v>748</v>
      </c>
      <c r="L109" s="551" t="s">
        <v>811</v>
      </c>
      <c r="M109" s="507" t="s">
        <v>2837</v>
      </c>
      <c r="N109" s="551" t="s">
        <v>811</v>
      </c>
      <c r="O109" s="507" t="s">
        <v>2839</v>
      </c>
      <c r="P109" s="507"/>
      <c r="Q109" s="558"/>
      <c r="R109" s="558"/>
      <c r="S109" s="559"/>
      <c r="T109" s="559"/>
      <c r="U109" s="559"/>
      <c r="V109" s="559"/>
      <c r="W109" s="559"/>
      <c r="X109" s="559"/>
      <c r="Y109" s="559"/>
      <c r="Z109" s="559"/>
    </row>
    <row r="110" spans="1:26" ht="30" customHeight="1">
      <c r="A110" s="533"/>
      <c r="B110" s="574" t="s">
        <v>260</v>
      </c>
      <c r="C110" s="506">
        <v>0</v>
      </c>
      <c r="D110" s="506">
        <v>0</v>
      </c>
      <c r="E110" s="506">
        <v>0</v>
      </c>
      <c r="F110" s="515">
        <v>1</v>
      </c>
      <c r="G110" s="506">
        <v>0</v>
      </c>
      <c r="H110" s="506">
        <v>0</v>
      </c>
      <c r="I110" s="454" t="s">
        <v>123</v>
      </c>
      <c r="J110" s="507" t="s">
        <v>748</v>
      </c>
      <c r="K110" s="507" t="s">
        <v>748</v>
      </c>
      <c r="L110" s="507" t="s">
        <v>748</v>
      </c>
      <c r="M110" s="507" t="s">
        <v>2840</v>
      </c>
      <c r="N110" s="551" t="s">
        <v>748</v>
      </c>
      <c r="O110" s="507" t="s">
        <v>2841</v>
      </c>
      <c r="P110" s="558"/>
      <c r="Q110" s="558"/>
      <c r="R110" s="558"/>
      <c r="S110" s="559"/>
      <c r="T110" s="559"/>
      <c r="U110" s="559"/>
      <c r="V110" s="559"/>
      <c r="W110" s="559"/>
      <c r="X110" s="559"/>
      <c r="Y110" s="559"/>
      <c r="Z110" s="559"/>
    </row>
    <row r="111" spans="1:26" ht="20.25" customHeight="1">
      <c r="A111" s="533"/>
      <c r="B111" s="574" t="s">
        <v>261</v>
      </c>
      <c r="C111" s="506">
        <v>0</v>
      </c>
      <c r="D111" s="506">
        <v>0.5</v>
      </c>
      <c r="E111" s="506">
        <v>0</v>
      </c>
      <c r="F111" s="515">
        <v>0.5</v>
      </c>
      <c r="G111" s="506">
        <v>0</v>
      </c>
      <c r="H111" s="506">
        <v>0</v>
      </c>
      <c r="I111" s="454" t="s">
        <v>2842</v>
      </c>
      <c r="J111" s="507" t="s">
        <v>748</v>
      </c>
      <c r="K111" s="507" t="s">
        <v>2843</v>
      </c>
      <c r="L111" s="507" t="s">
        <v>748</v>
      </c>
      <c r="M111" s="507" t="s">
        <v>2844</v>
      </c>
      <c r="N111" s="551" t="s">
        <v>748</v>
      </c>
      <c r="O111" s="507" t="s">
        <v>748</v>
      </c>
      <c r="P111" s="558"/>
      <c r="Q111" s="558"/>
      <c r="R111" s="558"/>
      <c r="S111" s="559"/>
      <c r="T111" s="559"/>
      <c r="U111" s="559"/>
      <c r="V111" s="559"/>
      <c r="W111" s="559"/>
      <c r="X111" s="559"/>
      <c r="Y111" s="559"/>
      <c r="Z111" s="559"/>
    </row>
    <row r="112" spans="1:26" ht="36.75" customHeight="1">
      <c r="A112" s="533"/>
      <c r="B112" s="574" t="s">
        <v>263</v>
      </c>
      <c r="C112" s="506">
        <v>1</v>
      </c>
      <c r="D112" s="506">
        <v>0</v>
      </c>
      <c r="E112" s="506">
        <v>1</v>
      </c>
      <c r="F112" s="506">
        <v>1</v>
      </c>
      <c r="G112" s="506">
        <v>1</v>
      </c>
      <c r="H112" s="506">
        <v>1</v>
      </c>
      <c r="I112" s="454" t="s">
        <v>123</v>
      </c>
      <c r="J112" s="507" t="s">
        <v>4391</v>
      </c>
      <c r="K112" s="507" t="s">
        <v>748</v>
      </c>
      <c r="L112" s="507" t="s">
        <v>960</v>
      </c>
      <c r="M112" s="507" t="s">
        <v>2845</v>
      </c>
      <c r="N112" s="507" t="s">
        <v>811</v>
      </c>
      <c r="O112" s="507" t="s">
        <v>2846</v>
      </c>
      <c r="P112" s="558"/>
      <c r="Q112" s="558"/>
      <c r="R112" s="558"/>
      <c r="S112" s="559"/>
      <c r="T112" s="559"/>
      <c r="U112" s="559"/>
      <c r="V112" s="559"/>
      <c r="W112" s="559"/>
      <c r="X112" s="559"/>
      <c r="Y112" s="559"/>
      <c r="Z112" s="559"/>
    </row>
    <row r="113" spans="1:26" ht="47.25" customHeight="1">
      <c r="A113" s="533"/>
      <c r="B113" s="574" t="s">
        <v>264</v>
      </c>
      <c r="C113" s="506">
        <v>0</v>
      </c>
      <c r="D113" s="506">
        <v>0</v>
      </c>
      <c r="E113" s="506">
        <v>1</v>
      </c>
      <c r="F113" s="506">
        <v>0</v>
      </c>
      <c r="G113" s="506">
        <v>1</v>
      </c>
      <c r="H113" s="506">
        <v>1</v>
      </c>
      <c r="I113" s="454" t="s">
        <v>123</v>
      </c>
      <c r="J113" s="507" t="s">
        <v>748</v>
      </c>
      <c r="K113" s="507" t="s">
        <v>748</v>
      </c>
      <c r="L113" s="507" t="s">
        <v>4392</v>
      </c>
      <c r="M113" s="507" t="s">
        <v>748</v>
      </c>
      <c r="N113" s="551" t="s">
        <v>811</v>
      </c>
      <c r="O113" s="507" t="s">
        <v>811</v>
      </c>
      <c r="P113" s="558"/>
      <c r="Q113" s="558"/>
      <c r="R113" s="558"/>
      <c r="S113" s="559"/>
      <c r="T113" s="559"/>
      <c r="U113" s="559"/>
      <c r="V113" s="559"/>
      <c r="W113" s="559"/>
      <c r="X113" s="559"/>
      <c r="Y113" s="559"/>
      <c r="Z113" s="559"/>
    </row>
    <row r="114" spans="1:26" ht="18" customHeight="1">
      <c r="A114" s="533"/>
      <c r="B114" s="574" t="s">
        <v>265</v>
      </c>
      <c r="C114" s="506">
        <v>1</v>
      </c>
      <c r="D114" s="506">
        <v>0</v>
      </c>
      <c r="E114" s="506">
        <v>0</v>
      </c>
      <c r="F114" s="506">
        <v>1</v>
      </c>
      <c r="G114" s="506">
        <v>1</v>
      </c>
      <c r="H114" s="506">
        <v>1</v>
      </c>
      <c r="I114" s="454" t="s">
        <v>123</v>
      </c>
      <c r="J114" s="507" t="s">
        <v>4393</v>
      </c>
      <c r="K114" s="507" t="s">
        <v>748</v>
      </c>
      <c r="L114" s="507" t="s">
        <v>748</v>
      </c>
      <c r="M114" s="507" t="s">
        <v>2850</v>
      </c>
      <c r="N114" s="551" t="s">
        <v>811</v>
      </c>
      <c r="O114" s="507" t="s">
        <v>811</v>
      </c>
      <c r="P114" s="558"/>
      <c r="Q114" s="558"/>
      <c r="R114" s="558"/>
      <c r="S114" s="559"/>
      <c r="T114" s="559"/>
      <c r="U114" s="559"/>
      <c r="V114" s="559"/>
      <c r="W114" s="559"/>
      <c r="X114" s="559"/>
      <c r="Y114" s="559"/>
      <c r="Z114" s="559"/>
    </row>
    <row r="115" spans="1:26" ht="13.5" customHeight="1">
      <c r="A115" s="143"/>
      <c r="B115" s="253"/>
      <c r="C115" s="87"/>
      <c r="D115" s="87"/>
      <c r="E115" s="87"/>
      <c r="F115" s="87"/>
      <c r="G115" s="87"/>
      <c r="H115" s="87"/>
      <c r="I115" s="454"/>
      <c r="J115" s="75"/>
      <c r="K115" s="75"/>
      <c r="L115" s="75"/>
      <c r="M115" s="75"/>
      <c r="N115" s="75"/>
      <c r="O115" s="75"/>
      <c r="P115" s="208"/>
      <c r="Q115" s="208"/>
      <c r="R115" s="208"/>
      <c r="S115" s="210"/>
      <c r="T115" s="210"/>
      <c r="U115" s="210"/>
      <c r="V115" s="210"/>
      <c r="W115" s="210"/>
      <c r="X115" s="210"/>
      <c r="Y115" s="210"/>
      <c r="Z115" s="210"/>
    </row>
    <row r="116" spans="1:26" ht="229.5" customHeight="1">
      <c r="A116" s="533" t="s">
        <v>736</v>
      </c>
      <c r="B116" s="517" t="s">
        <v>2851</v>
      </c>
      <c r="C116" s="506">
        <v>1</v>
      </c>
      <c r="D116" s="506">
        <v>0.5</v>
      </c>
      <c r="E116" s="506">
        <v>0.5</v>
      </c>
      <c r="F116" s="506">
        <v>0.5</v>
      </c>
      <c r="G116" s="506">
        <v>0.5</v>
      </c>
      <c r="H116" s="506">
        <v>0.5</v>
      </c>
      <c r="I116" s="454" t="s">
        <v>267</v>
      </c>
      <c r="J116" s="507" t="s">
        <v>4394</v>
      </c>
      <c r="K116" s="507" t="s">
        <v>4395</v>
      </c>
      <c r="L116" s="507" t="s">
        <v>2854</v>
      </c>
      <c r="M116" s="507" t="s">
        <v>4396</v>
      </c>
      <c r="N116" s="507" t="s">
        <v>4397</v>
      </c>
      <c r="O116" s="507" t="s">
        <v>4398</v>
      </c>
      <c r="P116" s="146"/>
      <c r="Q116" s="146"/>
      <c r="R116" s="146"/>
      <c r="S116" s="149"/>
      <c r="T116" s="149"/>
      <c r="U116" s="149"/>
      <c r="V116" s="149"/>
      <c r="W116" s="149"/>
      <c r="X116" s="149"/>
      <c r="Y116" s="149"/>
      <c r="Z116" s="149"/>
    </row>
    <row r="117" spans="1:26" ht="20.25" customHeight="1">
      <c r="A117" s="143"/>
      <c r="B117" s="144"/>
      <c r="C117" s="87"/>
      <c r="D117" s="87"/>
      <c r="E117" s="87"/>
      <c r="F117" s="87"/>
      <c r="G117" s="87"/>
      <c r="H117" s="87"/>
      <c r="I117" s="454"/>
      <c r="J117" s="75"/>
      <c r="K117" s="75"/>
      <c r="L117" s="75"/>
      <c r="M117" s="75"/>
      <c r="N117" s="75"/>
      <c r="O117" s="75"/>
      <c r="P117" s="146"/>
      <c r="Q117" s="146"/>
      <c r="R117" s="146"/>
      <c r="S117" s="149"/>
      <c r="T117" s="149"/>
      <c r="U117" s="149"/>
      <c r="V117" s="149"/>
      <c r="W117" s="149"/>
      <c r="X117" s="149"/>
      <c r="Y117" s="149"/>
      <c r="Z117" s="149"/>
    </row>
    <row r="118" spans="1:26" ht="42" customHeight="1">
      <c r="A118" s="533" t="s">
        <v>736</v>
      </c>
      <c r="B118" s="517" t="s">
        <v>4399</v>
      </c>
      <c r="C118" s="506">
        <f t="shared" ref="C118:H118" si="28">AVERAGE(C119:C135)</f>
        <v>0.6470588235294118</v>
      </c>
      <c r="D118" s="506">
        <f t="shared" si="28"/>
        <v>0.88235294117647056</v>
      </c>
      <c r="E118" s="506">
        <f t="shared" si="28"/>
        <v>0.58823529411764708</v>
      </c>
      <c r="F118" s="506">
        <f t="shared" si="28"/>
        <v>0.82352941176470584</v>
      </c>
      <c r="G118" s="506">
        <f t="shared" si="28"/>
        <v>0.6470588235294118</v>
      </c>
      <c r="H118" s="506">
        <f t="shared" si="28"/>
        <v>0.35294117647058826</v>
      </c>
      <c r="I118" s="454"/>
      <c r="J118" s="507"/>
      <c r="K118" s="507"/>
      <c r="L118" s="551"/>
      <c r="M118" s="507"/>
      <c r="N118" s="571"/>
      <c r="O118" s="551"/>
      <c r="P118" s="534"/>
      <c r="Q118" s="534"/>
      <c r="R118" s="534"/>
      <c r="S118" s="535"/>
      <c r="T118" s="535"/>
      <c r="U118" s="535"/>
      <c r="V118" s="535"/>
      <c r="W118" s="535"/>
      <c r="X118" s="535"/>
      <c r="Y118" s="535"/>
      <c r="Z118" s="535"/>
    </row>
    <row r="119" spans="1:26" ht="27.75" customHeight="1">
      <c r="A119" s="566"/>
      <c r="B119" s="574" t="s">
        <v>269</v>
      </c>
      <c r="C119" s="506">
        <v>1</v>
      </c>
      <c r="D119" s="506">
        <v>1</v>
      </c>
      <c r="E119" s="506">
        <v>1</v>
      </c>
      <c r="F119" s="506">
        <v>1</v>
      </c>
      <c r="G119" s="506">
        <v>1</v>
      </c>
      <c r="H119" s="506">
        <v>1</v>
      </c>
      <c r="I119" s="454" t="s">
        <v>123</v>
      </c>
      <c r="J119" s="551" t="s">
        <v>811</v>
      </c>
      <c r="K119" s="551" t="s">
        <v>811</v>
      </c>
      <c r="L119" s="551" t="s">
        <v>811</v>
      </c>
      <c r="M119" s="507" t="s">
        <v>4400</v>
      </c>
      <c r="N119" s="571" t="s">
        <v>811</v>
      </c>
      <c r="O119" s="551" t="s">
        <v>811</v>
      </c>
      <c r="P119" s="534"/>
      <c r="Q119" s="534"/>
      <c r="R119" s="534"/>
      <c r="S119" s="535"/>
      <c r="T119" s="535"/>
      <c r="U119" s="535"/>
      <c r="V119" s="535"/>
      <c r="W119" s="535"/>
      <c r="X119" s="535"/>
      <c r="Y119" s="535"/>
      <c r="Z119" s="535"/>
    </row>
    <row r="120" spans="1:26" ht="24" customHeight="1">
      <c r="A120" s="566"/>
      <c r="B120" s="574" t="s">
        <v>270</v>
      </c>
      <c r="C120" s="506">
        <v>1</v>
      </c>
      <c r="D120" s="506">
        <v>1</v>
      </c>
      <c r="E120" s="506">
        <v>1</v>
      </c>
      <c r="F120" s="506">
        <v>1</v>
      </c>
      <c r="G120" s="506">
        <v>1</v>
      </c>
      <c r="H120" s="506">
        <v>1</v>
      </c>
      <c r="I120" s="454" t="s">
        <v>123</v>
      </c>
      <c r="J120" s="551" t="s">
        <v>811</v>
      </c>
      <c r="K120" s="551" t="s">
        <v>811</v>
      </c>
      <c r="L120" s="551" t="s">
        <v>811</v>
      </c>
      <c r="M120" s="507" t="s">
        <v>4401</v>
      </c>
      <c r="N120" s="571" t="s">
        <v>811</v>
      </c>
      <c r="O120" s="551" t="s">
        <v>811</v>
      </c>
      <c r="P120" s="534"/>
      <c r="Q120" s="534"/>
      <c r="R120" s="534"/>
      <c r="S120" s="535"/>
      <c r="T120" s="535"/>
      <c r="U120" s="535"/>
      <c r="V120" s="535"/>
      <c r="W120" s="535"/>
      <c r="X120" s="535"/>
      <c r="Y120" s="535"/>
      <c r="Z120" s="535"/>
    </row>
    <row r="121" spans="1:26" ht="24" customHeight="1">
      <c r="A121" s="566"/>
      <c r="B121" s="574" t="s">
        <v>271</v>
      </c>
      <c r="C121" s="506">
        <v>0</v>
      </c>
      <c r="D121" s="506">
        <v>1</v>
      </c>
      <c r="E121" s="506">
        <v>1</v>
      </c>
      <c r="F121" s="506">
        <v>1</v>
      </c>
      <c r="G121" s="506">
        <v>0</v>
      </c>
      <c r="H121" s="506">
        <v>1</v>
      </c>
      <c r="I121" s="454" t="s">
        <v>123</v>
      </c>
      <c r="J121" s="551" t="s">
        <v>748</v>
      </c>
      <c r="K121" s="551" t="s">
        <v>811</v>
      </c>
      <c r="L121" s="551" t="s">
        <v>811</v>
      </c>
      <c r="M121" s="507" t="s">
        <v>4402</v>
      </c>
      <c r="N121" s="571" t="s">
        <v>748</v>
      </c>
      <c r="O121" s="551" t="s">
        <v>811</v>
      </c>
      <c r="P121" s="534"/>
      <c r="Q121" s="534"/>
      <c r="R121" s="534"/>
      <c r="S121" s="535"/>
      <c r="T121" s="535"/>
      <c r="U121" s="535"/>
      <c r="V121" s="535"/>
      <c r="W121" s="535"/>
      <c r="X121" s="535"/>
      <c r="Y121" s="535"/>
      <c r="Z121" s="535"/>
    </row>
    <row r="122" spans="1:26" ht="24" customHeight="1">
      <c r="A122" s="566"/>
      <c r="B122" s="574" t="s">
        <v>4403</v>
      </c>
      <c r="C122" s="506">
        <v>1</v>
      </c>
      <c r="D122" s="506">
        <v>1</v>
      </c>
      <c r="E122" s="506">
        <v>1</v>
      </c>
      <c r="F122" s="506">
        <v>1</v>
      </c>
      <c r="G122" s="506">
        <v>0</v>
      </c>
      <c r="H122" s="506">
        <v>1</v>
      </c>
      <c r="I122" s="454" t="s">
        <v>123</v>
      </c>
      <c r="J122" s="551" t="s">
        <v>811</v>
      </c>
      <c r="K122" s="551" t="s">
        <v>811</v>
      </c>
      <c r="L122" s="551" t="s">
        <v>811</v>
      </c>
      <c r="M122" s="507" t="s">
        <v>2862</v>
      </c>
      <c r="N122" s="571" t="s">
        <v>748</v>
      </c>
      <c r="O122" s="551" t="s">
        <v>811</v>
      </c>
      <c r="P122" s="534"/>
      <c r="Q122" s="534"/>
      <c r="R122" s="534"/>
      <c r="S122" s="535"/>
      <c r="T122" s="535"/>
      <c r="U122" s="535"/>
      <c r="V122" s="535"/>
      <c r="W122" s="535"/>
      <c r="X122" s="535"/>
      <c r="Y122" s="535"/>
      <c r="Z122" s="535"/>
    </row>
    <row r="123" spans="1:26" ht="24" customHeight="1">
      <c r="A123" s="566"/>
      <c r="B123" s="574" t="s">
        <v>273</v>
      </c>
      <c r="C123" s="506">
        <v>0</v>
      </c>
      <c r="D123" s="506">
        <v>1</v>
      </c>
      <c r="E123" s="506">
        <v>0</v>
      </c>
      <c r="F123" s="506">
        <v>1</v>
      </c>
      <c r="G123" s="506">
        <v>1</v>
      </c>
      <c r="H123" s="506">
        <v>0</v>
      </c>
      <c r="I123" s="454" t="s">
        <v>123</v>
      </c>
      <c r="J123" s="551" t="s">
        <v>748</v>
      </c>
      <c r="K123" s="551" t="s">
        <v>811</v>
      </c>
      <c r="L123" s="551" t="s">
        <v>1060</v>
      </c>
      <c r="M123" s="507" t="s">
        <v>2863</v>
      </c>
      <c r="N123" s="499" t="s">
        <v>811</v>
      </c>
      <c r="O123" s="551" t="s">
        <v>748</v>
      </c>
      <c r="P123" s="534"/>
      <c r="Q123" s="534"/>
      <c r="R123" s="534"/>
      <c r="S123" s="535"/>
      <c r="T123" s="535"/>
      <c r="U123" s="535"/>
      <c r="V123" s="535"/>
      <c r="W123" s="535"/>
      <c r="X123" s="535"/>
      <c r="Y123" s="535"/>
      <c r="Z123" s="535"/>
    </row>
    <row r="124" spans="1:26" ht="24" customHeight="1">
      <c r="A124" s="566"/>
      <c r="B124" s="574" t="s">
        <v>274</v>
      </c>
      <c r="C124" s="506">
        <v>0</v>
      </c>
      <c r="D124" s="515">
        <v>1</v>
      </c>
      <c r="E124" s="506">
        <v>0</v>
      </c>
      <c r="F124" s="515">
        <v>1</v>
      </c>
      <c r="G124" s="506">
        <v>0</v>
      </c>
      <c r="H124" s="506">
        <v>0</v>
      </c>
      <c r="I124" s="454" t="s">
        <v>123</v>
      </c>
      <c r="J124" s="551" t="s">
        <v>748</v>
      </c>
      <c r="K124" s="551" t="s">
        <v>1060</v>
      </c>
      <c r="L124" s="551" t="s">
        <v>1060</v>
      </c>
      <c r="M124" s="507" t="s">
        <v>4404</v>
      </c>
      <c r="N124" s="507" t="s">
        <v>748</v>
      </c>
      <c r="O124" s="551" t="s">
        <v>748</v>
      </c>
      <c r="P124" s="534"/>
      <c r="Q124" s="534"/>
      <c r="R124" s="534"/>
      <c r="S124" s="535"/>
      <c r="T124" s="535"/>
      <c r="U124" s="535"/>
      <c r="V124" s="535"/>
      <c r="W124" s="535"/>
      <c r="X124" s="535"/>
      <c r="Y124" s="535"/>
      <c r="Z124" s="535"/>
    </row>
    <row r="125" spans="1:26" ht="24" customHeight="1">
      <c r="A125" s="566"/>
      <c r="B125" s="574" t="s">
        <v>275</v>
      </c>
      <c r="C125" s="506">
        <v>0</v>
      </c>
      <c r="D125" s="515">
        <v>0</v>
      </c>
      <c r="E125" s="506">
        <v>0</v>
      </c>
      <c r="F125" s="515">
        <v>0</v>
      </c>
      <c r="G125" s="506">
        <v>0</v>
      </c>
      <c r="H125" s="506">
        <v>0</v>
      </c>
      <c r="I125" s="454" t="s">
        <v>123</v>
      </c>
      <c r="J125" s="551" t="s">
        <v>748</v>
      </c>
      <c r="K125" s="551" t="s">
        <v>811</v>
      </c>
      <c r="L125" s="551" t="s">
        <v>1060</v>
      </c>
      <c r="M125" s="507" t="s">
        <v>4405</v>
      </c>
      <c r="N125" s="507" t="s">
        <v>748</v>
      </c>
      <c r="O125" s="551" t="s">
        <v>748</v>
      </c>
      <c r="P125" s="534"/>
      <c r="Q125" s="534"/>
      <c r="R125" s="534"/>
      <c r="S125" s="535"/>
      <c r="T125" s="535"/>
      <c r="U125" s="535"/>
      <c r="V125" s="535"/>
      <c r="W125" s="535"/>
      <c r="X125" s="535"/>
      <c r="Y125" s="535"/>
      <c r="Z125" s="535"/>
    </row>
    <row r="126" spans="1:26" ht="24" customHeight="1">
      <c r="A126" s="566"/>
      <c r="B126" s="574" t="s">
        <v>276</v>
      </c>
      <c r="C126" s="506">
        <v>1</v>
      </c>
      <c r="D126" s="506">
        <v>1</v>
      </c>
      <c r="E126" s="506">
        <v>1</v>
      </c>
      <c r="F126" s="506">
        <v>1</v>
      </c>
      <c r="G126" s="506">
        <v>1</v>
      </c>
      <c r="H126" s="506">
        <v>0</v>
      </c>
      <c r="I126" s="454" t="s">
        <v>123</v>
      </c>
      <c r="J126" s="551" t="s">
        <v>811</v>
      </c>
      <c r="K126" s="551" t="s">
        <v>811</v>
      </c>
      <c r="L126" s="551" t="s">
        <v>811</v>
      </c>
      <c r="M126" s="507" t="s">
        <v>2866</v>
      </c>
      <c r="N126" s="507" t="s">
        <v>811</v>
      </c>
      <c r="O126" s="551" t="s">
        <v>748</v>
      </c>
      <c r="P126" s="534"/>
      <c r="Q126" s="534"/>
      <c r="R126" s="534"/>
      <c r="S126" s="535"/>
      <c r="T126" s="535"/>
      <c r="U126" s="535"/>
      <c r="V126" s="535"/>
      <c r="W126" s="535"/>
      <c r="X126" s="535"/>
      <c r="Y126" s="535"/>
      <c r="Z126" s="535"/>
    </row>
    <row r="127" spans="1:26" ht="24.75" customHeight="1">
      <c r="A127" s="566"/>
      <c r="B127" s="574" t="s">
        <v>277</v>
      </c>
      <c r="C127" s="506">
        <v>1</v>
      </c>
      <c r="D127" s="506">
        <v>1</v>
      </c>
      <c r="E127" s="506">
        <v>1</v>
      </c>
      <c r="F127" s="506">
        <v>1</v>
      </c>
      <c r="G127" s="506">
        <v>1</v>
      </c>
      <c r="H127" s="506">
        <v>0</v>
      </c>
      <c r="I127" s="454" t="s">
        <v>123</v>
      </c>
      <c r="J127" s="551" t="s">
        <v>811</v>
      </c>
      <c r="K127" s="507" t="s">
        <v>4406</v>
      </c>
      <c r="L127" s="551" t="s">
        <v>811</v>
      </c>
      <c r="M127" s="507" t="s">
        <v>2867</v>
      </c>
      <c r="N127" s="507" t="s">
        <v>811</v>
      </c>
      <c r="O127" s="551" t="s">
        <v>748</v>
      </c>
      <c r="P127" s="534"/>
      <c r="Q127" s="534"/>
      <c r="R127" s="534"/>
      <c r="S127" s="535"/>
      <c r="T127" s="535"/>
      <c r="U127" s="535"/>
      <c r="V127" s="535"/>
      <c r="W127" s="535"/>
      <c r="X127" s="535"/>
      <c r="Y127" s="535"/>
      <c r="Z127" s="535"/>
    </row>
    <row r="128" spans="1:26" ht="27.75" customHeight="1">
      <c r="A128" s="566"/>
      <c r="B128" s="574" t="s">
        <v>278</v>
      </c>
      <c r="C128" s="506">
        <v>1</v>
      </c>
      <c r="D128" s="506">
        <v>1</v>
      </c>
      <c r="E128" s="506">
        <v>1</v>
      </c>
      <c r="F128" s="506">
        <v>1</v>
      </c>
      <c r="G128" s="506">
        <v>1</v>
      </c>
      <c r="H128" s="506">
        <v>0</v>
      </c>
      <c r="I128" s="454" t="s">
        <v>123</v>
      </c>
      <c r="J128" s="551" t="s">
        <v>811</v>
      </c>
      <c r="K128" s="551" t="s">
        <v>811</v>
      </c>
      <c r="L128" s="551" t="s">
        <v>811</v>
      </c>
      <c r="M128" s="507" t="s">
        <v>4407</v>
      </c>
      <c r="N128" s="507" t="s">
        <v>811</v>
      </c>
      <c r="O128" s="551" t="s">
        <v>748</v>
      </c>
      <c r="P128" s="534"/>
      <c r="Q128" s="534"/>
      <c r="R128" s="534"/>
      <c r="S128" s="535"/>
      <c r="T128" s="535"/>
      <c r="U128" s="535"/>
      <c r="V128" s="535"/>
      <c r="W128" s="535"/>
      <c r="X128" s="535"/>
      <c r="Y128" s="535"/>
      <c r="Z128" s="535"/>
    </row>
    <row r="129" spans="1:26" ht="24" customHeight="1">
      <c r="A129" s="566"/>
      <c r="B129" s="574" t="s">
        <v>279</v>
      </c>
      <c r="C129" s="506">
        <v>1</v>
      </c>
      <c r="D129" s="506">
        <v>1</v>
      </c>
      <c r="E129" s="506">
        <v>1</v>
      </c>
      <c r="F129" s="506">
        <v>1</v>
      </c>
      <c r="G129" s="506">
        <v>1</v>
      </c>
      <c r="H129" s="506">
        <v>1</v>
      </c>
      <c r="I129" s="454" t="s">
        <v>123</v>
      </c>
      <c r="J129" s="551" t="s">
        <v>811</v>
      </c>
      <c r="K129" s="551" t="s">
        <v>811</v>
      </c>
      <c r="L129" s="551" t="s">
        <v>811</v>
      </c>
      <c r="M129" s="507" t="s">
        <v>4408</v>
      </c>
      <c r="N129" s="507" t="s">
        <v>811</v>
      </c>
      <c r="O129" s="551" t="s">
        <v>960</v>
      </c>
      <c r="P129" s="534"/>
      <c r="Q129" s="534"/>
      <c r="R129" s="534"/>
      <c r="S129" s="535"/>
      <c r="T129" s="535"/>
      <c r="U129" s="535"/>
      <c r="V129" s="535"/>
      <c r="W129" s="535"/>
      <c r="X129" s="535"/>
      <c r="Y129" s="535"/>
      <c r="Z129" s="535"/>
    </row>
    <row r="130" spans="1:26" ht="24" customHeight="1">
      <c r="A130" s="566"/>
      <c r="B130" s="574" t="s">
        <v>280</v>
      </c>
      <c r="C130" s="506">
        <v>1</v>
      </c>
      <c r="D130" s="506">
        <v>1</v>
      </c>
      <c r="E130" s="506">
        <v>1</v>
      </c>
      <c r="F130" s="506">
        <v>1</v>
      </c>
      <c r="G130" s="506">
        <v>1</v>
      </c>
      <c r="H130" s="506">
        <v>0</v>
      </c>
      <c r="I130" s="454" t="s">
        <v>123</v>
      </c>
      <c r="J130" s="551" t="s">
        <v>811</v>
      </c>
      <c r="K130" s="551" t="s">
        <v>811</v>
      </c>
      <c r="L130" s="551" t="s">
        <v>811</v>
      </c>
      <c r="M130" s="507" t="s">
        <v>4409</v>
      </c>
      <c r="N130" s="507" t="s">
        <v>811</v>
      </c>
      <c r="O130" s="551" t="s">
        <v>748</v>
      </c>
      <c r="P130" s="534"/>
      <c r="Q130" s="534"/>
      <c r="R130" s="534"/>
      <c r="S130" s="535"/>
      <c r="T130" s="535"/>
      <c r="U130" s="535"/>
      <c r="V130" s="535"/>
      <c r="W130" s="535"/>
      <c r="X130" s="535"/>
      <c r="Y130" s="535"/>
      <c r="Z130" s="535"/>
    </row>
    <row r="131" spans="1:26" ht="24" customHeight="1">
      <c r="A131" s="566"/>
      <c r="B131" s="574" t="s">
        <v>281</v>
      </c>
      <c r="C131" s="506">
        <v>0</v>
      </c>
      <c r="D131" s="506">
        <v>1</v>
      </c>
      <c r="E131" s="506">
        <v>0</v>
      </c>
      <c r="F131" s="506">
        <v>1</v>
      </c>
      <c r="G131" s="506">
        <v>1</v>
      </c>
      <c r="H131" s="506">
        <v>0</v>
      </c>
      <c r="I131" s="454" t="s">
        <v>123</v>
      </c>
      <c r="J131" s="551" t="s">
        <v>748</v>
      </c>
      <c r="K131" s="551" t="s">
        <v>811</v>
      </c>
      <c r="L131" s="551" t="s">
        <v>1060</v>
      </c>
      <c r="M131" s="507" t="s">
        <v>4410</v>
      </c>
      <c r="N131" s="507" t="s">
        <v>811</v>
      </c>
      <c r="O131" s="551" t="s">
        <v>748</v>
      </c>
      <c r="P131" s="534"/>
      <c r="Q131" s="534"/>
      <c r="R131" s="534"/>
      <c r="S131" s="535"/>
      <c r="T131" s="535"/>
      <c r="U131" s="535"/>
      <c r="V131" s="535"/>
      <c r="W131" s="535"/>
      <c r="X131" s="535"/>
      <c r="Y131" s="535"/>
      <c r="Z131" s="535"/>
    </row>
    <row r="132" spans="1:26" ht="24" customHeight="1">
      <c r="A132" s="566"/>
      <c r="B132" s="574" t="s">
        <v>282</v>
      </c>
      <c r="C132" s="506">
        <v>1</v>
      </c>
      <c r="D132" s="506">
        <v>1</v>
      </c>
      <c r="E132" s="506">
        <v>0</v>
      </c>
      <c r="F132" s="506">
        <v>1</v>
      </c>
      <c r="G132" s="506">
        <v>1</v>
      </c>
      <c r="H132" s="506">
        <v>0</v>
      </c>
      <c r="I132" s="454" t="s">
        <v>123</v>
      </c>
      <c r="J132" s="551" t="s">
        <v>811</v>
      </c>
      <c r="K132" s="551" t="s">
        <v>811</v>
      </c>
      <c r="L132" s="551" t="s">
        <v>1060</v>
      </c>
      <c r="M132" s="507" t="s">
        <v>4411</v>
      </c>
      <c r="N132" s="507" t="s">
        <v>811</v>
      </c>
      <c r="O132" s="551" t="s">
        <v>748</v>
      </c>
      <c r="P132" s="534"/>
      <c r="Q132" s="534"/>
      <c r="R132" s="534"/>
      <c r="S132" s="535"/>
      <c r="T132" s="535"/>
      <c r="U132" s="535"/>
      <c r="V132" s="535"/>
      <c r="W132" s="535"/>
      <c r="X132" s="535"/>
      <c r="Y132" s="535"/>
      <c r="Z132" s="535"/>
    </row>
    <row r="133" spans="1:26" ht="24" customHeight="1">
      <c r="A133" s="566"/>
      <c r="B133" s="574" t="s">
        <v>283</v>
      </c>
      <c r="C133" s="506">
        <v>1</v>
      </c>
      <c r="D133" s="506">
        <v>1</v>
      </c>
      <c r="E133" s="506">
        <v>0</v>
      </c>
      <c r="F133" s="506">
        <v>0</v>
      </c>
      <c r="G133" s="506">
        <v>0</v>
      </c>
      <c r="H133" s="506">
        <v>0</v>
      </c>
      <c r="I133" s="454" t="s">
        <v>123</v>
      </c>
      <c r="J133" s="551" t="s">
        <v>811</v>
      </c>
      <c r="K133" s="551" t="s">
        <v>811</v>
      </c>
      <c r="L133" s="551" t="s">
        <v>1060</v>
      </c>
      <c r="M133" s="507" t="s">
        <v>4412</v>
      </c>
      <c r="N133" s="507" t="s">
        <v>748</v>
      </c>
      <c r="O133" s="551" t="s">
        <v>748</v>
      </c>
      <c r="P133" s="534"/>
      <c r="Q133" s="534"/>
      <c r="R133" s="534"/>
      <c r="S133" s="535"/>
      <c r="T133" s="535"/>
      <c r="U133" s="535"/>
      <c r="V133" s="535"/>
      <c r="W133" s="535"/>
      <c r="X133" s="535"/>
      <c r="Y133" s="535"/>
      <c r="Z133" s="535"/>
    </row>
    <row r="134" spans="1:26" ht="42" customHeight="1">
      <c r="A134" s="566"/>
      <c r="B134" s="574" t="s">
        <v>284</v>
      </c>
      <c r="C134" s="506">
        <v>1</v>
      </c>
      <c r="D134" s="506">
        <v>1</v>
      </c>
      <c r="E134" s="506">
        <v>1</v>
      </c>
      <c r="F134" s="506">
        <v>1</v>
      </c>
      <c r="G134" s="506">
        <v>1</v>
      </c>
      <c r="H134" s="506">
        <v>1</v>
      </c>
      <c r="I134" s="454" t="s">
        <v>123</v>
      </c>
      <c r="J134" s="507" t="s">
        <v>1008</v>
      </c>
      <c r="K134" s="551" t="s">
        <v>811</v>
      </c>
      <c r="L134" s="551" t="s">
        <v>960</v>
      </c>
      <c r="M134" s="507" t="s">
        <v>4413</v>
      </c>
      <c r="N134" s="507" t="s">
        <v>811</v>
      </c>
      <c r="O134" s="551" t="s">
        <v>960</v>
      </c>
      <c r="P134" s="534"/>
      <c r="Q134" s="534"/>
      <c r="R134" s="534"/>
      <c r="S134" s="535"/>
      <c r="T134" s="535"/>
      <c r="U134" s="535"/>
      <c r="V134" s="535"/>
      <c r="W134" s="535"/>
      <c r="X134" s="535"/>
      <c r="Y134" s="535"/>
      <c r="Z134" s="535"/>
    </row>
    <row r="135" spans="1:26" ht="24" customHeight="1">
      <c r="A135" s="566"/>
      <c r="B135" s="574" t="s">
        <v>285</v>
      </c>
      <c r="C135" s="506">
        <v>0</v>
      </c>
      <c r="D135" s="506">
        <v>0</v>
      </c>
      <c r="E135" s="506">
        <v>0</v>
      </c>
      <c r="F135" s="506">
        <v>0</v>
      </c>
      <c r="G135" s="506">
        <v>0</v>
      </c>
      <c r="H135" s="506">
        <v>0</v>
      </c>
      <c r="I135" s="454" t="s">
        <v>123</v>
      </c>
      <c r="J135" s="551" t="s">
        <v>748</v>
      </c>
      <c r="K135" s="551" t="s">
        <v>748</v>
      </c>
      <c r="L135" s="551" t="s">
        <v>748</v>
      </c>
      <c r="M135" s="507" t="s">
        <v>4414</v>
      </c>
      <c r="N135" s="507" t="s">
        <v>748</v>
      </c>
      <c r="O135" s="551" t="s">
        <v>748</v>
      </c>
      <c r="P135" s="534"/>
      <c r="Q135" s="534"/>
      <c r="R135" s="534"/>
      <c r="S135" s="535"/>
      <c r="T135" s="535"/>
      <c r="U135" s="535"/>
      <c r="V135" s="535"/>
      <c r="W135" s="535"/>
      <c r="X135" s="535"/>
      <c r="Y135" s="535"/>
      <c r="Z135" s="535"/>
    </row>
    <row r="136" spans="1:26" ht="30.75" customHeight="1">
      <c r="A136" s="566"/>
      <c r="B136" s="574" t="s">
        <v>286</v>
      </c>
      <c r="C136" s="506">
        <v>0</v>
      </c>
      <c r="D136" s="506">
        <v>1</v>
      </c>
      <c r="E136" s="506">
        <v>0</v>
      </c>
      <c r="F136" s="506">
        <v>1</v>
      </c>
      <c r="G136" s="506">
        <v>0</v>
      </c>
      <c r="H136" s="506">
        <v>1</v>
      </c>
      <c r="I136" s="454"/>
      <c r="J136" s="551" t="s">
        <v>748</v>
      </c>
      <c r="K136" s="551" t="s">
        <v>811</v>
      </c>
      <c r="L136" s="551" t="s">
        <v>748</v>
      </c>
      <c r="M136" s="553" t="s">
        <v>2878</v>
      </c>
      <c r="N136" s="580" t="s">
        <v>748</v>
      </c>
      <c r="O136" s="551" t="s">
        <v>811</v>
      </c>
      <c r="P136" s="534"/>
      <c r="Q136" s="534"/>
      <c r="R136" s="534"/>
      <c r="S136" s="535"/>
      <c r="T136" s="535"/>
      <c r="U136" s="535"/>
      <c r="V136" s="535"/>
      <c r="W136" s="535"/>
      <c r="X136" s="535"/>
      <c r="Y136" s="535"/>
      <c r="Z136" s="535"/>
    </row>
    <row r="137" spans="1:26" ht="13.5" customHeight="1">
      <c r="A137" s="223"/>
      <c r="B137" s="253"/>
      <c r="C137" s="87"/>
      <c r="D137" s="87"/>
      <c r="E137" s="87"/>
      <c r="F137" s="87"/>
      <c r="G137" s="87"/>
      <c r="H137" s="87"/>
      <c r="I137" s="454"/>
      <c r="J137" s="77"/>
      <c r="K137" s="317"/>
      <c r="L137" s="77"/>
      <c r="M137" s="87"/>
      <c r="N137" s="271"/>
      <c r="O137" s="198"/>
      <c r="P137" s="146"/>
      <c r="Q137" s="146"/>
      <c r="R137" s="146"/>
      <c r="S137" s="149"/>
      <c r="T137" s="149"/>
      <c r="U137" s="149"/>
      <c r="V137" s="149"/>
      <c r="W137" s="149"/>
      <c r="X137" s="149"/>
      <c r="Y137" s="149"/>
      <c r="Z137" s="149"/>
    </row>
    <row r="138" spans="1:26" ht="87.75" customHeight="1">
      <c r="A138" s="533" t="s">
        <v>736</v>
      </c>
      <c r="B138" s="504" t="s">
        <v>287</v>
      </c>
      <c r="C138" s="506">
        <v>1</v>
      </c>
      <c r="D138" s="506">
        <v>1</v>
      </c>
      <c r="E138" s="506">
        <v>0</v>
      </c>
      <c r="F138" s="991">
        <v>0.5</v>
      </c>
      <c r="G138" s="506">
        <v>0</v>
      </c>
      <c r="H138" s="506">
        <v>0</v>
      </c>
      <c r="I138" s="581" t="s">
        <v>2879</v>
      </c>
      <c r="J138" s="582" t="s">
        <v>1012</v>
      </c>
      <c r="K138" s="583" t="s">
        <v>1013</v>
      </c>
      <c r="L138" s="551" t="s">
        <v>748</v>
      </c>
      <c r="M138" s="551" t="s">
        <v>2880</v>
      </c>
      <c r="N138" s="580" t="s">
        <v>748</v>
      </c>
      <c r="O138" s="580" t="s">
        <v>748</v>
      </c>
      <c r="P138" s="534"/>
      <c r="Q138" s="534"/>
      <c r="R138" s="534"/>
      <c r="S138" s="535"/>
      <c r="T138" s="535"/>
      <c r="U138" s="535"/>
      <c r="V138" s="535"/>
      <c r="W138" s="535"/>
      <c r="X138" s="535"/>
      <c r="Y138" s="535"/>
      <c r="Z138" s="535"/>
    </row>
    <row r="139" spans="1:26" ht="13.5" customHeight="1">
      <c r="A139" s="223"/>
      <c r="B139" s="253"/>
      <c r="C139" s="87"/>
      <c r="D139" s="87"/>
      <c r="E139" s="87"/>
      <c r="F139" s="87"/>
      <c r="G139" s="87"/>
      <c r="H139" s="87"/>
      <c r="I139" s="454"/>
      <c r="J139" s="77"/>
      <c r="K139" s="317"/>
      <c r="L139" s="354"/>
      <c r="M139" s="75"/>
      <c r="N139" s="75"/>
      <c r="O139" s="198"/>
      <c r="P139" s="146"/>
      <c r="Q139" s="146"/>
      <c r="R139" s="146"/>
      <c r="S139" s="149"/>
      <c r="T139" s="149"/>
      <c r="U139" s="149"/>
      <c r="V139" s="149"/>
      <c r="W139" s="149"/>
      <c r="X139" s="149"/>
      <c r="Y139" s="149"/>
      <c r="Z139" s="149"/>
    </row>
    <row r="140" spans="1:26" ht="27.75" customHeight="1">
      <c r="A140" s="533" t="s">
        <v>736</v>
      </c>
      <c r="B140" s="504" t="s">
        <v>4415</v>
      </c>
      <c r="C140" s="506">
        <f t="shared" ref="C140:H140" si="29">AVERAGE(C141:C146)</f>
        <v>0.16666666666666666</v>
      </c>
      <c r="D140" s="506">
        <f t="shared" si="29"/>
        <v>0.25</v>
      </c>
      <c r="E140" s="506">
        <f t="shared" si="29"/>
        <v>8.3333333333333329E-2</v>
      </c>
      <c r="F140" s="506">
        <f t="shared" si="29"/>
        <v>0.16666666666666666</v>
      </c>
      <c r="G140" s="506">
        <f t="shared" si="29"/>
        <v>0.16666666666666666</v>
      </c>
      <c r="H140" s="506">
        <f t="shared" si="29"/>
        <v>0.16666666666666666</v>
      </c>
      <c r="I140" s="454"/>
      <c r="J140" s="507"/>
      <c r="K140" s="551"/>
      <c r="L140" s="551"/>
      <c r="M140" s="507"/>
      <c r="N140" s="507"/>
      <c r="O140" s="551"/>
      <c r="P140" s="534"/>
      <c r="Q140" s="534"/>
      <c r="R140" s="534"/>
      <c r="S140" s="535"/>
      <c r="T140" s="535"/>
      <c r="U140" s="535"/>
      <c r="V140" s="535"/>
      <c r="W140" s="535"/>
      <c r="X140" s="535"/>
      <c r="Y140" s="535"/>
      <c r="Z140" s="535"/>
    </row>
    <row r="141" spans="1:26" ht="44.25" customHeight="1">
      <c r="A141" s="566"/>
      <c r="B141" s="574" t="s">
        <v>290</v>
      </c>
      <c r="C141" s="506">
        <v>0.5</v>
      </c>
      <c r="D141" s="515">
        <v>1</v>
      </c>
      <c r="E141" s="506">
        <v>0.5</v>
      </c>
      <c r="F141" s="506">
        <v>0.5</v>
      </c>
      <c r="G141" s="506">
        <v>0.5</v>
      </c>
      <c r="H141" s="506">
        <v>0.5</v>
      </c>
      <c r="I141" s="454" t="s">
        <v>2892</v>
      </c>
      <c r="J141" s="507" t="s">
        <v>4416</v>
      </c>
      <c r="K141" s="507" t="s">
        <v>4417</v>
      </c>
      <c r="L141" s="507" t="s">
        <v>4418</v>
      </c>
      <c r="M141" s="507" t="s">
        <v>4419</v>
      </c>
      <c r="N141" s="507" t="s">
        <v>4418</v>
      </c>
      <c r="O141" s="507" t="s">
        <v>4420</v>
      </c>
      <c r="P141" s="534"/>
      <c r="Q141" s="534"/>
      <c r="R141" s="534"/>
      <c r="S141" s="535"/>
      <c r="T141" s="535"/>
      <c r="U141" s="535"/>
      <c r="V141" s="535"/>
      <c r="W141" s="535"/>
      <c r="X141" s="535"/>
      <c r="Y141" s="535"/>
      <c r="Z141" s="535"/>
    </row>
    <row r="142" spans="1:26" ht="23.25" customHeight="1">
      <c r="A142" s="566"/>
      <c r="B142" s="574" t="s">
        <v>292</v>
      </c>
      <c r="C142" s="506">
        <v>0</v>
      </c>
      <c r="D142" s="506">
        <v>0</v>
      </c>
      <c r="E142" s="506">
        <v>0</v>
      </c>
      <c r="F142" s="506">
        <v>0.5</v>
      </c>
      <c r="G142" s="506">
        <v>0</v>
      </c>
      <c r="H142" s="506">
        <v>0</v>
      </c>
      <c r="I142" s="454" t="s">
        <v>123</v>
      </c>
      <c r="J142" s="551" t="s">
        <v>748</v>
      </c>
      <c r="K142" s="507" t="s">
        <v>748</v>
      </c>
      <c r="L142" s="507" t="s">
        <v>4418</v>
      </c>
      <c r="M142" s="507" t="s">
        <v>4421</v>
      </c>
      <c r="N142" s="507" t="s">
        <v>4418</v>
      </c>
      <c r="O142" s="507" t="s">
        <v>4418</v>
      </c>
      <c r="P142" s="534"/>
      <c r="Q142" s="534"/>
      <c r="R142" s="534"/>
      <c r="S142" s="535"/>
      <c r="T142" s="535"/>
      <c r="U142" s="535"/>
      <c r="V142" s="535"/>
      <c r="W142" s="535"/>
      <c r="X142" s="535"/>
      <c r="Y142" s="535"/>
      <c r="Z142" s="535"/>
    </row>
    <row r="143" spans="1:26" ht="20.25" customHeight="1">
      <c r="A143" s="566"/>
      <c r="B143" s="574" t="s">
        <v>294</v>
      </c>
      <c r="C143" s="506">
        <v>0</v>
      </c>
      <c r="D143" s="506">
        <v>0.5</v>
      </c>
      <c r="E143" s="506">
        <v>0</v>
      </c>
      <c r="F143" s="506">
        <v>0</v>
      </c>
      <c r="G143" s="506">
        <v>0</v>
      </c>
      <c r="H143" s="506">
        <v>0</v>
      </c>
      <c r="I143" s="454" t="s">
        <v>2892</v>
      </c>
      <c r="J143" s="551" t="s">
        <v>748</v>
      </c>
      <c r="K143" s="507" t="s">
        <v>4422</v>
      </c>
      <c r="L143" s="507" t="s">
        <v>748</v>
      </c>
      <c r="M143" s="507" t="s">
        <v>748</v>
      </c>
      <c r="N143" s="507" t="s">
        <v>748</v>
      </c>
      <c r="O143" s="507" t="s">
        <v>748</v>
      </c>
      <c r="P143" s="534"/>
      <c r="Q143" s="534"/>
      <c r="R143" s="534"/>
      <c r="S143" s="535"/>
      <c r="T143" s="535"/>
      <c r="U143" s="535"/>
      <c r="V143" s="535"/>
      <c r="W143" s="535"/>
      <c r="X143" s="535"/>
      <c r="Y143" s="535"/>
      <c r="Z143" s="535"/>
    </row>
    <row r="144" spans="1:26" ht="13.5" customHeight="1">
      <c r="A144" s="566"/>
      <c r="B144" s="574" t="s">
        <v>2894</v>
      </c>
      <c r="C144" s="506">
        <v>0</v>
      </c>
      <c r="D144" s="506">
        <v>0</v>
      </c>
      <c r="E144" s="506">
        <v>0</v>
      </c>
      <c r="F144" s="506">
        <v>0</v>
      </c>
      <c r="G144" s="506">
        <v>0</v>
      </c>
      <c r="H144" s="506">
        <v>0</v>
      </c>
      <c r="I144" s="454" t="s">
        <v>123</v>
      </c>
      <c r="J144" s="551" t="s">
        <v>748</v>
      </c>
      <c r="K144" s="507" t="s">
        <v>748</v>
      </c>
      <c r="L144" s="551" t="s">
        <v>748</v>
      </c>
      <c r="M144" s="507" t="s">
        <v>4423</v>
      </c>
      <c r="N144" s="507" t="s">
        <v>748</v>
      </c>
      <c r="O144" s="551" t="s">
        <v>748</v>
      </c>
      <c r="P144" s="534"/>
      <c r="Q144" s="534"/>
      <c r="R144" s="534"/>
      <c r="S144" s="535"/>
      <c r="T144" s="535"/>
      <c r="U144" s="535"/>
      <c r="V144" s="535"/>
      <c r="W144" s="535"/>
      <c r="X144" s="535"/>
      <c r="Y144" s="535"/>
      <c r="Z144" s="535"/>
    </row>
    <row r="145" spans="1:26" ht="71.25" customHeight="1">
      <c r="A145" s="566"/>
      <c r="B145" s="574" t="s">
        <v>296</v>
      </c>
      <c r="C145" s="506">
        <v>0.5</v>
      </c>
      <c r="D145" s="506">
        <v>0</v>
      </c>
      <c r="E145" s="506">
        <v>0</v>
      </c>
      <c r="F145" s="506">
        <v>0</v>
      </c>
      <c r="G145" s="506">
        <v>0.5</v>
      </c>
      <c r="H145" s="506">
        <v>0.5</v>
      </c>
      <c r="I145" s="454" t="s">
        <v>2892</v>
      </c>
      <c r="J145" s="507" t="s">
        <v>4424</v>
      </c>
      <c r="K145" s="507" t="s">
        <v>748</v>
      </c>
      <c r="L145" s="551" t="s">
        <v>748</v>
      </c>
      <c r="M145" s="551" t="s">
        <v>748</v>
      </c>
      <c r="N145" s="507" t="s">
        <v>2898</v>
      </c>
      <c r="O145" s="551" t="s">
        <v>2898</v>
      </c>
      <c r="P145" s="534"/>
      <c r="Q145" s="534"/>
      <c r="R145" s="534"/>
      <c r="S145" s="535"/>
      <c r="T145" s="535"/>
      <c r="U145" s="535"/>
      <c r="V145" s="535"/>
      <c r="W145" s="535"/>
      <c r="X145" s="535"/>
      <c r="Y145" s="535"/>
      <c r="Z145" s="535"/>
    </row>
    <row r="146" spans="1:26" ht="27.75" customHeight="1">
      <c r="A146" s="566"/>
      <c r="B146" s="574" t="s">
        <v>297</v>
      </c>
      <c r="C146" s="506">
        <v>0</v>
      </c>
      <c r="D146" s="506">
        <v>0</v>
      </c>
      <c r="E146" s="506">
        <v>0</v>
      </c>
      <c r="F146" s="506">
        <v>0</v>
      </c>
      <c r="G146" s="506">
        <v>0</v>
      </c>
      <c r="H146" s="506">
        <v>0</v>
      </c>
      <c r="I146" s="454" t="s">
        <v>123</v>
      </c>
      <c r="J146" s="551" t="s">
        <v>748</v>
      </c>
      <c r="K146" s="551" t="s">
        <v>748</v>
      </c>
      <c r="L146" s="551" t="s">
        <v>748</v>
      </c>
      <c r="M146" s="551" t="s">
        <v>748</v>
      </c>
      <c r="N146" s="507" t="s">
        <v>748</v>
      </c>
      <c r="O146" s="551" t="s">
        <v>1060</v>
      </c>
      <c r="P146" s="534"/>
      <c r="Q146" s="534"/>
      <c r="R146" s="534"/>
      <c r="S146" s="535"/>
      <c r="T146" s="535"/>
      <c r="U146" s="535"/>
      <c r="V146" s="535"/>
      <c r="W146" s="535"/>
      <c r="X146" s="535"/>
      <c r="Y146" s="535"/>
      <c r="Z146" s="535"/>
    </row>
    <row r="147" spans="1:26" ht="13.5" customHeight="1">
      <c r="A147" s="223"/>
      <c r="B147" s="586"/>
      <c r="C147" s="87"/>
      <c r="D147" s="87"/>
      <c r="E147" s="87"/>
      <c r="F147" s="87"/>
      <c r="G147" s="87"/>
      <c r="H147" s="87"/>
      <c r="I147" s="454"/>
      <c r="J147" s="198"/>
      <c r="K147" s="587"/>
      <c r="L147" s="75"/>
      <c r="M147" s="87"/>
      <c r="N147" s="271"/>
      <c r="O147" s="87"/>
      <c r="P147" s="146"/>
      <c r="Q147" s="146"/>
      <c r="R147" s="146"/>
      <c r="S147" s="149"/>
      <c r="T147" s="149"/>
      <c r="U147" s="149"/>
      <c r="V147" s="149"/>
      <c r="W147" s="149"/>
      <c r="X147" s="149"/>
      <c r="Y147" s="149"/>
      <c r="Z147" s="149"/>
    </row>
    <row r="148" spans="1:26" ht="27.75" customHeight="1">
      <c r="A148" s="533" t="s">
        <v>736</v>
      </c>
      <c r="B148" s="504" t="s">
        <v>4425</v>
      </c>
      <c r="C148" s="506">
        <f t="shared" ref="C148:H148" si="30">AVERAGE(C149:C151)</f>
        <v>0.16666666666666666</v>
      </c>
      <c r="D148" s="506">
        <f t="shared" si="30"/>
        <v>0</v>
      </c>
      <c r="E148" s="506">
        <f t="shared" si="30"/>
        <v>0</v>
      </c>
      <c r="F148" s="506">
        <f t="shared" si="30"/>
        <v>0</v>
      </c>
      <c r="G148" s="506">
        <f t="shared" si="30"/>
        <v>0</v>
      </c>
      <c r="H148" s="506">
        <f t="shared" si="30"/>
        <v>0</v>
      </c>
      <c r="I148" s="454"/>
      <c r="J148" s="507"/>
      <c r="K148" s="551"/>
      <c r="L148" s="551"/>
      <c r="M148" s="507"/>
      <c r="N148" s="507"/>
      <c r="O148" s="551"/>
      <c r="P148" s="534"/>
      <c r="Q148" s="534"/>
      <c r="R148" s="534"/>
      <c r="S148" s="535"/>
      <c r="T148" s="535"/>
      <c r="U148" s="535"/>
      <c r="V148" s="535"/>
      <c r="W148" s="535"/>
      <c r="X148" s="535"/>
      <c r="Y148" s="535"/>
      <c r="Z148" s="535"/>
    </row>
    <row r="149" spans="1:26" ht="32.25" customHeight="1">
      <c r="A149" s="566"/>
      <c r="B149" s="574" t="s">
        <v>299</v>
      </c>
      <c r="C149" s="515">
        <v>0.5</v>
      </c>
      <c r="D149" s="506">
        <v>0</v>
      </c>
      <c r="E149" s="506">
        <v>0</v>
      </c>
      <c r="F149" s="506">
        <v>0</v>
      </c>
      <c r="G149" s="506">
        <v>0</v>
      </c>
      <c r="H149" s="506">
        <v>0</v>
      </c>
      <c r="I149" s="454" t="s">
        <v>123</v>
      </c>
      <c r="J149" s="507" t="s">
        <v>4426</v>
      </c>
      <c r="K149" s="507" t="s">
        <v>4427</v>
      </c>
      <c r="L149" s="551" t="s">
        <v>748</v>
      </c>
      <c r="M149" s="507" t="s">
        <v>4427</v>
      </c>
      <c r="N149" s="507" t="s">
        <v>748</v>
      </c>
      <c r="O149" s="551" t="s">
        <v>748</v>
      </c>
      <c r="P149" s="534"/>
      <c r="Q149" s="534"/>
      <c r="R149" s="534"/>
      <c r="S149" s="535"/>
      <c r="T149" s="535"/>
      <c r="U149" s="535"/>
      <c r="V149" s="535"/>
      <c r="W149" s="535"/>
      <c r="X149" s="535"/>
      <c r="Y149" s="535"/>
      <c r="Z149" s="535"/>
    </row>
    <row r="150" spans="1:26" ht="13.5" customHeight="1">
      <c r="A150" s="533"/>
      <c r="B150" s="574" t="s">
        <v>300</v>
      </c>
      <c r="C150" s="506">
        <v>0</v>
      </c>
      <c r="D150" s="506">
        <v>0</v>
      </c>
      <c r="E150" s="506">
        <v>0</v>
      </c>
      <c r="F150" s="506">
        <v>0</v>
      </c>
      <c r="G150" s="506">
        <v>0</v>
      </c>
      <c r="H150" s="506">
        <v>0</v>
      </c>
      <c r="I150" s="454" t="s">
        <v>123</v>
      </c>
      <c r="J150" s="551" t="s">
        <v>748</v>
      </c>
      <c r="K150" s="507" t="s">
        <v>4427</v>
      </c>
      <c r="L150" s="551" t="s">
        <v>748</v>
      </c>
      <c r="M150" s="507" t="s">
        <v>4428</v>
      </c>
      <c r="N150" s="507" t="s">
        <v>748</v>
      </c>
      <c r="O150" s="551" t="s">
        <v>4429</v>
      </c>
      <c r="P150" s="534"/>
      <c r="Q150" s="534"/>
      <c r="R150" s="534"/>
      <c r="S150" s="535"/>
      <c r="T150" s="535"/>
      <c r="U150" s="535"/>
      <c r="V150" s="535"/>
      <c r="W150" s="535"/>
      <c r="X150" s="535"/>
      <c r="Y150" s="535"/>
      <c r="Z150" s="535"/>
    </row>
    <row r="151" spans="1:26" ht="29.25" customHeight="1">
      <c r="A151" s="533"/>
      <c r="B151" s="574" t="s">
        <v>301</v>
      </c>
      <c r="C151" s="506">
        <v>0</v>
      </c>
      <c r="D151" s="506">
        <v>0</v>
      </c>
      <c r="E151" s="506">
        <v>0</v>
      </c>
      <c r="F151" s="506">
        <v>0</v>
      </c>
      <c r="G151" s="506">
        <v>0</v>
      </c>
      <c r="H151" s="506">
        <v>0</v>
      </c>
      <c r="I151" s="454" t="s">
        <v>123</v>
      </c>
      <c r="J151" s="507" t="s">
        <v>4430</v>
      </c>
      <c r="K151" s="551" t="s">
        <v>748</v>
      </c>
      <c r="L151" s="551" t="s">
        <v>748</v>
      </c>
      <c r="M151" s="507" t="s">
        <v>4431</v>
      </c>
      <c r="N151" s="507" t="s">
        <v>748</v>
      </c>
      <c r="O151" s="551" t="s">
        <v>4429</v>
      </c>
      <c r="P151" s="534"/>
      <c r="Q151" s="534"/>
      <c r="R151" s="534"/>
      <c r="S151" s="535"/>
      <c r="T151" s="535"/>
      <c r="U151" s="535"/>
      <c r="V151" s="535"/>
      <c r="W151" s="535"/>
      <c r="X151" s="535"/>
      <c r="Y151" s="535"/>
      <c r="Z151" s="535"/>
    </row>
    <row r="152" spans="1:26" ht="13.5" customHeight="1">
      <c r="A152" s="143"/>
      <c r="B152" s="253"/>
      <c r="C152" s="87"/>
      <c r="D152" s="87"/>
      <c r="E152" s="87"/>
      <c r="F152" s="87"/>
      <c r="G152" s="87"/>
      <c r="H152" s="87"/>
      <c r="I152" s="454"/>
      <c r="J152" s="75"/>
      <c r="K152" s="75"/>
      <c r="L152" s="354"/>
      <c r="M152" s="87"/>
      <c r="N152" s="75"/>
      <c r="O152" s="87"/>
      <c r="P152" s="146"/>
      <c r="Q152" s="146"/>
      <c r="R152" s="146"/>
      <c r="S152" s="149"/>
      <c r="T152" s="149"/>
      <c r="U152" s="149"/>
      <c r="V152" s="149"/>
      <c r="W152" s="149"/>
      <c r="X152" s="149"/>
      <c r="Y152" s="149"/>
      <c r="Z152" s="149"/>
    </row>
    <row r="153" spans="1:26" ht="42" customHeight="1">
      <c r="A153" s="533" t="s">
        <v>736</v>
      </c>
      <c r="B153" s="588" t="s">
        <v>302</v>
      </c>
      <c r="C153" s="506">
        <f t="shared" ref="C153:H153" si="31">AVERAGE(C154:C155)</f>
        <v>1</v>
      </c>
      <c r="D153" s="506">
        <f t="shared" si="31"/>
        <v>1</v>
      </c>
      <c r="E153" s="506">
        <f t="shared" si="31"/>
        <v>1</v>
      </c>
      <c r="F153" s="506">
        <f t="shared" si="31"/>
        <v>0.5</v>
      </c>
      <c r="G153" s="506">
        <f t="shared" si="31"/>
        <v>1</v>
      </c>
      <c r="H153" s="506">
        <f t="shared" si="31"/>
        <v>1</v>
      </c>
      <c r="I153" s="454"/>
      <c r="J153" s="507"/>
      <c r="K153" s="551"/>
      <c r="L153" s="553"/>
      <c r="M153" s="506"/>
      <c r="N153" s="507"/>
      <c r="O153" s="506"/>
      <c r="P153" s="534"/>
      <c r="Q153" s="534"/>
      <c r="R153" s="534"/>
      <c r="S153" s="535"/>
      <c r="T153" s="535"/>
      <c r="U153" s="535"/>
      <c r="V153" s="535"/>
      <c r="W153" s="535"/>
      <c r="X153" s="535"/>
      <c r="Y153" s="535"/>
      <c r="Z153" s="535"/>
    </row>
    <row r="154" spans="1:26" ht="13.5" customHeight="1">
      <c r="A154" s="533"/>
      <c r="B154" s="574" t="s">
        <v>303</v>
      </c>
      <c r="C154" s="506">
        <v>1</v>
      </c>
      <c r="D154" s="506">
        <v>1</v>
      </c>
      <c r="E154" s="506">
        <v>1</v>
      </c>
      <c r="F154" s="506">
        <v>1</v>
      </c>
      <c r="G154" s="506">
        <v>1</v>
      </c>
      <c r="H154" s="506">
        <v>1</v>
      </c>
      <c r="I154" s="454"/>
      <c r="J154" s="551" t="s">
        <v>811</v>
      </c>
      <c r="K154" s="551" t="s">
        <v>811</v>
      </c>
      <c r="L154" s="551" t="s">
        <v>811</v>
      </c>
      <c r="M154" s="507" t="s">
        <v>2902</v>
      </c>
      <c r="N154" s="580" t="s">
        <v>811</v>
      </c>
      <c r="O154" s="506" t="s">
        <v>811</v>
      </c>
      <c r="P154" s="534"/>
      <c r="Q154" s="534"/>
      <c r="R154" s="534"/>
      <c r="S154" s="535"/>
      <c r="T154" s="535"/>
      <c r="U154" s="535"/>
      <c r="V154" s="535"/>
      <c r="W154" s="535"/>
      <c r="X154" s="535"/>
      <c r="Y154" s="535"/>
      <c r="Z154" s="535"/>
    </row>
    <row r="155" spans="1:26" ht="48" customHeight="1">
      <c r="A155" s="533"/>
      <c r="B155" s="574" t="s">
        <v>304</v>
      </c>
      <c r="C155" s="506">
        <v>1</v>
      </c>
      <c r="D155" s="506">
        <v>1</v>
      </c>
      <c r="E155" s="506">
        <v>1</v>
      </c>
      <c r="F155" s="506">
        <v>0</v>
      </c>
      <c r="G155" s="506">
        <v>1</v>
      </c>
      <c r="H155" s="506">
        <v>1</v>
      </c>
      <c r="I155" s="454"/>
      <c r="J155" s="551" t="s">
        <v>811</v>
      </c>
      <c r="K155" s="551" t="s">
        <v>811</v>
      </c>
      <c r="L155" s="551" t="s">
        <v>811</v>
      </c>
      <c r="M155" s="507" t="s">
        <v>2903</v>
      </c>
      <c r="N155" s="580" t="s">
        <v>811</v>
      </c>
      <c r="O155" s="506" t="s">
        <v>811</v>
      </c>
      <c r="P155" s="534"/>
      <c r="Q155" s="534"/>
      <c r="R155" s="534"/>
      <c r="S155" s="535"/>
      <c r="T155" s="535"/>
      <c r="U155" s="535"/>
      <c r="V155" s="535"/>
      <c r="W155" s="535"/>
      <c r="X155" s="535"/>
      <c r="Y155" s="535"/>
      <c r="Z155" s="535"/>
    </row>
    <row r="156" spans="1:26" ht="13.5" customHeight="1">
      <c r="A156" s="143"/>
      <c r="B156" s="253"/>
      <c r="C156" s="87"/>
      <c r="D156" s="87"/>
      <c r="E156" s="87"/>
      <c r="F156" s="87"/>
      <c r="G156" s="87"/>
      <c r="H156" s="87"/>
      <c r="I156" s="454"/>
      <c r="J156" s="198"/>
      <c r="K156" s="75"/>
      <c r="L156" s="198"/>
      <c r="M156" s="75"/>
      <c r="N156" s="75"/>
      <c r="O156" s="198"/>
      <c r="P156" s="146"/>
      <c r="Q156" s="146"/>
      <c r="R156" s="146"/>
      <c r="S156" s="149"/>
      <c r="T156" s="149"/>
      <c r="U156" s="149"/>
      <c r="V156" s="149"/>
      <c r="W156" s="149"/>
      <c r="X156" s="149"/>
      <c r="Y156" s="149"/>
      <c r="Z156" s="149"/>
    </row>
    <row r="157" spans="1:26" ht="27.75" customHeight="1">
      <c r="A157" s="533" t="s">
        <v>736</v>
      </c>
      <c r="B157" s="588" t="s">
        <v>4432</v>
      </c>
      <c r="C157" s="506">
        <f t="shared" ref="C157:H157" si="32">AVERAGE(C158:C162)</f>
        <v>0.8</v>
      </c>
      <c r="D157" s="506">
        <f t="shared" si="32"/>
        <v>0.6</v>
      </c>
      <c r="E157" s="506">
        <f t="shared" si="32"/>
        <v>0.4</v>
      </c>
      <c r="F157" s="506">
        <f t="shared" si="32"/>
        <v>0.8</v>
      </c>
      <c r="G157" s="506">
        <f t="shared" si="32"/>
        <v>1</v>
      </c>
      <c r="H157" s="506">
        <f t="shared" si="32"/>
        <v>1</v>
      </c>
      <c r="I157" s="454"/>
      <c r="J157" s="507"/>
      <c r="K157" s="551"/>
      <c r="L157" s="551"/>
      <c r="M157" s="507"/>
      <c r="N157" s="507"/>
      <c r="O157" s="551"/>
      <c r="P157" s="534"/>
      <c r="Q157" s="534"/>
      <c r="R157" s="534"/>
      <c r="S157" s="535"/>
      <c r="T157" s="535"/>
      <c r="U157" s="535"/>
      <c r="V157" s="535"/>
      <c r="W157" s="535"/>
      <c r="X157" s="535"/>
      <c r="Y157" s="535"/>
      <c r="Z157" s="535"/>
    </row>
    <row r="158" spans="1:26" ht="24" customHeight="1">
      <c r="A158" s="533"/>
      <c r="B158" s="574" t="s">
        <v>306</v>
      </c>
      <c r="C158" s="506">
        <v>1</v>
      </c>
      <c r="D158" s="506">
        <v>1</v>
      </c>
      <c r="E158" s="506">
        <v>1</v>
      </c>
      <c r="F158" s="506">
        <v>1</v>
      </c>
      <c r="G158" s="506">
        <v>1</v>
      </c>
      <c r="H158" s="506">
        <v>1</v>
      </c>
      <c r="I158" s="454" t="s">
        <v>123</v>
      </c>
      <c r="J158" s="551" t="s">
        <v>811</v>
      </c>
      <c r="K158" s="551" t="s">
        <v>811</v>
      </c>
      <c r="L158" s="551" t="s">
        <v>1068</v>
      </c>
      <c r="M158" s="507" t="s">
        <v>4433</v>
      </c>
      <c r="N158" s="551" t="s">
        <v>811</v>
      </c>
      <c r="O158" s="551" t="s">
        <v>811</v>
      </c>
      <c r="P158" s="534"/>
      <c r="Q158" s="534"/>
      <c r="R158" s="534"/>
      <c r="S158" s="535"/>
      <c r="T158" s="535"/>
      <c r="U158" s="535"/>
      <c r="V158" s="535"/>
      <c r="W158" s="535"/>
      <c r="X158" s="535"/>
      <c r="Y158" s="535"/>
      <c r="Z158" s="535"/>
    </row>
    <row r="159" spans="1:26" ht="24" customHeight="1">
      <c r="A159" s="533"/>
      <c r="B159" s="574" t="s">
        <v>307</v>
      </c>
      <c r="C159" s="506">
        <v>1</v>
      </c>
      <c r="D159" s="506">
        <v>1</v>
      </c>
      <c r="E159" s="506">
        <v>0</v>
      </c>
      <c r="F159" s="506">
        <v>1</v>
      </c>
      <c r="G159" s="506">
        <v>1</v>
      </c>
      <c r="H159" s="506">
        <v>1</v>
      </c>
      <c r="I159" s="454" t="s">
        <v>123</v>
      </c>
      <c r="J159" s="551" t="s">
        <v>811</v>
      </c>
      <c r="K159" s="551" t="s">
        <v>811</v>
      </c>
      <c r="L159" s="551" t="s">
        <v>748</v>
      </c>
      <c r="M159" s="507" t="s">
        <v>2906</v>
      </c>
      <c r="N159" s="551" t="s">
        <v>811</v>
      </c>
      <c r="O159" s="551" t="s">
        <v>811</v>
      </c>
      <c r="P159" s="534"/>
      <c r="Q159" s="534"/>
      <c r="R159" s="534"/>
      <c r="S159" s="535"/>
      <c r="T159" s="535"/>
      <c r="U159" s="535"/>
      <c r="V159" s="535"/>
      <c r="W159" s="535"/>
      <c r="X159" s="535"/>
      <c r="Y159" s="535"/>
      <c r="Z159" s="535"/>
    </row>
    <row r="160" spans="1:26" ht="27.75" customHeight="1">
      <c r="A160" s="533"/>
      <c r="B160" s="574" t="s">
        <v>308</v>
      </c>
      <c r="C160" s="506">
        <v>0</v>
      </c>
      <c r="D160" s="506">
        <v>0</v>
      </c>
      <c r="E160" s="506">
        <v>1</v>
      </c>
      <c r="F160" s="506">
        <v>0</v>
      </c>
      <c r="G160" s="506">
        <v>1</v>
      </c>
      <c r="H160" s="506">
        <v>1</v>
      </c>
      <c r="I160" s="454" t="s">
        <v>123</v>
      </c>
      <c r="J160" s="551" t="s">
        <v>748</v>
      </c>
      <c r="K160" s="551" t="s">
        <v>748</v>
      </c>
      <c r="L160" s="551" t="s">
        <v>1068</v>
      </c>
      <c r="M160" s="507" t="s">
        <v>2908</v>
      </c>
      <c r="N160" s="551" t="s">
        <v>811</v>
      </c>
      <c r="O160" s="551" t="s">
        <v>811</v>
      </c>
      <c r="P160" s="534"/>
      <c r="Q160" s="534"/>
      <c r="R160" s="534"/>
      <c r="S160" s="535"/>
      <c r="T160" s="535"/>
      <c r="U160" s="535"/>
      <c r="V160" s="535"/>
      <c r="W160" s="535"/>
      <c r="X160" s="535"/>
      <c r="Y160" s="535"/>
      <c r="Z160" s="535"/>
    </row>
    <row r="161" spans="1:26" ht="49.5" customHeight="1">
      <c r="A161" s="533"/>
      <c r="B161" s="574" t="s">
        <v>309</v>
      </c>
      <c r="C161" s="506">
        <v>1</v>
      </c>
      <c r="D161" s="506">
        <v>0.5</v>
      </c>
      <c r="E161" s="506">
        <v>0</v>
      </c>
      <c r="F161" s="506">
        <v>1</v>
      </c>
      <c r="G161" s="506">
        <v>1</v>
      </c>
      <c r="H161" s="506">
        <v>1</v>
      </c>
      <c r="I161" s="454" t="s">
        <v>2909</v>
      </c>
      <c r="J161" s="551" t="s">
        <v>811</v>
      </c>
      <c r="K161" s="507" t="s">
        <v>4434</v>
      </c>
      <c r="L161" s="551" t="s">
        <v>748</v>
      </c>
      <c r="M161" s="507" t="s">
        <v>4435</v>
      </c>
      <c r="N161" s="551" t="s">
        <v>811</v>
      </c>
      <c r="O161" s="551" t="s">
        <v>811</v>
      </c>
      <c r="P161" s="534"/>
      <c r="Q161" s="534"/>
      <c r="R161" s="534"/>
      <c r="S161" s="535"/>
      <c r="T161" s="535"/>
      <c r="U161" s="535"/>
      <c r="V161" s="535"/>
      <c r="W161" s="535"/>
      <c r="X161" s="535"/>
      <c r="Y161" s="535"/>
      <c r="Z161" s="535"/>
    </row>
    <row r="162" spans="1:26" ht="24" customHeight="1">
      <c r="A162" s="533"/>
      <c r="B162" s="574" t="s">
        <v>311</v>
      </c>
      <c r="C162" s="506">
        <v>1</v>
      </c>
      <c r="D162" s="506">
        <v>0.5</v>
      </c>
      <c r="E162" s="506">
        <v>0</v>
      </c>
      <c r="F162" s="506">
        <v>1</v>
      </c>
      <c r="G162" s="506">
        <v>1</v>
      </c>
      <c r="H162" s="506">
        <v>1</v>
      </c>
      <c r="I162" s="454" t="s">
        <v>2909</v>
      </c>
      <c r="J162" s="551" t="s">
        <v>811</v>
      </c>
      <c r="K162" s="507" t="s">
        <v>4436</v>
      </c>
      <c r="L162" s="551" t="s">
        <v>748</v>
      </c>
      <c r="M162" s="507" t="s">
        <v>2912</v>
      </c>
      <c r="N162" s="551" t="s">
        <v>811</v>
      </c>
      <c r="O162" s="551" t="s">
        <v>811</v>
      </c>
      <c r="P162" s="534"/>
      <c r="Q162" s="534"/>
      <c r="R162" s="534"/>
      <c r="S162" s="535"/>
      <c r="T162" s="535"/>
      <c r="U162" s="535"/>
      <c r="V162" s="535"/>
      <c r="W162" s="535"/>
      <c r="X162" s="535"/>
      <c r="Y162" s="535"/>
      <c r="Z162" s="535"/>
    </row>
    <row r="163" spans="1:26" ht="19.5" customHeight="1">
      <c r="A163" s="143"/>
      <c r="B163" s="253"/>
      <c r="C163" s="87"/>
      <c r="D163" s="87"/>
      <c r="E163" s="87"/>
      <c r="F163" s="87"/>
      <c r="G163" s="87"/>
      <c r="H163" s="87"/>
      <c r="I163" s="454"/>
      <c r="J163" s="75"/>
      <c r="K163" s="198"/>
      <c r="L163" s="198"/>
      <c r="M163" s="75"/>
      <c r="N163" s="75"/>
      <c r="O163" s="198"/>
      <c r="P163" s="146"/>
      <c r="Q163" s="146"/>
      <c r="R163" s="146"/>
      <c r="S163" s="149"/>
      <c r="T163" s="149"/>
      <c r="U163" s="149"/>
      <c r="V163" s="149"/>
      <c r="W163" s="149"/>
      <c r="X163" s="149"/>
      <c r="Y163" s="149"/>
      <c r="Z163" s="149"/>
    </row>
    <row r="164" spans="1:26" ht="112.5" customHeight="1">
      <c r="A164" s="503" t="s">
        <v>736</v>
      </c>
      <c r="B164" s="588" t="s">
        <v>312</v>
      </c>
      <c r="C164" s="506">
        <v>1</v>
      </c>
      <c r="D164" s="506">
        <v>1</v>
      </c>
      <c r="E164" s="506">
        <v>0</v>
      </c>
      <c r="F164" s="506">
        <v>1</v>
      </c>
      <c r="G164" s="506">
        <v>0</v>
      </c>
      <c r="H164" s="506">
        <v>1</v>
      </c>
      <c r="I164" s="454" t="s">
        <v>123</v>
      </c>
      <c r="J164" s="507" t="s">
        <v>1044</v>
      </c>
      <c r="K164" s="507" t="s">
        <v>1045</v>
      </c>
      <c r="L164" s="507" t="s">
        <v>4437</v>
      </c>
      <c r="M164" s="507" t="s">
        <v>2913</v>
      </c>
      <c r="N164" s="551" t="s">
        <v>748</v>
      </c>
      <c r="O164" s="507" t="s">
        <v>2914</v>
      </c>
      <c r="P164" s="534"/>
      <c r="Q164" s="534"/>
      <c r="R164" s="534"/>
      <c r="S164" s="535"/>
      <c r="T164" s="535"/>
      <c r="U164" s="535"/>
      <c r="V164" s="535"/>
      <c r="W164" s="535"/>
      <c r="X164" s="535"/>
      <c r="Y164" s="535"/>
      <c r="Z164" s="535"/>
    </row>
    <row r="165" spans="1:26" ht="13.5" customHeight="1">
      <c r="A165" s="143"/>
      <c r="B165" s="254"/>
      <c r="C165" s="87"/>
      <c r="D165" s="87"/>
      <c r="E165" s="87"/>
      <c r="F165" s="87"/>
      <c r="G165" s="87"/>
      <c r="H165" s="87"/>
      <c r="I165" s="454"/>
      <c r="J165" s="198"/>
      <c r="K165" s="87"/>
      <c r="L165" s="198"/>
      <c r="M165" s="75"/>
      <c r="N165" s="75"/>
      <c r="O165" s="198"/>
      <c r="P165" s="146"/>
      <c r="Q165" s="146"/>
      <c r="R165" s="146"/>
      <c r="S165" s="149"/>
      <c r="T165" s="149"/>
      <c r="U165" s="149"/>
      <c r="V165" s="149"/>
      <c r="W165" s="149"/>
      <c r="X165" s="149"/>
      <c r="Y165" s="149"/>
      <c r="Z165" s="149"/>
    </row>
    <row r="166" spans="1:26" ht="13.5" customHeight="1">
      <c r="A166" s="566" t="s">
        <v>1049</v>
      </c>
      <c r="B166" s="504" t="s">
        <v>314</v>
      </c>
      <c r="C166" s="506">
        <f t="shared" ref="C166:H166" si="33">AVERAGE(C167,C169,C175,C185,C187,C191,C193,C195)</f>
        <v>0.46882408069053128</v>
      </c>
      <c r="D166" s="506">
        <f t="shared" si="33"/>
        <v>0.46801358831269002</v>
      </c>
      <c r="E166" s="506">
        <f t="shared" si="33"/>
        <v>0.25197784810126583</v>
      </c>
      <c r="F166" s="506">
        <f t="shared" si="33"/>
        <v>0.40227374551971329</v>
      </c>
      <c r="G166" s="506">
        <f t="shared" si="33"/>
        <v>0.26522872147361731</v>
      </c>
      <c r="H166" s="506">
        <f t="shared" si="33"/>
        <v>0.48971377206115874</v>
      </c>
      <c r="I166" s="454"/>
      <c r="J166" s="551"/>
      <c r="K166" s="506"/>
      <c r="L166" s="551"/>
      <c r="M166" s="507"/>
      <c r="N166" s="507"/>
      <c r="O166" s="551"/>
      <c r="P166" s="534"/>
      <c r="Q166" s="534"/>
      <c r="R166" s="534"/>
      <c r="S166" s="535"/>
      <c r="T166" s="535"/>
      <c r="U166" s="535"/>
      <c r="V166" s="535"/>
      <c r="W166" s="535"/>
      <c r="X166" s="535"/>
      <c r="Y166" s="535"/>
      <c r="Z166" s="535"/>
    </row>
    <row r="167" spans="1:26" ht="92.25" customHeight="1">
      <c r="A167" s="503" t="s">
        <v>736</v>
      </c>
      <c r="B167" s="588" t="s">
        <v>315</v>
      </c>
      <c r="C167" s="506">
        <v>0.5</v>
      </c>
      <c r="D167" s="515">
        <v>0.5</v>
      </c>
      <c r="E167" s="506">
        <v>0</v>
      </c>
      <c r="F167" s="506">
        <v>0</v>
      </c>
      <c r="G167" s="506">
        <v>0</v>
      </c>
      <c r="H167" s="515">
        <v>0</v>
      </c>
      <c r="I167" s="454" t="s">
        <v>4438</v>
      </c>
      <c r="J167" s="507" t="s">
        <v>4439</v>
      </c>
      <c r="K167" s="507" t="s">
        <v>4440</v>
      </c>
      <c r="L167" s="551" t="s">
        <v>748</v>
      </c>
      <c r="M167" s="507" t="s">
        <v>763</v>
      </c>
      <c r="N167" s="551" t="s">
        <v>748</v>
      </c>
      <c r="O167" s="551" t="s">
        <v>748</v>
      </c>
      <c r="P167" s="146"/>
      <c r="Q167" s="146"/>
      <c r="R167" s="146"/>
      <c r="S167" s="149"/>
      <c r="T167" s="149"/>
      <c r="U167" s="149"/>
      <c r="V167" s="149"/>
      <c r="W167" s="149"/>
      <c r="X167" s="149"/>
      <c r="Y167" s="149"/>
      <c r="Z167" s="149"/>
    </row>
    <row r="168" spans="1:26" ht="21.75" customHeight="1">
      <c r="A168" s="2"/>
      <c r="B168" s="952"/>
      <c r="C168" s="271"/>
      <c r="D168" s="271"/>
      <c r="E168" s="271"/>
      <c r="F168" s="271"/>
      <c r="G168" s="271"/>
      <c r="H168" s="271"/>
      <c r="I168" s="485"/>
      <c r="J168" s="291"/>
      <c r="K168" s="953"/>
      <c r="L168" s="953"/>
      <c r="M168" s="291"/>
      <c r="N168" s="953"/>
      <c r="O168" s="953"/>
      <c r="P168" s="15"/>
      <c r="Q168" s="15"/>
      <c r="R168" s="15"/>
      <c r="S168" s="15"/>
      <c r="T168" s="15"/>
      <c r="U168" s="15"/>
      <c r="V168" s="15"/>
      <c r="W168" s="15"/>
      <c r="X168" s="15"/>
      <c r="Y168" s="15"/>
      <c r="Z168" s="15"/>
    </row>
    <row r="169" spans="1:26" ht="27.75" customHeight="1">
      <c r="A169" s="503" t="s">
        <v>736</v>
      </c>
      <c r="B169" s="588" t="s">
        <v>317</v>
      </c>
      <c r="C169" s="506">
        <f t="shared" ref="C169:H169" si="34">AVERAGE(C170:C173)</f>
        <v>0.25</v>
      </c>
      <c r="D169" s="506">
        <f t="shared" si="34"/>
        <v>0.25</v>
      </c>
      <c r="E169" s="506">
        <f t="shared" si="34"/>
        <v>0</v>
      </c>
      <c r="F169" s="506">
        <f t="shared" si="34"/>
        <v>0.75</v>
      </c>
      <c r="G169" s="506">
        <f t="shared" si="34"/>
        <v>0</v>
      </c>
      <c r="H169" s="506">
        <f t="shared" si="34"/>
        <v>0.75</v>
      </c>
      <c r="I169" s="454"/>
      <c r="J169" s="507"/>
      <c r="K169" s="551"/>
      <c r="L169" s="551"/>
      <c r="M169" s="507"/>
      <c r="N169" s="507"/>
      <c r="O169" s="507"/>
      <c r="P169" s="534"/>
      <c r="Q169" s="534"/>
      <c r="R169" s="534"/>
      <c r="S169" s="535"/>
      <c r="T169" s="535"/>
      <c r="U169" s="535"/>
      <c r="V169" s="535"/>
      <c r="W169" s="535"/>
      <c r="X169" s="535"/>
      <c r="Y169" s="535"/>
      <c r="Z169" s="535"/>
    </row>
    <row r="170" spans="1:26" ht="27.75" customHeight="1">
      <c r="A170" s="533"/>
      <c r="B170" s="574" t="s">
        <v>2917</v>
      </c>
      <c r="C170" s="506">
        <v>0</v>
      </c>
      <c r="D170" s="506">
        <v>0</v>
      </c>
      <c r="E170" s="506">
        <v>0</v>
      </c>
      <c r="F170" s="506">
        <v>0</v>
      </c>
      <c r="G170" s="506">
        <v>0</v>
      </c>
      <c r="H170" s="506">
        <v>0</v>
      </c>
      <c r="I170" s="454" t="s">
        <v>38</v>
      </c>
      <c r="J170" s="551" t="s">
        <v>748</v>
      </c>
      <c r="K170" s="551" t="s">
        <v>748</v>
      </c>
      <c r="L170" s="551" t="s">
        <v>748</v>
      </c>
      <c r="M170" s="551" t="s">
        <v>748</v>
      </c>
      <c r="N170" s="551" t="s">
        <v>748</v>
      </c>
      <c r="O170" s="507" t="s">
        <v>748</v>
      </c>
      <c r="P170" s="534"/>
      <c r="Q170" s="534"/>
      <c r="R170" s="534"/>
      <c r="S170" s="535"/>
      <c r="T170" s="535"/>
      <c r="U170" s="535"/>
      <c r="V170" s="535"/>
      <c r="W170" s="535"/>
      <c r="X170" s="535"/>
      <c r="Y170" s="535"/>
      <c r="Z170" s="535"/>
    </row>
    <row r="171" spans="1:26" ht="45" customHeight="1">
      <c r="A171" s="533"/>
      <c r="B171" s="574" t="s">
        <v>2919</v>
      </c>
      <c r="C171" s="506">
        <v>0</v>
      </c>
      <c r="D171" s="506">
        <v>0</v>
      </c>
      <c r="E171" s="506">
        <v>0</v>
      </c>
      <c r="F171" s="506">
        <v>1</v>
      </c>
      <c r="G171" s="506">
        <v>0</v>
      </c>
      <c r="H171" s="506">
        <v>1</v>
      </c>
      <c r="I171" s="454" t="s">
        <v>38</v>
      </c>
      <c r="J171" s="551" t="s">
        <v>748</v>
      </c>
      <c r="K171" s="551" t="s">
        <v>748</v>
      </c>
      <c r="L171" s="551" t="s">
        <v>748</v>
      </c>
      <c r="M171" s="507" t="s">
        <v>4441</v>
      </c>
      <c r="N171" s="551" t="s">
        <v>748</v>
      </c>
      <c r="O171" s="507" t="s">
        <v>811</v>
      </c>
      <c r="P171" s="534"/>
      <c r="Q171" s="534"/>
      <c r="R171" s="534"/>
      <c r="S171" s="535"/>
      <c r="T171" s="535"/>
      <c r="U171" s="535"/>
      <c r="V171" s="535"/>
      <c r="W171" s="535"/>
      <c r="X171" s="535"/>
      <c r="Y171" s="535"/>
      <c r="Z171" s="535"/>
    </row>
    <row r="172" spans="1:26" ht="45.75" customHeight="1">
      <c r="A172" s="533"/>
      <c r="B172" s="574" t="s">
        <v>2921</v>
      </c>
      <c r="C172" s="506">
        <v>1</v>
      </c>
      <c r="D172" s="506">
        <v>1</v>
      </c>
      <c r="E172" s="506">
        <v>0</v>
      </c>
      <c r="F172" s="506">
        <v>1</v>
      </c>
      <c r="G172" s="506">
        <v>0</v>
      </c>
      <c r="H172" s="506">
        <v>1</v>
      </c>
      <c r="I172" s="454" t="s">
        <v>38</v>
      </c>
      <c r="J172" s="551" t="s">
        <v>811</v>
      </c>
      <c r="K172" s="507" t="s">
        <v>4442</v>
      </c>
      <c r="L172" s="551" t="s">
        <v>748</v>
      </c>
      <c r="M172" s="507" t="s">
        <v>4443</v>
      </c>
      <c r="N172" s="551" t="s">
        <v>748</v>
      </c>
      <c r="O172" s="507" t="s">
        <v>4444</v>
      </c>
      <c r="P172" s="534"/>
      <c r="Q172" s="534"/>
      <c r="R172" s="534"/>
      <c r="S172" s="535"/>
      <c r="T172" s="535"/>
      <c r="U172" s="535"/>
      <c r="V172" s="535"/>
      <c r="W172" s="535"/>
      <c r="X172" s="535"/>
      <c r="Y172" s="535"/>
      <c r="Z172" s="535"/>
    </row>
    <row r="173" spans="1:26" ht="24" customHeight="1">
      <c r="A173" s="533"/>
      <c r="B173" s="574" t="s">
        <v>321</v>
      </c>
      <c r="C173" s="506">
        <v>0</v>
      </c>
      <c r="D173" s="506">
        <v>0</v>
      </c>
      <c r="E173" s="506">
        <v>0</v>
      </c>
      <c r="F173" s="506">
        <v>1</v>
      </c>
      <c r="G173" s="515">
        <v>0</v>
      </c>
      <c r="H173" s="506">
        <v>1</v>
      </c>
      <c r="I173" s="454" t="s">
        <v>38</v>
      </c>
      <c r="J173" s="551" t="s">
        <v>748</v>
      </c>
      <c r="K173" s="551" t="s">
        <v>748</v>
      </c>
      <c r="L173" s="551" t="s">
        <v>748</v>
      </c>
      <c r="M173" s="507" t="s">
        <v>4445</v>
      </c>
      <c r="N173" s="597" t="s">
        <v>748</v>
      </c>
      <c r="O173" s="507" t="s">
        <v>4446</v>
      </c>
      <c r="P173" s="534"/>
      <c r="Q173" s="534"/>
      <c r="R173" s="534"/>
      <c r="S173" s="535"/>
      <c r="T173" s="535"/>
      <c r="U173" s="535"/>
      <c r="V173" s="535"/>
      <c r="W173" s="535"/>
      <c r="X173" s="535"/>
      <c r="Y173" s="535"/>
      <c r="Z173" s="535"/>
    </row>
    <row r="174" spans="1:26" ht="24" customHeight="1">
      <c r="A174" s="143"/>
      <c r="B174" s="586"/>
      <c r="C174" s="87"/>
      <c r="D174" s="87"/>
      <c r="E174" s="87"/>
      <c r="F174" s="87"/>
      <c r="G174" s="87"/>
      <c r="H174" s="87"/>
      <c r="I174" s="454"/>
      <c r="J174" s="198"/>
      <c r="K174" s="198"/>
      <c r="L174" s="198"/>
      <c r="M174" s="75"/>
      <c r="N174" s="198"/>
      <c r="O174" s="75"/>
      <c r="P174" s="146"/>
      <c r="Q174" s="146"/>
      <c r="R174" s="146"/>
      <c r="S174" s="149"/>
      <c r="T174" s="149"/>
      <c r="U174" s="149"/>
      <c r="V174" s="149"/>
      <c r="W174" s="149"/>
      <c r="X174" s="149"/>
      <c r="Y174" s="149"/>
      <c r="Z174" s="149"/>
    </row>
    <row r="175" spans="1:26" ht="43.5" customHeight="1">
      <c r="A175" s="503" t="s">
        <v>736</v>
      </c>
      <c r="B175" s="588" t="s">
        <v>2926</v>
      </c>
      <c r="C175" s="506">
        <f t="shared" ref="C175:H175" si="35">AVERAGE(C176:C183)</f>
        <v>0.5625</v>
      </c>
      <c r="D175" s="506">
        <f t="shared" si="35"/>
        <v>0.25</v>
      </c>
      <c r="E175" s="506">
        <f t="shared" si="35"/>
        <v>0</v>
      </c>
      <c r="F175" s="506">
        <f t="shared" si="35"/>
        <v>0.375</v>
      </c>
      <c r="G175" s="506">
        <f t="shared" si="35"/>
        <v>0</v>
      </c>
      <c r="H175" s="506">
        <f t="shared" si="35"/>
        <v>0.75</v>
      </c>
      <c r="I175" s="600" t="s">
        <v>323</v>
      </c>
      <c r="J175" s="507"/>
      <c r="K175" s="507"/>
      <c r="L175" s="551"/>
      <c r="M175" s="507"/>
      <c r="N175" s="507"/>
      <c r="O175" s="551"/>
      <c r="P175" s="534"/>
      <c r="Q175" s="534"/>
      <c r="R175" s="534"/>
      <c r="S175" s="535"/>
      <c r="T175" s="535"/>
      <c r="U175" s="535"/>
      <c r="V175" s="535"/>
      <c r="W175" s="535"/>
      <c r="X175" s="535"/>
      <c r="Y175" s="535"/>
      <c r="Z175" s="535"/>
    </row>
    <row r="176" spans="1:26" ht="43.5" customHeight="1">
      <c r="A176" s="533"/>
      <c r="B176" s="574" t="s">
        <v>324</v>
      </c>
      <c r="C176" s="506">
        <v>0</v>
      </c>
      <c r="D176" s="506">
        <v>0</v>
      </c>
      <c r="E176" s="506">
        <v>0</v>
      </c>
      <c r="F176" s="506">
        <v>0</v>
      </c>
      <c r="G176" s="515">
        <v>0</v>
      </c>
      <c r="H176" s="506">
        <v>0</v>
      </c>
      <c r="I176" s="454"/>
      <c r="J176" s="507" t="s">
        <v>748</v>
      </c>
      <c r="K176" s="507" t="s">
        <v>748</v>
      </c>
      <c r="L176" s="551" t="s">
        <v>4447</v>
      </c>
      <c r="M176" s="507" t="s">
        <v>748</v>
      </c>
      <c r="N176" s="601" t="s">
        <v>748</v>
      </c>
      <c r="O176" s="551" t="s">
        <v>748</v>
      </c>
      <c r="P176" s="534"/>
      <c r="Q176" s="534"/>
      <c r="R176" s="534"/>
      <c r="S176" s="535"/>
      <c r="T176" s="535"/>
      <c r="U176" s="535"/>
      <c r="V176" s="535"/>
      <c r="W176" s="535"/>
      <c r="X176" s="535"/>
      <c r="Y176" s="535"/>
      <c r="Z176" s="535"/>
    </row>
    <row r="177" spans="1:26" ht="43.5" customHeight="1">
      <c r="A177" s="533"/>
      <c r="B177" s="574" t="s">
        <v>325</v>
      </c>
      <c r="C177" s="506">
        <v>1</v>
      </c>
      <c r="D177" s="506">
        <v>0</v>
      </c>
      <c r="E177" s="506">
        <v>0</v>
      </c>
      <c r="F177" s="506">
        <v>1</v>
      </c>
      <c r="G177" s="515">
        <v>0</v>
      </c>
      <c r="H177" s="506">
        <v>0</v>
      </c>
      <c r="I177" s="454"/>
      <c r="J177" s="507" t="s">
        <v>811</v>
      </c>
      <c r="K177" s="507" t="s">
        <v>748</v>
      </c>
      <c r="L177" s="551" t="s">
        <v>4447</v>
      </c>
      <c r="M177" s="507" t="s">
        <v>4448</v>
      </c>
      <c r="N177" s="601" t="s">
        <v>748</v>
      </c>
      <c r="O177" s="551" t="s">
        <v>811</v>
      </c>
      <c r="P177" s="534"/>
      <c r="Q177" s="534"/>
      <c r="R177" s="534"/>
      <c r="S177" s="535"/>
      <c r="T177" s="535"/>
      <c r="U177" s="535"/>
      <c r="V177" s="535"/>
      <c r="W177" s="535"/>
      <c r="X177" s="535"/>
      <c r="Y177" s="535"/>
      <c r="Z177" s="535"/>
    </row>
    <row r="178" spans="1:26" ht="43.5" customHeight="1">
      <c r="A178" s="533"/>
      <c r="B178" s="574" t="s">
        <v>326</v>
      </c>
      <c r="C178" s="506">
        <v>0.5</v>
      </c>
      <c r="D178" s="506">
        <v>1</v>
      </c>
      <c r="E178" s="506">
        <v>0</v>
      </c>
      <c r="F178" s="506">
        <v>0</v>
      </c>
      <c r="G178" s="506">
        <v>0</v>
      </c>
      <c r="H178" s="506">
        <v>1</v>
      </c>
      <c r="I178" s="454"/>
      <c r="J178" s="507" t="s">
        <v>2928</v>
      </c>
      <c r="K178" s="507" t="s">
        <v>811</v>
      </c>
      <c r="L178" s="551" t="s">
        <v>4447</v>
      </c>
      <c r="M178" s="507" t="s">
        <v>4427</v>
      </c>
      <c r="N178" s="601" t="s">
        <v>748</v>
      </c>
      <c r="O178" s="551" t="s">
        <v>960</v>
      </c>
      <c r="P178" s="534"/>
      <c r="Q178" s="534"/>
      <c r="R178" s="534"/>
      <c r="S178" s="535"/>
      <c r="T178" s="535"/>
      <c r="U178" s="535"/>
      <c r="V178" s="535"/>
      <c r="W178" s="535"/>
      <c r="X178" s="535"/>
      <c r="Y178" s="535"/>
      <c r="Z178" s="535"/>
    </row>
    <row r="179" spans="1:26" ht="43.5" customHeight="1">
      <c r="A179" s="533"/>
      <c r="B179" s="574" t="s">
        <v>327</v>
      </c>
      <c r="C179" s="506">
        <v>0</v>
      </c>
      <c r="D179" s="506">
        <v>0</v>
      </c>
      <c r="E179" s="506">
        <v>0</v>
      </c>
      <c r="F179" s="506">
        <v>0.5</v>
      </c>
      <c r="G179" s="515">
        <v>0</v>
      </c>
      <c r="H179" s="506">
        <v>1</v>
      </c>
      <c r="I179" s="454"/>
      <c r="J179" s="551" t="s">
        <v>748</v>
      </c>
      <c r="K179" s="507" t="s">
        <v>4449</v>
      </c>
      <c r="L179" s="551" t="s">
        <v>1059</v>
      </c>
      <c r="M179" s="507" t="s">
        <v>4450</v>
      </c>
      <c r="N179" s="601" t="s">
        <v>748</v>
      </c>
      <c r="O179" s="551" t="s">
        <v>811</v>
      </c>
      <c r="P179" s="534"/>
      <c r="Q179" s="534"/>
      <c r="R179" s="534"/>
      <c r="S179" s="535"/>
      <c r="T179" s="535"/>
      <c r="U179" s="535"/>
      <c r="V179" s="535"/>
      <c r="W179" s="535"/>
      <c r="X179" s="535"/>
      <c r="Y179" s="535"/>
      <c r="Z179" s="535"/>
    </row>
    <row r="180" spans="1:26" ht="43.5" customHeight="1">
      <c r="A180" s="533"/>
      <c r="B180" s="574" t="s">
        <v>328</v>
      </c>
      <c r="C180" s="506">
        <v>1</v>
      </c>
      <c r="D180" s="515">
        <v>0</v>
      </c>
      <c r="E180" s="506">
        <v>0</v>
      </c>
      <c r="F180" s="515">
        <v>0.5</v>
      </c>
      <c r="G180" s="506">
        <v>0</v>
      </c>
      <c r="H180" s="506">
        <v>1</v>
      </c>
      <c r="I180" s="454"/>
      <c r="J180" s="551" t="s">
        <v>811</v>
      </c>
      <c r="K180" s="507" t="s">
        <v>4451</v>
      </c>
      <c r="L180" s="551" t="s">
        <v>4447</v>
      </c>
      <c r="M180" s="507" t="s">
        <v>4452</v>
      </c>
      <c r="N180" s="601" t="s">
        <v>748</v>
      </c>
      <c r="O180" s="551" t="s">
        <v>960</v>
      </c>
      <c r="P180" s="534"/>
      <c r="Q180" s="534"/>
      <c r="R180" s="534"/>
      <c r="S180" s="535"/>
      <c r="T180" s="535"/>
      <c r="U180" s="535"/>
      <c r="V180" s="535"/>
      <c r="W180" s="535"/>
      <c r="X180" s="535"/>
      <c r="Y180" s="535"/>
      <c r="Z180" s="535"/>
    </row>
    <row r="181" spans="1:26" ht="43.5" customHeight="1">
      <c r="A181" s="533"/>
      <c r="B181" s="574" t="s">
        <v>329</v>
      </c>
      <c r="C181" s="506">
        <v>1</v>
      </c>
      <c r="D181" s="506">
        <v>0.5</v>
      </c>
      <c r="E181" s="506">
        <v>0</v>
      </c>
      <c r="F181" s="506">
        <v>0</v>
      </c>
      <c r="G181" s="515">
        <v>0</v>
      </c>
      <c r="H181" s="506">
        <v>1</v>
      </c>
      <c r="I181" s="454"/>
      <c r="J181" s="507" t="s">
        <v>811</v>
      </c>
      <c r="K181" s="507" t="s">
        <v>4453</v>
      </c>
      <c r="L181" s="507" t="s">
        <v>4447</v>
      </c>
      <c r="M181" s="507" t="s">
        <v>2932</v>
      </c>
      <c r="N181" s="601" t="s">
        <v>748</v>
      </c>
      <c r="O181" s="507" t="s">
        <v>4454</v>
      </c>
      <c r="P181" s="534"/>
      <c r="Q181" s="534"/>
      <c r="R181" s="534"/>
      <c r="S181" s="535"/>
      <c r="T181" s="535"/>
      <c r="U181" s="535"/>
      <c r="V181" s="535"/>
      <c r="W181" s="535"/>
      <c r="X181" s="535"/>
      <c r="Y181" s="535"/>
      <c r="Z181" s="535"/>
    </row>
    <row r="182" spans="1:26" ht="43.5" customHeight="1">
      <c r="A182" s="533"/>
      <c r="B182" s="574" t="s">
        <v>330</v>
      </c>
      <c r="C182" s="506">
        <v>1</v>
      </c>
      <c r="D182" s="506">
        <v>0.5</v>
      </c>
      <c r="E182" s="506">
        <v>0</v>
      </c>
      <c r="F182" s="506">
        <v>1</v>
      </c>
      <c r="G182" s="515">
        <v>0</v>
      </c>
      <c r="H182" s="506">
        <v>1</v>
      </c>
      <c r="I182" s="454"/>
      <c r="J182" s="507" t="s">
        <v>811</v>
      </c>
      <c r="K182" s="507" t="s">
        <v>4455</v>
      </c>
      <c r="L182" s="507" t="s">
        <v>4447</v>
      </c>
      <c r="M182" s="507" t="s">
        <v>2934</v>
      </c>
      <c r="N182" s="601" t="s">
        <v>748</v>
      </c>
      <c r="O182" s="551" t="s">
        <v>811</v>
      </c>
      <c r="P182" s="534"/>
      <c r="Q182" s="534"/>
      <c r="R182" s="534"/>
      <c r="S182" s="535"/>
      <c r="T182" s="535"/>
      <c r="U182" s="535"/>
      <c r="V182" s="535"/>
      <c r="W182" s="535"/>
      <c r="X182" s="535"/>
      <c r="Y182" s="535"/>
      <c r="Z182" s="535"/>
    </row>
    <row r="183" spans="1:26" ht="30.75" customHeight="1">
      <c r="A183" s="533"/>
      <c r="B183" s="574" t="s">
        <v>331</v>
      </c>
      <c r="C183" s="506">
        <v>0</v>
      </c>
      <c r="D183" s="506">
        <v>0</v>
      </c>
      <c r="E183" s="506">
        <v>0</v>
      </c>
      <c r="F183" s="506">
        <v>0</v>
      </c>
      <c r="G183" s="506">
        <v>0</v>
      </c>
      <c r="H183" s="506">
        <v>1</v>
      </c>
      <c r="I183" s="454"/>
      <c r="J183" s="507" t="s">
        <v>748</v>
      </c>
      <c r="K183" s="507" t="s">
        <v>748</v>
      </c>
      <c r="L183" s="507" t="s">
        <v>1059</v>
      </c>
      <c r="M183" s="507" t="s">
        <v>2936</v>
      </c>
      <c r="N183" s="601" t="s">
        <v>748</v>
      </c>
      <c r="O183" s="551" t="s">
        <v>960</v>
      </c>
      <c r="P183" s="534"/>
      <c r="Q183" s="534"/>
      <c r="R183" s="534"/>
      <c r="S183" s="535"/>
      <c r="T183" s="535"/>
      <c r="U183" s="535"/>
      <c r="V183" s="535"/>
      <c r="W183" s="535"/>
      <c r="X183" s="535"/>
      <c r="Y183" s="535"/>
      <c r="Z183" s="535"/>
    </row>
    <row r="184" spans="1:26" ht="14.25" customHeight="1">
      <c r="A184" s="143"/>
      <c r="B184" s="586"/>
      <c r="C184" s="87"/>
      <c r="D184" s="87"/>
      <c r="E184" s="87"/>
      <c r="F184" s="87"/>
      <c r="G184" s="87"/>
      <c r="H184" s="87"/>
      <c r="I184" s="454"/>
      <c r="J184" s="75"/>
      <c r="K184" s="75"/>
      <c r="L184" s="75"/>
      <c r="M184" s="87"/>
      <c r="N184" s="198"/>
      <c r="O184" s="198"/>
      <c r="P184" s="146"/>
      <c r="Q184" s="146"/>
      <c r="R184" s="146"/>
      <c r="S184" s="149"/>
      <c r="T184" s="149"/>
      <c r="U184" s="149"/>
      <c r="V184" s="149"/>
      <c r="W184" s="149"/>
      <c r="X184" s="149"/>
      <c r="Y184" s="149"/>
      <c r="Z184" s="149"/>
    </row>
    <row r="185" spans="1:26" ht="87" customHeight="1">
      <c r="A185" s="503" t="s">
        <v>736</v>
      </c>
      <c r="B185" s="588" t="s">
        <v>2937</v>
      </c>
      <c r="C185" s="506">
        <v>1</v>
      </c>
      <c r="D185" s="506">
        <v>1</v>
      </c>
      <c r="E185" s="506">
        <v>0</v>
      </c>
      <c r="F185" s="506">
        <v>0</v>
      </c>
      <c r="G185" s="506">
        <v>1</v>
      </c>
      <c r="H185" s="506">
        <v>1</v>
      </c>
      <c r="I185" s="454"/>
      <c r="J185" s="507" t="s">
        <v>1068</v>
      </c>
      <c r="K185" s="507" t="s">
        <v>1068</v>
      </c>
      <c r="L185" s="551" t="s">
        <v>748</v>
      </c>
      <c r="M185" s="553" t="s">
        <v>2938</v>
      </c>
      <c r="N185" s="555" t="s">
        <v>2939</v>
      </c>
      <c r="O185" s="555" t="s">
        <v>1134</v>
      </c>
      <c r="P185" s="534"/>
      <c r="Q185" s="534"/>
      <c r="R185" s="534"/>
      <c r="S185" s="535"/>
      <c r="T185" s="535"/>
      <c r="U185" s="535"/>
      <c r="V185" s="535"/>
      <c r="W185" s="535"/>
      <c r="X185" s="535"/>
      <c r="Y185" s="535"/>
      <c r="Z185" s="535"/>
    </row>
    <row r="186" spans="1:26" ht="13.5" customHeight="1">
      <c r="A186" s="143"/>
      <c r="B186" s="253"/>
      <c r="C186" s="87"/>
      <c r="D186" s="87"/>
      <c r="E186" s="87"/>
      <c r="F186" s="87"/>
      <c r="G186" s="87"/>
      <c r="H186" s="87"/>
      <c r="I186" s="454"/>
      <c r="J186" s="75"/>
      <c r="K186" s="198"/>
      <c r="L186" s="198"/>
      <c r="M186" s="75"/>
      <c r="N186" s="75"/>
      <c r="O186" s="198"/>
      <c r="P186" s="146"/>
      <c r="Q186" s="146"/>
      <c r="R186" s="146"/>
      <c r="S186" s="149"/>
      <c r="T186" s="149"/>
      <c r="U186" s="149"/>
      <c r="V186" s="149"/>
      <c r="W186" s="149"/>
      <c r="X186" s="149"/>
      <c r="Y186" s="149"/>
      <c r="Z186" s="149"/>
    </row>
    <row r="187" spans="1:26" ht="43.5" customHeight="1">
      <c r="A187" s="503" t="s">
        <v>736</v>
      </c>
      <c r="B187" s="588" t="s">
        <v>4456</v>
      </c>
      <c r="C187" s="506">
        <f t="shared" ref="C187:H187" si="36">AVERAGE(C188:C189)</f>
        <v>0.25</v>
      </c>
      <c r="D187" s="506">
        <f t="shared" si="36"/>
        <v>0.25</v>
      </c>
      <c r="E187" s="506">
        <f t="shared" si="36"/>
        <v>0</v>
      </c>
      <c r="F187" s="506">
        <f t="shared" si="36"/>
        <v>0.75</v>
      </c>
      <c r="G187" s="506">
        <f t="shared" si="36"/>
        <v>0</v>
      </c>
      <c r="H187" s="506">
        <f t="shared" si="36"/>
        <v>0</v>
      </c>
      <c r="I187" s="581" t="s">
        <v>334</v>
      </c>
      <c r="J187" s="507"/>
      <c r="K187" s="551"/>
      <c r="L187" s="551"/>
      <c r="M187" s="507"/>
      <c r="N187" s="507"/>
      <c r="O187" s="551"/>
      <c r="P187" s="534"/>
      <c r="Q187" s="534"/>
      <c r="R187" s="534"/>
      <c r="S187" s="535"/>
      <c r="T187" s="535"/>
      <c r="U187" s="535"/>
      <c r="V187" s="535"/>
      <c r="W187" s="535"/>
      <c r="X187" s="535"/>
      <c r="Y187" s="535"/>
      <c r="Z187" s="535"/>
    </row>
    <row r="188" spans="1:26" ht="43.5" customHeight="1">
      <c r="A188" s="533"/>
      <c r="B188" s="574" t="s">
        <v>335</v>
      </c>
      <c r="C188" s="506">
        <v>0.5</v>
      </c>
      <c r="D188" s="506">
        <v>0</v>
      </c>
      <c r="E188" s="506">
        <v>0</v>
      </c>
      <c r="F188" s="515">
        <v>0.5</v>
      </c>
      <c r="G188" s="506">
        <v>0</v>
      </c>
      <c r="H188" s="506">
        <v>0</v>
      </c>
      <c r="I188" s="454"/>
      <c r="J188" s="507" t="s">
        <v>4457</v>
      </c>
      <c r="K188" s="551" t="s">
        <v>748</v>
      </c>
      <c r="L188" s="551" t="s">
        <v>1059</v>
      </c>
      <c r="M188" s="507" t="s">
        <v>2940</v>
      </c>
      <c r="N188" s="551" t="s">
        <v>748</v>
      </c>
      <c r="O188" s="551" t="s">
        <v>748</v>
      </c>
      <c r="P188" s="534"/>
      <c r="Q188" s="534"/>
      <c r="R188" s="534"/>
      <c r="S188" s="535"/>
      <c r="T188" s="535"/>
      <c r="U188" s="535"/>
      <c r="V188" s="535"/>
      <c r="W188" s="535"/>
      <c r="X188" s="535"/>
      <c r="Y188" s="535"/>
      <c r="Z188" s="535"/>
    </row>
    <row r="189" spans="1:26" ht="43.5" customHeight="1">
      <c r="A189" s="533"/>
      <c r="B189" s="574" t="s">
        <v>336</v>
      </c>
      <c r="C189" s="506">
        <v>0</v>
      </c>
      <c r="D189" s="506">
        <v>0.5</v>
      </c>
      <c r="E189" s="506">
        <v>0</v>
      </c>
      <c r="F189" s="506">
        <v>1</v>
      </c>
      <c r="G189" s="506">
        <v>0</v>
      </c>
      <c r="H189" s="506">
        <v>0</v>
      </c>
      <c r="I189" s="454"/>
      <c r="J189" s="551" t="s">
        <v>748</v>
      </c>
      <c r="K189" s="551" t="s">
        <v>4458</v>
      </c>
      <c r="L189" s="551" t="s">
        <v>1059</v>
      </c>
      <c r="M189" s="507" t="s">
        <v>2941</v>
      </c>
      <c r="N189" s="551" t="s">
        <v>748</v>
      </c>
      <c r="O189" s="551" t="s">
        <v>748</v>
      </c>
      <c r="P189" s="534"/>
      <c r="Q189" s="534"/>
      <c r="R189" s="534"/>
      <c r="S189" s="535"/>
      <c r="T189" s="535"/>
      <c r="U189" s="535"/>
      <c r="V189" s="535"/>
      <c r="W189" s="535"/>
      <c r="X189" s="535"/>
      <c r="Y189" s="535"/>
      <c r="Z189" s="535"/>
    </row>
    <row r="190" spans="1:26" ht="13.5" customHeight="1">
      <c r="A190" s="143"/>
      <c r="B190" s="253"/>
      <c r="C190" s="87"/>
      <c r="D190" s="87"/>
      <c r="E190" s="87"/>
      <c r="F190" s="87"/>
      <c r="G190" s="87"/>
      <c r="H190" s="87"/>
      <c r="I190" s="454"/>
      <c r="J190" s="75"/>
      <c r="K190" s="198"/>
      <c r="L190" s="198"/>
      <c r="M190" s="75"/>
      <c r="N190" s="198"/>
      <c r="O190" s="198"/>
      <c r="P190" s="146"/>
      <c r="Q190" s="146"/>
      <c r="R190" s="146"/>
      <c r="S190" s="149"/>
      <c r="T190" s="149"/>
      <c r="U190" s="149"/>
      <c r="V190" s="149"/>
      <c r="W190" s="149"/>
      <c r="X190" s="149"/>
      <c r="Y190" s="149"/>
      <c r="Z190" s="149"/>
    </row>
    <row r="191" spans="1:26" ht="77.25" customHeight="1">
      <c r="A191" s="503" t="s">
        <v>736</v>
      </c>
      <c r="B191" s="517" t="s">
        <v>4459</v>
      </c>
      <c r="C191" s="506">
        <f>(8-3.9)/(31.8-3.9)</f>
        <v>0.14695340501792112</v>
      </c>
      <c r="D191" s="506">
        <f>(21.8-3.9)/(31.8-3.9)</f>
        <v>0.6415770609318997</v>
      </c>
      <c r="E191" s="506">
        <f>(31.8-3.9)/(31.8-3.9)</f>
        <v>1</v>
      </c>
      <c r="F191" s="506">
        <f>(6.5-3.9)/(31.8-3.9)</f>
        <v>9.3189964157706084E-2</v>
      </c>
      <c r="G191" s="506">
        <f>(8.8-3.9)/(31.8-3.9)</f>
        <v>0.17562724014336917</v>
      </c>
      <c r="H191" s="506">
        <f>(13.7-3.9)/(31.8-3.9)</f>
        <v>0.35125448028673828</v>
      </c>
      <c r="I191" s="607" t="s">
        <v>4460</v>
      </c>
      <c r="J191" s="507" t="s">
        <v>4461</v>
      </c>
      <c r="K191" s="507" t="s">
        <v>4462</v>
      </c>
      <c r="L191" s="507" t="s">
        <v>4463</v>
      </c>
      <c r="M191" s="608" t="s">
        <v>4464</v>
      </c>
      <c r="N191" s="507" t="s">
        <v>4465</v>
      </c>
      <c r="O191" s="507" t="s">
        <v>4466</v>
      </c>
      <c r="P191" s="534"/>
      <c r="Q191" s="534"/>
      <c r="R191" s="534"/>
      <c r="S191" s="535"/>
      <c r="T191" s="535"/>
      <c r="U191" s="535"/>
      <c r="V191" s="535"/>
      <c r="W191" s="535"/>
      <c r="X191" s="535"/>
      <c r="Y191" s="535"/>
      <c r="Z191" s="535"/>
    </row>
    <row r="192" spans="1:26" ht="13.5" customHeight="1">
      <c r="A192" s="143"/>
      <c r="B192" s="144"/>
      <c r="C192" s="87"/>
      <c r="D192" s="87"/>
      <c r="E192" s="87"/>
      <c r="F192" s="87"/>
      <c r="G192" s="87"/>
      <c r="H192" s="87"/>
      <c r="I192" s="607"/>
      <c r="J192" s="75"/>
      <c r="K192" s="75"/>
      <c r="L192" s="75"/>
      <c r="M192" s="473"/>
      <c r="N192" s="75"/>
      <c r="O192" s="75"/>
      <c r="P192" s="146"/>
      <c r="Q192" s="146"/>
      <c r="R192" s="146"/>
      <c r="S192" s="149"/>
      <c r="T192" s="149"/>
      <c r="U192" s="149"/>
      <c r="V192" s="149"/>
      <c r="W192" s="149"/>
      <c r="X192" s="149"/>
      <c r="Y192" s="149"/>
      <c r="Z192" s="149"/>
    </row>
    <row r="193" spans="1:26" ht="63.75" customHeight="1">
      <c r="A193" s="503" t="s">
        <v>736</v>
      </c>
      <c r="B193" s="517" t="s">
        <v>4467</v>
      </c>
      <c r="C193" s="506">
        <f>(12.5-0)/(15.8-0)</f>
        <v>0.79113924050632911</v>
      </c>
      <c r="D193" s="506">
        <f>(9.52-0)/(15.8-0)</f>
        <v>0.60253164556962024</v>
      </c>
      <c r="E193" s="506">
        <f>(4.2-0)/(15.8-0)</f>
        <v>0.26582278481012656</v>
      </c>
      <c r="F193" s="506">
        <f>(15.8-0)/(15.8-0)</f>
        <v>1</v>
      </c>
      <c r="G193" s="506">
        <f>(11-0)/(15.8-0)</f>
        <v>0.69620253164556956</v>
      </c>
      <c r="H193" s="506">
        <f>(5-0)/(15.8-0)</f>
        <v>0.31645569620253161</v>
      </c>
      <c r="I193" s="607" t="s">
        <v>1084</v>
      </c>
      <c r="J193" s="507" t="s">
        <v>2950</v>
      </c>
      <c r="K193" s="507" t="s">
        <v>2951</v>
      </c>
      <c r="L193" s="507" t="s">
        <v>2952</v>
      </c>
      <c r="M193" s="507" t="s">
        <v>2953</v>
      </c>
      <c r="N193" s="507" t="s">
        <v>2954</v>
      </c>
      <c r="O193" s="507" t="s">
        <v>1090</v>
      </c>
      <c r="P193" s="534"/>
      <c r="Q193" s="534"/>
      <c r="R193" s="534"/>
      <c r="S193" s="535"/>
      <c r="T193" s="535"/>
      <c r="U193" s="535"/>
      <c r="V193" s="535"/>
      <c r="W193" s="535"/>
      <c r="X193" s="535"/>
      <c r="Y193" s="535"/>
      <c r="Z193" s="535"/>
    </row>
    <row r="194" spans="1:26" ht="13.5" customHeight="1">
      <c r="A194" s="143"/>
      <c r="B194" s="253"/>
      <c r="C194" s="87"/>
      <c r="D194" s="87"/>
      <c r="E194" s="87"/>
      <c r="F194" s="87"/>
      <c r="G194" s="87"/>
      <c r="H194" s="87"/>
      <c r="I194" s="454"/>
      <c r="J194" s="75"/>
      <c r="K194" s="198"/>
      <c r="L194" s="198"/>
      <c r="M194" s="87"/>
      <c r="N194" s="75"/>
      <c r="O194" s="198"/>
      <c r="P194" s="146"/>
      <c r="Q194" s="146"/>
      <c r="R194" s="146"/>
      <c r="S194" s="149"/>
      <c r="T194" s="149"/>
      <c r="U194" s="149"/>
      <c r="V194" s="149"/>
      <c r="W194" s="149"/>
      <c r="X194" s="149"/>
      <c r="Y194" s="149"/>
      <c r="Z194" s="149"/>
    </row>
    <row r="195" spans="1:26" ht="84" customHeight="1">
      <c r="A195" s="503" t="s">
        <v>736</v>
      </c>
      <c r="B195" s="517" t="s">
        <v>4468</v>
      </c>
      <c r="C195" s="506">
        <v>0.25</v>
      </c>
      <c r="D195" s="506">
        <v>0.25</v>
      </c>
      <c r="E195" s="506">
        <v>0.75</v>
      </c>
      <c r="F195" s="506">
        <v>0.25</v>
      </c>
      <c r="G195" s="506">
        <v>0.25</v>
      </c>
      <c r="H195" s="506">
        <v>0.75</v>
      </c>
      <c r="I195" s="600" t="s">
        <v>2956</v>
      </c>
      <c r="J195" s="507" t="s">
        <v>4469</v>
      </c>
      <c r="K195" s="507" t="s">
        <v>4470</v>
      </c>
      <c r="L195" s="507" t="s">
        <v>4471</v>
      </c>
      <c r="M195" s="507" t="s">
        <v>4472</v>
      </c>
      <c r="N195" s="507" t="s">
        <v>4473</v>
      </c>
      <c r="O195" s="507" t="s">
        <v>4474</v>
      </c>
      <c r="P195" s="534"/>
      <c r="Q195" s="534"/>
      <c r="R195" s="534"/>
      <c r="S195" s="535"/>
      <c r="T195" s="535"/>
      <c r="U195" s="535"/>
      <c r="V195" s="535"/>
      <c r="W195" s="535"/>
      <c r="X195" s="535"/>
      <c r="Y195" s="535"/>
      <c r="Z195" s="535"/>
    </row>
    <row r="196" spans="1:26" ht="13.5" customHeight="1">
      <c r="A196" s="2"/>
      <c r="B196" s="3"/>
      <c r="C196" s="271"/>
      <c r="D196" s="271"/>
      <c r="E196" s="271"/>
      <c r="F196" s="271"/>
      <c r="G196" s="271"/>
      <c r="H196" s="271"/>
      <c r="I196" s="485"/>
      <c r="J196" s="75"/>
      <c r="K196" s="75"/>
      <c r="L196" s="198"/>
      <c r="M196" s="75"/>
      <c r="N196" s="75"/>
      <c r="O196" s="75"/>
      <c r="P196" s="77"/>
      <c r="Q196" s="77"/>
      <c r="R196" s="77"/>
      <c r="S196" s="15"/>
      <c r="T196" s="15"/>
      <c r="U196" s="15"/>
      <c r="V196" s="15"/>
      <c r="W196" s="15"/>
      <c r="X196" s="15"/>
      <c r="Y196" s="15"/>
      <c r="Z196" s="15"/>
    </row>
    <row r="197" spans="1:26" ht="13.5" customHeight="1">
      <c r="A197" s="55" t="s">
        <v>184</v>
      </c>
      <c r="B197" s="59" t="s">
        <v>207</v>
      </c>
      <c r="C197" s="272">
        <f t="shared" ref="C197:H197" si="37">AVERAGE(C198,C205,C218,C229)</f>
        <v>0.4916666666666667</v>
      </c>
      <c r="D197" s="272">
        <f t="shared" si="37"/>
        <v>0.66249999999999998</v>
      </c>
      <c r="E197" s="272">
        <f t="shared" si="37"/>
        <v>0.19166666666666665</v>
      </c>
      <c r="F197" s="272">
        <f t="shared" si="37"/>
        <v>0.72499999999999998</v>
      </c>
      <c r="G197" s="272">
        <f t="shared" si="37"/>
        <v>0.57916666666666672</v>
      </c>
      <c r="H197" s="272">
        <f t="shared" si="37"/>
        <v>0.24166666666666664</v>
      </c>
      <c r="I197" s="62"/>
      <c r="J197" s="273"/>
      <c r="K197" s="273"/>
      <c r="L197" s="273"/>
      <c r="M197" s="273"/>
      <c r="N197" s="273"/>
      <c r="O197" s="273"/>
      <c r="P197" s="66"/>
      <c r="Q197" s="66"/>
      <c r="R197" s="66"/>
      <c r="S197" s="66"/>
      <c r="T197" s="66"/>
      <c r="U197" s="66"/>
      <c r="V197" s="66"/>
      <c r="W197" s="66"/>
      <c r="X197" s="66"/>
      <c r="Y197" s="66"/>
      <c r="Z197" s="66"/>
    </row>
    <row r="198" spans="1:26" ht="27.75" customHeight="1">
      <c r="A198" s="522" t="s">
        <v>186</v>
      </c>
      <c r="B198" s="497" t="s">
        <v>2963</v>
      </c>
      <c r="C198" s="580">
        <f t="shared" ref="C198:H198" si="38">AVERAGE(C199,C201,C203)</f>
        <v>0.16666666666666666</v>
      </c>
      <c r="D198" s="580">
        <f t="shared" si="38"/>
        <v>0.5</v>
      </c>
      <c r="E198" s="580">
        <f t="shared" si="38"/>
        <v>0</v>
      </c>
      <c r="F198" s="580">
        <f t="shared" si="38"/>
        <v>0.5</v>
      </c>
      <c r="G198" s="580">
        <f t="shared" si="38"/>
        <v>0.5</v>
      </c>
      <c r="H198" s="580">
        <f t="shared" si="38"/>
        <v>0</v>
      </c>
      <c r="I198" s="485"/>
      <c r="J198" s="507"/>
      <c r="K198" s="507"/>
      <c r="L198" s="507"/>
      <c r="M198" s="507"/>
      <c r="N198" s="507"/>
      <c r="O198" s="507"/>
      <c r="P198" s="509"/>
      <c r="Q198" s="509"/>
      <c r="R198" s="509"/>
      <c r="S198" s="510"/>
      <c r="T198" s="510"/>
      <c r="U198" s="510"/>
      <c r="V198" s="510"/>
      <c r="W198" s="510"/>
      <c r="X198" s="510"/>
      <c r="Y198" s="510"/>
      <c r="Z198" s="510"/>
    </row>
    <row r="199" spans="1:26" ht="107.25" customHeight="1">
      <c r="A199" s="522" t="s">
        <v>736</v>
      </c>
      <c r="B199" s="497" t="s">
        <v>2964</v>
      </c>
      <c r="C199" s="506">
        <v>0.5</v>
      </c>
      <c r="D199" s="506">
        <v>0.5</v>
      </c>
      <c r="E199" s="506">
        <v>0</v>
      </c>
      <c r="F199" s="506">
        <v>1</v>
      </c>
      <c r="G199" s="506">
        <v>0.5</v>
      </c>
      <c r="H199" s="506">
        <v>0</v>
      </c>
      <c r="I199" s="454" t="s">
        <v>211</v>
      </c>
      <c r="J199" s="507" t="s">
        <v>4475</v>
      </c>
      <c r="K199" s="507" t="s">
        <v>4476</v>
      </c>
      <c r="L199" s="507" t="s">
        <v>2967</v>
      </c>
      <c r="M199" s="507" t="s">
        <v>4477</v>
      </c>
      <c r="N199" s="507" t="s">
        <v>4478</v>
      </c>
      <c r="O199" s="507" t="s">
        <v>4479</v>
      </c>
      <c r="P199" s="509"/>
      <c r="Q199" s="509"/>
      <c r="R199" s="509"/>
      <c r="S199" s="510"/>
      <c r="T199" s="15"/>
      <c r="U199" s="15"/>
      <c r="V199" s="15"/>
      <c r="W199" s="15"/>
      <c r="X199" s="15"/>
      <c r="Y199" s="15"/>
      <c r="Z199" s="15"/>
    </row>
    <row r="200" spans="1:26" ht="27.75" customHeight="1">
      <c r="A200" s="2"/>
      <c r="B200" s="3"/>
      <c r="C200" s="87"/>
      <c r="D200" s="87"/>
      <c r="E200" s="87"/>
      <c r="F200" s="87"/>
      <c r="G200" s="87"/>
      <c r="H200" s="87"/>
      <c r="I200" s="454"/>
      <c r="J200" s="75"/>
      <c r="K200" s="75"/>
      <c r="L200" s="75"/>
      <c r="M200" s="75"/>
      <c r="N200" s="75"/>
      <c r="O200" s="75"/>
      <c r="P200" s="77"/>
      <c r="Q200" s="77"/>
      <c r="R200" s="77"/>
      <c r="S200" s="15"/>
      <c r="T200" s="15"/>
      <c r="U200" s="15"/>
      <c r="V200" s="15"/>
      <c r="W200" s="15"/>
      <c r="X200" s="15"/>
      <c r="Y200" s="15"/>
      <c r="Z200" s="15"/>
    </row>
    <row r="201" spans="1:26" ht="93.75" customHeight="1">
      <c r="A201" s="522" t="s">
        <v>736</v>
      </c>
      <c r="B201" s="497" t="s">
        <v>212</v>
      </c>
      <c r="C201" s="506">
        <v>0</v>
      </c>
      <c r="D201" s="506">
        <v>0.5</v>
      </c>
      <c r="E201" s="506">
        <v>0</v>
      </c>
      <c r="F201" s="506">
        <v>0</v>
      </c>
      <c r="G201" s="506">
        <v>0</v>
      </c>
      <c r="H201" s="506">
        <v>0</v>
      </c>
      <c r="I201" s="454" t="s">
        <v>2971</v>
      </c>
      <c r="J201" s="507" t="s">
        <v>2972</v>
      </c>
      <c r="K201" s="507" t="s">
        <v>4480</v>
      </c>
      <c r="L201" s="507" t="s">
        <v>4481</v>
      </c>
      <c r="M201" s="507" t="s">
        <v>4482</v>
      </c>
      <c r="N201" s="507" t="s">
        <v>4483</v>
      </c>
      <c r="O201" s="507" t="s">
        <v>4484</v>
      </c>
      <c r="P201" s="77"/>
      <c r="Q201" s="77"/>
      <c r="R201" s="77"/>
      <c r="S201" s="15"/>
      <c r="T201" s="15"/>
      <c r="U201" s="15"/>
      <c r="V201" s="15"/>
      <c r="W201" s="15"/>
      <c r="X201" s="15"/>
      <c r="Y201" s="15"/>
      <c r="Z201" s="15"/>
    </row>
    <row r="202" spans="1:26" ht="31.5" customHeight="1">
      <c r="A202" s="2"/>
      <c r="B202" s="3"/>
      <c r="C202" s="87"/>
      <c r="D202" s="87"/>
      <c r="E202" s="87"/>
      <c r="F202" s="87"/>
      <c r="G202" s="87"/>
      <c r="H202" s="87"/>
      <c r="I202" s="454"/>
      <c r="J202" s="75"/>
      <c r="K202" s="75"/>
      <c r="L202" s="75"/>
      <c r="M202" s="75"/>
      <c r="N202" s="75"/>
      <c r="O202" s="75"/>
      <c r="P202" s="77"/>
      <c r="Q202" s="77"/>
      <c r="R202" s="77"/>
      <c r="S202" s="15"/>
      <c r="T202" s="15"/>
      <c r="U202" s="15"/>
      <c r="V202" s="15"/>
      <c r="W202" s="15"/>
      <c r="X202" s="15"/>
      <c r="Y202" s="15"/>
      <c r="Z202" s="15"/>
    </row>
    <row r="203" spans="1:26" ht="63.75" customHeight="1">
      <c r="A203" s="522" t="s">
        <v>736</v>
      </c>
      <c r="B203" s="497" t="s">
        <v>214</v>
      </c>
      <c r="C203" s="506">
        <v>0</v>
      </c>
      <c r="D203" s="506">
        <v>0.5</v>
      </c>
      <c r="E203" s="506">
        <v>0</v>
      </c>
      <c r="F203" s="506">
        <v>0.5</v>
      </c>
      <c r="G203" s="506">
        <v>1</v>
      </c>
      <c r="H203" s="506">
        <v>0</v>
      </c>
      <c r="I203" s="454" t="s">
        <v>2978</v>
      </c>
      <c r="J203" s="507" t="s">
        <v>4485</v>
      </c>
      <c r="K203" s="507" t="s">
        <v>4486</v>
      </c>
      <c r="L203" s="507" t="s">
        <v>4487</v>
      </c>
      <c r="M203" s="507" t="s">
        <v>4488</v>
      </c>
      <c r="N203" s="507" t="s">
        <v>4489</v>
      </c>
      <c r="O203" s="507" t="s">
        <v>4490</v>
      </c>
      <c r="P203" s="77"/>
      <c r="Q203" s="77"/>
      <c r="R203" s="77"/>
      <c r="S203" s="15"/>
      <c r="T203" s="15"/>
      <c r="U203" s="15"/>
      <c r="V203" s="15"/>
      <c r="W203" s="15"/>
      <c r="X203" s="15"/>
      <c r="Y203" s="15"/>
      <c r="Z203" s="15"/>
    </row>
    <row r="204" spans="1:26" ht="25.5" customHeight="1">
      <c r="A204" s="2"/>
      <c r="B204" s="3"/>
      <c r="C204" s="87"/>
      <c r="D204" s="87"/>
      <c r="E204" s="87"/>
      <c r="F204" s="87"/>
      <c r="G204" s="87"/>
      <c r="H204" s="87"/>
      <c r="I204" s="454"/>
      <c r="J204" s="75"/>
      <c r="K204" s="75"/>
      <c r="L204" s="75"/>
      <c r="M204" s="75"/>
      <c r="N204" s="75"/>
      <c r="O204" s="75"/>
      <c r="P204" s="77"/>
      <c r="Q204" s="77"/>
      <c r="R204" s="77"/>
      <c r="S204" s="15"/>
      <c r="T204" s="15"/>
      <c r="U204" s="15"/>
      <c r="V204" s="15"/>
      <c r="W204" s="15"/>
      <c r="X204" s="15"/>
      <c r="Y204" s="15"/>
      <c r="Z204" s="15"/>
    </row>
    <row r="205" spans="1:26" ht="13.5" customHeight="1">
      <c r="A205" s="522" t="s">
        <v>1109</v>
      </c>
      <c r="B205" s="497" t="s">
        <v>217</v>
      </c>
      <c r="C205" s="580">
        <f t="shared" ref="C205:H205" si="39">AVERAGE(C206,C208,C210,C212,C214,C216)</f>
        <v>0.5</v>
      </c>
      <c r="D205" s="580">
        <f t="shared" si="39"/>
        <v>0.66666666666666663</v>
      </c>
      <c r="E205" s="580">
        <f t="shared" si="39"/>
        <v>0.25</v>
      </c>
      <c r="F205" s="580">
        <f t="shared" si="39"/>
        <v>0.75</v>
      </c>
      <c r="G205" s="580">
        <f t="shared" si="39"/>
        <v>0.33333333333333331</v>
      </c>
      <c r="H205" s="580">
        <f t="shared" si="39"/>
        <v>0.33333333333333331</v>
      </c>
      <c r="I205" s="485"/>
      <c r="J205" s="507"/>
      <c r="K205" s="580"/>
      <c r="L205" s="553"/>
      <c r="M205" s="580"/>
      <c r="N205" s="580"/>
      <c r="O205" s="507"/>
      <c r="P205" s="509"/>
      <c r="Q205" s="509"/>
      <c r="R205" s="509"/>
      <c r="S205" s="510"/>
      <c r="T205" s="510"/>
      <c r="U205" s="510"/>
      <c r="V205" s="510"/>
      <c r="W205" s="510"/>
      <c r="X205" s="510"/>
      <c r="Y205" s="510"/>
      <c r="Z205" s="510"/>
    </row>
    <row r="206" spans="1:26" ht="99" customHeight="1">
      <c r="A206" s="522" t="s">
        <v>736</v>
      </c>
      <c r="B206" s="497" t="s">
        <v>218</v>
      </c>
      <c r="C206" s="506">
        <v>0</v>
      </c>
      <c r="D206" s="506">
        <v>0.5</v>
      </c>
      <c r="E206" s="506">
        <v>0</v>
      </c>
      <c r="F206" s="506">
        <v>0</v>
      </c>
      <c r="G206" s="506">
        <v>0</v>
      </c>
      <c r="H206" s="506">
        <v>0</v>
      </c>
      <c r="I206" s="454" t="s">
        <v>38</v>
      </c>
      <c r="J206" s="507" t="s">
        <v>2985</v>
      </c>
      <c r="K206" s="507" t="s">
        <v>4491</v>
      </c>
      <c r="L206" s="507" t="s">
        <v>2987</v>
      </c>
      <c r="M206" s="507" t="s">
        <v>4492</v>
      </c>
      <c r="N206" s="507" t="s">
        <v>2989</v>
      </c>
      <c r="O206" s="507" t="s">
        <v>4493</v>
      </c>
      <c r="P206" s="77"/>
      <c r="Q206" s="77"/>
      <c r="R206" s="77"/>
      <c r="S206" s="15"/>
      <c r="T206" s="15"/>
      <c r="U206" s="15"/>
      <c r="V206" s="15"/>
      <c r="W206" s="15"/>
      <c r="X206" s="15"/>
      <c r="Y206" s="15"/>
      <c r="Z206" s="15"/>
    </row>
    <row r="207" spans="1:26" ht="24.75" customHeight="1">
      <c r="A207" s="2"/>
      <c r="B207" s="3"/>
      <c r="C207" s="87"/>
      <c r="D207" s="87"/>
      <c r="E207" s="87"/>
      <c r="F207" s="87"/>
      <c r="G207" s="87"/>
      <c r="H207" s="87"/>
      <c r="I207" s="454"/>
      <c r="J207" s="75"/>
      <c r="K207" s="75"/>
      <c r="L207" s="75"/>
      <c r="M207" s="75"/>
      <c r="N207" s="75"/>
      <c r="O207" s="75"/>
      <c r="P207" s="77"/>
      <c r="Q207" s="77"/>
      <c r="R207" s="77"/>
      <c r="S207" s="15"/>
      <c r="T207" s="15"/>
      <c r="U207" s="15"/>
      <c r="V207" s="15"/>
      <c r="W207" s="15"/>
      <c r="X207" s="15"/>
      <c r="Y207" s="15"/>
      <c r="Z207" s="15"/>
    </row>
    <row r="208" spans="1:26" ht="87.75" customHeight="1">
      <c r="A208" s="522" t="s">
        <v>736</v>
      </c>
      <c r="B208" s="497" t="s">
        <v>220</v>
      </c>
      <c r="C208" s="506">
        <v>0.5</v>
      </c>
      <c r="D208" s="506">
        <v>0.5</v>
      </c>
      <c r="E208" s="506">
        <v>0</v>
      </c>
      <c r="F208" s="506">
        <v>0.5</v>
      </c>
      <c r="G208" s="506">
        <v>0</v>
      </c>
      <c r="H208" s="506">
        <v>0</v>
      </c>
      <c r="I208" s="454" t="s">
        <v>123</v>
      </c>
      <c r="J208" s="507" t="s">
        <v>4494</v>
      </c>
      <c r="K208" s="507" t="s">
        <v>4495</v>
      </c>
      <c r="L208" s="507" t="s">
        <v>748</v>
      </c>
      <c r="M208" s="507" t="s">
        <v>4496</v>
      </c>
      <c r="N208" s="507" t="s">
        <v>4497</v>
      </c>
      <c r="O208" s="507" t="s">
        <v>4498</v>
      </c>
      <c r="P208" s="77"/>
      <c r="Q208" s="77"/>
      <c r="R208" s="77"/>
      <c r="S208" s="15"/>
      <c r="T208" s="15"/>
      <c r="U208" s="15"/>
      <c r="V208" s="15"/>
      <c r="W208" s="15"/>
      <c r="X208" s="15"/>
      <c r="Y208" s="15"/>
      <c r="Z208" s="15"/>
    </row>
    <row r="209" spans="1:26" ht="23.25" customHeight="1">
      <c r="A209" s="2"/>
      <c r="B209" s="3"/>
      <c r="C209" s="87"/>
      <c r="D209" s="87"/>
      <c r="E209" s="87"/>
      <c r="F209" s="87"/>
      <c r="G209" s="87"/>
      <c r="H209" s="87"/>
      <c r="I209" s="454"/>
      <c r="J209" s="75"/>
      <c r="K209" s="75"/>
      <c r="L209" s="75"/>
      <c r="M209" s="75"/>
      <c r="N209" s="75"/>
      <c r="O209" s="75"/>
      <c r="P209" s="77"/>
      <c r="Q209" s="77"/>
      <c r="R209" s="77"/>
      <c r="S209" s="15"/>
      <c r="T209" s="15"/>
      <c r="U209" s="15"/>
      <c r="V209" s="15"/>
      <c r="W209" s="15"/>
      <c r="X209" s="15"/>
      <c r="Y209" s="15"/>
      <c r="Z209" s="15"/>
    </row>
    <row r="210" spans="1:26" ht="70.5" customHeight="1">
      <c r="A210" s="522" t="s">
        <v>736</v>
      </c>
      <c r="B210" s="497" t="s">
        <v>222</v>
      </c>
      <c r="C210" s="506">
        <v>0</v>
      </c>
      <c r="D210" s="506">
        <v>0</v>
      </c>
      <c r="E210" s="506">
        <v>0</v>
      </c>
      <c r="F210" s="506">
        <v>1</v>
      </c>
      <c r="G210" s="515">
        <v>0</v>
      </c>
      <c r="H210" s="506">
        <v>0</v>
      </c>
      <c r="I210" s="454" t="s">
        <v>38</v>
      </c>
      <c r="J210" s="507" t="s">
        <v>4499</v>
      </c>
      <c r="K210" s="507" t="s">
        <v>4500</v>
      </c>
      <c r="L210" s="507" t="s">
        <v>748</v>
      </c>
      <c r="M210" s="507" t="s">
        <v>2999</v>
      </c>
      <c r="N210" s="507" t="s">
        <v>748</v>
      </c>
      <c r="O210" s="507" t="s">
        <v>4501</v>
      </c>
      <c r="P210" s="77"/>
      <c r="Q210" s="77"/>
      <c r="R210" s="77"/>
      <c r="S210" s="15"/>
      <c r="T210" s="15"/>
      <c r="U210" s="15"/>
      <c r="V210" s="15"/>
      <c r="W210" s="15"/>
      <c r="X210" s="15"/>
      <c r="Y210" s="15"/>
      <c r="Z210" s="15"/>
    </row>
    <row r="211" spans="1:26" ht="20.25" customHeight="1">
      <c r="A211" s="2"/>
      <c r="B211" s="3"/>
      <c r="C211" s="87"/>
      <c r="D211" s="87"/>
      <c r="E211" s="87"/>
      <c r="F211" s="87"/>
      <c r="G211" s="87"/>
      <c r="H211" s="87"/>
      <c r="I211" s="454"/>
      <c r="J211" s="75"/>
      <c r="K211" s="75"/>
      <c r="L211" s="75"/>
      <c r="M211" s="75"/>
      <c r="N211" s="75"/>
      <c r="O211" s="75"/>
      <c r="P211" s="77"/>
      <c r="Q211" s="77"/>
      <c r="R211" s="77"/>
      <c r="S211" s="15"/>
      <c r="T211" s="15"/>
      <c r="U211" s="15"/>
      <c r="V211" s="15"/>
      <c r="W211" s="15"/>
      <c r="X211" s="15"/>
      <c r="Y211" s="15"/>
      <c r="Z211" s="15"/>
    </row>
    <row r="212" spans="1:26" ht="108.75" customHeight="1">
      <c r="A212" s="522" t="s">
        <v>736</v>
      </c>
      <c r="B212" s="497" t="s">
        <v>223</v>
      </c>
      <c r="C212" s="515">
        <v>1</v>
      </c>
      <c r="D212" s="506">
        <v>1</v>
      </c>
      <c r="E212" s="515">
        <v>0.5</v>
      </c>
      <c r="F212" s="506">
        <v>1</v>
      </c>
      <c r="G212" s="506">
        <v>1</v>
      </c>
      <c r="H212" s="515">
        <v>1</v>
      </c>
      <c r="I212" s="454" t="s">
        <v>147</v>
      </c>
      <c r="J212" s="507" t="s">
        <v>4502</v>
      </c>
      <c r="K212" s="551" t="s">
        <v>4503</v>
      </c>
      <c r="L212" s="507" t="s">
        <v>811</v>
      </c>
      <c r="M212" s="507" t="s">
        <v>4504</v>
      </c>
      <c r="N212" s="507" t="s">
        <v>3006</v>
      </c>
      <c r="O212" s="507" t="s">
        <v>4505</v>
      </c>
      <c r="P212" s="77"/>
      <c r="Q212" s="77"/>
      <c r="R212" s="77"/>
      <c r="S212" s="15"/>
      <c r="T212" s="15"/>
      <c r="U212" s="15"/>
      <c r="V212" s="15"/>
      <c r="W212" s="15"/>
      <c r="X212" s="15"/>
      <c r="Y212" s="15"/>
      <c r="Z212" s="15"/>
    </row>
    <row r="213" spans="1:26" ht="22.5" customHeight="1">
      <c r="A213" s="2"/>
      <c r="B213" s="3"/>
      <c r="C213" s="87"/>
      <c r="D213" s="87"/>
      <c r="E213" s="87"/>
      <c r="F213" s="87"/>
      <c r="G213" s="87"/>
      <c r="H213" s="87"/>
      <c r="I213" s="454"/>
      <c r="J213" s="75"/>
      <c r="K213" s="198"/>
      <c r="L213" s="75"/>
      <c r="M213" s="75"/>
      <c r="N213" s="75"/>
      <c r="O213" s="75"/>
      <c r="P213" s="77"/>
      <c r="Q213" s="77"/>
      <c r="R213" s="77"/>
      <c r="S213" s="15"/>
      <c r="T213" s="15"/>
      <c r="U213" s="15"/>
      <c r="V213" s="15"/>
      <c r="W213" s="15"/>
      <c r="X213" s="15"/>
      <c r="Y213" s="15"/>
      <c r="Z213" s="15"/>
    </row>
    <row r="214" spans="1:26" ht="54.75" customHeight="1">
      <c r="A214" s="522" t="s">
        <v>736</v>
      </c>
      <c r="B214" s="497" t="s">
        <v>224</v>
      </c>
      <c r="C214" s="506">
        <v>1</v>
      </c>
      <c r="D214" s="506">
        <v>1</v>
      </c>
      <c r="E214" s="506">
        <v>1</v>
      </c>
      <c r="F214" s="506">
        <v>1</v>
      </c>
      <c r="G214" s="506">
        <v>1</v>
      </c>
      <c r="H214" s="506">
        <v>1</v>
      </c>
      <c r="I214" s="454" t="s">
        <v>38</v>
      </c>
      <c r="J214" s="507" t="s">
        <v>1132</v>
      </c>
      <c r="K214" s="507" t="s">
        <v>4506</v>
      </c>
      <c r="L214" s="507" t="s">
        <v>3009</v>
      </c>
      <c r="M214" s="507" t="s">
        <v>4507</v>
      </c>
      <c r="N214" s="507" t="s">
        <v>4508</v>
      </c>
      <c r="O214" s="507" t="s">
        <v>4509</v>
      </c>
      <c r="P214" s="77"/>
      <c r="Q214" s="77"/>
      <c r="R214" s="77"/>
      <c r="S214" s="15"/>
      <c r="T214" s="15"/>
      <c r="U214" s="15"/>
      <c r="V214" s="15"/>
      <c r="W214" s="15"/>
      <c r="X214" s="15"/>
      <c r="Y214" s="15"/>
      <c r="Z214" s="15"/>
    </row>
    <row r="215" spans="1:26" ht="21" customHeight="1">
      <c r="A215" s="2"/>
      <c r="B215" s="3"/>
      <c r="C215" s="87"/>
      <c r="D215" s="87"/>
      <c r="E215" s="87"/>
      <c r="F215" s="87"/>
      <c r="G215" s="87"/>
      <c r="H215" s="87"/>
      <c r="I215" s="454"/>
      <c r="J215" s="75"/>
      <c r="K215" s="75"/>
      <c r="L215" s="75"/>
      <c r="M215" s="75"/>
      <c r="N215" s="75"/>
      <c r="O215" s="75"/>
      <c r="P215" s="77"/>
      <c r="Q215" s="77"/>
      <c r="R215" s="77"/>
      <c r="S215" s="15"/>
      <c r="T215" s="15"/>
      <c r="U215" s="15"/>
      <c r="V215" s="15"/>
      <c r="W215" s="15"/>
      <c r="X215" s="15"/>
      <c r="Y215" s="15"/>
      <c r="Z215" s="15"/>
    </row>
    <row r="216" spans="1:26" ht="117.75" customHeight="1">
      <c r="A216" s="522" t="s">
        <v>736</v>
      </c>
      <c r="B216" s="497" t="s">
        <v>225</v>
      </c>
      <c r="C216" s="506">
        <v>0.5</v>
      </c>
      <c r="D216" s="506">
        <v>1</v>
      </c>
      <c r="E216" s="506">
        <v>0</v>
      </c>
      <c r="F216" s="506">
        <v>1</v>
      </c>
      <c r="G216" s="506">
        <v>0</v>
      </c>
      <c r="H216" s="506">
        <v>0</v>
      </c>
      <c r="I216" s="454" t="s">
        <v>147</v>
      </c>
      <c r="J216" s="507" t="s">
        <v>4510</v>
      </c>
      <c r="K216" s="507" t="s">
        <v>4511</v>
      </c>
      <c r="L216" s="507" t="s">
        <v>748</v>
      </c>
      <c r="M216" s="507" t="s">
        <v>4512</v>
      </c>
      <c r="N216" s="507" t="s">
        <v>4513</v>
      </c>
      <c r="O216" s="507" t="s">
        <v>4514</v>
      </c>
      <c r="P216" s="77"/>
      <c r="Q216" s="77"/>
      <c r="R216" s="77"/>
      <c r="S216" s="15"/>
      <c r="T216" s="15"/>
      <c r="U216" s="15"/>
      <c r="V216" s="15"/>
      <c r="W216" s="15"/>
      <c r="X216" s="15"/>
      <c r="Y216" s="15"/>
      <c r="Z216" s="15"/>
    </row>
    <row r="217" spans="1:26" ht="21.75" customHeight="1">
      <c r="A217" s="2"/>
      <c r="B217" s="3"/>
      <c r="C217" s="87"/>
      <c r="D217" s="87"/>
      <c r="E217" s="87"/>
      <c r="F217" s="87"/>
      <c r="G217" s="87"/>
      <c r="H217" s="87"/>
      <c r="I217" s="454"/>
      <c r="J217" s="75"/>
      <c r="K217" s="75"/>
      <c r="L217" s="75"/>
      <c r="M217" s="75"/>
      <c r="N217" s="75"/>
      <c r="O217" s="75"/>
      <c r="P217" s="77"/>
      <c r="Q217" s="77"/>
      <c r="R217" s="77"/>
      <c r="S217" s="15"/>
      <c r="T217" s="15"/>
      <c r="U217" s="15"/>
      <c r="V217" s="15"/>
      <c r="W217" s="15"/>
      <c r="X217" s="15"/>
      <c r="Y217" s="15"/>
      <c r="Z217" s="15"/>
    </row>
    <row r="218" spans="1:26" ht="13.5" customHeight="1">
      <c r="A218" s="614" t="s">
        <v>1143</v>
      </c>
      <c r="B218" s="497" t="s">
        <v>227</v>
      </c>
      <c r="C218" s="580">
        <f t="shared" ref="C218:H218" si="40">AVERAGE(C219,C221,C223,C225,C227)</f>
        <v>0.8</v>
      </c>
      <c r="D218" s="580">
        <f t="shared" si="40"/>
        <v>0.9</v>
      </c>
      <c r="E218" s="580">
        <f t="shared" si="40"/>
        <v>0.1</v>
      </c>
      <c r="F218" s="580">
        <f t="shared" si="40"/>
        <v>0.9</v>
      </c>
      <c r="G218" s="580">
        <f t="shared" si="40"/>
        <v>0.9</v>
      </c>
      <c r="H218" s="580">
        <f t="shared" si="40"/>
        <v>0.3</v>
      </c>
      <c r="I218" s="485"/>
      <c r="J218" s="507"/>
      <c r="K218" s="580"/>
      <c r="L218" s="553"/>
      <c r="M218" s="580"/>
      <c r="N218" s="580"/>
      <c r="O218" s="507"/>
      <c r="P218" s="509"/>
      <c r="Q218" s="509"/>
      <c r="R218" s="509"/>
      <c r="S218" s="510"/>
      <c r="T218" s="510"/>
      <c r="U218" s="510"/>
      <c r="V218" s="510"/>
      <c r="W218" s="510"/>
      <c r="X218" s="510"/>
      <c r="Y218" s="510"/>
      <c r="Z218" s="510"/>
    </row>
    <row r="219" spans="1:26" ht="85.5" customHeight="1">
      <c r="A219" s="615" t="s">
        <v>736</v>
      </c>
      <c r="B219" s="616" t="s">
        <v>228</v>
      </c>
      <c r="C219" s="506">
        <v>0.5</v>
      </c>
      <c r="D219" s="506">
        <v>0.5</v>
      </c>
      <c r="E219" s="506">
        <v>0.5</v>
      </c>
      <c r="F219" s="506">
        <v>0.5</v>
      </c>
      <c r="G219" s="991">
        <v>0.5</v>
      </c>
      <c r="H219" s="506">
        <v>0.5</v>
      </c>
      <c r="I219" s="454" t="s">
        <v>147</v>
      </c>
      <c r="J219" s="507" t="s">
        <v>4515</v>
      </c>
      <c r="K219" s="507" t="s">
        <v>4516</v>
      </c>
      <c r="L219" s="507" t="s">
        <v>4517</v>
      </c>
      <c r="M219" s="507" t="s">
        <v>4518</v>
      </c>
      <c r="N219" s="507" t="s">
        <v>3023</v>
      </c>
      <c r="O219" s="507" t="s">
        <v>4519</v>
      </c>
      <c r="P219" s="77"/>
      <c r="Q219" s="77"/>
      <c r="R219" s="77"/>
      <c r="S219" s="15"/>
      <c r="T219" s="15"/>
      <c r="U219" s="15"/>
      <c r="V219" s="15"/>
      <c r="W219" s="15"/>
      <c r="X219" s="15"/>
      <c r="Y219" s="15"/>
      <c r="Z219" s="15"/>
    </row>
    <row r="220" spans="1:26" ht="23.25" customHeight="1">
      <c r="A220" s="2"/>
      <c r="B220" s="3"/>
      <c r="C220" s="87"/>
      <c r="D220" s="87"/>
      <c r="E220" s="87"/>
      <c r="F220" s="87"/>
      <c r="G220" s="87"/>
      <c r="H220" s="87"/>
      <c r="I220" s="454"/>
      <c r="J220" s="75"/>
      <c r="K220" s="75"/>
      <c r="L220" s="75"/>
      <c r="M220" s="75"/>
      <c r="N220" s="75"/>
      <c r="O220" s="75"/>
      <c r="P220" s="77"/>
      <c r="Q220" s="77"/>
      <c r="R220" s="77"/>
      <c r="S220" s="15"/>
      <c r="T220" s="15"/>
      <c r="U220" s="15"/>
      <c r="V220" s="15"/>
      <c r="W220" s="15"/>
      <c r="X220" s="15"/>
      <c r="Y220" s="15"/>
      <c r="Z220" s="15"/>
    </row>
    <row r="221" spans="1:26" ht="84" customHeight="1">
      <c r="A221" s="615" t="s">
        <v>736</v>
      </c>
      <c r="B221" s="616" t="s">
        <v>229</v>
      </c>
      <c r="C221" s="506">
        <v>1</v>
      </c>
      <c r="D221" s="506">
        <v>1</v>
      </c>
      <c r="E221" s="506">
        <v>0</v>
      </c>
      <c r="F221" s="506">
        <v>1</v>
      </c>
      <c r="G221" s="506">
        <v>1</v>
      </c>
      <c r="H221" s="506">
        <v>0</v>
      </c>
      <c r="I221" s="454" t="s">
        <v>38</v>
      </c>
      <c r="J221" s="507" t="s">
        <v>4520</v>
      </c>
      <c r="K221" s="551" t="s">
        <v>960</v>
      </c>
      <c r="L221" s="507" t="s">
        <v>748</v>
      </c>
      <c r="M221" s="507" t="s">
        <v>3027</v>
      </c>
      <c r="N221" s="507" t="s">
        <v>4521</v>
      </c>
      <c r="O221" s="507" t="s">
        <v>748</v>
      </c>
      <c r="P221" s="77"/>
      <c r="Q221" s="77"/>
      <c r="R221" s="77"/>
      <c r="S221" s="15"/>
      <c r="T221" s="15"/>
      <c r="U221" s="15"/>
      <c r="V221" s="15"/>
      <c r="W221" s="15"/>
      <c r="X221" s="15"/>
      <c r="Y221" s="15"/>
      <c r="Z221" s="15"/>
    </row>
    <row r="222" spans="1:26" ht="17.25" customHeight="1">
      <c r="A222" s="2"/>
      <c r="B222" s="3"/>
      <c r="C222" s="87"/>
      <c r="D222" s="87"/>
      <c r="E222" s="87"/>
      <c r="F222" s="87"/>
      <c r="G222" s="87"/>
      <c r="H222" s="87"/>
      <c r="I222" s="454"/>
      <c r="J222" s="75"/>
      <c r="K222" s="198"/>
      <c r="L222" s="75"/>
      <c r="M222" s="75"/>
      <c r="N222" s="75"/>
      <c r="O222" s="75"/>
      <c r="P222" s="77"/>
      <c r="Q222" s="77"/>
      <c r="R222" s="77"/>
      <c r="S222" s="15"/>
      <c r="T222" s="15"/>
      <c r="U222" s="15"/>
      <c r="V222" s="15"/>
      <c r="W222" s="15"/>
      <c r="X222" s="15"/>
      <c r="Y222" s="15"/>
      <c r="Z222" s="15"/>
    </row>
    <row r="223" spans="1:26" ht="81" customHeight="1">
      <c r="A223" s="615" t="s">
        <v>736</v>
      </c>
      <c r="B223" s="616" t="s">
        <v>230</v>
      </c>
      <c r="C223" s="506">
        <v>0.5</v>
      </c>
      <c r="D223" s="506">
        <v>1</v>
      </c>
      <c r="E223" s="506">
        <v>0</v>
      </c>
      <c r="F223" s="506">
        <v>1</v>
      </c>
      <c r="G223" s="506">
        <v>1</v>
      </c>
      <c r="H223" s="506">
        <v>0</v>
      </c>
      <c r="I223" s="454" t="s">
        <v>38</v>
      </c>
      <c r="J223" s="507" t="s">
        <v>4522</v>
      </c>
      <c r="K223" s="551" t="s">
        <v>960</v>
      </c>
      <c r="L223" s="507" t="s">
        <v>3031</v>
      </c>
      <c r="M223" s="507" t="s">
        <v>4523</v>
      </c>
      <c r="N223" s="507" t="s">
        <v>3033</v>
      </c>
      <c r="O223" s="507" t="s">
        <v>4524</v>
      </c>
      <c r="P223" s="77"/>
      <c r="Q223" s="77"/>
      <c r="R223" s="77"/>
      <c r="S223" s="15"/>
      <c r="T223" s="15"/>
      <c r="U223" s="15"/>
      <c r="V223" s="15"/>
      <c r="W223" s="15"/>
      <c r="X223" s="15"/>
      <c r="Y223" s="15"/>
      <c r="Z223" s="15"/>
    </row>
    <row r="224" spans="1:26" ht="24.75" customHeight="1">
      <c r="A224" s="2"/>
      <c r="B224" s="3"/>
      <c r="C224" s="87"/>
      <c r="D224" s="87"/>
      <c r="E224" s="87"/>
      <c r="F224" s="87"/>
      <c r="G224" s="87"/>
      <c r="H224" s="87"/>
      <c r="I224" s="454"/>
      <c r="J224" s="75"/>
      <c r="K224" s="198"/>
      <c r="L224" s="75"/>
      <c r="M224" s="75"/>
      <c r="N224" s="75"/>
      <c r="O224" s="75"/>
      <c r="P224" s="77"/>
      <c r="Q224" s="77"/>
      <c r="R224" s="77"/>
      <c r="S224" s="15"/>
      <c r="T224" s="15"/>
      <c r="U224" s="15"/>
      <c r="V224" s="15"/>
      <c r="W224" s="15"/>
      <c r="X224" s="15"/>
      <c r="Y224" s="15"/>
      <c r="Z224" s="15"/>
    </row>
    <row r="225" spans="1:26" ht="61.5" customHeight="1">
      <c r="A225" s="615" t="s">
        <v>736</v>
      </c>
      <c r="B225" s="616" t="s">
        <v>3035</v>
      </c>
      <c r="C225" s="506">
        <v>1</v>
      </c>
      <c r="D225" s="506">
        <v>1</v>
      </c>
      <c r="E225" s="506">
        <v>0</v>
      </c>
      <c r="F225" s="506">
        <v>1</v>
      </c>
      <c r="G225" s="506">
        <v>1</v>
      </c>
      <c r="H225" s="506">
        <v>0</v>
      </c>
      <c r="I225" s="454" t="s">
        <v>123</v>
      </c>
      <c r="J225" s="507" t="s">
        <v>3036</v>
      </c>
      <c r="K225" s="507" t="s">
        <v>4525</v>
      </c>
      <c r="L225" s="507" t="s">
        <v>748</v>
      </c>
      <c r="M225" s="507" t="s">
        <v>3039</v>
      </c>
      <c r="N225" s="507" t="s">
        <v>4526</v>
      </c>
      <c r="O225" s="507" t="s">
        <v>4527</v>
      </c>
      <c r="P225" s="77"/>
      <c r="Q225" s="77"/>
      <c r="R225" s="77"/>
      <c r="S225" s="15"/>
      <c r="T225" s="15"/>
      <c r="U225" s="15"/>
      <c r="V225" s="15"/>
      <c r="W225" s="15"/>
      <c r="X225" s="15"/>
      <c r="Y225" s="15"/>
      <c r="Z225" s="15"/>
    </row>
    <row r="226" spans="1:26" ht="23.25" customHeight="1">
      <c r="A226" s="2"/>
      <c r="B226" s="3"/>
      <c r="C226" s="87"/>
      <c r="D226" s="87"/>
      <c r="E226" s="87"/>
      <c r="F226" s="87"/>
      <c r="G226" s="87"/>
      <c r="H226" s="87"/>
      <c r="I226" s="454"/>
      <c r="J226" s="75"/>
      <c r="K226" s="75"/>
      <c r="L226" s="75"/>
      <c r="M226" s="75"/>
      <c r="N226" s="75"/>
      <c r="O226" s="75"/>
      <c r="P226" s="77"/>
      <c r="Q226" s="77"/>
      <c r="R226" s="77"/>
      <c r="S226" s="15"/>
      <c r="T226" s="15"/>
      <c r="U226" s="15"/>
      <c r="V226" s="15"/>
      <c r="W226" s="15"/>
      <c r="X226" s="15"/>
      <c r="Y226" s="15"/>
      <c r="Z226" s="15"/>
    </row>
    <row r="227" spans="1:26" ht="59.25" customHeight="1">
      <c r="A227" s="615" t="s">
        <v>736</v>
      </c>
      <c r="B227" s="616" t="s">
        <v>232</v>
      </c>
      <c r="C227" s="506">
        <v>1</v>
      </c>
      <c r="D227" s="506">
        <v>1</v>
      </c>
      <c r="E227" s="506">
        <v>0</v>
      </c>
      <c r="F227" s="506">
        <v>1</v>
      </c>
      <c r="G227" s="506">
        <v>1</v>
      </c>
      <c r="H227" s="506">
        <v>1</v>
      </c>
      <c r="I227" s="454" t="s">
        <v>38</v>
      </c>
      <c r="J227" s="507" t="s">
        <v>3042</v>
      </c>
      <c r="K227" s="507" t="s">
        <v>4528</v>
      </c>
      <c r="L227" s="507" t="s">
        <v>4529</v>
      </c>
      <c r="M227" s="507" t="s">
        <v>4530</v>
      </c>
      <c r="N227" s="507" t="s">
        <v>4531</v>
      </c>
      <c r="O227" s="507" t="s">
        <v>4532</v>
      </c>
      <c r="P227" s="77"/>
      <c r="Q227" s="77"/>
      <c r="R227" s="77"/>
      <c r="S227" s="15"/>
      <c r="T227" s="15"/>
      <c r="U227" s="15"/>
      <c r="V227" s="15"/>
      <c r="W227" s="15"/>
      <c r="X227" s="15"/>
      <c r="Y227" s="15"/>
      <c r="Z227" s="15"/>
    </row>
    <row r="228" spans="1:26" ht="13.5" customHeight="1">
      <c r="A228" s="2"/>
      <c r="B228" s="952"/>
      <c r="C228" s="271"/>
      <c r="D228" s="271"/>
      <c r="E228" s="271"/>
      <c r="F228" s="271"/>
      <c r="G228" s="271"/>
      <c r="H228" s="271"/>
      <c r="I228" s="485"/>
      <c r="J228" s="291"/>
      <c r="K228" s="953"/>
      <c r="L228" s="953"/>
      <c r="M228" s="291"/>
      <c r="N228" s="953"/>
      <c r="O228" s="953"/>
      <c r="P228" s="15"/>
      <c r="Q228" s="15"/>
      <c r="R228" s="15"/>
      <c r="S228" s="15"/>
      <c r="T228" s="15"/>
      <c r="U228" s="15"/>
      <c r="V228" s="15"/>
      <c r="W228" s="15"/>
      <c r="X228" s="15"/>
      <c r="Y228" s="15"/>
      <c r="Z228" s="15"/>
    </row>
    <row r="229" spans="1:26" ht="29.25" customHeight="1">
      <c r="A229" s="522" t="s">
        <v>1171</v>
      </c>
      <c r="B229" s="497" t="s">
        <v>234</v>
      </c>
      <c r="C229" s="580">
        <f t="shared" ref="C229:H229" si="41">AVERAGE(C230, C232,C234,C236,C238,C240)</f>
        <v>0.5</v>
      </c>
      <c r="D229" s="580">
        <f t="shared" si="41"/>
        <v>0.58333333333333337</v>
      </c>
      <c r="E229" s="580">
        <f t="shared" si="41"/>
        <v>0.41666666666666669</v>
      </c>
      <c r="F229" s="580">
        <f t="shared" si="41"/>
        <v>0.75</v>
      </c>
      <c r="G229" s="580">
        <f t="shared" si="41"/>
        <v>0.58333333333333337</v>
      </c>
      <c r="H229" s="580">
        <f t="shared" si="41"/>
        <v>0.33333333333333331</v>
      </c>
      <c r="I229" s="485"/>
      <c r="J229" s="507"/>
      <c r="K229" s="580"/>
      <c r="L229" s="553"/>
      <c r="M229" s="553"/>
      <c r="N229" s="580"/>
      <c r="O229" s="507"/>
      <c r="P229" s="509"/>
      <c r="Q229" s="509"/>
      <c r="R229" s="509"/>
      <c r="S229" s="510"/>
      <c r="T229" s="510"/>
      <c r="U229" s="510"/>
      <c r="V229" s="510"/>
      <c r="W229" s="510"/>
      <c r="X229" s="510"/>
      <c r="Y229" s="510"/>
      <c r="Z229" s="510"/>
    </row>
    <row r="230" spans="1:26" ht="133.5" customHeight="1">
      <c r="A230" s="615" t="s">
        <v>736</v>
      </c>
      <c r="B230" s="616" t="s">
        <v>3047</v>
      </c>
      <c r="C230" s="506">
        <v>0.5</v>
      </c>
      <c r="D230" s="506">
        <v>0.5</v>
      </c>
      <c r="E230" s="506">
        <v>0</v>
      </c>
      <c r="F230" s="506">
        <v>0.5</v>
      </c>
      <c r="G230" s="506">
        <v>0</v>
      </c>
      <c r="H230" s="506">
        <v>0</v>
      </c>
      <c r="I230" s="454" t="s">
        <v>147</v>
      </c>
      <c r="J230" s="507" t="s">
        <v>3048</v>
      </c>
      <c r="K230" s="507" t="s">
        <v>4533</v>
      </c>
      <c r="L230" s="507" t="s">
        <v>748</v>
      </c>
      <c r="M230" s="507" t="s">
        <v>4534</v>
      </c>
      <c r="N230" s="507" t="s">
        <v>4535</v>
      </c>
      <c r="O230" s="507" t="s">
        <v>4536</v>
      </c>
      <c r="P230" s="77"/>
      <c r="Q230" s="77"/>
      <c r="R230" s="77"/>
      <c r="S230" s="15"/>
      <c r="T230" s="15"/>
      <c r="U230" s="15"/>
      <c r="V230" s="15"/>
      <c r="W230" s="15"/>
      <c r="X230" s="15"/>
      <c r="Y230" s="15"/>
      <c r="Z230" s="15"/>
    </row>
    <row r="231" spans="1:26" ht="21" customHeight="1">
      <c r="A231" s="2"/>
      <c r="B231" s="3"/>
      <c r="C231" s="87"/>
      <c r="D231" s="87"/>
      <c r="E231" s="87"/>
      <c r="F231" s="87"/>
      <c r="G231" s="87"/>
      <c r="H231" s="87"/>
      <c r="I231" s="454"/>
      <c r="J231" s="75"/>
      <c r="K231" s="75"/>
      <c r="L231" s="75"/>
      <c r="M231" s="75"/>
      <c r="N231" s="75"/>
      <c r="O231" s="75"/>
      <c r="P231" s="77"/>
      <c r="Q231" s="77"/>
      <c r="R231" s="77"/>
      <c r="S231" s="15"/>
      <c r="T231" s="15"/>
      <c r="U231" s="15"/>
      <c r="V231" s="15"/>
      <c r="W231" s="15"/>
      <c r="X231" s="15"/>
      <c r="Y231" s="15"/>
      <c r="Z231" s="15"/>
    </row>
    <row r="232" spans="1:26" ht="138" customHeight="1">
      <c r="A232" s="615" t="s">
        <v>736</v>
      </c>
      <c r="B232" s="616" t="s">
        <v>237</v>
      </c>
      <c r="C232" s="506">
        <v>0.5</v>
      </c>
      <c r="D232" s="506">
        <v>1</v>
      </c>
      <c r="E232" s="506">
        <v>0.5</v>
      </c>
      <c r="F232" s="506">
        <v>1</v>
      </c>
      <c r="G232" s="506">
        <v>1</v>
      </c>
      <c r="H232" s="506">
        <v>0.5</v>
      </c>
      <c r="I232" s="454" t="s">
        <v>147</v>
      </c>
      <c r="J232" s="507" t="s">
        <v>4537</v>
      </c>
      <c r="K232" s="507" t="s">
        <v>4538</v>
      </c>
      <c r="L232" s="507" t="s">
        <v>3056</v>
      </c>
      <c r="M232" s="507" t="s">
        <v>4539</v>
      </c>
      <c r="N232" s="507" t="s">
        <v>3058</v>
      </c>
      <c r="O232" s="507" t="s">
        <v>4540</v>
      </c>
      <c r="P232" s="77"/>
      <c r="Q232" s="77"/>
      <c r="R232" s="77"/>
      <c r="S232" s="15"/>
      <c r="T232" s="15"/>
      <c r="U232" s="15"/>
      <c r="V232" s="15"/>
      <c r="W232" s="15"/>
      <c r="X232" s="15"/>
      <c r="Y232" s="15"/>
      <c r="Z232" s="15"/>
    </row>
    <row r="233" spans="1:26" ht="27.75" customHeight="1">
      <c r="A233" s="2"/>
      <c r="B233" s="3"/>
      <c r="C233" s="87"/>
      <c r="D233" s="87"/>
      <c r="E233" s="87"/>
      <c r="F233" s="87"/>
      <c r="G233" s="87"/>
      <c r="H233" s="87"/>
      <c r="I233" s="454"/>
      <c r="J233" s="75"/>
      <c r="K233" s="75"/>
      <c r="L233" s="75"/>
      <c r="M233" s="75"/>
      <c r="N233" s="75"/>
      <c r="O233" s="75"/>
      <c r="P233" s="77"/>
      <c r="Q233" s="77"/>
      <c r="R233" s="77"/>
      <c r="S233" s="15"/>
      <c r="T233" s="15"/>
      <c r="U233" s="15"/>
      <c r="V233" s="15"/>
      <c r="W233" s="15"/>
      <c r="X233" s="15"/>
      <c r="Y233" s="15"/>
      <c r="Z233" s="15"/>
    </row>
    <row r="234" spans="1:26" ht="86.25" customHeight="1">
      <c r="A234" s="615" t="s">
        <v>736</v>
      </c>
      <c r="B234" s="616" t="s">
        <v>238</v>
      </c>
      <c r="C234" s="506">
        <v>1</v>
      </c>
      <c r="D234" s="506">
        <v>1</v>
      </c>
      <c r="E234" s="506">
        <v>1</v>
      </c>
      <c r="F234" s="506">
        <v>1</v>
      </c>
      <c r="G234" s="506">
        <v>1</v>
      </c>
      <c r="H234" s="506">
        <v>0</v>
      </c>
      <c r="I234" s="454" t="s">
        <v>38</v>
      </c>
      <c r="J234" s="507" t="s">
        <v>3060</v>
      </c>
      <c r="K234" s="507" t="s">
        <v>4541</v>
      </c>
      <c r="L234" s="507" t="s">
        <v>3062</v>
      </c>
      <c r="M234" s="507" t="s">
        <v>4542</v>
      </c>
      <c r="N234" s="507" t="s">
        <v>3064</v>
      </c>
      <c r="O234" s="507" t="s">
        <v>4543</v>
      </c>
      <c r="P234" s="77"/>
      <c r="Q234" s="77"/>
      <c r="R234" s="77"/>
      <c r="S234" s="15"/>
      <c r="T234" s="15"/>
      <c r="U234" s="15"/>
      <c r="V234" s="15"/>
      <c r="W234" s="15"/>
      <c r="X234" s="15"/>
      <c r="Y234" s="15"/>
      <c r="Z234" s="15"/>
    </row>
    <row r="235" spans="1:26" ht="13.5" customHeight="1">
      <c r="A235" s="2"/>
      <c r="B235" s="952"/>
      <c r="C235" s="271"/>
      <c r="D235" s="271"/>
      <c r="E235" s="271"/>
      <c r="F235" s="271"/>
      <c r="G235" s="271"/>
      <c r="H235" s="271"/>
      <c r="I235" s="485"/>
      <c r="J235" s="291"/>
      <c r="K235" s="953"/>
      <c r="L235" s="953"/>
      <c r="M235" s="291"/>
      <c r="N235" s="953"/>
      <c r="O235" s="953"/>
      <c r="P235" s="15"/>
      <c r="Q235" s="15"/>
      <c r="R235" s="15"/>
      <c r="S235" s="15"/>
      <c r="T235" s="15"/>
      <c r="U235" s="15"/>
      <c r="V235" s="15"/>
      <c r="W235" s="15"/>
      <c r="X235" s="15"/>
      <c r="Y235" s="15"/>
      <c r="Z235" s="15"/>
    </row>
    <row r="236" spans="1:26" ht="57" customHeight="1">
      <c r="A236" s="615" t="s">
        <v>736</v>
      </c>
      <c r="B236" s="616" t="s">
        <v>239</v>
      </c>
      <c r="C236" s="506">
        <v>0.5</v>
      </c>
      <c r="D236" s="506">
        <v>0.5</v>
      </c>
      <c r="E236" s="506">
        <v>0.5</v>
      </c>
      <c r="F236" s="506">
        <v>0.5</v>
      </c>
      <c r="G236" s="506">
        <v>0.5</v>
      </c>
      <c r="H236" s="506">
        <v>0.5</v>
      </c>
      <c r="I236" s="454" t="s">
        <v>240</v>
      </c>
      <c r="J236" s="507" t="s">
        <v>3066</v>
      </c>
      <c r="K236" s="507" t="s">
        <v>4544</v>
      </c>
      <c r="L236" s="507" t="s">
        <v>3068</v>
      </c>
      <c r="M236" s="507" t="s">
        <v>4545</v>
      </c>
      <c r="N236" s="507" t="s">
        <v>3070</v>
      </c>
      <c r="O236" s="507" t="s">
        <v>4546</v>
      </c>
      <c r="P236" s="77"/>
      <c r="Q236" s="77"/>
      <c r="R236" s="77"/>
      <c r="S236" s="15"/>
      <c r="T236" s="15"/>
      <c r="U236" s="15"/>
      <c r="V236" s="15"/>
      <c r="W236" s="15"/>
      <c r="X236" s="15"/>
      <c r="Y236" s="15"/>
      <c r="Z236" s="15"/>
    </row>
    <row r="237" spans="1:26" ht="20.25" customHeight="1">
      <c r="A237" s="2"/>
      <c r="B237" s="3"/>
      <c r="C237" s="87"/>
      <c r="D237" s="87"/>
      <c r="E237" s="87"/>
      <c r="F237" s="87"/>
      <c r="G237" s="87"/>
      <c r="H237" s="87"/>
      <c r="I237" s="454"/>
      <c r="J237" s="75"/>
      <c r="K237" s="75"/>
      <c r="L237" s="75"/>
      <c r="M237" s="75"/>
      <c r="N237" s="75"/>
      <c r="O237" s="75"/>
      <c r="P237" s="77"/>
      <c r="Q237" s="77"/>
      <c r="R237" s="77"/>
      <c r="S237" s="15"/>
      <c r="T237" s="15"/>
      <c r="U237" s="15"/>
      <c r="V237" s="15"/>
      <c r="W237" s="15"/>
      <c r="X237" s="15"/>
      <c r="Y237" s="15"/>
      <c r="Z237" s="15"/>
    </row>
    <row r="238" spans="1:26" ht="72.75" customHeight="1">
      <c r="A238" s="615" t="s">
        <v>736</v>
      </c>
      <c r="B238" s="616" t="s">
        <v>3072</v>
      </c>
      <c r="C238" s="506">
        <v>0.5</v>
      </c>
      <c r="D238" s="506">
        <v>0.5</v>
      </c>
      <c r="E238" s="506">
        <v>0.5</v>
      </c>
      <c r="F238" s="506">
        <v>0.5</v>
      </c>
      <c r="G238" s="506">
        <v>0.5</v>
      </c>
      <c r="H238" s="506">
        <v>0.5</v>
      </c>
      <c r="I238" s="454" t="s">
        <v>240</v>
      </c>
      <c r="J238" s="507" t="s">
        <v>3073</v>
      </c>
      <c r="K238" s="507" t="s">
        <v>4547</v>
      </c>
      <c r="L238" s="507" t="s">
        <v>3075</v>
      </c>
      <c r="M238" s="507" t="s">
        <v>3076</v>
      </c>
      <c r="N238" s="507" t="s">
        <v>4548</v>
      </c>
      <c r="O238" s="507" t="s">
        <v>4549</v>
      </c>
      <c r="P238" s="77"/>
      <c r="Q238" s="77"/>
      <c r="R238" s="77"/>
      <c r="S238" s="15"/>
      <c r="T238" s="15"/>
      <c r="U238" s="15"/>
      <c r="V238" s="15"/>
      <c r="W238" s="15"/>
      <c r="X238" s="15"/>
      <c r="Y238" s="15"/>
      <c r="Z238" s="15"/>
    </row>
    <row r="239" spans="1:26" ht="13.5" customHeight="1">
      <c r="A239" s="2"/>
      <c r="B239" s="952"/>
      <c r="C239" s="271"/>
      <c r="D239" s="271"/>
      <c r="E239" s="271"/>
      <c r="F239" s="271"/>
      <c r="G239" s="271"/>
      <c r="H239" s="271"/>
      <c r="I239" s="485"/>
      <c r="J239" s="291"/>
      <c r="K239" s="953"/>
      <c r="L239" s="953"/>
      <c r="M239" s="291"/>
      <c r="N239" s="953"/>
      <c r="O239" s="953"/>
      <c r="P239" s="15"/>
      <c r="Q239" s="15"/>
      <c r="R239" s="15"/>
      <c r="S239" s="15"/>
      <c r="T239" s="15"/>
      <c r="U239" s="15"/>
      <c r="V239" s="15"/>
      <c r="W239" s="15"/>
      <c r="X239" s="15"/>
      <c r="Y239" s="15"/>
      <c r="Z239" s="15"/>
    </row>
    <row r="240" spans="1:26" ht="89.25" customHeight="1">
      <c r="A240" s="615" t="s">
        <v>736</v>
      </c>
      <c r="B240" s="616" t="s">
        <v>242</v>
      </c>
      <c r="C240" s="506">
        <v>0</v>
      </c>
      <c r="D240" s="506">
        <v>0</v>
      </c>
      <c r="E240" s="506">
        <v>0</v>
      </c>
      <c r="F240" s="506">
        <v>1</v>
      </c>
      <c r="G240" s="991">
        <v>0.5</v>
      </c>
      <c r="H240" s="515">
        <v>0.5</v>
      </c>
      <c r="I240" s="454" t="s">
        <v>38</v>
      </c>
      <c r="J240" s="507" t="s">
        <v>1203</v>
      </c>
      <c r="K240" s="507" t="s">
        <v>4550</v>
      </c>
      <c r="L240" s="507" t="s">
        <v>3080</v>
      </c>
      <c r="M240" s="507" t="s">
        <v>3081</v>
      </c>
      <c r="N240" s="625" t="s">
        <v>3082</v>
      </c>
      <c r="O240" s="507" t="s">
        <v>811</v>
      </c>
      <c r="P240" s="77"/>
      <c r="Q240" s="77"/>
      <c r="R240" s="77"/>
      <c r="S240" s="15"/>
      <c r="T240" s="15"/>
      <c r="U240" s="15"/>
      <c r="V240" s="15"/>
      <c r="W240" s="15"/>
      <c r="X240" s="15"/>
      <c r="Y240" s="15"/>
      <c r="Z240" s="15"/>
    </row>
    <row r="241" spans="1:26" ht="13.5" customHeight="1">
      <c r="A241" s="2" t="s">
        <v>2148</v>
      </c>
      <c r="B241" s="952"/>
      <c r="C241" s="271"/>
      <c r="D241" s="271"/>
      <c r="E241" s="271"/>
      <c r="F241" s="271"/>
      <c r="G241" s="271"/>
      <c r="H241" s="271"/>
      <c r="I241" s="485"/>
      <c r="J241" s="291"/>
      <c r="K241" s="953"/>
      <c r="L241" s="953"/>
      <c r="M241" s="291"/>
      <c r="N241" s="953"/>
      <c r="O241" s="953"/>
      <c r="P241" s="15"/>
      <c r="Q241" s="15"/>
      <c r="R241" s="15"/>
      <c r="S241" s="15"/>
      <c r="T241" s="15"/>
      <c r="U241" s="15"/>
      <c r="V241" s="15"/>
      <c r="W241" s="15"/>
      <c r="X241" s="15"/>
      <c r="Y241" s="15"/>
      <c r="Z241" s="15"/>
    </row>
    <row r="242" spans="1:26" ht="32.25" customHeight="1">
      <c r="A242" s="303" t="s">
        <v>1209</v>
      </c>
      <c r="B242" s="304" t="s">
        <v>1210</v>
      </c>
      <c r="C242" s="305">
        <f t="shared" ref="C242:H242" si="42">AVERAGE(C243,C268)</f>
        <v>0.57088680926916224</v>
      </c>
      <c r="D242" s="305">
        <f t="shared" si="42"/>
        <v>0.75212121212121219</v>
      </c>
      <c r="E242" s="305">
        <f t="shared" si="42"/>
        <v>0.32854723707664885</v>
      </c>
      <c r="F242" s="305">
        <f t="shared" si="42"/>
        <v>0.47372994652406419</v>
      </c>
      <c r="G242" s="305">
        <f t="shared" si="42"/>
        <v>0.63679144385026731</v>
      </c>
      <c r="H242" s="305">
        <f t="shared" si="42"/>
        <v>0.51108734402852052</v>
      </c>
      <c r="I242" s="307"/>
      <c r="J242" s="63"/>
      <c r="K242" s="63"/>
      <c r="L242" s="163"/>
      <c r="M242" s="63"/>
      <c r="N242" s="63"/>
      <c r="O242" s="63"/>
      <c r="P242" s="64"/>
      <c r="Q242" s="64"/>
      <c r="R242" s="64"/>
      <c r="S242" s="64"/>
      <c r="T242" s="64"/>
      <c r="U242" s="64"/>
      <c r="V242" s="64"/>
      <c r="W242" s="64"/>
      <c r="X242" s="64"/>
      <c r="Y242" s="64"/>
      <c r="Z242" s="64"/>
    </row>
    <row r="243" spans="1:26" ht="29.25" customHeight="1">
      <c r="A243" s="627" t="s">
        <v>1211</v>
      </c>
      <c r="B243" s="628" t="s">
        <v>3084</v>
      </c>
      <c r="C243" s="629">
        <f t="shared" ref="C243:H243" si="43">AVERAGE(C244,C246,C248,C250,C252,C254,C256,C258,C260,C262,C264,C266)</f>
        <v>0.70833333333333337</v>
      </c>
      <c r="D243" s="629">
        <f t="shared" si="43"/>
        <v>0.83333333333333337</v>
      </c>
      <c r="E243" s="629">
        <f t="shared" si="43"/>
        <v>0.41666666666666669</v>
      </c>
      <c r="F243" s="629">
        <f t="shared" si="43"/>
        <v>0.45833333333333331</v>
      </c>
      <c r="G243" s="629">
        <f t="shared" si="43"/>
        <v>0.66666666666666663</v>
      </c>
      <c r="H243" s="629">
        <f t="shared" si="43"/>
        <v>0.5</v>
      </c>
      <c r="I243" s="632"/>
      <c r="J243" s="507"/>
      <c r="K243" s="507"/>
      <c r="L243" s="507"/>
      <c r="M243" s="507"/>
      <c r="N243" s="507"/>
      <c r="O243" s="507"/>
      <c r="P243" s="509"/>
      <c r="Q243" s="509"/>
      <c r="R243" s="509"/>
      <c r="S243" s="509"/>
      <c r="T243" s="509"/>
      <c r="U243" s="509"/>
      <c r="V243" s="509"/>
      <c r="W243" s="509"/>
      <c r="X243" s="509"/>
      <c r="Y243" s="509"/>
      <c r="Z243" s="509"/>
    </row>
    <row r="244" spans="1:26" ht="179.25" customHeight="1">
      <c r="A244" s="633" t="s">
        <v>736</v>
      </c>
      <c r="B244" s="635" t="s">
        <v>3085</v>
      </c>
      <c r="C244" s="506">
        <v>0.5</v>
      </c>
      <c r="D244" s="506">
        <v>0.5</v>
      </c>
      <c r="E244" s="506">
        <v>0</v>
      </c>
      <c r="F244" s="506">
        <v>0</v>
      </c>
      <c r="G244" s="994">
        <v>0</v>
      </c>
      <c r="H244" s="506">
        <v>0</v>
      </c>
      <c r="I244" s="454" t="s">
        <v>240</v>
      </c>
      <c r="J244" s="507" t="s">
        <v>4551</v>
      </c>
      <c r="K244" s="507" t="s">
        <v>3087</v>
      </c>
      <c r="L244" s="507" t="s">
        <v>4552</v>
      </c>
      <c r="M244" s="507" t="s">
        <v>4553</v>
      </c>
      <c r="N244" s="625" t="s">
        <v>3090</v>
      </c>
      <c r="O244" s="507" t="s">
        <v>943</v>
      </c>
      <c r="P244" s="77"/>
      <c r="Q244" s="77"/>
      <c r="R244" s="77"/>
      <c r="S244" s="77"/>
      <c r="T244" s="77"/>
      <c r="U244" s="77"/>
      <c r="V244" s="77"/>
      <c r="W244" s="77"/>
      <c r="X244" s="77"/>
      <c r="Y244" s="77"/>
      <c r="Z244" s="77"/>
    </row>
    <row r="245" spans="1:26" ht="13.5" customHeight="1">
      <c r="A245" s="317"/>
      <c r="B245" s="335"/>
      <c r="C245" s="87"/>
      <c r="D245" s="87"/>
      <c r="E245" s="87"/>
      <c r="F245" s="87"/>
      <c r="G245" s="908"/>
      <c r="H245" s="908"/>
      <c r="I245" s="632"/>
      <c r="J245" s="75"/>
      <c r="K245" s="75"/>
      <c r="L245" s="75"/>
      <c r="M245" s="75"/>
      <c r="N245" s="521"/>
      <c r="O245" s="637"/>
      <c r="P245" s="77"/>
      <c r="Q245" s="77"/>
      <c r="R245" s="77"/>
      <c r="S245" s="77"/>
      <c r="T245" s="77"/>
      <c r="U245" s="77"/>
      <c r="V245" s="77"/>
      <c r="W245" s="77"/>
      <c r="X245" s="77"/>
      <c r="Y245" s="77"/>
      <c r="Z245" s="77"/>
    </row>
    <row r="246" spans="1:26" ht="48" customHeight="1">
      <c r="A246" s="633" t="s">
        <v>736</v>
      </c>
      <c r="B246" s="635" t="s">
        <v>3092</v>
      </c>
      <c r="C246" s="506">
        <v>0</v>
      </c>
      <c r="D246" s="506">
        <v>0.5</v>
      </c>
      <c r="E246" s="506">
        <v>0</v>
      </c>
      <c r="F246" s="506">
        <v>0</v>
      </c>
      <c r="G246" s="506">
        <v>0</v>
      </c>
      <c r="H246" s="506">
        <v>0</v>
      </c>
      <c r="I246" s="454" t="s">
        <v>240</v>
      </c>
      <c r="J246" s="507" t="s">
        <v>4554</v>
      </c>
      <c r="K246" s="507" t="s">
        <v>3094</v>
      </c>
      <c r="L246" s="507" t="s">
        <v>4555</v>
      </c>
      <c r="M246" s="507" t="s">
        <v>4556</v>
      </c>
      <c r="N246" s="507" t="s">
        <v>4557</v>
      </c>
      <c r="O246" s="507" t="s">
        <v>4558</v>
      </c>
      <c r="P246" s="77"/>
      <c r="Q246" s="77"/>
      <c r="R246" s="77"/>
      <c r="S246" s="77"/>
      <c r="T246" s="77"/>
      <c r="U246" s="77"/>
      <c r="V246" s="77"/>
      <c r="W246" s="77"/>
      <c r="X246" s="77"/>
      <c r="Y246" s="77"/>
      <c r="Z246" s="77"/>
    </row>
    <row r="247" spans="1:26" ht="13.5" customHeight="1">
      <c r="A247" s="317"/>
      <c r="B247" s="335"/>
      <c r="C247" s="87"/>
      <c r="D247" s="87"/>
      <c r="E247" s="87"/>
      <c r="F247" s="578"/>
      <c r="G247" s="87"/>
      <c r="H247" s="87"/>
      <c r="I247" s="632"/>
      <c r="J247" s="75"/>
      <c r="K247" s="75"/>
      <c r="L247" s="75"/>
      <c r="M247" s="75"/>
      <c r="N247" s="521"/>
      <c r="O247" s="637"/>
      <c r="P247" s="77"/>
      <c r="Q247" s="77"/>
      <c r="R247" s="77"/>
      <c r="S247" s="77"/>
      <c r="T247" s="77"/>
      <c r="U247" s="77"/>
      <c r="V247" s="77"/>
      <c r="W247" s="77"/>
      <c r="X247" s="77"/>
      <c r="Y247" s="77"/>
      <c r="Z247" s="77"/>
    </row>
    <row r="248" spans="1:26" ht="63" customHeight="1">
      <c r="A248" s="633" t="s">
        <v>736</v>
      </c>
      <c r="B248" s="635" t="s">
        <v>3099</v>
      </c>
      <c r="C248" s="506">
        <v>0.5</v>
      </c>
      <c r="D248" s="506">
        <v>1</v>
      </c>
      <c r="E248" s="506">
        <v>0</v>
      </c>
      <c r="F248" s="506">
        <v>1</v>
      </c>
      <c r="G248" s="506">
        <v>0.5</v>
      </c>
      <c r="H248" s="506">
        <v>0</v>
      </c>
      <c r="I248" s="454" t="s">
        <v>240</v>
      </c>
      <c r="J248" s="507" t="s">
        <v>4559</v>
      </c>
      <c r="K248" s="507" t="s">
        <v>4560</v>
      </c>
      <c r="L248" s="507" t="s">
        <v>748</v>
      </c>
      <c r="M248" s="507" t="s">
        <v>4561</v>
      </c>
      <c r="N248" s="608" t="s">
        <v>4562</v>
      </c>
      <c r="O248" s="507" t="s">
        <v>4563</v>
      </c>
      <c r="P248" s="77"/>
      <c r="Q248" s="77"/>
      <c r="R248" s="77"/>
      <c r="S248" s="77"/>
      <c r="T248" s="77"/>
      <c r="U248" s="77"/>
      <c r="V248" s="77"/>
      <c r="W248" s="77"/>
      <c r="X248" s="77"/>
      <c r="Y248" s="77"/>
      <c r="Z248" s="77"/>
    </row>
    <row r="249" spans="1:26" ht="19.5" customHeight="1">
      <c r="A249" s="317"/>
      <c r="B249" s="335"/>
      <c r="C249" s="77"/>
      <c r="D249" s="77"/>
      <c r="E249" s="77"/>
      <c r="F249" s="77"/>
      <c r="G249" s="77"/>
      <c r="H249" s="77"/>
      <c r="I249" s="632"/>
      <c r="J249" s="87"/>
      <c r="K249" s="75"/>
      <c r="L249" s="354"/>
      <c r="M249" s="75"/>
      <c r="N249" s="640"/>
      <c r="O249" s="75"/>
      <c r="P249" s="77"/>
      <c r="Q249" s="77"/>
      <c r="R249" s="77"/>
      <c r="S249" s="77"/>
      <c r="T249" s="77"/>
      <c r="U249" s="77"/>
      <c r="V249" s="77"/>
      <c r="W249" s="77"/>
      <c r="X249" s="77"/>
      <c r="Y249" s="77"/>
      <c r="Z249" s="77"/>
    </row>
    <row r="250" spans="1:26" ht="47.25" customHeight="1">
      <c r="A250" s="633" t="s">
        <v>736</v>
      </c>
      <c r="B250" s="635" t="s">
        <v>375</v>
      </c>
      <c r="C250" s="506">
        <v>1</v>
      </c>
      <c r="D250" s="506">
        <v>1</v>
      </c>
      <c r="E250" s="506">
        <v>1</v>
      </c>
      <c r="F250" s="506">
        <v>1</v>
      </c>
      <c r="G250" s="506">
        <v>1</v>
      </c>
      <c r="H250" s="506">
        <v>1</v>
      </c>
      <c r="I250" s="454" t="s">
        <v>38</v>
      </c>
      <c r="J250" s="507" t="s">
        <v>4564</v>
      </c>
      <c r="K250" s="507" t="s">
        <v>4565</v>
      </c>
      <c r="L250" s="507" t="s">
        <v>3107</v>
      </c>
      <c r="M250" s="507" t="s">
        <v>4566</v>
      </c>
      <c r="N250" s="507" t="s">
        <v>3108</v>
      </c>
      <c r="O250" s="507" t="s">
        <v>4567</v>
      </c>
      <c r="P250" s="77"/>
      <c r="Q250" s="77"/>
      <c r="R250" s="77"/>
      <c r="S250" s="77"/>
      <c r="T250" s="77"/>
      <c r="U250" s="77"/>
      <c r="V250" s="77"/>
      <c r="W250" s="77"/>
      <c r="X250" s="77"/>
      <c r="Y250" s="77"/>
      <c r="Z250" s="77"/>
    </row>
    <row r="251" spans="1:26" ht="13.5" customHeight="1">
      <c r="A251" s="2"/>
      <c r="B251" s="952"/>
      <c r="C251" s="271"/>
      <c r="D251" s="271"/>
      <c r="E251" s="271"/>
      <c r="F251" s="271"/>
      <c r="G251" s="271"/>
      <c r="H251" s="271"/>
      <c r="I251" s="485"/>
      <c r="J251" s="291"/>
      <c r="K251" s="953"/>
      <c r="L251" s="953"/>
      <c r="M251" s="291"/>
      <c r="N251" s="953"/>
      <c r="O251" s="953"/>
      <c r="P251" s="15"/>
      <c r="Q251" s="15"/>
      <c r="R251" s="15"/>
      <c r="S251" s="15"/>
      <c r="T251" s="15"/>
      <c r="U251" s="15"/>
      <c r="V251" s="15"/>
      <c r="W251" s="15"/>
      <c r="X251" s="15"/>
      <c r="Y251" s="15"/>
      <c r="Z251" s="15"/>
    </row>
    <row r="252" spans="1:26" ht="41.25" customHeight="1">
      <c r="A252" s="633" t="s">
        <v>736</v>
      </c>
      <c r="B252" s="635" t="s">
        <v>3110</v>
      </c>
      <c r="C252" s="506">
        <v>1</v>
      </c>
      <c r="D252" s="506">
        <v>1</v>
      </c>
      <c r="E252" s="506">
        <v>1</v>
      </c>
      <c r="F252" s="506">
        <v>1</v>
      </c>
      <c r="G252" s="506">
        <v>1</v>
      </c>
      <c r="H252" s="506">
        <v>1</v>
      </c>
      <c r="I252" s="454" t="s">
        <v>38</v>
      </c>
      <c r="J252" s="507" t="s">
        <v>4568</v>
      </c>
      <c r="K252" s="507" t="s">
        <v>4569</v>
      </c>
      <c r="L252" s="507" t="s">
        <v>3113</v>
      </c>
      <c r="M252" s="507" t="s">
        <v>4570</v>
      </c>
      <c r="N252" s="608" t="s">
        <v>4571</v>
      </c>
      <c r="O252" s="507" t="s">
        <v>4572</v>
      </c>
      <c r="P252" s="77"/>
      <c r="Q252" s="77"/>
      <c r="R252" s="77"/>
      <c r="S252" s="77"/>
      <c r="T252" s="77"/>
      <c r="U252" s="77"/>
      <c r="V252" s="77"/>
      <c r="W252" s="77"/>
      <c r="X252" s="77"/>
      <c r="Y252" s="77"/>
      <c r="Z252" s="77"/>
    </row>
    <row r="253" spans="1:26" ht="13.5" customHeight="1">
      <c r="A253" s="2"/>
      <c r="B253" s="952"/>
      <c r="C253" s="271"/>
      <c r="D253" s="271"/>
      <c r="E253" s="271"/>
      <c r="F253" s="271"/>
      <c r="G253" s="271"/>
      <c r="H253" s="271"/>
      <c r="I253" s="485"/>
      <c r="J253" s="291"/>
      <c r="K253" s="953"/>
      <c r="L253" s="953"/>
      <c r="M253" s="291"/>
      <c r="N253" s="953"/>
      <c r="O253" s="953"/>
      <c r="P253" s="15"/>
      <c r="Q253" s="15"/>
      <c r="R253" s="15"/>
      <c r="S253" s="15"/>
      <c r="T253" s="15"/>
      <c r="U253" s="15"/>
      <c r="V253" s="15"/>
      <c r="W253" s="15"/>
      <c r="X253" s="15"/>
      <c r="Y253" s="15"/>
      <c r="Z253" s="15"/>
    </row>
    <row r="254" spans="1:26" ht="32.25" customHeight="1">
      <c r="A254" s="633" t="s">
        <v>736</v>
      </c>
      <c r="B254" s="635" t="s">
        <v>3117</v>
      </c>
      <c r="C254" s="506">
        <v>1</v>
      </c>
      <c r="D254" s="506">
        <v>1</v>
      </c>
      <c r="E254" s="506">
        <v>1</v>
      </c>
      <c r="F254" s="506">
        <v>1</v>
      </c>
      <c r="G254" s="506">
        <v>1</v>
      </c>
      <c r="H254" s="506">
        <v>1</v>
      </c>
      <c r="I254" s="454" t="s">
        <v>38</v>
      </c>
      <c r="J254" s="507" t="s">
        <v>4573</v>
      </c>
      <c r="K254" s="507" t="s">
        <v>4574</v>
      </c>
      <c r="L254" s="507" t="s">
        <v>4575</v>
      </c>
      <c r="M254" s="507" t="s">
        <v>4576</v>
      </c>
      <c r="N254" s="507" t="s">
        <v>4577</v>
      </c>
      <c r="O254" s="507" t="s">
        <v>4578</v>
      </c>
      <c r="P254" s="77"/>
      <c r="Q254" s="77"/>
      <c r="R254" s="77"/>
      <c r="S254" s="77"/>
      <c r="T254" s="77"/>
      <c r="U254" s="77"/>
      <c r="V254" s="77"/>
      <c r="W254" s="77"/>
      <c r="X254" s="77"/>
      <c r="Y254" s="77"/>
      <c r="Z254" s="77"/>
    </row>
    <row r="255" spans="1:26" ht="13.5" customHeight="1">
      <c r="A255" s="2"/>
      <c r="B255" s="952"/>
      <c r="C255" s="271"/>
      <c r="D255" s="271"/>
      <c r="E255" s="271"/>
      <c r="F255" s="271"/>
      <c r="G255" s="271"/>
      <c r="H255" s="271"/>
      <c r="I255" s="485"/>
      <c r="J255" s="291"/>
      <c r="K255" s="953"/>
      <c r="L255" s="953"/>
      <c r="M255" s="291"/>
      <c r="N255" s="953"/>
      <c r="O255" s="953"/>
      <c r="P255" s="15"/>
      <c r="Q255" s="15"/>
      <c r="R255" s="15"/>
      <c r="S255" s="15"/>
      <c r="T255" s="15"/>
      <c r="U255" s="15"/>
      <c r="V255" s="15"/>
      <c r="W255" s="15"/>
      <c r="X255" s="15"/>
      <c r="Y255" s="15"/>
      <c r="Z255" s="15"/>
    </row>
    <row r="256" spans="1:26" ht="52.5" customHeight="1">
      <c r="A256" s="633" t="s">
        <v>736</v>
      </c>
      <c r="B256" s="635" t="s">
        <v>378</v>
      </c>
      <c r="C256" s="506">
        <v>1</v>
      </c>
      <c r="D256" s="506">
        <v>1</v>
      </c>
      <c r="E256" s="506">
        <v>1</v>
      </c>
      <c r="F256" s="506">
        <v>1</v>
      </c>
      <c r="G256" s="506">
        <v>1</v>
      </c>
      <c r="H256" s="506">
        <v>0.5</v>
      </c>
      <c r="I256" s="454" t="s">
        <v>38</v>
      </c>
      <c r="J256" s="507" t="s">
        <v>4579</v>
      </c>
      <c r="K256" s="507" t="s">
        <v>4580</v>
      </c>
      <c r="L256" s="507" t="s">
        <v>4581</v>
      </c>
      <c r="M256" s="507" t="s">
        <v>1247</v>
      </c>
      <c r="N256" s="507" t="s">
        <v>4582</v>
      </c>
      <c r="O256" s="507" t="s">
        <v>3126</v>
      </c>
      <c r="P256" s="77"/>
      <c r="Q256" s="77"/>
      <c r="R256" s="77"/>
      <c r="S256" s="77"/>
      <c r="T256" s="77"/>
      <c r="U256" s="77"/>
      <c r="V256" s="77"/>
      <c r="W256" s="77"/>
      <c r="X256" s="77"/>
      <c r="Y256" s="77"/>
      <c r="Z256" s="77"/>
    </row>
    <row r="257" spans="1:26" ht="24.75" customHeight="1">
      <c r="A257" s="317"/>
      <c r="B257" s="335"/>
      <c r="C257" s="87"/>
      <c r="D257" s="87"/>
      <c r="E257" s="87"/>
      <c r="F257" s="87"/>
      <c r="G257" s="87"/>
      <c r="H257" s="87"/>
      <c r="I257" s="632"/>
      <c r="J257" s="75"/>
      <c r="K257" s="75"/>
      <c r="L257" s="75"/>
      <c r="M257" s="75"/>
      <c r="N257" s="75"/>
      <c r="O257" s="75"/>
      <c r="P257" s="77"/>
      <c r="Q257" s="77"/>
      <c r="R257" s="77"/>
      <c r="S257" s="77"/>
      <c r="T257" s="77"/>
      <c r="U257" s="77"/>
      <c r="V257" s="77"/>
      <c r="W257" s="77"/>
      <c r="X257" s="77"/>
      <c r="Y257" s="77"/>
      <c r="Z257" s="77"/>
    </row>
    <row r="258" spans="1:26" ht="54" customHeight="1">
      <c r="A258" s="633" t="s">
        <v>736</v>
      </c>
      <c r="B258" s="635" t="s">
        <v>379</v>
      </c>
      <c r="C258" s="506">
        <v>1</v>
      </c>
      <c r="D258" s="506">
        <v>1</v>
      </c>
      <c r="E258" s="506">
        <v>0</v>
      </c>
      <c r="F258" s="506">
        <v>0</v>
      </c>
      <c r="G258" s="506">
        <v>1</v>
      </c>
      <c r="H258" s="506">
        <v>1</v>
      </c>
      <c r="I258" s="454" t="s">
        <v>38</v>
      </c>
      <c r="J258" s="507" t="s">
        <v>4583</v>
      </c>
      <c r="K258" s="507" t="s">
        <v>4584</v>
      </c>
      <c r="L258" s="507" t="s">
        <v>748</v>
      </c>
      <c r="M258" s="507" t="s">
        <v>3136</v>
      </c>
      <c r="N258" s="507" t="s">
        <v>3130</v>
      </c>
      <c r="O258" s="507" t="s">
        <v>4585</v>
      </c>
      <c r="P258" s="77"/>
      <c r="Q258" s="77"/>
      <c r="R258" s="77"/>
      <c r="S258" s="77"/>
      <c r="T258" s="77"/>
      <c r="U258" s="77"/>
      <c r="V258" s="77"/>
      <c r="W258" s="77"/>
      <c r="X258" s="77"/>
      <c r="Y258" s="77"/>
      <c r="Z258" s="77"/>
    </row>
    <row r="259" spans="1:26" ht="13.5" customHeight="1">
      <c r="A259" s="2"/>
      <c r="B259" s="952"/>
      <c r="C259" s="271"/>
      <c r="D259" s="271"/>
      <c r="E259" s="271"/>
      <c r="F259" s="271"/>
      <c r="G259" s="271"/>
      <c r="H259" s="271"/>
      <c r="I259" s="485"/>
      <c r="J259" s="291"/>
      <c r="K259" s="953"/>
      <c r="L259" s="953"/>
      <c r="M259" s="291"/>
      <c r="N259" s="953"/>
      <c r="O259" s="953"/>
      <c r="P259" s="15"/>
      <c r="Q259" s="15"/>
      <c r="R259" s="15"/>
      <c r="S259" s="15"/>
      <c r="T259" s="15"/>
      <c r="U259" s="15"/>
      <c r="V259" s="15"/>
      <c r="W259" s="15"/>
      <c r="X259" s="15"/>
      <c r="Y259" s="15"/>
      <c r="Z259" s="15"/>
    </row>
    <row r="260" spans="1:26" ht="31.5" customHeight="1">
      <c r="A260" s="633" t="s">
        <v>736</v>
      </c>
      <c r="B260" s="635" t="s">
        <v>3132</v>
      </c>
      <c r="C260" s="506">
        <v>1</v>
      </c>
      <c r="D260" s="506">
        <v>1</v>
      </c>
      <c r="E260" s="506">
        <v>0</v>
      </c>
      <c r="F260" s="506">
        <v>0.5</v>
      </c>
      <c r="G260" s="506">
        <v>1</v>
      </c>
      <c r="H260" s="506">
        <v>0.5</v>
      </c>
      <c r="I260" s="454" t="s">
        <v>240</v>
      </c>
      <c r="J260" s="507" t="s">
        <v>4586</v>
      </c>
      <c r="K260" s="507" t="s">
        <v>811</v>
      </c>
      <c r="L260" s="507" t="s">
        <v>748</v>
      </c>
      <c r="M260" s="507" t="s">
        <v>4587</v>
      </c>
      <c r="N260" s="507" t="s">
        <v>4588</v>
      </c>
      <c r="O260" s="507" t="s">
        <v>4589</v>
      </c>
      <c r="P260" s="77"/>
      <c r="Q260" s="77"/>
      <c r="R260" s="77"/>
      <c r="S260" s="77"/>
      <c r="T260" s="77"/>
      <c r="U260" s="77"/>
      <c r="V260" s="77"/>
      <c r="W260" s="77"/>
      <c r="X260" s="77"/>
      <c r="Y260" s="77"/>
      <c r="Z260" s="77"/>
    </row>
    <row r="261" spans="1:26" ht="13.5" customHeight="1">
      <c r="A261" s="317"/>
      <c r="B261" s="335"/>
      <c r="C261" s="87"/>
      <c r="D261" s="87"/>
      <c r="E261" s="87"/>
      <c r="F261" s="908"/>
      <c r="G261" s="87"/>
      <c r="H261" s="87"/>
      <c r="I261" s="632"/>
      <c r="J261" s="75"/>
      <c r="K261" s="75"/>
      <c r="L261" s="75"/>
      <c r="M261" s="75"/>
      <c r="N261" s="75"/>
      <c r="O261" s="521"/>
      <c r="P261" s="77"/>
      <c r="Q261" s="77"/>
      <c r="R261" s="77"/>
      <c r="S261" s="77"/>
      <c r="T261" s="77"/>
      <c r="U261" s="77"/>
      <c r="V261" s="77"/>
      <c r="W261" s="77"/>
      <c r="X261" s="77"/>
      <c r="Y261" s="77"/>
      <c r="Z261" s="77"/>
    </row>
    <row r="262" spans="1:26" ht="53.25" customHeight="1">
      <c r="A262" s="633" t="s">
        <v>736</v>
      </c>
      <c r="B262" s="635" t="s">
        <v>381</v>
      </c>
      <c r="C262" s="506">
        <v>1</v>
      </c>
      <c r="D262" s="506">
        <v>1</v>
      </c>
      <c r="E262" s="506">
        <v>1</v>
      </c>
      <c r="F262" s="506">
        <v>0</v>
      </c>
      <c r="G262" s="506">
        <v>1</v>
      </c>
      <c r="H262" s="506">
        <v>0.5</v>
      </c>
      <c r="I262" s="454" t="s">
        <v>240</v>
      </c>
      <c r="J262" s="507" t="s">
        <v>4590</v>
      </c>
      <c r="K262" s="507" t="s">
        <v>4591</v>
      </c>
      <c r="L262" s="507" t="s">
        <v>3140</v>
      </c>
      <c r="M262" s="507" t="s">
        <v>3141</v>
      </c>
      <c r="N262" s="507" t="s">
        <v>4592</v>
      </c>
      <c r="O262" s="507" t="s">
        <v>4593</v>
      </c>
      <c r="P262" s="77"/>
      <c r="Q262" s="77"/>
      <c r="R262" s="77"/>
      <c r="S262" s="77"/>
      <c r="T262" s="77"/>
      <c r="U262" s="77"/>
      <c r="V262" s="77"/>
      <c r="W262" s="77"/>
      <c r="X262" s="77"/>
      <c r="Y262" s="77"/>
      <c r="Z262" s="77"/>
    </row>
    <row r="263" spans="1:26" ht="13.5" customHeight="1">
      <c r="A263" s="2"/>
      <c r="B263" s="952"/>
      <c r="C263" s="271"/>
      <c r="D263" s="271"/>
      <c r="E263" s="271"/>
      <c r="F263" s="271"/>
      <c r="G263" s="271"/>
      <c r="H263" s="271"/>
      <c r="I263" s="485"/>
      <c r="J263" s="291"/>
      <c r="K263" s="953"/>
      <c r="L263" s="953"/>
      <c r="M263" s="291"/>
      <c r="N263" s="953"/>
      <c r="O263" s="953"/>
      <c r="P263" s="15"/>
      <c r="Q263" s="15"/>
      <c r="R263" s="15"/>
      <c r="S263" s="15"/>
      <c r="T263" s="15"/>
      <c r="U263" s="15"/>
      <c r="V263" s="15"/>
      <c r="W263" s="15"/>
      <c r="X263" s="15"/>
      <c r="Y263" s="15"/>
      <c r="Z263" s="15"/>
    </row>
    <row r="264" spans="1:26" ht="64.5" customHeight="1">
      <c r="A264" s="633" t="s">
        <v>736</v>
      </c>
      <c r="B264" s="635" t="s">
        <v>382</v>
      </c>
      <c r="C264" s="506">
        <v>0</v>
      </c>
      <c r="D264" s="506">
        <v>1</v>
      </c>
      <c r="E264" s="506">
        <v>0</v>
      </c>
      <c r="F264" s="506">
        <v>0</v>
      </c>
      <c r="G264" s="994">
        <v>0.5</v>
      </c>
      <c r="H264" s="506">
        <v>0</v>
      </c>
      <c r="I264" s="454" t="s">
        <v>38</v>
      </c>
      <c r="J264" s="507" t="s">
        <v>4594</v>
      </c>
      <c r="K264" s="507" t="s">
        <v>4595</v>
      </c>
      <c r="L264" s="507" t="s">
        <v>748</v>
      </c>
      <c r="M264" s="507" t="s">
        <v>3147</v>
      </c>
      <c r="N264" s="507" t="s">
        <v>3148</v>
      </c>
      <c r="O264" s="507" t="s">
        <v>4596</v>
      </c>
      <c r="P264" s="77"/>
      <c r="Q264" s="77"/>
      <c r="R264" s="77"/>
      <c r="S264" s="77"/>
      <c r="T264" s="77"/>
      <c r="U264" s="77"/>
      <c r="V264" s="77"/>
      <c r="W264" s="77"/>
      <c r="X264" s="77"/>
      <c r="Y264" s="77"/>
      <c r="Z264" s="77"/>
    </row>
    <row r="265" spans="1:26" ht="13.5" customHeight="1">
      <c r="A265" s="2"/>
      <c r="B265" s="952"/>
      <c r="C265" s="271"/>
      <c r="D265" s="271"/>
      <c r="E265" s="271"/>
      <c r="F265" s="271"/>
      <c r="G265" s="271"/>
      <c r="H265" s="271"/>
      <c r="I265" s="485"/>
      <c r="J265" s="291"/>
      <c r="K265" s="953"/>
      <c r="L265" s="953"/>
      <c r="M265" s="291"/>
      <c r="N265" s="953"/>
      <c r="O265" s="953"/>
      <c r="P265" s="15"/>
      <c r="Q265" s="15"/>
      <c r="R265" s="15"/>
      <c r="S265" s="15"/>
      <c r="T265" s="15"/>
      <c r="U265" s="15"/>
      <c r="V265" s="15"/>
      <c r="W265" s="15"/>
      <c r="X265" s="15"/>
      <c r="Y265" s="15"/>
      <c r="Z265" s="15"/>
    </row>
    <row r="266" spans="1:26" ht="76.5" customHeight="1">
      <c r="A266" s="633" t="s">
        <v>736</v>
      </c>
      <c r="B266" s="635" t="s">
        <v>383</v>
      </c>
      <c r="C266" s="506">
        <v>0.5</v>
      </c>
      <c r="D266" s="506">
        <v>0</v>
      </c>
      <c r="E266" s="506">
        <v>0</v>
      </c>
      <c r="F266" s="506">
        <v>0</v>
      </c>
      <c r="G266" s="506">
        <v>0</v>
      </c>
      <c r="H266" s="506">
        <v>0.5</v>
      </c>
      <c r="I266" s="454" t="s">
        <v>240</v>
      </c>
      <c r="J266" s="507" t="s">
        <v>4597</v>
      </c>
      <c r="K266" s="507" t="s">
        <v>4598</v>
      </c>
      <c r="L266" s="507" t="s">
        <v>748</v>
      </c>
      <c r="M266" s="507" t="s">
        <v>4599</v>
      </c>
      <c r="N266" s="507" t="s">
        <v>4600</v>
      </c>
      <c r="O266" s="507" t="s">
        <v>4601</v>
      </c>
      <c r="P266" s="77"/>
      <c r="Q266" s="77"/>
      <c r="R266" s="77"/>
      <c r="S266" s="77"/>
      <c r="T266" s="77"/>
      <c r="U266" s="77"/>
      <c r="V266" s="77"/>
      <c r="W266" s="77"/>
      <c r="X266" s="77"/>
      <c r="Y266" s="77"/>
      <c r="Z266" s="77"/>
    </row>
    <row r="267" spans="1:26" ht="13.5" customHeight="1">
      <c r="A267" s="2"/>
      <c r="B267" s="952"/>
      <c r="C267" s="271"/>
      <c r="D267" s="271"/>
      <c r="E267" s="271"/>
      <c r="F267" s="271"/>
      <c r="G267" s="271"/>
      <c r="H267" s="271"/>
      <c r="I267" s="485"/>
      <c r="J267" s="291"/>
      <c r="K267" s="953"/>
      <c r="L267" s="953"/>
      <c r="M267" s="291"/>
      <c r="N267" s="953"/>
      <c r="O267" s="953"/>
      <c r="P267" s="15"/>
      <c r="Q267" s="15"/>
      <c r="R267" s="15"/>
      <c r="S267" s="15"/>
      <c r="T267" s="15"/>
      <c r="U267" s="15"/>
      <c r="V267" s="15"/>
      <c r="W267" s="15"/>
      <c r="X267" s="15"/>
      <c r="Y267" s="15"/>
      <c r="Z267" s="15"/>
    </row>
    <row r="268" spans="1:26" ht="28.5" customHeight="1">
      <c r="A268" s="647" t="s">
        <v>1277</v>
      </c>
      <c r="B268" s="628" t="s">
        <v>385</v>
      </c>
      <c r="C268" s="648">
        <f t="shared" ref="C268:H268" si="44">AVERAGE(C269,C292,C299,C304,C339)</f>
        <v>0.43344028520499106</v>
      </c>
      <c r="D268" s="648">
        <f t="shared" si="44"/>
        <v>0.6709090909090909</v>
      </c>
      <c r="E268" s="648">
        <f t="shared" si="44"/>
        <v>0.24042780748663101</v>
      </c>
      <c r="F268" s="648">
        <f t="shared" si="44"/>
        <v>0.48912655971479502</v>
      </c>
      <c r="G268" s="648">
        <f t="shared" si="44"/>
        <v>0.60691622103386811</v>
      </c>
      <c r="H268" s="648">
        <f t="shared" si="44"/>
        <v>0.52217468805704104</v>
      </c>
      <c r="I268" s="307"/>
      <c r="J268" s="498"/>
      <c r="K268" s="498"/>
      <c r="L268" s="655"/>
      <c r="M268" s="499"/>
      <c r="N268" s="656"/>
      <c r="O268" s="498"/>
      <c r="P268" s="501"/>
      <c r="Q268" s="501"/>
      <c r="R268" s="501"/>
      <c r="S268" s="501"/>
      <c r="T268" s="501"/>
      <c r="U268" s="501"/>
      <c r="V268" s="501"/>
      <c r="W268" s="501"/>
      <c r="X268" s="501"/>
      <c r="Y268" s="501"/>
      <c r="Z268" s="501"/>
    </row>
    <row r="269" spans="1:26" ht="34.5" customHeight="1">
      <c r="A269" s="657" t="s">
        <v>1278</v>
      </c>
      <c r="B269" s="628" t="s">
        <v>387</v>
      </c>
      <c r="C269" s="659">
        <f t="shared" ref="C269:H269" si="45">AVERAGE(C270,C272,C274,C276,C278,C280,C282,C284,C286,C288,C290)</f>
        <v>0.81818181818181823</v>
      </c>
      <c r="D269" s="659">
        <f t="shared" si="45"/>
        <v>0.95454545454545459</v>
      </c>
      <c r="E269" s="659">
        <f t="shared" si="45"/>
        <v>0.27272727272727271</v>
      </c>
      <c r="F269" s="659">
        <f t="shared" si="45"/>
        <v>0.81818181818181823</v>
      </c>
      <c r="G269" s="659">
        <f t="shared" si="45"/>
        <v>0.90909090909090906</v>
      </c>
      <c r="H269" s="659">
        <f t="shared" si="45"/>
        <v>0.63636363636363635</v>
      </c>
      <c r="I269" s="632"/>
      <c r="J269" s="506"/>
      <c r="K269" s="506"/>
      <c r="L269" s="553"/>
      <c r="M269" s="507"/>
      <c r="N269" s="629"/>
      <c r="O269" s="506"/>
      <c r="P269" s="509"/>
      <c r="Q269" s="509"/>
      <c r="R269" s="509"/>
      <c r="S269" s="509"/>
      <c r="T269" s="509"/>
      <c r="U269" s="509"/>
      <c r="V269" s="509"/>
      <c r="W269" s="509"/>
      <c r="X269" s="509"/>
      <c r="Y269" s="509"/>
      <c r="Z269" s="509"/>
    </row>
    <row r="270" spans="1:26" ht="33" customHeight="1">
      <c r="A270" s="633" t="s">
        <v>736</v>
      </c>
      <c r="B270" s="635" t="s">
        <v>388</v>
      </c>
      <c r="C270" s="506">
        <v>1</v>
      </c>
      <c r="D270" s="506">
        <v>1</v>
      </c>
      <c r="E270" s="506">
        <v>1</v>
      </c>
      <c r="F270" s="506">
        <v>1</v>
      </c>
      <c r="G270" s="506">
        <v>1</v>
      </c>
      <c r="H270" s="506">
        <v>1</v>
      </c>
      <c r="I270" s="454" t="s">
        <v>38</v>
      </c>
      <c r="J270" s="507" t="s">
        <v>4602</v>
      </c>
      <c r="K270" s="507" t="s">
        <v>4603</v>
      </c>
      <c r="L270" s="507" t="s">
        <v>3156</v>
      </c>
      <c r="M270" s="507" t="s">
        <v>4604</v>
      </c>
      <c r="N270" s="507" t="s">
        <v>3157</v>
      </c>
      <c r="O270" s="507" t="s">
        <v>1283</v>
      </c>
      <c r="P270" s="77"/>
      <c r="Q270" s="77"/>
      <c r="R270" s="77"/>
      <c r="S270" s="77"/>
      <c r="T270" s="77"/>
      <c r="U270" s="77"/>
      <c r="V270" s="77"/>
      <c r="W270" s="77"/>
      <c r="X270" s="77"/>
      <c r="Y270" s="77"/>
      <c r="Z270" s="77"/>
    </row>
    <row r="271" spans="1:26" ht="13.5" customHeight="1">
      <c r="A271" s="2"/>
      <c r="B271" s="952"/>
      <c r="C271" s="271"/>
      <c r="D271" s="271"/>
      <c r="E271" s="271"/>
      <c r="F271" s="271"/>
      <c r="G271" s="271"/>
      <c r="H271" s="271"/>
      <c r="I271" s="485"/>
      <c r="J271" s="291"/>
      <c r="K271" s="953"/>
      <c r="L271" s="953"/>
      <c r="M271" s="291"/>
      <c r="N271" s="953"/>
      <c r="O271" s="953"/>
      <c r="P271" s="15"/>
      <c r="Q271" s="15"/>
      <c r="R271" s="15"/>
      <c r="S271" s="15"/>
      <c r="T271" s="15"/>
      <c r="U271" s="15"/>
      <c r="V271" s="15"/>
      <c r="W271" s="15"/>
      <c r="X271" s="15"/>
      <c r="Y271" s="15"/>
      <c r="Z271" s="15"/>
    </row>
    <row r="272" spans="1:26" ht="33" customHeight="1">
      <c r="A272" s="633" t="s">
        <v>736</v>
      </c>
      <c r="B272" s="635" t="s">
        <v>389</v>
      </c>
      <c r="C272" s="506">
        <v>0.5</v>
      </c>
      <c r="D272" s="506">
        <v>1</v>
      </c>
      <c r="E272" s="506">
        <v>1</v>
      </c>
      <c r="F272" s="506">
        <v>1</v>
      </c>
      <c r="G272" s="506">
        <v>1</v>
      </c>
      <c r="H272" s="506">
        <v>1</v>
      </c>
      <c r="I272" s="454" t="s">
        <v>240</v>
      </c>
      <c r="J272" s="507" t="s">
        <v>4605</v>
      </c>
      <c r="K272" s="507" t="s">
        <v>811</v>
      </c>
      <c r="L272" s="507" t="s">
        <v>811</v>
      </c>
      <c r="M272" s="507" t="s">
        <v>4606</v>
      </c>
      <c r="N272" s="507" t="s">
        <v>1286</v>
      </c>
      <c r="O272" s="507" t="s">
        <v>1287</v>
      </c>
      <c r="P272" s="77"/>
      <c r="Q272" s="77"/>
      <c r="R272" s="77"/>
      <c r="S272" s="77"/>
      <c r="T272" s="77"/>
      <c r="U272" s="77"/>
      <c r="V272" s="77"/>
      <c r="W272" s="77"/>
      <c r="X272" s="77"/>
      <c r="Y272" s="77"/>
      <c r="Z272" s="77"/>
    </row>
    <row r="273" spans="1:26" ht="13.5" customHeight="1">
      <c r="A273" s="2"/>
      <c r="B273" s="952"/>
      <c r="C273" s="271"/>
      <c r="D273" s="271"/>
      <c r="E273" s="271"/>
      <c r="F273" s="271"/>
      <c r="G273" s="271"/>
      <c r="H273" s="271"/>
      <c r="I273" s="485"/>
      <c r="J273" s="291"/>
      <c r="K273" s="953"/>
      <c r="L273" s="953"/>
      <c r="M273" s="291"/>
      <c r="N273" s="953"/>
      <c r="O273" s="953"/>
      <c r="P273" s="15"/>
      <c r="Q273" s="15"/>
      <c r="R273" s="15"/>
      <c r="S273" s="15"/>
      <c r="T273" s="15"/>
      <c r="U273" s="15"/>
      <c r="V273" s="15"/>
      <c r="W273" s="15"/>
      <c r="X273" s="15"/>
      <c r="Y273" s="15"/>
      <c r="Z273" s="15"/>
    </row>
    <row r="274" spans="1:26" ht="42" customHeight="1">
      <c r="A274" s="633" t="s">
        <v>736</v>
      </c>
      <c r="B274" s="635" t="s">
        <v>390</v>
      </c>
      <c r="C274" s="506">
        <v>1</v>
      </c>
      <c r="D274" s="506">
        <v>1</v>
      </c>
      <c r="E274" s="506">
        <v>0</v>
      </c>
      <c r="F274" s="506">
        <v>1</v>
      </c>
      <c r="G274" s="991">
        <v>0.5</v>
      </c>
      <c r="H274" s="506">
        <v>1</v>
      </c>
      <c r="I274" s="454" t="s">
        <v>38</v>
      </c>
      <c r="J274" s="507" t="s">
        <v>4607</v>
      </c>
      <c r="K274" s="507" t="s">
        <v>4608</v>
      </c>
      <c r="L274" s="507" t="s">
        <v>3161</v>
      </c>
      <c r="M274" s="507" t="s">
        <v>3162</v>
      </c>
      <c r="N274" s="507" t="s">
        <v>3163</v>
      </c>
      <c r="O274" s="507" t="s">
        <v>3164</v>
      </c>
      <c r="P274" s="77"/>
      <c r="Q274" s="77"/>
      <c r="R274" s="77"/>
      <c r="S274" s="77"/>
      <c r="T274" s="77"/>
      <c r="U274" s="77"/>
      <c r="V274" s="77"/>
      <c r="W274" s="77"/>
      <c r="X274" s="77"/>
      <c r="Y274" s="77"/>
      <c r="Z274" s="77"/>
    </row>
    <row r="275" spans="1:26" ht="13.5" customHeight="1">
      <c r="A275" s="2"/>
      <c r="B275" s="952"/>
      <c r="C275" s="271"/>
      <c r="D275" s="271"/>
      <c r="E275" s="271"/>
      <c r="F275" s="271"/>
      <c r="G275" s="271"/>
      <c r="H275" s="271"/>
      <c r="I275" s="485"/>
      <c r="J275" s="291"/>
      <c r="K275" s="953"/>
      <c r="L275" s="953"/>
      <c r="M275" s="291"/>
      <c r="N275" s="953"/>
      <c r="O275" s="953"/>
      <c r="P275" s="15"/>
      <c r="Q275" s="15"/>
      <c r="R275" s="15"/>
      <c r="S275" s="15"/>
      <c r="T275" s="15"/>
      <c r="U275" s="15"/>
      <c r="V275" s="15"/>
      <c r="W275" s="15"/>
      <c r="X275" s="15"/>
      <c r="Y275" s="15"/>
      <c r="Z275" s="15"/>
    </row>
    <row r="276" spans="1:26" ht="42.75" customHeight="1">
      <c r="A276" s="666" t="s">
        <v>736</v>
      </c>
      <c r="B276" s="517" t="s">
        <v>3165</v>
      </c>
      <c r="C276" s="506">
        <v>1</v>
      </c>
      <c r="D276" s="506">
        <v>1</v>
      </c>
      <c r="E276" s="506">
        <v>0</v>
      </c>
      <c r="F276" s="506">
        <v>0.5</v>
      </c>
      <c r="G276" s="506">
        <v>1</v>
      </c>
      <c r="H276" s="506">
        <v>1</v>
      </c>
      <c r="I276" s="454" t="s">
        <v>240</v>
      </c>
      <c r="J276" s="507" t="s">
        <v>4609</v>
      </c>
      <c r="K276" s="507" t="s">
        <v>811</v>
      </c>
      <c r="L276" s="507" t="s">
        <v>748</v>
      </c>
      <c r="M276" s="507" t="s">
        <v>4610</v>
      </c>
      <c r="N276" s="507" t="s">
        <v>1296</v>
      </c>
      <c r="O276" s="507" t="s">
        <v>4611</v>
      </c>
      <c r="P276" s="77"/>
      <c r="Q276" s="77"/>
      <c r="R276" s="77"/>
      <c r="S276" s="77"/>
      <c r="T276" s="77"/>
      <c r="U276" s="77"/>
      <c r="V276" s="77"/>
      <c r="W276" s="77"/>
      <c r="X276" s="77"/>
      <c r="Y276" s="77"/>
      <c r="Z276" s="77"/>
    </row>
    <row r="277" spans="1:26" ht="30.75" customHeight="1">
      <c r="A277" s="317"/>
      <c r="B277" s="335"/>
      <c r="C277" s="87"/>
      <c r="D277" s="87"/>
      <c r="E277" s="87"/>
      <c r="F277" s="87"/>
      <c r="G277" s="87"/>
      <c r="H277" s="87"/>
      <c r="I277" s="454"/>
      <c r="J277" s="75"/>
      <c r="K277" s="75"/>
      <c r="L277" s="75"/>
      <c r="M277" s="75"/>
      <c r="N277" s="75"/>
      <c r="O277" s="75"/>
      <c r="P277" s="77"/>
      <c r="Q277" s="77"/>
      <c r="R277" s="77"/>
      <c r="S277" s="77"/>
      <c r="T277" s="77"/>
      <c r="U277" s="77"/>
      <c r="V277" s="77"/>
      <c r="W277" s="77"/>
      <c r="X277" s="77"/>
      <c r="Y277" s="77"/>
      <c r="Z277" s="77"/>
    </row>
    <row r="278" spans="1:26" ht="54" customHeight="1">
      <c r="A278" s="666" t="s">
        <v>736</v>
      </c>
      <c r="B278" s="517" t="s">
        <v>392</v>
      </c>
      <c r="C278" s="506">
        <v>0.5</v>
      </c>
      <c r="D278" s="506">
        <v>1</v>
      </c>
      <c r="E278" s="506">
        <v>0</v>
      </c>
      <c r="F278" s="506">
        <v>1</v>
      </c>
      <c r="G278" s="506">
        <v>1</v>
      </c>
      <c r="H278" s="506">
        <v>0</v>
      </c>
      <c r="I278" s="454" t="s">
        <v>240</v>
      </c>
      <c r="J278" s="507" t="s">
        <v>4612</v>
      </c>
      <c r="K278" s="507" t="s">
        <v>4613</v>
      </c>
      <c r="L278" s="507" t="s">
        <v>3171</v>
      </c>
      <c r="M278" s="507" t="s">
        <v>4614</v>
      </c>
      <c r="N278" s="507" t="s">
        <v>4615</v>
      </c>
      <c r="O278" s="507" t="s">
        <v>4616</v>
      </c>
      <c r="P278" s="77"/>
      <c r="Q278" s="77"/>
      <c r="R278" s="77"/>
      <c r="S278" s="77"/>
      <c r="T278" s="77"/>
      <c r="U278" s="77"/>
      <c r="V278" s="77"/>
      <c r="W278" s="77"/>
      <c r="X278" s="77"/>
      <c r="Y278" s="77"/>
      <c r="Z278" s="77"/>
    </row>
    <row r="279" spans="1:26" ht="13.5" customHeight="1">
      <c r="A279" s="2"/>
      <c r="B279" s="952"/>
      <c r="C279" s="271"/>
      <c r="D279" s="271"/>
      <c r="E279" s="271"/>
      <c r="F279" s="271"/>
      <c r="G279" s="271"/>
      <c r="H279" s="271"/>
      <c r="I279" s="485"/>
      <c r="J279" s="291"/>
      <c r="K279" s="953"/>
      <c r="L279" s="953"/>
      <c r="M279" s="291"/>
      <c r="N279" s="953"/>
      <c r="O279" s="953"/>
      <c r="P279" s="15"/>
      <c r="Q279" s="15"/>
      <c r="R279" s="15"/>
      <c r="S279" s="15"/>
      <c r="T279" s="15"/>
      <c r="U279" s="15"/>
      <c r="V279" s="15"/>
      <c r="W279" s="15"/>
      <c r="X279" s="15"/>
      <c r="Y279" s="15"/>
      <c r="Z279" s="15"/>
    </row>
    <row r="280" spans="1:26" ht="28.5" customHeight="1">
      <c r="A280" s="666" t="s">
        <v>736</v>
      </c>
      <c r="B280" s="517" t="s">
        <v>393</v>
      </c>
      <c r="C280" s="506">
        <v>1</v>
      </c>
      <c r="D280" s="506">
        <v>1</v>
      </c>
      <c r="E280" s="506">
        <v>0</v>
      </c>
      <c r="F280" s="506">
        <v>1</v>
      </c>
      <c r="G280" s="506">
        <v>1</v>
      </c>
      <c r="H280" s="506">
        <v>0</v>
      </c>
      <c r="I280" s="454" t="s">
        <v>123</v>
      </c>
      <c r="J280" s="507" t="s">
        <v>4617</v>
      </c>
      <c r="K280" s="507" t="s">
        <v>811</v>
      </c>
      <c r="L280" s="507" t="s">
        <v>748</v>
      </c>
      <c r="M280" s="507" t="s">
        <v>4618</v>
      </c>
      <c r="N280" s="507" t="s">
        <v>4619</v>
      </c>
      <c r="O280" s="507" t="s">
        <v>4620</v>
      </c>
      <c r="P280" s="77"/>
      <c r="Q280" s="77"/>
      <c r="R280" s="77"/>
      <c r="S280" s="77"/>
      <c r="T280" s="77"/>
      <c r="U280" s="77"/>
      <c r="V280" s="77"/>
      <c r="W280" s="77"/>
      <c r="X280" s="77"/>
      <c r="Y280" s="77"/>
      <c r="Z280" s="77"/>
    </row>
    <row r="281" spans="1:26" ht="13.5" customHeight="1">
      <c r="A281" s="2"/>
      <c r="B281" s="952"/>
      <c r="C281" s="271"/>
      <c r="D281" s="271"/>
      <c r="E281" s="271"/>
      <c r="F281" s="271"/>
      <c r="G281" s="271"/>
      <c r="H281" s="271"/>
      <c r="I281" s="485"/>
      <c r="J281" s="291"/>
      <c r="K281" s="953"/>
      <c r="L281" s="953"/>
      <c r="M281" s="291"/>
      <c r="N281" s="953"/>
      <c r="O281" s="953"/>
      <c r="P281" s="15"/>
      <c r="Q281" s="15"/>
      <c r="R281" s="15"/>
      <c r="S281" s="15"/>
      <c r="T281" s="15"/>
      <c r="U281" s="15"/>
      <c r="V281" s="15"/>
      <c r="W281" s="15"/>
      <c r="X281" s="15"/>
      <c r="Y281" s="15"/>
      <c r="Z281" s="15"/>
    </row>
    <row r="282" spans="1:26" ht="27.75" customHeight="1">
      <c r="A282" s="666" t="s">
        <v>736</v>
      </c>
      <c r="B282" s="517" t="s">
        <v>394</v>
      </c>
      <c r="C282" s="506">
        <v>0.5</v>
      </c>
      <c r="D282" s="506">
        <v>1</v>
      </c>
      <c r="E282" s="506">
        <v>0</v>
      </c>
      <c r="F282" s="506">
        <v>0.5</v>
      </c>
      <c r="G282" s="991">
        <v>1</v>
      </c>
      <c r="H282" s="506">
        <v>0</v>
      </c>
      <c r="I282" s="454" t="s">
        <v>240</v>
      </c>
      <c r="J282" s="507" t="s">
        <v>4621</v>
      </c>
      <c r="K282" s="507" t="s">
        <v>4622</v>
      </c>
      <c r="L282" s="507" t="s">
        <v>748</v>
      </c>
      <c r="M282" s="507" t="s">
        <v>4623</v>
      </c>
      <c r="N282" s="507" t="s">
        <v>4624</v>
      </c>
      <c r="O282" s="507" t="s">
        <v>3181</v>
      </c>
      <c r="P282" s="77"/>
      <c r="Q282" s="77"/>
      <c r="R282" s="77"/>
      <c r="S282" s="77"/>
      <c r="T282" s="77"/>
      <c r="U282" s="77"/>
      <c r="V282" s="77"/>
      <c r="W282" s="77"/>
      <c r="X282" s="77"/>
      <c r="Y282" s="77"/>
      <c r="Z282" s="77"/>
    </row>
    <row r="283" spans="1:26" ht="13.5" customHeight="1">
      <c r="A283" s="2"/>
      <c r="B283" s="952"/>
      <c r="C283" s="271"/>
      <c r="D283" s="271"/>
      <c r="E283" s="271"/>
      <c r="F283" s="271"/>
      <c r="G283" s="271"/>
      <c r="H283" s="271"/>
      <c r="I283" s="485"/>
      <c r="J283" s="291"/>
      <c r="K283" s="953"/>
      <c r="L283" s="953"/>
      <c r="M283" s="291"/>
      <c r="N283" s="953"/>
      <c r="O283" s="953"/>
      <c r="P283" s="15"/>
      <c r="Q283" s="15"/>
      <c r="R283" s="15"/>
      <c r="S283" s="15"/>
      <c r="T283" s="15"/>
      <c r="U283" s="15"/>
      <c r="V283" s="15"/>
      <c r="W283" s="15"/>
      <c r="X283" s="15"/>
      <c r="Y283" s="15"/>
      <c r="Z283" s="15"/>
    </row>
    <row r="284" spans="1:26" ht="32.25" customHeight="1">
      <c r="A284" s="666" t="s">
        <v>736</v>
      </c>
      <c r="B284" s="517" t="s">
        <v>395</v>
      </c>
      <c r="C284" s="506">
        <v>1</v>
      </c>
      <c r="D284" s="506">
        <v>1</v>
      </c>
      <c r="E284" s="506">
        <v>0</v>
      </c>
      <c r="F284" s="506">
        <v>0</v>
      </c>
      <c r="G284" s="506">
        <v>1</v>
      </c>
      <c r="H284" s="506">
        <v>1</v>
      </c>
      <c r="I284" s="454" t="s">
        <v>38</v>
      </c>
      <c r="J284" s="507" t="s">
        <v>4625</v>
      </c>
      <c r="K284" s="507" t="s">
        <v>1134</v>
      </c>
      <c r="L284" s="507" t="s">
        <v>748</v>
      </c>
      <c r="M284" s="507" t="s">
        <v>4626</v>
      </c>
      <c r="N284" s="507" t="s">
        <v>3185</v>
      </c>
      <c r="O284" s="507" t="s">
        <v>3186</v>
      </c>
      <c r="P284" s="77"/>
      <c r="Q284" s="77"/>
      <c r="R284" s="77"/>
      <c r="S284" s="77"/>
      <c r="T284" s="77"/>
      <c r="U284" s="77"/>
      <c r="V284" s="77"/>
      <c r="W284" s="77"/>
      <c r="X284" s="77"/>
      <c r="Y284" s="77"/>
      <c r="Z284" s="77"/>
    </row>
    <row r="285" spans="1:26" ht="13.5" customHeight="1">
      <c r="A285" s="2"/>
      <c r="B285" s="952"/>
      <c r="C285" s="271"/>
      <c r="D285" s="271"/>
      <c r="E285" s="271"/>
      <c r="F285" s="271"/>
      <c r="G285" s="271"/>
      <c r="H285" s="271"/>
      <c r="I285" s="485"/>
      <c r="J285" s="291"/>
      <c r="K285" s="953"/>
      <c r="L285" s="953"/>
      <c r="M285" s="291"/>
      <c r="N285" s="953"/>
      <c r="O285" s="953"/>
      <c r="P285" s="15"/>
      <c r="Q285" s="15"/>
      <c r="R285" s="15"/>
      <c r="S285" s="15"/>
      <c r="T285" s="15"/>
      <c r="U285" s="15"/>
      <c r="V285" s="15"/>
      <c r="W285" s="15"/>
      <c r="X285" s="15"/>
      <c r="Y285" s="15"/>
      <c r="Z285" s="15"/>
    </row>
    <row r="286" spans="1:26" ht="37.5" customHeight="1">
      <c r="A286" s="666" t="s">
        <v>736</v>
      </c>
      <c r="B286" s="517" t="s">
        <v>396</v>
      </c>
      <c r="C286" s="506">
        <v>1</v>
      </c>
      <c r="D286" s="506">
        <v>1</v>
      </c>
      <c r="E286" s="506">
        <v>0</v>
      </c>
      <c r="F286" s="506">
        <v>1</v>
      </c>
      <c r="G286" s="506">
        <v>1</v>
      </c>
      <c r="H286" s="506">
        <v>1</v>
      </c>
      <c r="I286" s="454" t="s">
        <v>38</v>
      </c>
      <c r="J286" s="507" t="s">
        <v>4627</v>
      </c>
      <c r="K286" s="507" t="s">
        <v>4628</v>
      </c>
      <c r="L286" s="507" t="s">
        <v>748</v>
      </c>
      <c r="M286" s="507" t="s">
        <v>3189</v>
      </c>
      <c r="N286" s="507" t="s">
        <v>1319</v>
      </c>
      <c r="O286" s="507" t="s">
        <v>4629</v>
      </c>
      <c r="P286" s="77"/>
      <c r="Q286" s="77"/>
      <c r="R286" s="77"/>
      <c r="S286" s="77"/>
      <c r="T286" s="77"/>
      <c r="U286" s="77"/>
      <c r="V286" s="77"/>
      <c r="W286" s="77"/>
      <c r="X286" s="77"/>
      <c r="Y286" s="77"/>
      <c r="Z286" s="77"/>
    </row>
    <row r="287" spans="1:26" ht="13.5" customHeight="1">
      <c r="A287" s="2"/>
      <c r="B287" s="952"/>
      <c r="C287" s="271"/>
      <c r="D287" s="271"/>
      <c r="E287" s="271"/>
      <c r="F287" s="271"/>
      <c r="G287" s="271"/>
      <c r="H287" s="271"/>
      <c r="I287" s="485"/>
      <c r="J287" s="291"/>
      <c r="K287" s="953"/>
      <c r="L287" s="953"/>
      <c r="M287" s="291"/>
      <c r="N287" s="953"/>
      <c r="O287" s="953"/>
      <c r="P287" s="15"/>
      <c r="Q287" s="15"/>
      <c r="R287" s="15"/>
      <c r="S287" s="15"/>
      <c r="T287" s="15"/>
      <c r="U287" s="15"/>
      <c r="V287" s="15"/>
      <c r="W287" s="15"/>
      <c r="X287" s="15"/>
      <c r="Y287" s="15"/>
      <c r="Z287" s="15"/>
    </row>
    <row r="288" spans="1:26" ht="29.25" customHeight="1">
      <c r="A288" s="666" t="s">
        <v>736</v>
      </c>
      <c r="B288" s="517" t="s">
        <v>397</v>
      </c>
      <c r="C288" s="506">
        <v>1</v>
      </c>
      <c r="D288" s="506">
        <v>1</v>
      </c>
      <c r="E288" s="506">
        <v>1</v>
      </c>
      <c r="F288" s="506">
        <v>1</v>
      </c>
      <c r="G288" s="506">
        <v>1</v>
      </c>
      <c r="H288" s="515">
        <v>0.5</v>
      </c>
      <c r="I288" s="454" t="s">
        <v>38</v>
      </c>
      <c r="J288" s="507" t="s">
        <v>3191</v>
      </c>
      <c r="K288" s="507" t="s">
        <v>811</v>
      </c>
      <c r="L288" s="507" t="s">
        <v>3193</v>
      </c>
      <c r="M288" s="507" t="s">
        <v>4630</v>
      </c>
      <c r="N288" s="507" t="s">
        <v>3195</v>
      </c>
      <c r="O288" s="625" t="s">
        <v>4631</v>
      </c>
      <c r="P288" s="77"/>
      <c r="Q288" s="77"/>
      <c r="R288" s="77"/>
      <c r="S288" s="77"/>
      <c r="T288" s="77"/>
      <c r="U288" s="77"/>
      <c r="V288" s="77"/>
      <c r="W288" s="77"/>
      <c r="X288" s="77"/>
      <c r="Y288" s="77"/>
      <c r="Z288" s="77"/>
    </row>
    <row r="289" spans="1:26" ht="13.5" customHeight="1">
      <c r="A289" s="2"/>
      <c r="B289" s="952"/>
      <c r="C289" s="271"/>
      <c r="D289" s="271"/>
      <c r="E289" s="271"/>
      <c r="F289" s="271"/>
      <c r="G289" s="271"/>
      <c r="H289" s="271"/>
      <c r="I289" s="485"/>
      <c r="J289" s="291"/>
      <c r="K289" s="953"/>
      <c r="L289" s="953"/>
      <c r="M289" s="291"/>
      <c r="N289" s="953"/>
      <c r="O289" s="953"/>
      <c r="P289" s="15"/>
      <c r="Q289" s="15"/>
      <c r="R289" s="15"/>
      <c r="S289" s="15"/>
      <c r="T289" s="15"/>
      <c r="U289" s="15"/>
      <c r="V289" s="15"/>
      <c r="W289" s="15"/>
      <c r="X289" s="15"/>
      <c r="Y289" s="15"/>
      <c r="Z289" s="15"/>
    </row>
    <row r="290" spans="1:26" ht="65.25" customHeight="1">
      <c r="A290" s="666" t="s">
        <v>736</v>
      </c>
      <c r="B290" s="517" t="s">
        <v>398</v>
      </c>
      <c r="C290" s="506">
        <v>0.5</v>
      </c>
      <c r="D290" s="506">
        <v>0.5</v>
      </c>
      <c r="E290" s="506">
        <v>0</v>
      </c>
      <c r="F290" s="506">
        <v>1</v>
      </c>
      <c r="G290" s="506">
        <v>0.5</v>
      </c>
      <c r="H290" s="506">
        <v>0.5</v>
      </c>
      <c r="I290" s="454" t="s">
        <v>240</v>
      </c>
      <c r="J290" s="507" t="s">
        <v>4632</v>
      </c>
      <c r="K290" s="507" t="s">
        <v>4633</v>
      </c>
      <c r="L290" s="507" t="s">
        <v>748</v>
      </c>
      <c r="M290" s="507" t="s">
        <v>4634</v>
      </c>
      <c r="N290" s="507" t="s">
        <v>4635</v>
      </c>
      <c r="O290" s="507" t="s">
        <v>4636</v>
      </c>
      <c r="P290" s="77"/>
      <c r="Q290" s="77"/>
      <c r="R290" s="77"/>
      <c r="S290" s="77"/>
      <c r="T290" s="77"/>
      <c r="U290" s="77"/>
      <c r="V290" s="77"/>
      <c r="W290" s="77"/>
      <c r="X290" s="77"/>
      <c r="Y290" s="77"/>
      <c r="Z290" s="77"/>
    </row>
    <row r="291" spans="1:26" ht="33" customHeight="1">
      <c r="A291" s="317"/>
      <c r="B291" s="335"/>
      <c r="C291" s="87"/>
      <c r="D291" s="87"/>
      <c r="E291" s="87"/>
      <c r="F291" s="87"/>
      <c r="G291" s="87"/>
      <c r="H291" s="87"/>
      <c r="I291" s="454"/>
      <c r="J291" s="75"/>
      <c r="K291" s="75"/>
      <c r="L291" s="75"/>
      <c r="M291" s="75"/>
      <c r="N291" s="75"/>
      <c r="O291" s="75"/>
      <c r="P291" s="77"/>
      <c r="Q291" s="77"/>
      <c r="R291" s="77"/>
      <c r="S291" s="77"/>
      <c r="T291" s="77"/>
      <c r="U291" s="77"/>
      <c r="V291" s="77"/>
      <c r="W291" s="77"/>
      <c r="X291" s="77"/>
      <c r="Y291" s="77"/>
      <c r="Z291" s="77"/>
    </row>
    <row r="292" spans="1:26" ht="13.5" customHeight="1">
      <c r="A292" s="674" t="s">
        <v>1332</v>
      </c>
      <c r="B292" s="628" t="s">
        <v>400</v>
      </c>
      <c r="C292" s="629">
        <f t="shared" ref="C292:H292" si="46">AVERAGE(C293,C295,C297)</f>
        <v>0.66666666666666663</v>
      </c>
      <c r="D292" s="629">
        <f t="shared" si="46"/>
        <v>1</v>
      </c>
      <c r="E292" s="629">
        <f t="shared" si="46"/>
        <v>0</v>
      </c>
      <c r="F292" s="629">
        <f t="shared" si="46"/>
        <v>0.33333333333333331</v>
      </c>
      <c r="G292" s="629">
        <f t="shared" si="46"/>
        <v>0.66666666666666663</v>
      </c>
      <c r="H292" s="629">
        <f t="shared" si="46"/>
        <v>0.83333333333333337</v>
      </c>
      <c r="I292" s="632"/>
      <c r="J292" s="506"/>
      <c r="K292" s="506"/>
      <c r="L292" s="553"/>
      <c r="M292" s="507"/>
      <c r="N292" s="629"/>
      <c r="O292" s="506"/>
      <c r="P292" s="509"/>
      <c r="Q292" s="509"/>
      <c r="R292" s="509"/>
      <c r="S292" s="509"/>
      <c r="T292" s="509"/>
      <c r="U292" s="509"/>
      <c r="V292" s="509"/>
      <c r="W292" s="509"/>
      <c r="X292" s="509"/>
      <c r="Y292" s="509"/>
      <c r="Z292" s="509"/>
    </row>
    <row r="293" spans="1:26" ht="57" customHeight="1">
      <c r="A293" s="666" t="s">
        <v>736</v>
      </c>
      <c r="B293" s="517" t="s">
        <v>3202</v>
      </c>
      <c r="C293" s="506">
        <v>1</v>
      </c>
      <c r="D293" s="506">
        <v>1</v>
      </c>
      <c r="E293" s="506">
        <v>0</v>
      </c>
      <c r="F293" s="506">
        <v>1</v>
      </c>
      <c r="G293" s="506">
        <v>1</v>
      </c>
      <c r="H293" s="506">
        <v>1</v>
      </c>
      <c r="I293" s="454" t="s">
        <v>38</v>
      </c>
      <c r="J293" s="507" t="s">
        <v>4637</v>
      </c>
      <c r="K293" s="507" t="s">
        <v>4638</v>
      </c>
      <c r="L293" s="507" t="s">
        <v>748</v>
      </c>
      <c r="M293" s="507" t="s">
        <v>4639</v>
      </c>
      <c r="N293" s="507" t="s">
        <v>1336</v>
      </c>
      <c r="O293" s="507" t="s">
        <v>4640</v>
      </c>
      <c r="P293" s="77"/>
      <c r="Q293" s="77"/>
      <c r="R293" s="77"/>
      <c r="S293" s="77"/>
      <c r="T293" s="77"/>
      <c r="U293" s="77"/>
      <c r="V293" s="77"/>
      <c r="W293" s="77"/>
      <c r="X293" s="77"/>
      <c r="Y293" s="77"/>
      <c r="Z293" s="77"/>
    </row>
    <row r="294" spans="1:26" ht="13.5" customHeight="1">
      <c r="A294" s="317"/>
      <c r="B294" s="335"/>
      <c r="C294" s="87"/>
      <c r="D294" s="87"/>
      <c r="E294" s="87"/>
      <c r="F294" s="87"/>
      <c r="G294" s="87"/>
      <c r="H294" s="87"/>
      <c r="I294" s="632"/>
      <c r="J294" s="75"/>
      <c r="K294" s="75"/>
      <c r="L294" s="75"/>
      <c r="M294" s="75"/>
      <c r="N294" s="75"/>
      <c r="O294" s="75"/>
      <c r="P294" s="77"/>
      <c r="Q294" s="77"/>
      <c r="R294" s="77"/>
      <c r="S294" s="77"/>
      <c r="T294" s="77"/>
      <c r="U294" s="77"/>
      <c r="V294" s="77"/>
      <c r="W294" s="77"/>
      <c r="X294" s="77"/>
      <c r="Y294" s="77"/>
      <c r="Z294" s="77"/>
    </row>
    <row r="295" spans="1:26" ht="77.25" customHeight="1">
      <c r="A295" s="666" t="s">
        <v>736</v>
      </c>
      <c r="B295" s="517" t="s">
        <v>402</v>
      </c>
      <c r="C295" s="506">
        <v>1</v>
      </c>
      <c r="D295" s="506">
        <v>1</v>
      </c>
      <c r="E295" s="506">
        <v>0</v>
      </c>
      <c r="F295" s="506">
        <v>0</v>
      </c>
      <c r="G295" s="506">
        <v>1</v>
      </c>
      <c r="H295" s="506">
        <v>1</v>
      </c>
      <c r="I295" s="454" t="s">
        <v>38</v>
      </c>
      <c r="J295" s="507" t="s">
        <v>3207</v>
      </c>
      <c r="K295" s="507" t="s">
        <v>4641</v>
      </c>
      <c r="L295" s="507" t="s">
        <v>748</v>
      </c>
      <c r="M295" s="507" t="s">
        <v>4642</v>
      </c>
      <c r="N295" s="507" t="s">
        <v>811</v>
      </c>
      <c r="O295" s="507" t="s">
        <v>4643</v>
      </c>
      <c r="P295" s="77"/>
      <c r="Q295" s="77"/>
      <c r="R295" s="77"/>
      <c r="S295" s="77"/>
      <c r="T295" s="77"/>
      <c r="U295" s="77"/>
      <c r="V295" s="77"/>
      <c r="W295" s="77"/>
      <c r="X295" s="77"/>
      <c r="Y295" s="77"/>
      <c r="Z295" s="77"/>
    </row>
    <row r="296" spans="1:26" ht="13.5" customHeight="1">
      <c r="A296" s="2"/>
      <c r="B296" s="952"/>
      <c r="C296" s="271"/>
      <c r="D296" s="271"/>
      <c r="E296" s="271"/>
      <c r="F296" s="271"/>
      <c r="G296" s="271"/>
      <c r="H296" s="271"/>
      <c r="I296" s="485"/>
      <c r="J296" s="291"/>
      <c r="K296" s="953"/>
      <c r="L296" s="953"/>
      <c r="M296" s="291"/>
      <c r="N296" s="953"/>
      <c r="O296" s="953"/>
      <c r="P296" s="15"/>
      <c r="Q296" s="15"/>
      <c r="R296" s="15"/>
      <c r="S296" s="15"/>
      <c r="T296" s="15"/>
      <c r="U296" s="15"/>
      <c r="V296" s="15"/>
      <c r="W296" s="15"/>
      <c r="X296" s="15"/>
      <c r="Y296" s="15"/>
      <c r="Z296" s="15"/>
    </row>
    <row r="297" spans="1:26" ht="57" customHeight="1">
      <c r="A297" s="666" t="s">
        <v>736</v>
      </c>
      <c r="B297" s="517" t="s">
        <v>403</v>
      </c>
      <c r="C297" s="506">
        <v>0</v>
      </c>
      <c r="D297" s="506">
        <v>1</v>
      </c>
      <c r="E297" s="506">
        <v>0</v>
      </c>
      <c r="F297" s="506">
        <v>0</v>
      </c>
      <c r="G297" s="506">
        <v>0</v>
      </c>
      <c r="H297" s="515">
        <v>0.5</v>
      </c>
      <c r="I297" s="454" t="s">
        <v>38</v>
      </c>
      <c r="J297" s="507" t="s">
        <v>4644</v>
      </c>
      <c r="K297" s="507" t="s">
        <v>1134</v>
      </c>
      <c r="L297" s="507" t="s">
        <v>748</v>
      </c>
      <c r="M297" s="507" t="s">
        <v>3212</v>
      </c>
      <c r="N297" s="507" t="s">
        <v>748</v>
      </c>
      <c r="O297" s="678" t="s">
        <v>3213</v>
      </c>
      <c r="P297" s="77"/>
      <c r="Q297" s="77"/>
      <c r="R297" s="77"/>
      <c r="S297" s="77"/>
      <c r="T297" s="77"/>
      <c r="U297" s="77"/>
      <c r="V297" s="77"/>
      <c r="W297" s="77"/>
      <c r="X297" s="77"/>
      <c r="Y297" s="77"/>
      <c r="Z297" s="77"/>
    </row>
    <row r="298" spans="1:26" ht="13.5" customHeight="1">
      <c r="A298" s="2"/>
      <c r="B298" s="952"/>
      <c r="C298" s="271"/>
      <c r="D298" s="271"/>
      <c r="E298" s="271"/>
      <c r="F298" s="271"/>
      <c r="G298" s="271"/>
      <c r="H298" s="271"/>
      <c r="I298" s="485"/>
      <c r="J298" s="291"/>
      <c r="K298" s="953"/>
      <c r="L298" s="953"/>
      <c r="M298" s="291"/>
      <c r="N298" s="953"/>
      <c r="O298" s="953"/>
      <c r="P298" s="15"/>
      <c r="Q298" s="15"/>
      <c r="R298" s="15"/>
      <c r="S298" s="15"/>
      <c r="T298" s="15"/>
      <c r="U298" s="15"/>
      <c r="V298" s="15"/>
      <c r="W298" s="15"/>
      <c r="X298" s="15"/>
      <c r="Y298" s="15"/>
      <c r="Z298" s="15"/>
    </row>
    <row r="299" spans="1:26" ht="36" customHeight="1">
      <c r="A299" s="674" t="s">
        <v>1346</v>
      </c>
      <c r="B299" s="628" t="s">
        <v>405</v>
      </c>
      <c r="C299" s="506">
        <f t="shared" ref="C299:H299" si="47">AVERAGE(C300,C302)</f>
        <v>0</v>
      </c>
      <c r="D299" s="506">
        <f t="shared" si="47"/>
        <v>0.5</v>
      </c>
      <c r="E299" s="506">
        <f t="shared" si="47"/>
        <v>0.5</v>
      </c>
      <c r="F299" s="506">
        <f t="shared" si="47"/>
        <v>0.5</v>
      </c>
      <c r="G299" s="506">
        <f t="shared" si="47"/>
        <v>0.5</v>
      </c>
      <c r="H299" s="506">
        <f t="shared" si="47"/>
        <v>0.5</v>
      </c>
      <c r="I299" s="632"/>
      <c r="J299" s="506"/>
      <c r="K299" s="506"/>
      <c r="L299" s="553"/>
      <c r="M299" s="507"/>
      <c r="N299" s="629"/>
      <c r="O299" s="506"/>
      <c r="P299" s="509"/>
      <c r="Q299" s="509"/>
      <c r="R299" s="509"/>
      <c r="S299" s="509"/>
      <c r="T299" s="509"/>
      <c r="U299" s="509"/>
      <c r="V299" s="509"/>
      <c r="W299" s="509"/>
      <c r="X299" s="509"/>
      <c r="Y299" s="509"/>
      <c r="Z299" s="509"/>
    </row>
    <row r="300" spans="1:26" ht="74.25" customHeight="1">
      <c r="A300" s="666" t="s">
        <v>736</v>
      </c>
      <c r="B300" s="517" t="s">
        <v>3214</v>
      </c>
      <c r="C300" s="506">
        <v>0</v>
      </c>
      <c r="D300" s="506">
        <v>1</v>
      </c>
      <c r="E300" s="506">
        <v>1</v>
      </c>
      <c r="F300" s="506">
        <v>1</v>
      </c>
      <c r="G300" s="506">
        <v>1</v>
      </c>
      <c r="H300" s="506">
        <v>1</v>
      </c>
      <c r="I300" s="454" t="s">
        <v>38</v>
      </c>
      <c r="J300" s="507" t="s">
        <v>3215</v>
      </c>
      <c r="K300" s="507" t="s">
        <v>3216</v>
      </c>
      <c r="L300" s="507" t="s">
        <v>811</v>
      </c>
      <c r="M300" s="507" t="s">
        <v>4645</v>
      </c>
      <c r="N300" s="507" t="s">
        <v>4646</v>
      </c>
      <c r="O300" s="507" t="s">
        <v>4647</v>
      </c>
      <c r="P300" s="77"/>
      <c r="Q300" s="77"/>
      <c r="R300" s="77"/>
      <c r="S300" s="77"/>
      <c r="T300" s="77"/>
      <c r="U300" s="77"/>
      <c r="V300" s="77"/>
      <c r="W300" s="77"/>
      <c r="X300" s="77"/>
      <c r="Y300" s="77"/>
      <c r="Z300" s="77"/>
    </row>
    <row r="301" spans="1:26" ht="13.5" customHeight="1">
      <c r="A301" s="317"/>
      <c r="B301" s="335"/>
      <c r="C301" s="87"/>
      <c r="D301" s="87"/>
      <c r="E301" s="87"/>
      <c r="F301" s="87"/>
      <c r="G301" s="87"/>
      <c r="H301" s="87"/>
      <c r="I301" s="632"/>
      <c r="J301" s="75"/>
      <c r="K301" s="75"/>
      <c r="L301" s="75"/>
      <c r="M301" s="75"/>
      <c r="N301" s="75"/>
      <c r="O301" s="75"/>
      <c r="P301" s="77"/>
      <c r="Q301" s="77"/>
      <c r="R301" s="77"/>
      <c r="S301" s="77"/>
      <c r="T301" s="77"/>
      <c r="U301" s="77"/>
      <c r="V301" s="77"/>
      <c r="W301" s="77"/>
      <c r="X301" s="77"/>
      <c r="Y301" s="77"/>
      <c r="Z301" s="77"/>
    </row>
    <row r="302" spans="1:26" ht="59.25" customHeight="1">
      <c r="A302" s="666" t="s">
        <v>736</v>
      </c>
      <c r="B302" s="517" t="s">
        <v>406</v>
      </c>
      <c r="C302" s="506">
        <v>0</v>
      </c>
      <c r="D302" s="506">
        <v>0</v>
      </c>
      <c r="E302" s="506">
        <v>0</v>
      </c>
      <c r="F302" s="506">
        <v>0</v>
      </c>
      <c r="G302" s="506">
        <v>0</v>
      </c>
      <c r="H302" s="506">
        <v>0</v>
      </c>
      <c r="I302" s="995" t="s">
        <v>123</v>
      </c>
      <c r="J302" s="507" t="s">
        <v>4648</v>
      </c>
      <c r="K302" s="507" t="s">
        <v>943</v>
      </c>
      <c r="L302" s="507" t="s">
        <v>4649</v>
      </c>
      <c r="M302" s="507" t="s">
        <v>4650</v>
      </c>
      <c r="N302" s="507" t="s">
        <v>4651</v>
      </c>
      <c r="O302" s="507" t="s">
        <v>4652</v>
      </c>
      <c r="P302" s="77"/>
      <c r="Q302" s="77"/>
      <c r="R302" s="77"/>
      <c r="S302" s="77"/>
      <c r="T302" s="77"/>
      <c r="U302" s="77"/>
      <c r="V302" s="77"/>
      <c r="W302" s="77"/>
      <c r="X302" s="77"/>
      <c r="Y302" s="77"/>
      <c r="Z302" s="77"/>
    </row>
    <row r="303" spans="1:26" ht="13.5" customHeight="1">
      <c r="A303" s="2"/>
      <c r="B303" s="952"/>
      <c r="C303" s="271"/>
      <c r="D303" s="271"/>
      <c r="E303" s="271"/>
      <c r="F303" s="271"/>
      <c r="G303" s="271"/>
      <c r="H303" s="271"/>
      <c r="I303" s="485"/>
      <c r="J303" s="291"/>
      <c r="K303" s="953"/>
      <c r="L303" s="953"/>
      <c r="M303" s="291"/>
      <c r="N303" s="953"/>
      <c r="O303" s="953"/>
      <c r="P303" s="15"/>
      <c r="Q303" s="15"/>
      <c r="R303" s="15"/>
      <c r="S303" s="15"/>
      <c r="T303" s="15"/>
      <c r="U303" s="15"/>
      <c r="V303" s="15"/>
      <c r="W303" s="15"/>
      <c r="X303" s="15"/>
      <c r="Y303" s="15"/>
      <c r="Z303" s="15"/>
    </row>
    <row r="304" spans="1:26" ht="24" customHeight="1">
      <c r="A304" s="674" t="s">
        <v>1352</v>
      </c>
      <c r="B304" s="628" t="s">
        <v>408</v>
      </c>
      <c r="C304" s="629">
        <f t="shared" ref="C304:H304" si="48">AVERAGE(C305,C307,C309,C311,C313,C315,C317,C319,C321,C323,C325,C327,C329,C331,C333,C335,C337)</f>
        <v>0.38235294117647056</v>
      </c>
      <c r="D304" s="629">
        <f t="shared" si="48"/>
        <v>0.5</v>
      </c>
      <c r="E304" s="629">
        <f t="shared" si="48"/>
        <v>2.9411764705882353E-2</v>
      </c>
      <c r="F304" s="629">
        <f t="shared" si="48"/>
        <v>0.29411764705882354</v>
      </c>
      <c r="G304" s="629">
        <f t="shared" si="48"/>
        <v>0.55882352941176472</v>
      </c>
      <c r="H304" s="629">
        <f t="shared" si="48"/>
        <v>0.44117647058823528</v>
      </c>
      <c r="I304" s="632"/>
      <c r="J304" s="506"/>
      <c r="K304" s="506"/>
      <c r="L304" s="553"/>
      <c r="M304" s="629"/>
      <c r="N304" s="629"/>
      <c r="O304" s="506"/>
      <c r="P304" s="509"/>
      <c r="Q304" s="509"/>
      <c r="R304" s="509"/>
      <c r="S304" s="509"/>
      <c r="T304" s="509"/>
      <c r="U304" s="509"/>
      <c r="V304" s="509"/>
      <c r="W304" s="509"/>
      <c r="X304" s="509"/>
      <c r="Y304" s="509"/>
      <c r="Z304" s="509"/>
    </row>
    <row r="305" spans="1:26" ht="60.75" customHeight="1">
      <c r="A305" s="666" t="s">
        <v>736</v>
      </c>
      <c r="B305" s="517" t="s">
        <v>409</v>
      </c>
      <c r="C305" s="506">
        <v>0</v>
      </c>
      <c r="D305" s="506">
        <v>0</v>
      </c>
      <c r="E305" s="506">
        <v>0</v>
      </c>
      <c r="F305" s="506">
        <v>0</v>
      </c>
      <c r="G305" s="506">
        <v>0</v>
      </c>
      <c r="H305" s="506">
        <v>1</v>
      </c>
      <c r="I305" s="454" t="s">
        <v>38</v>
      </c>
      <c r="J305" s="507" t="s">
        <v>4653</v>
      </c>
      <c r="K305" s="507" t="s">
        <v>4654</v>
      </c>
      <c r="L305" s="507" t="s">
        <v>3227</v>
      </c>
      <c r="M305" s="507" t="s">
        <v>1355</v>
      </c>
      <c r="N305" s="507" t="s">
        <v>4655</v>
      </c>
      <c r="O305" s="507" t="s">
        <v>3229</v>
      </c>
      <c r="P305" s="77"/>
      <c r="Q305" s="77"/>
      <c r="R305" s="77"/>
      <c r="S305" s="77"/>
      <c r="T305" s="77"/>
      <c r="U305" s="77"/>
      <c r="V305" s="77"/>
      <c r="W305" s="77"/>
      <c r="X305" s="77"/>
      <c r="Y305" s="77"/>
      <c r="Z305" s="77"/>
    </row>
    <row r="306" spans="1:26" ht="13.5" customHeight="1">
      <c r="A306" s="2"/>
      <c r="B306" s="952"/>
      <c r="C306" s="271"/>
      <c r="D306" s="271"/>
      <c r="E306" s="271"/>
      <c r="F306" s="271"/>
      <c r="G306" s="271"/>
      <c r="H306" s="271"/>
      <c r="I306" s="485"/>
      <c r="J306" s="291"/>
      <c r="K306" s="953"/>
      <c r="L306" s="953"/>
      <c r="M306" s="291"/>
      <c r="N306" s="953"/>
      <c r="O306" s="953"/>
      <c r="P306" s="15"/>
      <c r="Q306" s="15"/>
      <c r="R306" s="15"/>
      <c r="S306" s="15"/>
      <c r="T306" s="15"/>
      <c r="U306" s="15"/>
      <c r="V306" s="15"/>
      <c r="W306" s="15"/>
      <c r="X306" s="15"/>
      <c r="Y306" s="15"/>
      <c r="Z306" s="15"/>
    </row>
    <row r="307" spans="1:26" ht="59.25" customHeight="1">
      <c r="A307" s="666" t="s">
        <v>736</v>
      </c>
      <c r="B307" s="517" t="s">
        <v>410</v>
      </c>
      <c r="C307" s="506">
        <v>0</v>
      </c>
      <c r="D307" s="506">
        <v>1</v>
      </c>
      <c r="E307" s="506">
        <v>0</v>
      </c>
      <c r="F307" s="506">
        <v>0</v>
      </c>
      <c r="G307" s="506">
        <v>1</v>
      </c>
      <c r="H307" s="506">
        <v>0</v>
      </c>
      <c r="I307" s="454" t="s">
        <v>38</v>
      </c>
      <c r="J307" s="507" t="s">
        <v>4656</v>
      </c>
      <c r="K307" s="507" t="s">
        <v>4657</v>
      </c>
      <c r="L307" s="507" t="s">
        <v>748</v>
      </c>
      <c r="M307" s="507" t="s">
        <v>4658</v>
      </c>
      <c r="N307" s="507" t="s">
        <v>3232</v>
      </c>
      <c r="O307" s="507" t="s">
        <v>4659</v>
      </c>
      <c r="P307" s="77"/>
      <c r="Q307" s="77"/>
      <c r="R307" s="77"/>
      <c r="S307" s="77"/>
      <c r="T307" s="77"/>
      <c r="U307" s="77"/>
      <c r="V307" s="77"/>
      <c r="W307" s="77"/>
      <c r="X307" s="77"/>
      <c r="Y307" s="77"/>
      <c r="Z307" s="77"/>
    </row>
    <row r="308" spans="1:26" ht="13.5" customHeight="1">
      <c r="A308" s="2"/>
      <c r="B308" s="952"/>
      <c r="C308" s="271"/>
      <c r="D308" s="271"/>
      <c r="E308" s="271"/>
      <c r="F308" s="271"/>
      <c r="G308" s="271"/>
      <c r="H308" s="271"/>
      <c r="I308" s="485"/>
      <c r="J308" s="291"/>
      <c r="K308" s="953"/>
      <c r="L308" s="953"/>
      <c r="M308" s="291"/>
      <c r="N308" s="953"/>
      <c r="O308" s="953"/>
      <c r="P308" s="15"/>
      <c r="Q308" s="15"/>
      <c r="R308" s="15"/>
      <c r="S308" s="15"/>
      <c r="T308" s="15"/>
      <c r="U308" s="15"/>
      <c r="V308" s="15"/>
      <c r="W308" s="15"/>
      <c r="X308" s="15"/>
      <c r="Y308" s="15"/>
      <c r="Z308" s="15"/>
    </row>
    <row r="309" spans="1:26" ht="59.25" customHeight="1">
      <c r="A309" s="666" t="s">
        <v>736</v>
      </c>
      <c r="B309" s="517" t="s">
        <v>411</v>
      </c>
      <c r="C309" s="506">
        <v>0</v>
      </c>
      <c r="D309" s="506">
        <v>0</v>
      </c>
      <c r="E309" s="506">
        <v>0</v>
      </c>
      <c r="F309" s="506">
        <v>1</v>
      </c>
      <c r="G309" s="506">
        <v>1</v>
      </c>
      <c r="H309" s="506">
        <v>0</v>
      </c>
      <c r="I309" s="454" t="s">
        <v>123</v>
      </c>
      <c r="J309" s="507" t="s">
        <v>4660</v>
      </c>
      <c r="K309" s="507" t="s">
        <v>4661</v>
      </c>
      <c r="L309" s="507" t="s">
        <v>748</v>
      </c>
      <c r="M309" s="507" t="s">
        <v>3236</v>
      </c>
      <c r="N309" s="507" t="s">
        <v>4662</v>
      </c>
      <c r="O309" s="507" t="s">
        <v>4663</v>
      </c>
      <c r="P309" s="77"/>
      <c r="Q309" s="77"/>
      <c r="R309" s="77"/>
      <c r="S309" s="77"/>
      <c r="T309" s="77"/>
      <c r="U309" s="77"/>
      <c r="V309" s="77"/>
      <c r="W309" s="77"/>
      <c r="X309" s="77"/>
      <c r="Y309" s="77"/>
      <c r="Z309" s="77"/>
    </row>
    <row r="310" spans="1:26" ht="13.5" customHeight="1">
      <c r="A310" s="2"/>
      <c r="B310" s="952"/>
      <c r="C310" s="271"/>
      <c r="D310" s="271"/>
      <c r="E310" s="271"/>
      <c r="F310" s="271"/>
      <c r="G310" s="271"/>
      <c r="H310" s="271"/>
      <c r="I310" s="485"/>
      <c r="J310" s="291"/>
      <c r="K310" s="953"/>
      <c r="L310" s="953"/>
      <c r="M310" s="291"/>
      <c r="N310" s="953"/>
      <c r="O310" s="953"/>
      <c r="P310" s="15"/>
      <c r="Q310" s="15"/>
      <c r="R310" s="15"/>
      <c r="S310" s="15"/>
      <c r="T310" s="15"/>
      <c r="U310" s="15"/>
      <c r="V310" s="15"/>
      <c r="W310" s="15"/>
      <c r="X310" s="15"/>
      <c r="Y310" s="15"/>
      <c r="Z310" s="15"/>
    </row>
    <row r="311" spans="1:26" ht="34.5" customHeight="1">
      <c r="A311" s="666" t="s">
        <v>736</v>
      </c>
      <c r="B311" s="517" t="s">
        <v>412</v>
      </c>
      <c r="C311" s="506">
        <v>0</v>
      </c>
      <c r="D311" s="506">
        <v>0.5</v>
      </c>
      <c r="E311" s="506">
        <v>0</v>
      </c>
      <c r="F311" s="506">
        <v>0</v>
      </c>
      <c r="G311" s="506">
        <v>0</v>
      </c>
      <c r="H311" s="506">
        <v>0.5</v>
      </c>
      <c r="I311" s="454" t="s">
        <v>91</v>
      </c>
      <c r="J311" s="507" t="s">
        <v>4664</v>
      </c>
      <c r="K311" s="507" t="s">
        <v>4665</v>
      </c>
      <c r="L311" s="507" t="s">
        <v>748</v>
      </c>
      <c r="M311" s="507" t="s">
        <v>4666</v>
      </c>
      <c r="N311" s="507" t="s">
        <v>4667</v>
      </c>
      <c r="O311" s="507" t="s">
        <v>4668</v>
      </c>
      <c r="P311" s="77"/>
      <c r="Q311" s="77"/>
      <c r="R311" s="77"/>
      <c r="S311" s="77"/>
      <c r="T311" s="77"/>
      <c r="U311" s="77"/>
      <c r="V311" s="77"/>
      <c r="W311" s="77"/>
      <c r="X311" s="77"/>
      <c r="Y311" s="77"/>
      <c r="Z311" s="77"/>
    </row>
    <row r="312" spans="1:26" ht="13.5" customHeight="1">
      <c r="A312" s="2"/>
      <c r="B312" s="952"/>
      <c r="C312" s="271"/>
      <c r="D312" s="271"/>
      <c r="E312" s="271"/>
      <c r="F312" s="271"/>
      <c r="G312" s="271"/>
      <c r="H312" s="271"/>
      <c r="I312" s="485"/>
      <c r="J312" s="291"/>
      <c r="K312" s="953"/>
      <c r="L312" s="953"/>
      <c r="M312" s="291"/>
      <c r="N312" s="953"/>
      <c r="O312" s="953"/>
      <c r="P312" s="15"/>
      <c r="Q312" s="15"/>
      <c r="R312" s="15"/>
      <c r="S312" s="15"/>
      <c r="T312" s="15"/>
      <c r="U312" s="15"/>
      <c r="V312" s="15"/>
      <c r="W312" s="15"/>
      <c r="X312" s="15"/>
      <c r="Y312" s="15"/>
      <c r="Z312" s="15"/>
    </row>
    <row r="313" spans="1:26" ht="40.5" customHeight="1">
      <c r="A313" s="666" t="s">
        <v>736</v>
      </c>
      <c r="B313" s="517" t="s">
        <v>3242</v>
      </c>
      <c r="C313" s="506">
        <v>1</v>
      </c>
      <c r="D313" s="506">
        <v>1</v>
      </c>
      <c r="E313" s="506">
        <v>0</v>
      </c>
      <c r="F313" s="506">
        <v>0.5</v>
      </c>
      <c r="G313" s="506">
        <v>1</v>
      </c>
      <c r="H313" s="506">
        <v>0</v>
      </c>
      <c r="I313" s="454" t="s">
        <v>91</v>
      </c>
      <c r="J313" s="507" t="s">
        <v>4669</v>
      </c>
      <c r="K313" s="507" t="s">
        <v>4670</v>
      </c>
      <c r="L313" s="507" t="s">
        <v>748</v>
      </c>
      <c r="M313" s="507" t="s">
        <v>4671</v>
      </c>
      <c r="N313" s="507" t="s">
        <v>811</v>
      </c>
      <c r="O313" s="507" t="s">
        <v>4672</v>
      </c>
      <c r="P313" s="77"/>
      <c r="Q313" s="77"/>
      <c r="R313" s="77"/>
      <c r="S313" s="77"/>
      <c r="T313" s="77"/>
      <c r="U313" s="77"/>
      <c r="V313" s="77"/>
      <c r="W313" s="77"/>
      <c r="X313" s="77"/>
      <c r="Y313" s="77"/>
      <c r="Z313" s="77"/>
    </row>
    <row r="314" spans="1:26" ht="13.5" customHeight="1">
      <c r="A314" s="2"/>
      <c r="B314" s="952"/>
      <c r="C314" s="271"/>
      <c r="D314" s="271"/>
      <c r="E314" s="271"/>
      <c r="F314" s="271"/>
      <c r="G314" s="271"/>
      <c r="H314" s="271"/>
      <c r="I314" s="485"/>
      <c r="J314" s="291"/>
      <c r="K314" s="953"/>
      <c r="L314" s="953"/>
      <c r="M314" s="291"/>
      <c r="N314" s="953"/>
      <c r="O314" s="953"/>
      <c r="P314" s="15"/>
      <c r="Q314" s="15"/>
      <c r="R314" s="15"/>
      <c r="S314" s="15"/>
      <c r="T314" s="15"/>
      <c r="U314" s="15"/>
      <c r="V314" s="15"/>
      <c r="W314" s="15"/>
      <c r="X314" s="15"/>
      <c r="Y314" s="15"/>
      <c r="Z314" s="15"/>
    </row>
    <row r="315" spans="1:26" ht="37.5" customHeight="1">
      <c r="A315" s="666" t="s">
        <v>736</v>
      </c>
      <c r="B315" s="517" t="s">
        <v>414</v>
      </c>
      <c r="C315" s="506">
        <v>0.5</v>
      </c>
      <c r="D315" s="506">
        <v>1</v>
      </c>
      <c r="E315" s="506">
        <v>0</v>
      </c>
      <c r="F315" s="506">
        <v>0</v>
      </c>
      <c r="G315" s="506">
        <v>0</v>
      </c>
      <c r="H315" s="506">
        <v>0</v>
      </c>
      <c r="I315" s="454" t="s">
        <v>91</v>
      </c>
      <c r="J315" s="507" t="s">
        <v>4673</v>
      </c>
      <c r="K315" s="507" t="s">
        <v>4674</v>
      </c>
      <c r="L315" s="507" t="s">
        <v>748</v>
      </c>
      <c r="M315" s="507" t="s">
        <v>4675</v>
      </c>
      <c r="N315" s="507" t="s">
        <v>748</v>
      </c>
      <c r="O315" s="507" t="s">
        <v>3248</v>
      </c>
      <c r="P315" s="77"/>
      <c r="Q315" s="77"/>
      <c r="R315" s="77"/>
      <c r="S315" s="77"/>
      <c r="T315" s="77"/>
      <c r="U315" s="77"/>
      <c r="V315" s="77"/>
      <c r="W315" s="77"/>
      <c r="X315" s="77"/>
      <c r="Y315" s="77"/>
      <c r="Z315" s="77"/>
    </row>
    <row r="316" spans="1:26" ht="13.5" customHeight="1">
      <c r="A316" s="2"/>
      <c r="B316" s="952"/>
      <c r="C316" s="271"/>
      <c r="D316" s="271"/>
      <c r="E316" s="271"/>
      <c r="F316" s="271"/>
      <c r="G316" s="271"/>
      <c r="H316" s="271"/>
      <c r="I316" s="485"/>
      <c r="J316" s="291"/>
      <c r="K316" s="953"/>
      <c r="L316" s="953"/>
      <c r="M316" s="291"/>
      <c r="N316" s="953"/>
      <c r="O316" s="953"/>
      <c r="P316" s="15"/>
      <c r="Q316" s="15"/>
      <c r="R316" s="15"/>
      <c r="S316" s="15"/>
      <c r="T316" s="15"/>
      <c r="U316" s="15"/>
      <c r="V316" s="15"/>
      <c r="W316" s="15"/>
      <c r="X316" s="15"/>
      <c r="Y316" s="15"/>
      <c r="Z316" s="15"/>
    </row>
    <row r="317" spans="1:26" ht="54" customHeight="1">
      <c r="A317" s="666" t="s">
        <v>736</v>
      </c>
      <c r="B317" s="517" t="s">
        <v>415</v>
      </c>
      <c r="C317" s="506">
        <v>0.5</v>
      </c>
      <c r="D317" s="506">
        <v>0</v>
      </c>
      <c r="E317" s="506">
        <v>0</v>
      </c>
      <c r="F317" s="506">
        <v>0</v>
      </c>
      <c r="G317" s="506">
        <v>1</v>
      </c>
      <c r="H317" s="506">
        <v>1</v>
      </c>
      <c r="I317" s="454" t="s">
        <v>91</v>
      </c>
      <c r="J317" s="507" t="s">
        <v>3249</v>
      </c>
      <c r="K317" s="507" t="s">
        <v>748</v>
      </c>
      <c r="L317" s="507" t="s">
        <v>748</v>
      </c>
      <c r="M317" s="507" t="s">
        <v>4676</v>
      </c>
      <c r="N317" s="507" t="s">
        <v>811</v>
      </c>
      <c r="O317" s="507" t="s">
        <v>4677</v>
      </c>
      <c r="P317" s="77"/>
      <c r="Q317" s="77"/>
      <c r="R317" s="77"/>
      <c r="S317" s="77"/>
      <c r="T317" s="77"/>
      <c r="U317" s="77"/>
      <c r="V317" s="77"/>
      <c r="W317" s="77"/>
      <c r="X317" s="77"/>
      <c r="Y317" s="77"/>
      <c r="Z317" s="77"/>
    </row>
    <row r="318" spans="1:26" ht="13.5" customHeight="1">
      <c r="A318" s="2"/>
      <c r="B318" s="952"/>
      <c r="C318" s="271"/>
      <c r="D318" s="271"/>
      <c r="E318" s="271"/>
      <c r="F318" s="271"/>
      <c r="G318" s="271"/>
      <c r="H318" s="271"/>
      <c r="I318" s="485"/>
      <c r="J318" s="291"/>
      <c r="K318" s="953"/>
      <c r="L318" s="953"/>
      <c r="M318" s="291"/>
      <c r="N318" s="953"/>
      <c r="O318" s="953"/>
      <c r="P318" s="15"/>
      <c r="Q318" s="15"/>
      <c r="R318" s="15"/>
      <c r="S318" s="15"/>
      <c r="T318" s="15"/>
      <c r="U318" s="15"/>
      <c r="V318" s="15"/>
      <c r="W318" s="15"/>
      <c r="X318" s="15"/>
      <c r="Y318" s="15"/>
      <c r="Z318" s="15"/>
    </row>
    <row r="319" spans="1:26" ht="60.75" customHeight="1">
      <c r="A319" s="666" t="s">
        <v>736</v>
      </c>
      <c r="B319" s="517" t="s">
        <v>416</v>
      </c>
      <c r="C319" s="506">
        <v>1</v>
      </c>
      <c r="D319" s="506">
        <v>1</v>
      </c>
      <c r="E319" s="506">
        <v>0</v>
      </c>
      <c r="F319" s="506">
        <v>0.5</v>
      </c>
      <c r="G319" s="506">
        <v>1</v>
      </c>
      <c r="H319" s="506">
        <v>1</v>
      </c>
      <c r="I319" s="454" t="s">
        <v>91</v>
      </c>
      <c r="J319" s="507" t="s">
        <v>4678</v>
      </c>
      <c r="K319" s="507" t="s">
        <v>4679</v>
      </c>
      <c r="L319" s="507" t="s">
        <v>748</v>
      </c>
      <c r="M319" s="507" t="s">
        <v>4680</v>
      </c>
      <c r="N319" s="507" t="s">
        <v>1387</v>
      </c>
      <c r="O319" s="507" t="s">
        <v>4681</v>
      </c>
      <c r="P319" s="77"/>
      <c r="Q319" s="77"/>
      <c r="R319" s="77"/>
      <c r="S319" s="77"/>
      <c r="T319" s="77"/>
      <c r="U319" s="77"/>
      <c r="V319" s="77"/>
      <c r="W319" s="77"/>
      <c r="X319" s="77"/>
      <c r="Y319" s="77"/>
      <c r="Z319" s="77"/>
    </row>
    <row r="320" spans="1:26" ht="13.5" customHeight="1">
      <c r="A320" s="2"/>
      <c r="B320" s="952"/>
      <c r="C320" s="271"/>
      <c r="D320" s="271"/>
      <c r="E320" s="271"/>
      <c r="F320" s="271"/>
      <c r="G320" s="271"/>
      <c r="H320" s="271"/>
      <c r="I320" s="485"/>
      <c r="J320" s="291"/>
      <c r="K320" s="953"/>
      <c r="L320" s="953"/>
      <c r="M320" s="291"/>
      <c r="N320" s="953"/>
      <c r="O320" s="953"/>
      <c r="P320" s="15"/>
      <c r="Q320" s="15"/>
      <c r="R320" s="15"/>
      <c r="S320" s="15"/>
      <c r="T320" s="15"/>
      <c r="U320" s="15"/>
      <c r="V320" s="15"/>
      <c r="W320" s="15"/>
      <c r="X320" s="15"/>
      <c r="Y320" s="15"/>
      <c r="Z320" s="15"/>
    </row>
    <row r="321" spans="1:26" ht="44.25" customHeight="1">
      <c r="A321" s="666" t="s">
        <v>736</v>
      </c>
      <c r="B321" s="517" t="s">
        <v>417</v>
      </c>
      <c r="C321" s="506">
        <v>1</v>
      </c>
      <c r="D321" s="506">
        <v>1</v>
      </c>
      <c r="E321" s="506">
        <v>0</v>
      </c>
      <c r="F321" s="506">
        <v>1</v>
      </c>
      <c r="G321" s="506">
        <v>1</v>
      </c>
      <c r="H321" s="506">
        <v>1</v>
      </c>
      <c r="I321" s="454" t="s">
        <v>38</v>
      </c>
      <c r="J321" s="507" t="s">
        <v>4682</v>
      </c>
      <c r="K321" s="507" t="s">
        <v>4683</v>
      </c>
      <c r="L321" s="507" t="s">
        <v>748</v>
      </c>
      <c r="M321" s="507" t="s">
        <v>4684</v>
      </c>
      <c r="N321" s="507" t="s">
        <v>1391</v>
      </c>
      <c r="O321" s="507" t="s">
        <v>3254</v>
      </c>
      <c r="P321" s="77"/>
      <c r="Q321" s="77"/>
      <c r="R321" s="77"/>
      <c r="S321" s="77"/>
      <c r="T321" s="77"/>
      <c r="U321" s="77"/>
      <c r="V321" s="77"/>
      <c r="W321" s="77"/>
      <c r="X321" s="77"/>
      <c r="Y321" s="77"/>
      <c r="Z321" s="77"/>
    </row>
    <row r="322" spans="1:26" ht="13.5" customHeight="1">
      <c r="A322" s="2"/>
      <c r="B322" s="952"/>
      <c r="C322" s="271"/>
      <c r="D322" s="271"/>
      <c r="E322" s="271"/>
      <c r="F322" s="271"/>
      <c r="G322" s="271"/>
      <c r="H322" s="271"/>
      <c r="I322" s="485"/>
      <c r="J322" s="291"/>
      <c r="K322" s="953"/>
      <c r="L322" s="953"/>
      <c r="M322" s="291"/>
      <c r="N322" s="953"/>
      <c r="O322" s="953"/>
      <c r="P322" s="15"/>
      <c r="Q322" s="15"/>
      <c r="R322" s="15"/>
      <c r="S322" s="15"/>
      <c r="T322" s="15"/>
      <c r="U322" s="15"/>
      <c r="V322" s="15"/>
      <c r="W322" s="15"/>
      <c r="X322" s="15"/>
      <c r="Y322" s="15"/>
      <c r="Z322" s="15"/>
    </row>
    <row r="323" spans="1:26" ht="29.25" customHeight="1">
      <c r="A323" s="666" t="s">
        <v>736</v>
      </c>
      <c r="B323" s="517" t="s">
        <v>418</v>
      </c>
      <c r="C323" s="506">
        <v>1</v>
      </c>
      <c r="D323" s="506">
        <v>1</v>
      </c>
      <c r="E323" s="506">
        <v>0</v>
      </c>
      <c r="F323" s="506">
        <v>1</v>
      </c>
      <c r="G323" s="506">
        <v>1</v>
      </c>
      <c r="H323" s="506">
        <v>1</v>
      </c>
      <c r="I323" s="454" t="s">
        <v>38</v>
      </c>
      <c r="J323" s="507" t="s">
        <v>4685</v>
      </c>
      <c r="K323" s="507" t="s">
        <v>4686</v>
      </c>
      <c r="L323" s="507" t="s">
        <v>748</v>
      </c>
      <c r="M323" s="507" t="s">
        <v>4687</v>
      </c>
      <c r="N323" s="507" t="s">
        <v>4688</v>
      </c>
      <c r="O323" s="507" t="s">
        <v>4689</v>
      </c>
      <c r="P323" s="77"/>
      <c r="Q323" s="77"/>
      <c r="R323" s="77"/>
      <c r="S323" s="77"/>
      <c r="T323" s="77"/>
      <c r="U323" s="77"/>
      <c r="V323" s="77"/>
      <c r="W323" s="77"/>
      <c r="X323" s="77"/>
      <c r="Y323" s="77"/>
      <c r="Z323" s="77"/>
    </row>
    <row r="324" spans="1:26" ht="13.5" customHeight="1">
      <c r="A324" s="2"/>
      <c r="B324" s="952"/>
      <c r="C324" s="271"/>
      <c r="D324" s="271"/>
      <c r="E324" s="271"/>
      <c r="F324" s="271"/>
      <c r="G324" s="271"/>
      <c r="H324" s="271"/>
      <c r="I324" s="485"/>
      <c r="J324" s="291"/>
      <c r="K324" s="953"/>
      <c r="L324" s="953"/>
      <c r="M324" s="291"/>
      <c r="N324" s="953"/>
      <c r="O324" s="953"/>
      <c r="P324" s="15"/>
      <c r="Q324" s="15"/>
      <c r="R324" s="15"/>
      <c r="S324" s="15"/>
      <c r="T324" s="15"/>
      <c r="U324" s="15"/>
      <c r="V324" s="15"/>
      <c r="W324" s="15"/>
      <c r="X324" s="15"/>
      <c r="Y324" s="15"/>
      <c r="Z324" s="15"/>
    </row>
    <row r="325" spans="1:26" ht="47.25" customHeight="1">
      <c r="A325" s="666" t="s">
        <v>736</v>
      </c>
      <c r="B325" s="517" t="s">
        <v>419</v>
      </c>
      <c r="C325" s="506">
        <v>0</v>
      </c>
      <c r="D325" s="506">
        <v>0</v>
      </c>
      <c r="E325" s="506">
        <v>0</v>
      </c>
      <c r="F325" s="506">
        <v>0</v>
      </c>
      <c r="G325" s="506">
        <v>0</v>
      </c>
      <c r="H325" s="506">
        <v>0</v>
      </c>
      <c r="I325" s="454" t="s">
        <v>38</v>
      </c>
      <c r="J325" s="507" t="s">
        <v>4690</v>
      </c>
      <c r="K325" s="507" t="s">
        <v>4691</v>
      </c>
      <c r="L325" s="507" t="s">
        <v>748</v>
      </c>
      <c r="M325" s="507" t="s">
        <v>1399</v>
      </c>
      <c r="N325" s="507" t="s">
        <v>4692</v>
      </c>
      <c r="O325" s="507" t="s">
        <v>4693</v>
      </c>
      <c r="P325" s="77"/>
      <c r="Q325" s="77"/>
      <c r="R325" s="77"/>
      <c r="S325" s="77"/>
      <c r="T325" s="77"/>
      <c r="U325" s="77"/>
      <c r="V325" s="77"/>
      <c r="W325" s="77"/>
      <c r="X325" s="77"/>
      <c r="Y325" s="77"/>
      <c r="Z325" s="77"/>
    </row>
    <row r="326" spans="1:26" ht="24" customHeight="1">
      <c r="A326" s="317"/>
      <c r="B326" s="335"/>
      <c r="C326" s="87"/>
      <c r="D326" s="87"/>
      <c r="E326" s="87"/>
      <c r="F326" s="87"/>
      <c r="G326" s="87"/>
      <c r="H326" s="87"/>
      <c r="I326" s="454"/>
      <c r="J326" s="75"/>
      <c r="K326" s="75"/>
      <c r="L326" s="75"/>
      <c r="M326" s="75"/>
      <c r="N326" s="75"/>
      <c r="O326" s="75"/>
      <c r="P326" s="77"/>
      <c r="Q326" s="77"/>
      <c r="R326" s="77"/>
      <c r="S326" s="77"/>
      <c r="T326" s="77"/>
      <c r="U326" s="77"/>
      <c r="V326" s="77"/>
      <c r="W326" s="77"/>
      <c r="X326" s="77"/>
      <c r="Y326" s="77"/>
      <c r="Z326" s="77"/>
    </row>
    <row r="327" spans="1:26" ht="30" customHeight="1">
      <c r="A327" s="666" t="s">
        <v>736</v>
      </c>
      <c r="B327" s="517" t="s">
        <v>420</v>
      </c>
      <c r="C327" s="506">
        <v>0</v>
      </c>
      <c r="D327" s="506">
        <v>0</v>
      </c>
      <c r="E327" s="506">
        <v>0</v>
      </c>
      <c r="F327" s="506">
        <v>0</v>
      </c>
      <c r="G327" s="515">
        <v>1</v>
      </c>
      <c r="H327" s="506">
        <v>0</v>
      </c>
      <c r="I327" s="454" t="s">
        <v>38</v>
      </c>
      <c r="J327" s="507" t="s">
        <v>4694</v>
      </c>
      <c r="K327" s="507" t="s">
        <v>748</v>
      </c>
      <c r="L327" s="507" t="s">
        <v>748</v>
      </c>
      <c r="M327" s="507" t="s">
        <v>1403</v>
      </c>
      <c r="N327" s="507" t="s">
        <v>811</v>
      </c>
      <c r="O327" s="507" t="s">
        <v>4695</v>
      </c>
      <c r="P327" s="77"/>
      <c r="Q327" s="77"/>
      <c r="R327" s="77"/>
      <c r="S327" s="77"/>
      <c r="T327" s="77"/>
      <c r="U327" s="77"/>
      <c r="V327" s="77"/>
      <c r="W327" s="77"/>
      <c r="X327" s="77"/>
      <c r="Y327" s="77"/>
      <c r="Z327" s="77"/>
    </row>
    <row r="328" spans="1:26" ht="18" customHeight="1">
      <c r="A328" s="317"/>
      <c r="B328" s="335"/>
      <c r="C328" s="87"/>
      <c r="D328" s="87"/>
      <c r="E328" s="87"/>
      <c r="F328" s="87"/>
      <c r="G328" s="87"/>
      <c r="H328" s="87"/>
      <c r="I328" s="454"/>
      <c r="J328" s="75"/>
      <c r="K328" s="75"/>
      <c r="L328" s="75"/>
      <c r="M328" s="75"/>
      <c r="N328" s="75"/>
      <c r="O328" s="75"/>
      <c r="P328" s="77"/>
      <c r="Q328" s="77"/>
      <c r="R328" s="77"/>
      <c r="S328" s="77"/>
      <c r="T328" s="77"/>
      <c r="U328" s="77"/>
      <c r="V328" s="77"/>
      <c r="W328" s="77"/>
      <c r="X328" s="77"/>
      <c r="Y328" s="77"/>
      <c r="Z328" s="77"/>
    </row>
    <row r="329" spans="1:26" ht="42.75" customHeight="1">
      <c r="A329" s="666" t="s">
        <v>736</v>
      </c>
      <c r="B329" s="517" t="s">
        <v>421</v>
      </c>
      <c r="C329" s="506">
        <v>0</v>
      </c>
      <c r="D329" s="506">
        <v>1</v>
      </c>
      <c r="E329" s="506">
        <v>0</v>
      </c>
      <c r="F329" s="506">
        <v>0</v>
      </c>
      <c r="G329" s="506">
        <v>0</v>
      </c>
      <c r="H329" s="506">
        <v>0</v>
      </c>
      <c r="I329" s="454" t="s">
        <v>38</v>
      </c>
      <c r="J329" s="507" t="s">
        <v>4696</v>
      </c>
      <c r="K329" s="507" t="s">
        <v>4697</v>
      </c>
      <c r="L329" s="507" t="s">
        <v>748</v>
      </c>
      <c r="M329" s="507" t="s">
        <v>4698</v>
      </c>
      <c r="N329" s="507" t="s">
        <v>748</v>
      </c>
      <c r="O329" s="507" t="s">
        <v>4699</v>
      </c>
      <c r="P329" s="77"/>
      <c r="Q329" s="77"/>
      <c r="R329" s="77"/>
      <c r="S329" s="77"/>
      <c r="T329" s="77"/>
      <c r="U329" s="77"/>
      <c r="V329" s="77"/>
      <c r="W329" s="77"/>
      <c r="X329" s="77"/>
      <c r="Y329" s="77"/>
      <c r="Z329" s="77"/>
    </row>
    <row r="330" spans="1:26" ht="13.5" customHeight="1">
      <c r="A330" s="2"/>
      <c r="B330" s="952"/>
      <c r="C330" s="271"/>
      <c r="D330" s="271"/>
      <c r="E330" s="271"/>
      <c r="F330" s="271"/>
      <c r="G330" s="271"/>
      <c r="H330" s="271"/>
      <c r="I330" s="485"/>
      <c r="J330" s="291"/>
      <c r="K330" s="953"/>
      <c r="L330" s="953"/>
      <c r="M330" s="291"/>
      <c r="N330" s="953"/>
      <c r="O330" s="953"/>
      <c r="P330" s="15"/>
      <c r="Q330" s="15"/>
      <c r="R330" s="15"/>
      <c r="S330" s="15"/>
      <c r="T330" s="15"/>
      <c r="U330" s="15"/>
      <c r="V330" s="15"/>
      <c r="W330" s="15"/>
      <c r="X330" s="15"/>
      <c r="Y330" s="15"/>
      <c r="Z330" s="15"/>
    </row>
    <row r="331" spans="1:26" ht="40.5" customHeight="1">
      <c r="A331" s="666" t="s">
        <v>736</v>
      </c>
      <c r="B331" s="517" t="s">
        <v>422</v>
      </c>
      <c r="C331" s="506">
        <v>0.5</v>
      </c>
      <c r="D331" s="506">
        <v>0</v>
      </c>
      <c r="E331" s="506">
        <v>0</v>
      </c>
      <c r="F331" s="506">
        <v>0</v>
      </c>
      <c r="G331" s="506">
        <v>0</v>
      </c>
      <c r="H331" s="506">
        <v>0.5</v>
      </c>
      <c r="I331" s="454" t="s">
        <v>91</v>
      </c>
      <c r="J331" s="507" t="s">
        <v>4700</v>
      </c>
      <c r="K331" s="507" t="s">
        <v>748</v>
      </c>
      <c r="L331" s="507" t="s">
        <v>748</v>
      </c>
      <c r="M331" s="507" t="s">
        <v>4698</v>
      </c>
      <c r="N331" s="507" t="s">
        <v>748</v>
      </c>
      <c r="O331" s="507" t="s">
        <v>4701</v>
      </c>
      <c r="P331" s="77"/>
      <c r="Q331" s="77"/>
      <c r="R331" s="77"/>
      <c r="S331" s="77"/>
      <c r="T331" s="77"/>
      <c r="U331" s="77"/>
      <c r="V331" s="77"/>
      <c r="W331" s="77"/>
      <c r="X331" s="77"/>
      <c r="Y331" s="77"/>
      <c r="Z331" s="77"/>
    </row>
    <row r="332" spans="1:26" ht="13.5" customHeight="1">
      <c r="A332" s="2"/>
      <c r="B332" s="952"/>
      <c r="C332" s="271"/>
      <c r="D332" s="271"/>
      <c r="E332" s="271"/>
      <c r="F332" s="271"/>
      <c r="G332" s="271"/>
      <c r="H332" s="271"/>
      <c r="I332" s="485"/>
      <c r="J332" s="291"/>
      <c r="K332" s="953"/>
      <c r="L332" s="953"/>
      <c r="M332" s="291"/>
      <c r="N332" s="953"/>
      <c r="O332" s="953"/>
      <c r="P332" s="15"/>
      <c r="Q332" s="15"/>
      <c r="R332" s="15"/>
      <c r="S332" s="15"/>
      <c r="T332" s="15"/>
      <c r="U332" s="15"/>
      <c r="V332" s="15"/>
      <c r="W332" s="15"/>
      <c r="X332" s="15"/>
      <c r="Y332" s="15"/>
      <c r="Z332" s="15"/>
    </row>
    <row r="333" spans="1:26" ht="45" customHeight="1">
      <c r="A333" s="666" t="s">
        <v>736</v>
      </c>
      <c r="B333" s="517" t="s">
        <v>423</v>
      </c>
      <c r="C333" s="506">
        <v>0</v>
      </c>
      <c r="D333" s="506">
        <v>0</v>
      </c>
      <c r="E333" s="506">
        <v>0</v>
      </c>
      <c r="F333" s="506">
        <v>0.5</v>
      </c>
      <c r="G333" s="506">
        <v>0.5</v>
      </c>
      <c r="H333" s="506">
        <v>0.5</v>
      </c>
      <c r="I333" s="454" t="s">
        <v>424</v>
      </c>
      <c r="J333" s="507" t="s">
        <v>748</v>
      </c>
      <c r="K333" s="507" t="s">
        <v>748</v>
      </c>
      <c r="L333" s="507" t="s">
        <v>748</v>
      </c>
      <c r="M333" s="507" t="s">
        <v>4702</v>
      </c>
      <c r="N333" s="507" t="s">
        <v>3272</v>
      </c>
      <c r="O333" s="507" t="s">
        <v>4703</v>
      </c>
      <c r="P333" s="77"/>
      <c r="Q333" s="77"/>
      <c r="R333" s="77"/>
      <c r="S333" s="77"/>
      <c r="T333" s="77"/>
      <c r="U333" s="77"/>
      <c r="V333" s="77"/>
      <c r="W333" s="77"/>
      <c r="X333" s="77"/>
      <c r="Y333" s="77"/>
      <c r="Z333" s="77"/>
    </row>
    <row r="334" spans="1:26" ht="13.5" customHeight="1">
      <c r="A334" s="2"/>
      <c r="B334" s="952"/>
      <c r="C334" s="271"/>
      <c r="D334" s="271"/>
      <c r="E334" s="271"/>
      <c r="F334" s="271"/>
      <c r="G334" s="271"/>
      <c r="H334" s="271"/>
      <c r="I334" s="485"/>
      <c r="J334" s="291"/>
      <c r="K334" s="953"/>
      <c r="L334" s="953"/>
      <c r="M334" s="291"/>
      <c r="N334" s="953"/>
      <c r="O334" s="953"/>
      <c r="P334" s="15"/>
      <c r="Q334" s="15"/>
      <c r="R334" s="15"/>
      <c r="S334" s="15"/>
      <c r="T334" s="15"/>
      <c r="U334" s="15"/>
      <c r="V334" s="15"/>
      <c r="W334" s="15"/>
      <c r="X334" s="15"/>
      <c r="Y334" s="15"/>
      <c r="Z334" s="15"/>
    </row>
    <row r="335" spans="1:26" ht="76.5" customHeight="1">
      <c r="A335" s="666" t="s">
        <v>736</v>
      </c>
      <c r="B335" s="517" t="s">
        <v>425</v>
      </c>
      <c r="C335" s="506">
        <v>1</v>
      </c>
      <c r="D335" s="506">
        <v>1</v>
      </c>
      <c r="E335" s="506">
        <v>0.5</v>
      </c>
      <c r="F335" s="506">
        <v>0.5</v>
      </c>
      <c r="G335" s="506">
        <v>1</v>
      </c>
      <c r="H335" s="506">
        <v>1</v>
      </c>
      <c r="I335" s="454" t="s">
        <v>426</v>
      </c>
      <c r="J335" s="507" t="s">
        <v>4704</v>
      </c>
      <c r="K335" s="507" t="s">
        <v>4705</v>
      </c>
      <c r="L335" s="507" t="s">
        <v>3276</v>
      </c>
      <c r="M335" s="507" t="s">
        <v>4706</v>
      </c>
      <c r="N335" s="507" t="s">
        <v>4707</v>
      </c>
      <c r="O335" s="507" t="s">
        <v>4708</v>
      </c>
      <c r="P335" s="77"/>
      <c r="Q335" s="77"/>
      <c r="R335" s="77"/>
      <c r="S335" s="77"/>
      <c r="T335" s="77"/>
      <c r="U335" s="77"/>
      <c r="V335" s="77"/>
      <c r="W335" s="77"/>
      <c r="X335" s="77"/>
      <c r="Y335" s="77"/>
      <c r="Z335" s="77"/>
    </row>
    <row r="336" spans="1:26" ht="13.5" customHeight="1">
      <c r="A336" s="2"/>
      <c r="B336" s="952"/>
      <c r="C336" s="271"/>
      <c r="D336" s="271"/>
      <c r="E336" s="271"/>
      <c r="F336" s="271"/>
      <c r="G336" s="271"/>
      <c r="H336" s="271"/>
      <c r="I336" s="485"/>
      <c r="J336" s="291"/>
      <c r="K336" s="953"/>
      <c r="L336" s="953"/>
      <c r="M336" s="291"/>
      <c r="N336" s="953"/>
      <c r="O336" s="953"/>
      <c r="P336" s="15"/>
      <c r="Q336" s="15"/>
      <c r="R336" s="15"/>
      <c r="S336" s="15"/>
      <c r="T336" s="15"/>
      <c r="U336" s="15"/>
      <c r="V336" s="15"/>
      <c r="W336" s="15"/>
      <c r="X336" s="15"/>
      <c r="Y336" s="15"/>
      <c r="Z336" s="15"/>
    </row>
    <row r="337" spans="1:26" ht="81" customHeight="1">
      <c r="A337" s="666" t="s">
        <v>736</v>
      </c>
      <c r="B337" s="517" t="s">
        <v>3280</v>
      </c>
      <c r="C337" s="506">
        <v>0</v>
      </c>
      <c r="D337" s="506">
        <v>0</v>
      </c>
      <c r="E337" s="506">
        <v>0</v>
      </c>
      <c r="F337" s="506">
        <v>0</v>
      </c>
      <c r="G337" s="506">
        <v>0</v>
      </c>
      <c r="H337" s="506">
        <v>0</v>
      </c>
      <c r="I337" s="454" t="s">
        <v>38</v>
      </c>
      <c r="J337" s="507" t="s">
        <v>3281</v>
      </c>
      <c r="K337" s="507" t="s">
        <v>748</v>
      </c>
      <c r="L337" s="507" t="s">
        <v>748</v>
      </c>
      <c r="M337" s="507" t="s">
        <v>3282</v>
      </c>
      <c r="N337" s="507" t="s">
        <v>748</v>
      </c>
      <c r="O337" s="507" t="s">
        <v>4709</v>
      </c>
      <c r="P337" s="77"/>
      <c r="Q337" s="77"/>
      <c r="R337" s="77"/>
      <c r="S337" s="77"/>
      <c r="T337" s="77"/>
      <c r="U337" s="77"/>
      <c r="V337" s="77"/>
      <c r="W337" s="77"/>
      <c r="X337" s="77"/>
      <c r="Y337" s="77"/>
      <c r="Z337" s="77"/>
    </row>
    <row r="338" spans="1:26" ht="13.5" customHeight="1">
      <c r="A338" s="2"/>
      <c r="B338" s="952"/>
      <c r="C338" s="271"/>
      <c r="D338" s="271"/>
      <c r="E338" s="271"/>
      <c r="F338" s="271"/>
      <c r="G338" s="271"/>
      <c r="H338" s="271"/>
      <c r="I338" s="485"/>
      <c r="J338" s="291"/>
      <c r="K338" s="953"/>
      <c r="L338" s="953"/>
      <c r="M338" s="291"/>
      <c r="N338" s="953"/>
      <c r="O338" s="953"/>
      <c r="P338" s="15"/>
      <c r="Q338" s="15"/>
      <c r="R338" s="15"/>
      <c r="S338" s="15"/>
      <c r="T338" s="15"/>
      <c r="U338" s="15"/>
      <c r="V338" s="15"/>
      <c r="W338" s="15"/>
      <c r="X338" s="15"/>
      <c r="Y338" s="15"/>
      <c r="Z338" s="15"/>
    </row>
    <row r="339" spans="1:26" ht="37.5" customHeight="1">
      <c r="A339" s="647" t="s">
        <v>1429</v>
      </c>
      <c r="B339" s="628" t="s">
        <v>429</v>
      </c>
      <c r="C339" s="656">
        <f t="shared" ref="C339:H339" si="49">AVERAGE(C340,C342,C344,C346,C348)</f>
        <v>0.3</v>
      </c>
      <c r="D339" s="656">
        <f t="shared" si="49"/>
        <v>0.4</v>
      </c>
      <c r="E339" s="656">
        <f t="shared" si="49"/>
        <v>0.4</v>
      </c>
      <c r="F339" s="656">
        <f t="shared" si="49"/>
        <v>0.5</v>
      </c>
      <c r="G339" s="656">
        <f t="shared" si="49"/>
        <v>0.4</v>
      </c>
      <c r="H339" s="656">
        <f t="shared" si="49"/>
        <v>0.2</v>
      </c>
      <c r="I339" s="307"/>
      <c r="J339" s="498"/>
      <c r="K339" s="498"/>
      <c r="L339" s="656"/>
      <c r="M339" s="656"/>
      <c r="N339" s="656"/>
      <c r="O339" s="656"/>
      <c r="P339" s="501"/>
      <c r="Q339" s="501"/>
      <c r="R339" s="501"/>
      <c r="S339" s="501"/>
      <c r="T339" s="501"/>
      <c r="U339" s="501"/>
      <c r="V339" s="501"/>
      <c r="W339" s="501"/>
      <c r="X339" s="501"/>
      <c r="Y339" s="501"/>
      <c r="Z339" s="501"/>
    </row>
    <row r="340" spans="1:26" ht="63" customHeight="1">
      <c r="A340" s="666" t="s">
        <v>736</v>
      </c>
      <c r="B340" s="517" t="s">
        <v>430</v>
      </c>
      <c r="C340" s="506">
        <v>0.5</v>
      </c>
      <c r="D340" s="506">
        <v>1</v>
      </c>
      <c r="E340" s="991">
        <v>1</v>
      </c>
      <c r="F340" s="991">
        <v>0.5</v>
      </c>
      <c r="G340" s="506">
        <v>0.5</v>
      </c>
      <c r="H340" s="506">
        <v>0</v>
      </c>
      <c r="I340" s="632"/>
      <c r="J340" s="583" t="s">
        <v>3284</v>
      </c>
      <c r="K340" s="507" t="s">
        <v>3285</v>
      </c>
      <c r="L340" s="583" t="s">
        <v>3286</v>
      </c>
      <c r="M340" s="507" t="s">
        <v>3287</v>
      </c>
      <c r="N340" s="701" t="s">
        <v>4710</v>
      </c>
      <c r="O340" s="583" t="s">
        <v>3289</v>
      </c>
      <c r="P340" s="77"/>
      <c r="Q340" s="77"/>
      <c r="R340" s="77"/>
      <c r="S340" s="77"/>
      <c r="T340" s="77"/>
      <c r="U340" s="77"/>
      <c r="V340" s="77"/>
      <c r="W340" s="77"/>
      <c r="X340" s="77"/>
      <c r="Y340" s="77"/>
      <c r="Z340" s="77"/>
    </row>
    <row r="341" spans="1:26" ht="18.75" customHeight="1">
      <c r="A341" s="317"/>
      <c r="B341" s="473"/>
      <c r="C341" s="87"/>
      <c r="D341" s="87"/>
      <c r="E341" s="87"/>
      <c r="F341" s="87"/>
      <c r="G341" s="87"/>
      <c r="H341" s="87"/>
      <c r="I341" s="632"/>
      <c r="J341" s="346"/>
      <c r="K341" s="75"/>
      <c r="L341" s="346"/>
      <c r="M341" s="75"/>
      <c r="N341" s="347"/>
      <c r="O341" s="346"/>
      <c r="P341" s="77"/>
      <c r="Q341" s="77"/>
      <c r="R341" s="77"/>
      <c r="S341" s="77"/>
      <c r="T341" s="77"/>
      <c r="U341" s="77"/>
      <c r="V341" s="77"/>
      <c r="W341" s="77"/>
      <c r="X341" s="77"/>
      <c r="Y341" s="77"/>
      <c r="Z341" s="77"/>
    </row>
    <row r="342" spans="1:26" ht="60" customHeight="1">
      <c r="A342" s="666" t="s">
        <v>736</v>
      </c>
      <c r="B342" s="517" t="s">
        <v>431</v>
      </c>
      <c r="C342" s="506">
        <v>0</v>
      </c>
      <c r="D342" s="506">
        <v>0</v>
      </c>
      <c r="E342" s="506">
        <v>0</v>
      </c>
      <c r="F342" s="506">
        <v>0.5</v>
      </c>
      <c r="G342" s="991">
        <v>0.5</v>
      </c>
      <c r="H342" s="506">
        <v>0</v>
      </c>
      <c r="I342" s="632"/>
      <c r="J342" s="507" t="s">
        <v>748</v>
      </c>
      <c r="K342" s="507" t="s">
        <v>748</v>
      </c>
      <c r="L342" s="507" t="s">
        <v>748</v>
      </c>
      <c r="M342" s="508" t="s">
        <v>3291</v>
      </c>
      <c r="N342" s="701" t="s">
        <v>4711</v>
      </c>
      <c r="O342" s="583" t="s">
        <v>3289</v>
      </c>
      <c r="P342" s="77"/>
      <c r="Q342" s="77"/>
      <c r="R342" s="77"/>
      <c r="S342" s="77"/>
      <c r="T342" s="77"/>
      <c r="U342" s="77"/>
      <c r="V342" s="77"/>
      <c r="W342" s="77"/>
      <c r="X342" s="77"/>
      <c r="Y342" s="77"/>
      <c r="Z342" s="77"/>
    </row>
    <row r="343" spans="1:26" ht="22.5" customHeight="1">
      <c r="A343" s="317"/>
      <c r="B343" s="473"/>
      <c r="C343" s="87"/>
      <c r="D343" s="87"/>
      <c r="E343" s="87"/>
      <c r="F343" s="87"/>
      <c r="G343" s="908"/>
      <c r="H343" s="87"/>
      <c r="I343" s="632"/>
      <c r="J343" s="75"/>
      <c r="K343" s="75"/>
      <c r="L343" s="75"/>
      <c r="M343" s="88"/>
      <c r="N343" s="347"/>
      <c r="O343" s="346"/>
      <c r="P343" s="77"/>
      <c r="Q343" s="77"/>
      <c r="R343" s="77"/>
      <c r="S343" s="77"/>
      <c r="T343" s="77"/>
      <c r="U343" s="77"/>
      <c r="V343" s="77"/>
      <c r="W343" s="77"/>
      <c r="X343" s="77"/>
      <c r="Y343" s="77"/>
      <c r="Z343" s="77"/>
    </row>
    <row r="344" spans="1:26" ht="86.25" customHeight="1">
      <c r="A344" s="666" t="s">
        <v>736</v>
      </c>
      <c r="B344" s="517" t="s">
        <v>432</v>
      </c>
      <c r="C344" s="994">
        <v>0</v>
      </c>
      <c r="D344" s="506">
        <v>0</v>
      </c>
      <c r="E344" s="506">
        <v>0</v>
      </c>
      <c r="F344" s="506">
        <v>0</v>
      </c>
      <c r="G344" s="506">
        <v>0</v>
      </c>
      <c r="H344" s="506">
        <v>0</v>
      </c>
      <c r="I344" s="632"/>
      <c r="J344" s="583" t="s">
        <v>4712</v>
      </c>
      <c r="K344" s="507" t="s">
        <v>3295</v>
      </c>
      <c r="L344" s="507" t="s">
        <v>748</v>
      </c>
      <c r="M344" s="507" t="s">
        <v>748</v>
      </c>
      <c r="N344" s="701" t="s">
        <v>3296</v>
      </c>
      <c r="O344" s="583" t="s">
        <v>3297</v>
      </c>
      <c r="P344" s="77"/>
      <c r="Q344" s="77"/>
      <c r="R344" s="77"/>
      <c r="S344" s="77"/>
      <c r="T344" s="77"/>
      <c r="U344" s="77"/>
      <c r="V344" s="77"/>
      <c r="W344" s="77"/>
      <c r="X344" s="77"/>
      <c r="Y344" s="77"/>
      <c r="Z344" s="77"/>
    </row>
    <row r="345" spans="1:26" ht="18.75" customHeight="1">
      <c r="A345" s="317"/>
      <c r="B345" s="473"/>
      <c r="C345" s="908"/>
      <c r="D345" s="87"/>
      <c r="E345" s="87"/>
      <c r="F345" s="87"/>
      <c r="G345" s="87"/>
      <c r="H345" s="87"/>
      <c r="I345" s="632"/>
      <c r="J345" s="346"/>
      <c r="K345" s="75"/>
      <c r="L345" s="75"/>
      <c r="M345" s="75"/>
      <c r="N345" s="347"/>
      <c r="O345" s="346"/>
      <c r="P345" s="77"/>
      <c r="Q345" s="77"/>
      <c r="R345" s="77"/>
      <c r="S345" s="77"/>
      <c r="T345" s="77"/>
      <c r="U345" s="77"/>
      <c r="V345" s="77"/>
      <c r="W345" s="77"/>
      <c r="X345" s="77"/>
      <c r="Y345" s="77"/>
      <c r="Z345" s="77"/>
    </row>
    <row r="346" spans="1:26" ht="56.25" customHeight="1">
      <c r="A346" s="666" t="s">
        <v>736</v>
      </c>
      <c r="B346" s="517" t="s">
        <v>433</v>
      </c>
      <c r="C346" s="506">
        <v>1</v>
      </c>
      <c r="D346" s="506">
        <v>1</v>
      </c>
      <c r="E346" s="506">
        <v>1</v>
      </c>
      <c r="F346" s="991">
        <v>1</v>
      </c>
      <c r="G346" s="506">
        <v>1</v>
      </c>
      <c r="H346" s="506">
        <v>1</v>
      </c>
      <c r="I346" s="632"/>
      <c r="J346" s="583" t="s">
        <v>4713</v>
      </c>
      <c r="K346" s="507" t="s">
        <v>3299</v>
      </c>
      <c r="L346" s="583" t="s">
        <v>3300</v>
      </c>
      <c r="M346" s="508" t="s">
        <v>3301</v>
      </c>
      <c r="N346" s="701" t="s">
        <v>3302</v>
      </c>
      <c r="O346" s="583" t="s">
        <v>3303</v>
      </c>
      <c r="P346" s="77"/>
      <c r="Q346" s="77"/>
      <c r="R346" s="77"/>
      <c r="S346" s="77"/>
      <c r="T346" s="77"/>
      <c r="U346" s="77"/>
      <c r="V346" s="77"/>
      <c r="W346" s="77"/>
      <c r="X346" s="77"/>
      <c r="Y346" s="77"/>
      <c r="Z346" s="77"/>
    </row>
    <row r="347" spans="1:26" ht="22.5" customHeight="1">
      <c r="A347" s="317"/>
      <c r="B347" s="473"/>
      <c r="C347" s="87"/>
      <c r="D347" s="87"/>
      <c r="E347" s="87"/>
      <c r="F347" s="908"/>
      <c r="G347" s="87"/>
      <c r="H347" s="87"/>
      <c r="I347" s="632"/>
      <c r="J347" s="346"/>
      <c r="K347" s="75"/>
      <c r="L347" s="346"/>
      <c r="M347" s="88"/>
      <c r="N347" s="347"/>
      <c r="O347" s="346"/>
      <c r="P347" s="77"/>
      <c r="Q347" s="77"/>
      <c r="R347" s="77"/>
      <c r="S347" s="77"/>
      <c r="T347" s="77"/>
      <c r="U347" s="77"/>
      <c r="V347" s="77"/>
      <c r="W347" s="77"/>
      <c r="X347" s="77"/>
      <c r="Y347" s="77"/>
      <c r="Z347" s="77"/>
    </row>
    <row r="348" spans="1:26" ht="56.25" customHeight="1">
      <c r="A348" s="666" t="s">
        <v>736</v>
      </c>
      <c r="B348" s="517" t="s">
        <v>434</v>
      </c>
      <c r="C348" s="506">
        <v>0</v>
      </c>
      <c r="D348" s="506">
        <v>0</v>
      </c>
      <c r="E348" s="705">
        <v>0</v>
      </c>
      <c r="F348" s="991">
        <v>0.5</v>
      </c>
      <c r="G348" s="506">
        <v>0</v>
      </c>
      <c r="H348" s="506">
        <v>0</v>
      </c>
      <c r="I348" s="485"/>
      <c r="J348" s="583" t="s">
        <v>3304</v>
      </c>
      <c r="K348" s="507" t="s">
        <v>3305</v>
      </c>
      <c r="L348" s="583" t="s">
        <v>3306</v>
      </c>
      <c r="M348" s="508" t="s">
        <v>3307</v>
      </c>
      <c r="N348" s="701" t="s">
        <v>3308</v>
      </c>
      <c r="O348" s="707" t="s">
        <v>3309</v>
      </c>
      <c r="P348" s="77"/>
      <c r="Q348" s="77"/>
      <c r="R348" s="77"/>
      <c r="S348" s="15"/>
      <c r="T348" s="15"/>
      <c r="U348" s="15"/>
      <c r="V348" s="15"/>
      <c r="W348" s="15"/>
      <c r="X348" s="15"/>
      <c r="Y348" s="15"/>
      <c r="Z348" s="15"/>
    </row>
    <row r="349" spans="1:26" ht="21" customHeight="1">
      <c r="A349" s="343"/>
      <c r="B349" s="3"/>
      <c r="C349" s="87"/>
      <c r="D349" s="87"/>
      <c r="E349" s="344"/>
      <c r="F349" s="908"/>
      <c r="G349" s="87"/>
      <c r="H349" s="87"/>
      <c r="I349" s="485"/>
      <c r="J349" s="346"/>
      <c r="K349" s="75"/>
      <c r="L349" s="346"/>
      <c r="M349" s="88"/>
      <c r="N349" s="347"/>
      <c r="O349" s="348"/>
      <c r="P349" s="77"/>
      <c r="Q349" s="77"/>
      <c r="R349" s="77"/>
      <c r="S349" s="15"/>
      <c r="T349" s="15"/>
      <c r="U349" s="15"/>
      <c r="V349" s="15"/>
      <c r="W349" s="15"/>
      <c r="X349" s="15"/>
      <c r="Y349" s="15"/>
      <c r="Z349" s="15"/>
    </row>
    <row r="350" spans="1:26" ht="24.75" customHeight="1">
      <c r="A350" s="709" t="s">
        <v>1451</v>
      </c>
      <c r="B350" s="711" t="s">
        <v>1452</v>
      </c>
      <c r="C350" s="160">
        <f t="shared" ref="C350:H350" si="50">AVERAGE(C351,C356,C385)</f>
        <v>0.55919979253401086</v>
      </c>
      <c r="D350" s="160">
        <f t="shared" si="50"/>
        <v>0.70523599460002107</v>
      </c>
      <c r="E350" s="160">
        <f t="shared" si="50"/>
        <v>0.28105277596812434</v>
      </c>
      <c r="F350" s="160">
        <f t="shared" si="50"/>
        <v>0.64024161736393814</v>
      </c>
      <c r="G350" s="160">
        <f t="shared" si="50"/>
        <v>0.63137798162446013</v>
      </c>
      <c r="H350" s="160">
        <f t="shared" si="50"/>
        <v>0.32903734901339393</v>
      </c>
      <c r="I350" s="713"/>
      <c r="J350" s="575"/>
      <c r="K350" s="575"/>
      <c r="L350" s="715"/>
      <c r="M350" s="575"/>
      <c r="N350" s="575"/>
      <c r="O350" s="575"/>
      <c r="P350" s="713"/>
      <c r="Q350" s="713"/>
      <c r="R350" s="713"/>
      <c r="S350" s="713"/>
      <c r="T350" s="713"/>
      <c r="U350" s="713"/>
      <c r="V350" s="713"/>
      <c r="W350" s="713"/>
      <c r="X350" s="713"/>
      <c r="Y350" s="713"/>
      <c r="Z350" s="713"/>
    </row>
    <row r="351" spans="1:26" ht="13.5" customHeight="1">
      <c r="A351" s="716" t="s">
        <v>1453</v>
      </c>
      <c r="B351" s="517" t="s">
        <v>342</v>
      </c>
      <c r="C351" s="498">
        <f t="shared" ref="C351:H351" si="51">AVERAGE(C352,C354)</f>
        <v>0.1656946156972707</v>
      </c>
      <c r="D351" s="498">
        <f t="shared" si="51"/>
        <v>0.27642226951434884</v>
      </c>
      <c r="E351" s="498">
        <f t="shared" si="51"/>
        <v>0.2062535659996112</v>
      </c>
      <c r="F351" s="498">
        <f t="shared" si="51"/>
        <v>0.51596294732990944</v>
      </c>
      <c r="G351" s="498">
        <f t="shared" si="51"/>
        <v>0.25722918296861841</v>
      </c>
      <c r="H351" s="498">
        <f t="shared" si="51"/>
        <v>0.1359215708497056</v>
      </c>
      <c r="I351" s="161"/>
      <c r="J351" s="499"/>
      <c r="K351" s="499"/>
      <c r="L351" s="571"/>
      <c r="M351" s="499"/>
      <c r="N351" s="499"/>
      <c r="O351" s="499"/>
      <c r="P351" s="558"/>
      <c r="Q351" s="558"/>
      <c r="R351" s="558"/>
      <c r="S351" s="559"/>
      <c r="T351" s="559"/>
      <c r="U351" s="559"/>
      <c r="V351" s="559"/>
      <c r="W351" s="559"/>
      <c r="X351" s="559"/>
      <c r="Y351" s="559"/>
      <c r="Z351" s="559"/>
    </row>
    <row r="352" spans="1:26" ht="27.75" customHeight="1">
      <c r="A352" s="666" t="s">
        <v>736</v>
      </c>
      <c r="B352" s="517" t="s">
        <v>4714</v>
      </c>
      <c r="C352" s="506">
        <f t="shared" ref="C352:H352" si="52">(J352+1.4317)/(1.056499+1.4317)</f>
        <v>0.18555589806120815</v>
      </c>
      <c r="D352" s="506">
        <f t="shared" si="52"/>
        <v>0.28201120569536442</v>
      </c>
      <c r="E352" s="506">
        <f t="shared" si="52"/>
        <v>0.24584046533255582</v>
      </c>
      <c r="F352" s="506">
        <f t="shared" si="52"/>
        <v>0.51109256132648562</v>
      </c>
      <c r="G352" s="506">
        <f t="shared" si="52"/>
        <v>0.30612503260390345</v>
      </c>
      <c r="H352" s="506">
        <f t="shared" si="52"/>
        <v>0.10517647503274459</v>
      </c>
      <c r="I352" s="454" t="s">
        <v>4715</v>
      </c>
      <c r="J352" s="507">
        <v>-0.97</v>
      </c>
      <c r="K352" s="507">
        <v>-0.73</v>
      </c>
      <c r="L352" s="507">
        <v>-0.82</v>
      </c>
      <c r="M352" s="507">
        <v>-0.16</v>
      </c>
      <c r="N352" s="507">
        <v>-0.67</v>
      </c>
      <c r="O352" s="507">
        <v>-1.17</v>
      </c>
      <c r="P352" s="534"/>
      <c r="Q352" s="534"/>
      <c r="R352" s="534"/>
      <c r="S352" s="535"/>
      <c r="T352" s="535"/>
      <c r="U352" s="535"/>
      <c r="V352" s="535"/>
      <c r="W352" s="535"/>
      <c r="X352" s="535"/>
      <c r="Y352" s="535"/>
      <c r="Z352" s="535"/>
    </row>
    <row r="353" spans="1:26" ht="13.5" customHeight="1">
      <c r="A353" s="143"/>
      <c r="B353" s="144"/>
      <c r="C353" s="87"/>
      <c r="D353" s="87"/>
      <c r="E353" s="87"/>
      <c r="F353" s="87"/>
      <c r="G353" s="87"/>
      <c r="H353" s="87"/>
      <c r="I353" s="454"/>
      <c r="J353" s="75"/>
      <c r="K353" s="75"/>
      <c r="L353" s="75"/>
      <c r="M353" s="75"/>
      <c r="N353" s="75"/>
      <c r="O353" s="75"/>
      <c r="P353" s="146"/>
      <c r="Q353" s="146"/>
      <c r="R353" s="146"/>
      <c r="S353" s="149"/>
      <c r="T353" s="149"/>
      <c r="U353" s="149"/>
      <c r="V353" s="149"/>
      <c r="W353" s="149"/>
      <c r="X353" s="149"/>
      <c r="Y353" s="149"/>
      <c r="Z353" s="149"/>
    </row>
    <row r="354" spans="1:26" ht="55.5" customHeight="1">
      <c r="A354" s="666" t="s">
        <v>736</v>
      </c>
      <c r="B354" s="517" t="s">
        <v>4716</v>
      </c>
      <c r="C354" s="506">
        <f>(2.3-1.6)/(6.4-1.6)</f>
        <v>0.14583333333333326</v>
      </c>
      <c r="D354" s="506">
        <f>(2.9-1.6)/(6.4-1.6)</f>
        <v>0.27083333333333326</v>
      </c>
      <c r="E354" s="506">
        <f>(2.4-1.6)/(6.4-1.6)</f>
        <v>0.1666666666666666</v>
      </c>
      <c r="F354" s="506">
        <f>(4.1-1.6)/(6.4-1.6)</f>
        <v>0.52083333333333315</v>
      </c>
      <c r="G354" s="506">
        <f>(2.6-1.6)/(6.4-1.6)</f>
        <v>0.20833333333333331</v>
      </c>
      <c r="H354" s="506">
        <f>(2.4-1.6)/(6.4-1.6)</f>
        <v>0.1666666666666666</v>
      </c>
      <c r="I354" s="995" t="s">
        <v>4717</v>
      </c>
      <c r="J354" s="507" t="s">
        <v>4718</v>
      </c>
      <c r="K354" s="507" t="s">
        <v>4719</v>
      </c>
      <c r="L354" s="507" t="s">
        <v>4720</v>
      </c>
      <c r="M354" s="507" t="s">
        <v>4721</v>
      </c>
      <c r="N354" s="507" t="s">
        <v>4722</v>
      </c>
      <c r="O354" s="507" t="s">
        <v>4720</v>
      </c>
      <c r="P354" s="534"/>
      <c r="Q354" s="507"/>
      <c r="R354" s="534"/>
      <c r="S354" s="535"/>
      <c r="T354" s="535"/>
      <c r="U354" s="535"/>
      <c r="V354" s="535"/>
      <c r="W354" s="535"/>
      <c r="X354" s="535"/>
      <c r="Y354" s="535"/>
      <c r="Z354" s="535"/>
    </row>
    <row r="355" spans="1:26" ht="13.5" customHeight="1">
      <c r="A355" s="143"/>
      <c r="B355" s="144"/>
      <c r="C355" s="87"/>
      <c r="D355" s="87"/>
      <c r="E355" s="87"/>
      <c r="F355" s="87"/>
      <c r="G355" s="87"/>
      <c r="H355" s="87"/>
      <c r="I355" s="995"/>
      <c r="J355" s="75"/>
      <c r="K355" s="75"/>
      <c r="L355" s="75"/>
      <c r="M355" s="75"/>
      <c r="N355" s="75"/>
      <c r="O355" s="75"/>
      <c r="P355" s="146"/>
      <c r="Q355" s="75"/>
      <c r="R355" s="146"/>
      <c r="S355" s="149"/>
      <c r="T355" s="149"/>
      <c r="U355" s="149"/>
      <c r="V355" s="149"/>
      <c r="W355" s="149"/>
      <c r="X355" s="149"/>
      <c r="Y355" s="149"/>
      <c r="Z355" s="149"/>
    </row>
    <row r="356" spans="1:26" ht="13.5" customHeight="1">
      <c r="A356" s="556" t="s">
        <v>1464</v>
      </c>
      <c r="B356" s="517" t="s">
        <v>346</v>
      </c>
      <c r="C356" s="498">
        <f t="shared" ref="C356:H356" si="53">AVERAGE(C357,C359,C361,C363,C365,C367,C369,C371,C373,C375,C377,C379,C381,C383)</f>
        <v>0.9285714285714286</v>
      </c>
      <c r="D356" s="498">
        <f t="shared" si="53"/>
        <v>0.9642857142857143</v>
      </c>
      <c r="E356" s="498">
        <f t="shared" si="53"/>
        <v>0.17857142857142858</v>
      </c>
      <c r="F356" s="498">
        <f t="shared" si="53"/>
        <v>0.8214285714285714</v>
      </c>
      <c r="G356" s="498">
        <f t="shared" si="53"/>
        <v>0.9285714285714286</v>
      </c>
      <c r="H356" s="498">
        <f t="shared" si="53"/>
        <v>0.39285714285714285</v>
      </c>
      <c r="I356" s="161"/>
      <c r="J356" s="499"/>
      <c r="K356" s="499"/>
      <c r="L356" s="499"/>
      <c r="M356" s="499"/>
      <c r="N356" s="499"/>
      <c r="O356" s="499"/>
      <c r="P356" s="558"/>
      <c r="Q356" s="558"/>
      <c r="R356" s="558"/>
      <c r="S356" s="559"/>
      <c r="T356" s="559"/>
      <c r="U356" s="559"/>
      <c r="V356" s="559"/>
      <c r="W356" s="559"/>
      <c r="X356" s="559"/>
      <c r="Y356" s="559"/>
      <c r="Z356" s="559"/>
    </row>
    <row r="357" spans="1:26" ht="66" customHeight="1">
      <c r="A357" s="666" t="s">
        <v>736</v>
      </c>
      <c r="B357" s="721" t="s">
        <v>347</v>
      </c>
      <c r="C357" s="506">
        <v>1</v>
      </c>
      <c r="D357" s="506">
        <v>1</v>
      </c>
      <c r="E357" s="506">
        <v>1</v>
      </c>
      <c r="F357" s="506">
        <v>1</v>
      </c>
      <c r="G357" s="506">
        <v>1</v>
      </c>
      <c r="H357" s="506">
        <v>1</v>
      </c>
      <c r="I357" s="454" t="s">
        <v>38</v>
      </c>
      <c r="J357" s="507" t="s">
        <v>3320</v>
      </c>
      <c r="K357" s="507" t="s">
        <v>3321</v>
      </c>
      <c r="L357" s="507" t="s">
        <v>4723</v>
      </c>
      <c r="M357" s="507" t="s">
        <v>4724</v>
      </c>
      <c r="N357" s="507" t="s">
        <v>3324</v>
      </c>
      <c r="O357" s="507" t="s">
        <v>3325</v>
      </c>
      <c r="P357" s="87"/>
      <c r="Q357" s="146"/>
      <c r="R357" s="146"/>
      <c r="S357" s="149"/>
      <c r="T357" s="149"/>
      <c r="U357" s="149"/>
      <c r="V357" s="149"/>
      <c r="W357" s="149"/>
      <c r="X357" s="149"/>
      <c r="Y357" s="149"/>
      <c r="Z357" s="149"/>
    </row>
    <row r="358" spans="1:26" ht="13.5" customHeight="1">
      <c r="A358" s="2"/>
      <c r="B358" s="952"/>
      <c r="C358" s="271"/>
      <c r="D358" s="271"/>
      <c r="E358" s="271"/>
      <c r="F358" s="271"/>
      <c r="G358" s="271"/>
      <c r="H358" s="271"/>
      <c r="I358" s="485"/>
      <c r="J358" s="291"/>
      <c r="K358" s="953"/>
      <c r="L358" s="953"/>
      <c r="M358" s="291"/>
      <c r="N358" s="953"/>
      <c r="O358" s="953"/>
      <c r="P358" s="15"/>
      <c r="Q358" s="15"/>
      <c r="R358" s="15"/>
      <c r="S358" s="15"/>
      <c r="T358" s="15"/>
      <c r="U358" s="15"/>
      <c r="V358" s="15"/>
      <c r="W358" s="15"/>
      <c r="X358" s="15"/>
      <c r="Y358" s="15"/>
      <c r="Z358" s="15"/>
    </row>
    <row r="359" spans="1:26" ht="71.25" customHeight="1">
      <c r="A359" s="666" t="s">
        <v>736</v>
      </c>
      <c r="B359" s="721" t="s">
        <v>3326</v>
      </c>
      <c r="C359" s="515">
        <v>1</v>
      </c>
      <c r="D359" s="506">
        <v>1</v>
      </c>
      <c r="E359" s="506">
        <v>0</v>
      </c>
      <c r="F359" s="506">
        <v>0.5</v>
      </c>
      <c r="G359" s="506">
        <v>0.5</v>
      </c>
      <c r="H359" s="506">
        <v>0</v>
      </c>
      <c r="I359" s="454" t="s">
        <v>38</v>
      </c>
      <c r="J359" s="507" t="s">
        <v>3327</v>
      </c>
      <c r="K359" s="507" t="s">
        <v>4725</v>
      </c>
      <c r="L359" s="507" t="s">
        <v>4726</v>
      </c>
      <c r="M359" s="507" t="s">
        <v>4727</v>
      </c>
      <c r="N359" s="507" t="s">
        <v>4728</v>
      </c>
      <c r="O359" s="507" t="s">
        <v>4729</v>
      </c>
      <c r="P359" s="87"/>
      <c r="Q359" s="146"/>
      <c r="R359" s="146"/>
      <c r="S359" s="149"/>
      <c r="T359" s="149"/>
      <c r="U359" s="149"/>
      <c r="V359" s="149"/>
      <c r="W359" s="149"/>
      <c r="X359" s="149"/>
      <c r="Y359" s="149"/>
      <c r="Z359" s="149"/>
    </row>
    <row r="360" spans="1:26" ht="13.5" customHeight="1">
      <c r="A360" s="2"/>
      <c r="B360" s="952"/>
      <c r="C360" s="271"/>
      <c r="D360" s="271"/>
      <c r="E360" s="271"/>
      <c r="F360" s="271"/>
      <c r="G360" s="271"/>
      <c r="H360" s="271"/>
      <c r="I360" s="485"/>
      <c r="J360" s="291"/>
      <c r="K360" s="953"/>
      <c r="L360" s="953"/>
      <c r="M360" s="291"/>
      <c r="N360" s="953"/>
      <c r="O360" s="953"/>
      <c r="P360" s="15"/>
      <c r="Q360" s="15"/>
      <c r="R360" s="15"/>
      <c r="S360" s="15"/>
      <c r="T360" s="15"/>
      <c r="U360" s="15"/>
      <c r="V360" s="15"/>
      <c r="W360" s="15"/>
      <c r="X360" s="15"/>
      <c r="Y360" s="15"/>
      <c r="Z360" s="15"/>
    </row>
    <row r="361" spans="1:26" ht="81" customHeight="1">
      <c r="A361" s="666" t="s">
        <v>736</v>
      </c>
      <c r="B361" s="721" t="s">
        <v>349</v>
      </c>
      <c r="C361" s="506">
        <v>1</v>
      </c>
      <c r="D361" s="506">
        <v>1</v>
      </c>
      <c r="E361" s="506">
        <v>0</v>
      </c>
      <c r="F361" s="506">
        <v>1</v>
      </c>
      <c r="G361" s="506">
        <v>1</v>
      </c>
      <c r="H361" s="506">
        <v>0.5</v>
      </c>
      <c r="I361" s="454" t="s">
        <v>91</v>
      </c>
      <c r="J361" s="507" t="s">
        <v>4730</v>
      </c>
      <c r="K361" s="507" t="s">
        <v>3333</v>
      </c>
      <c r="L361" s="507" t="s">
        <v>748</v>
      </c>
      <c r="M361" s="507" t="s">
        <v>4731</v>
      </c>
      <c r="N361" s="507" t="s">
        <v>4732</v>
      </c>
      <c r="O361" s="507" t="s">
        <v>4733</v>
      </c>
      <c r="P361" s="87"/>
      <c r="Q361" s="146"/>
      <c r="R361" s="146"/>
      <c r="S361" s="149"/>
      <c r="T361" s="149"/>
      <c r="U361" s="149"/>
      <c r="V361" s="149"/>
      <c r="W361" s="149"/>
      <c r="X361" s="149"/>
      <c r="Y361" s="149"/>
      <c r="Z361" s="149"/>
    </row>
    <row r="362" spans="1:26" ht="13.5" customHeight="1">
      <c r="A362" s="2"/>
      <c r="B362" s="952"/>
      <c r="C362" s="271"/>
      <c r="D362" s="271"/>
      <c r="E362" s="271"/>
      <c r="F362" s="271"/>
      <c r="G362" s="271"/>
      <c r="H362" s="271"/>
      <c r="I362" s="485"/>
      <c r="J362" s="291"/>
      <c r="K362" s="953"/>
      <c r="L362" s="953"/>
      <c r="M362" s="291"/>
      <c r="N362" s="953"/>
      <c r="O362" s="953"/>
      <c r="P362" s="15"/>
      <c r="Q362" s="15"/>
      <c r="R362" s="15"/>
      <c r="S362" s="15"/>
      <c r="T362" s="15"/>
      <c r="U362" s="15"/>
      <c r="V362" s="15"/>
      <c r="W362" s="15"/>
      <c r="X362" s="15"/>
      <c r="Y362" s="15"/>
      <c r="Z362" s="15"/>
    </row>
    <row r="363" spans="1:26" ht="67.5" customHeight="1">
      <c r="A363" s="666" t="s">
        <v>736</v>
      </c>
      <c r="B363" s="721" t="s">
        <v>350</v>
      </c>
      <c r="C363" s="506">
        <v>1</v>
      </c>
      <c r="D363" s="506">
        <v>1</v>
      </c>
      <c r="E363" s="506">
        <v>0</v>
      </c>
      <c r="F363" s="506">
        <v>1</v>
      </c>
      <c r="G363" s="506">
        <v>1</v>
      </c>
      <c r="H363" s="506">
        <v>0</v>
      </c>
      <c r="I363" s="454" t="s">
        <v>38</v>
      </c>
      <c r="J363" s="507" t="s">
        <v>4734</v>
      </c>
      <c r="K363" s="507" t="s">
        <v>3339</v>
      </c>
      <c r="L363" s="507" t="s">
        <v>748</v>
      </c>
      <c r="M363" s="507" t="s">
        <v>4735</v>
      </c>
      <c r="N363" s="507" t="s">
        <v>4736</v>
      </c>
      <c r="O363" s="507" t="s">
        <v>4737</v>
      </c>
      <c r="P363" s="87"/>
      <c r="Q363" s="146"/>
      <c r="R363" s="146"/>
      <c r="S363" s="149"/>
      <c r="T363" s="149"/>
      <c r="U363" s="149"/>
      <c r="V363" s="149"/>
      <c r="W363" s="149"/>
      <c r="X363" s="149"/>
      <c r="Y363" s="149"/>
      <c r="Z363" s="149"/>
    </row>
    <row r="364" spans="1:26" ht="13.5" customHeight="1">
      <c r="A364" s="2"/>
      <c r="B364" s="952"/>
      <c r="C364" s="271"/>
      <c r="D364" s="271"/>
      <c r="E364" s="271"/>
      <c r="F364" s="271"/>
      <c r="G364" s="271"/>
      <c r="H364" s="271"/>
      <c r="I364" s="485"/>
      <c r="J364" s="291"/>
      <c r="K364" s="953"/>
      <c r="L364" s="953"/>
      <c r="M364" s="291"/>
      <c r="N364" s="953"/>
      <c r="O364" s="953"/>
      <c r="P364" s="15"/>
      <c r="Q364" s="15"/>
      <c r="R364" s="15"/>
      <c r="S364" s="15"/>
      <c r="T364" s="15"/>
      <c r="U364" s="15"/>
      <c r="V364" s="15"/>
      <c r="W364" s="15"/>
      <c r="X364" s="15"/>
      <c r="Y364" s="15"/>
      <c r="Z364" s="15"/>
    </row>
    <row r="365" spans="1:26" ht="39.75" customHeight="1">
      <c r="A365" s="666" t="s">
        <v>736</v>
      </c>
      <c r="B365" s="721" t="s">
        <v>351</v>
      </c>
      <c r="C365" s="506">
        <v>1</v>
      </c>
      <c r="D365" s="506">
        <v>1</v>
      </c>
      <c r="E365" s="506">
        <v>1</v>
      </c>
      <c r="F365" s="506">
        <v>1</v>
      </c>
      <c r="G365" s="506">
        <v>1</v>
      </c>
      <c r="H365" s="506">
        <v>1</v>
      </c>
      <c r="I365" s="454" t="s">
        <v>123</v>
      </c>
      <c r="J365" s="507" t="s">
        <v>3343</v>
      </c>
      <c r="K365" s="507" t="s">
        <v>3344</v>
      </c>
      <c r="L365" s="507" t="s">
        <v>811</v>
      </c>
      <c r="M365" s="507" t="s">
        <v>4738</v>
      </c>
      <c r="N365" s="507" t="s">
        <v>4739</v>
      </c>
      <c r="O365" s="507" t="s">
        <v>3347</v>
      </c>
      <c r="P365" s="87"/>
      <c r="Q365" s="146"/>
      <c r="R365" s="146"/>
      <c r="S365" s="149"/>
      <c r="T365" s="149"/>
      <c r="U365" s="149"/>
      <c r="V365" s="149"/>
      <c r="W365" s="149"/>
      <c r="X365" s="149"/>
      <c r="Y365" s="149"/>
      <c r="Z365" s="149"/>
    </row>
    <row r="366" spans="1:26" ht="13.5" customHeight="1">
      <c r="A366" s="2"/>
      <c r="B366" s="952"/>
      <c r="C366" s="271"/>
      <c r="D366" s="271"/>
      <c r="E366" s="271"/>
      <c r="F366" s="271"/>
      <c r="G366" s="271"/>
      <c r="H366" s="271"/>
      <c r="I366" s="485"/>
      <c r="J366" s="291"/>
      <c r="K366" s="953"/>
      <c r="L366" s="953"/>
      <c r="M366" s="291"/>
      <c r="N366" s="953"/>
      <c r="O366" s="953"/>
      <c r="P366" s="15"/>
      <c r="Q366" s="15"/>
      <c r="R366" s="15"/>
      <c r="S366" s="15"/>
      <c r="T366" s="15"/>
      <c r="U366" s="15"/>
      <c r="V366" s="15"/>
      <c r="W366" s="15"/>
      <c r="X366" s="15"/>
      <c r="Y366" s="15"/>
      <c r="Z366" s="15"/>
    </row>
    <row r="367" spans="1:26" ht="64.5" customHeight="1">
      <c r="A367" s="666" t="s">
        <v>736</v>
      </c>
      <c r="B367" s="721" t="s">
        <v>352</v>
      </c>
      <c r="C367" s="506">
        <v>1</v>
      </c>
      <c r="D367" s="506">
        <v>1</v>
      </c>
      <c r="E367" s="506">
        <v>0.5</v>
      </c>
      <c r="F367" s="506">
        <v>1</v>
      </c>
      <c r="G367" s="506">
        <v>1</v>
      </c>
      <c r="H367" s="506">
        <v>0</v>
      </c>
      <c r="I367" s="454" t="s">
        <v>123</v>
      </c>
      <c r="J367" s="507" t="s">
        <v>4740</v>
      </c>
      <c r="K367" s="507" t="s">
        <v>1495</v>
      </c>
      <c r="L367" s="507" t="s">
        <v>4741</v>
      </c>
      <c r="M367" s="507" t="s">
        <v>4742</v>
      </c>
      <c r="N367" s="507" t="s">
        <v>4743</v>
      </c>
      <c r="O367" s="507" t="s">
        <v>3352</v>
      </c>
      <c r="P367" s="87"/>
      <c r="Q367" s="146"/>
      <c r="R367" s="146"/>
      <c r="S367" s="149"/>
      <c r="T367" s="149"/>
      <c r="U367" s="149"/>
      <c r="V367" s="149"/>
      <c r="W367" s="149"/>
      <c r="X367" s="149"/>
      <c r="Y367" s="149"/>
      <c r="Z367" s="149"/>
    </row>
    <row r="368" spans="1:26" ht="13.5" customHeight="1">
      <c r="A368" s="2"/>
      <c r="B368" s="952"/>
      <c r="C368" s="271"/>
      <c r="D368" s="271"/>
      <c r="E368" s="271"/>
      <c r="F368" s="271"/>
      <c r="G368" s="271"/>
      <c r="H368" s="271"/>
      <c r="I368" s="485"/>
      <c r="J368" s="291"/>
      <c r="K368" s="953"/>
      <c r="L368" s="953"/>
      <c r="M368" s="291"/>
      <c r="N368" s="953"/>
      <c r="O368" s="953"/>
      <c r="P368" s="15"/>
      <c r="Q368" s="15"/>
      <c r="R368" s="15"/>
      <c r="S368" s="15"/>
      <c r="T368" s="15"/>
      <c r="U368" s="15"/>
      <c r="V368" s="15"/>
      <c r="W368" s="15"/>
      <c r="X368" s="15"/>
      <c r="Y368" s="15"/>
      <c r="Z368" s="15"/>
    </row>
    <row r="369" spans="1:26" ht="56.25" customHeight="1">
      <c r="A369" s="666" t="s">
        <v>736</v>
      </c>
      <c r="B369" s="721" t="s">
        <v>353</v>
      </c>
      <c r="C369" s="506">
        <v>1</v>
      </c>
      <c r="D369" s="506">
        <v>1</v>
      </c>
      <c r="E369" s="506">
        <v>0</v>
      </c>
      <c r="F369" s="506">
        <v>0</v>
      </c>
      <c r="G369" s="506">
        <v>1</v>
      </c>
      <c r="H369" s="506">
        <v>0.5</v>
      </c>
      <c r="I369" s="454" t="s">
        <v>123</v>
      </c>
      <c r="J369" s="507" t="s">
        <v>4744</v>
      </c>
      <c r="K369" s="507" t="s">
        <v>3354</v>
      </c>
      <c r="L369" s="507" t="s">
        <v>748</v>
      </c>
      <c r="M369" s="507" t="s">
        <v>4745</v>
      </c>
      <c r="N369" s="507" t="s">
        <v>4746</v>
      </c>
      <c r="O369" s="507" t="s">
        <v>4747</v>
      </c>
      <c r="P369" s="87"/>
      <c r="Q369" s="146"/>
      <c r="R369" s="146"/>
      <c r="S369" s="149"/>
      <c r="T369" s="149"/>
      <c r="U369" s="149"/>
      <c r="V369" s="149"/>
      <c r="W369" s="149"/>
      <c r="X369" s="149"/>
      <c r="Y369" s="149"/>
      <c r="Z369" s="149"/>
    </row>
    <row r="370" spans="1:26" ht="13.5" customHeight="1">
      <c r="A370" s="2"/>
      <c r="B370" s="952"/>
      <c r="C370" s="271"/>
      <c r="D370" s="271"/>
      <c r="E370" s="271"/>
      <c r="F370" s="271"/>
      <c r="G370" s="271"/>
      <c r="H370" s="271"/>
      <c r="I370" s="485"/>
      <c r="J370" s="291"/>
      <c r="K370" s="953"/>
      <c r="L370" s="953"/>
      <c r="M370" s="291"/>
      <c r="N370" s="953"/>
      <c r="O370" s="953"/>
      <c r="P370" s="15"/>
      <c r="Q370" s="15"/>
      <c r="R370" s="15"/>
      <c r="S370" s="15"/>
      <c r="T370" s="15"/>
      <c r="U370" s="15"/>
      <c r="V370" s="15"/>
      <c r="W370" s="15"/>
      <c r="X370" s="15"/>
      <c r="Y370" s="15"/>
      <c r="Z370" s="15"/>
    </row>
    <row r="371" spans="1:26" ht="53.25" customHeight="1">
      <c r="A371" s="666" t="s">
        <v>736</v>
      </c>
      <c r="B371" s="721" t="s">
        <v>354</v>
      </c>
      <c r="C371" s="506">
        <v>1</v>
      </c>
      <c r="D371" s="506">
        <v>1</v>
      </c>
      <c r="E371" s="506">
        <v>0</v>
      </c>
      <c r="F371" s="506">
        <v>1</v>
      </c>
      <c r="G371" s="506">
        <v>1</v>
      </c>
      <c r="H371" s="506">
        <v>0.5</v>
      </c>
      <c r="I371" s="454" t="s">
        <v>91</v>
      </c>
      <c r="J371" s="507" t="s">
        <v>3358</v>
      </c>
      <c r="K371" s="507" t="s">
        <v>3359</v>
      </c>
      <c r="L371" s="507" t="s">
        <v>748</v>
      </c>
      <c r="M371" s="507" t="s">
        <v>4748</v>
      </c>
      <c r="N371" s="507" t="s">
        <v>4749</v>
      </c>
      <c r="O371" s="507" t="s">
        <v>4750</v>
      </c>
      <c r="P371" s="87"/>
      <c r="Q371" s="146"/>
      <c r="R371" s="146"/>
      <c r="S371" s="149"/>
      <c r="T371" s="149"/>
      <c r="U371" s="149"/>
      <c r="V371" s="149"/>
      <c r="W371" s="149"/>
      <c r="X371" s="149"/>
      <c r="Y371" s="149"/>
      <c r="Z371" s="149"/>
    </row>
    <row r="372" spans="1:26" ht="13.5" customHeight="1">
      <c r="A372" s="2"/>
      <c r="B372" s="952"/>
      <c r="C372" s="271"/>
      <c r="D372" s="271"/>
      <c r="E372" s="271"/>
      <c r="F372" s="271"/>
      <c r="G372" s="271"/>
      <c r="H372" s="271"/>
      <c r="I372" s="485"/>
      <c r="J372" s="291"/>
      <c r="K372" s="953"/>
      <c r="L372" s="953"/>
      <c r="M372" s="291"/>
      <c r="N372" s="953"/>
      <c r="O372" s="953"/>
      <c r="P372" s="15"/>
      <c r="Q372" s="15"/>
      <c r="R372" s="15"/>
      <c r="S372" s="15"/>
      <c r="T372" s="15"/>
      <c r="U372" s="15"/>
      <c r="V372" s="15"/>
      <c r="W372" s="15"/>
      <c r="X372" s="15"/>
      <c r="Y372" s="15"/>
      <c r="Z372" s="15"/>
    </row>
    <row r="373" spans="1:26" ht="51.75" customHeight="1">
      <c r="A373" s="666" t="s">
        <v>736</v>
      </c>
      <c r="B373" s="721" t="s">
        <v>355</v>
      </c>
      <c r="C373" s="506">
        <v>1</v>
      </c>
      <c r="D373" s="506">
        <v>1</v>
      </c>
      <c r="E373" s="506">
        <v>0</v>
      </c>
      <c r="F373" s="506">
        <v>1</v>
      </c>
      <c r="G373" s="506">
        <v>1</v>
      </c>
      <c r="H373" s="506">
        <v>0.5</v>
      </c>
      <c r="I373" s="454" t="s">
        <v>91</v>
      </c>
      <c r="J373" s="507" t="s">
        <v>3358</v>
      </c>
      <c r="K373" s="507" t="s">
        <v>3359</v>
      </c>
      <c r="L373" s="507" t="s">
        <v>748</v>
      </c>
      <c r="M373" s="507" t="s">
        <v>4748</v>
      </c>
      <c r="N373" s="507" t="s">
        <v>4749</v>
      </c>
      <c r="O373" s="507" t="s">
        <v>4750</v>
      </c>
      <c r="P373" s="87"/>
      <c r="Q373" s="146"/>
      <c r="R373" s="146"/>
      <c r="S373" s="149"/>
      <c r="T373" s="149"/>
      <c r="U373" s="149"/>
      <c r="V373" s="149"/>
      <c r="W373" s="149"/>
      <c r="X373" s="149"/>
      <c r="Y373" s="149"/>
      <c r="Z373" s="149"/>
    </row>
    <row r="374" spans="1:26" ht="13.5" customHeight="1">
      <c r="A374" s="2"/>
      <c r="B374" s="952"/>
      <c r="C374" s="271"/>
      <c r="D374" s="271"/>
      <c r="E374" s="271"/>
      <c r="F374" s="271"/>
      <c r="G374" s="271"/>
      <c r="H374" s="271"/>
      <c r="I374" s="485"/>
      <c r="J374" s="291"/>
      <c r="K374" s="953"/>
      <c r="L374" s="953"/>
      <c r="M374" s="291"/>
      <c r="N374" s="953"/>
      <c r="O374" s="953"/>
      <c r="P374" s="15"/>
      <c r="Q374" s="15"/>
      <c r="R374" s="15"/>
      <c r="S374" s="15"/>
      <c r="T374" s="15"/>
      <c r="U374" s="15"/>
      <c r="V374" s="15"/>
      <c r="W374" s="15"/>
      <c r="X374" s="15"/>
      <c r="Y374" s="15"/>
      <c r="Z374" s="15"/>
    </row>
    <row r="375" spans="1:26" ht="51.75" customHeight="1">
      <c r="A375" s="666" t="s">
        <v>736</v>
      </c>
      <c r="B375" s="721" t="s">
        <v>356</v>
      </c>
      <c r="C375" s="506">
        <v>1</v>
      </c>
      <c r="D375" s="506">
        <v>1</v>
      </c>
      <c r="E375" s="506">
        <v>0</v>
      </c>
      <c r="F375" s="506">
        <v>1</v>
      </c>
      <c r="G375" s="506">
        <v>1</v>
      </c>
      <c r="H375" s="506">
        <v>1</v>
      </c>
      <c r="I375" s="454" t="s">
        <v>38</v>
      </c>
      <c r="J375" s="507" t="s">
        <v>4751</v>
      </c>
      <c r="K375" s="507" t="s">
        <v>3368</v>
      </c>
      <c r="L375" s="507" t="s">
        <v>748</v>
      </c>
      <c r="M375" s="507" t="s">
        <v>4752</v>
      </c>
      <c r="N375" s="507" t="s">
        <v>1520</v>
      </c>
      <c r="O375" s="507" t="s">
        <v>4753</v>
      </c>
      <c r="P375" s="87"/>
      <c r="Q375" s="146"/>
      <c r="R375" s="146"/>
      <c r="S375" s="149"/>
      <c r="T375" s="149"/>
      <c r="U375" s="149"/>
      <c r="V375" s="149"/>
      <c r="W375" s="149"/>
      <c r="X375" s="149"/>
      <c r="Y375" s="149"/>
      <c r="Z375" s="149"/>
    </row>
    <row r="376" spans="1:26" ht="13.5" customHeight="1">
      <c r="A376" s="2"/>
      <c r="B376" s="952"/>
      <c r="C376" s="271"/>
      <c r="D376" s="271"/>
      <c r="E376" s="271"/>
      <c r="F376" s="271"/>
      <c r="G376" s="271"/>
      <c r="H376" s="271"/>
      <c r="I376" s="485"/>
      <c r="J376" s="291"/>
      <c r="K376" s="953"/>
      <c r="L376" s="953"/>
      <c r="M376" s="291"/>
      <c r="N376" s="953"/>
      <c r="O376" s="953"/>
      <c r="P376" s="15"/>
      <c r="Q376" s="15"/>
      <c r="R376" s="15"/>
      <c r="S376" s="15"/>
      <c r="T376" s="15"/>
      <c r="U376" s="15"/>
      <c r="V376" s="15"/>
      <c r="W376" s="15"/>
      <c r="X376" s="15"/>
      <c r="Y376" s="15"/>
      <c r="Z376" s="15"/>
    </row>
    <row r="377" spans="1:26" ht="50.25" customHeight="1">
      <c r="A377" s="666" t="s">
        <v>736</v>
      </c>
      <c r="B377" s="721" t="s">
        <v>357</v>
      </c>
      <c r="C377" s="506">
        <v>1</v>
      </c>
      <c r="D377" s="506">
        <v>1</v>
      </c>
      <c r="E377" s="506">
        <v>0</v>
      </c>
      <c r="F377" s="506">
        <v>1</v>
      </c>
      <c r="G377" s="506">
        <v>1</v>
      </c>
      <c r="H377" s="506">
        <v>0.5</v>
      </c>
      <c r="I377" s="454" t="s">
        <v>91</v>
      </c>
      <c r="J377" s="507" t="s">
        <v>4754</v>
      </c>
      <c r="K377" s="507" t="s">
        <v>3371</v>
      </c>
      <c r="L377" s="507" t="s">
        <v>748</v>
      </c>
      <c r="M377" s="507" t="s">
        <v>4755</v>
      </c>
      <c r="N377" s="507" t="s">
        <v>3373</v>
      </c>
      <c r="O377" s="507" t="s">
        <v>4756</v>
      </c>
      <c r="P377" s="87"/>
      <c r="Q377" s="146"/>
      <c r="R377" s="146"/>
      <c r="S377" s="149"/>
      <c r="T377" s="149"/>
      <c r="U377" s="149"/>
      <c r="V377" s="149"/>
      <c r="W377" s="149"/>
      <c r="X377" s="149"/>
      <c r="Y377" s="149"/>
      <c r="Z377" s="149"/>
    </row>
    <row r="378" spans="1:26" ht="13.5" customHeight="1">
      <c r="A378" s="2"/>
      <c r="B378" s="952"/>
      <c r="C378" s="271"/>
      <c r="D378" s="271"/>
      <c r="E378" s="271"/>
      <c r="F378" s="271"/>
      <c r="G378" s="271"/>
      <c r="H378" s="271"/>
      <c r="I378" s="485"/>
      <c r="J378" s="291"/>
      <c r="K378" s="953"/>
      <c r="L378" s="953"/>
      <c r="M378" s="291"/>
      <c r="N378" s="953"/>
      <c r="O378" s="953"/>
      <c r="P378" s="15"/>
      <c r="Q378" s="15"/>
      <c r="R378" s="15"/>
      <c r="S378" s="15"/>
      <c r="T378" s="15"/>
      <c r="U378" s="15"/>
      <c r="V378" s="15"/>
      <c r="W378" s="15"/>
      <c r="X378" s="15"/>
      <c r="Y378" s="15"/>
      <c r="Z378" s="15"/>
    </row>
    <row r="379" spans="1:26" ht="90.75" customHeight="1">
      <c r="A379" s="666" t="s">
        <v>736</v>
      </c>
      <c r="B379" s="721" t="s">
        <v>358</v>
      </c>
      <c r="C379" s="506">
        <v>1</v>
      </c>
      <c r="D379" s="506">
        <v>1</v>
      </c>
      <c r="E379" s="730">
        <v>0</v>
      </c>
      <c r="F379" s="506">
        <v>0.5</v>
      </c>
      <c r="G379" s="506">
        <v>0.5</v>
      </c>
      <c r="H379" s="506">
        <v>0</v>
      </c>
      <c r="I379" s="454" t="s">
        <v>91</v>
      </c>
      <c r="J379" s="507" t="s">
        <v>4757</v>
      </c>
      <c r="K379" s="507" t="s">
        <v>3376</v>
      </c>
      <c r="L379" s="507" t="s">
        <v>748</v>
      </c>
      <c r="M379" s="507" t="s">
        <v>4758</v>
      </c>
      <c r="N379" s="507" t="s">
        <v>4759</v>
      </c>
      <c r="O379" s="507" t="s">
        <v>4760</v>
      </c>
      <c r="P379" s="87"/>
      <c r="Q379" s="146"/>
      <c r="R379" s="146"/>
      <c r="S379" s="149"/>
      <c r="T379" s="149"/>
      <c r="U379" s="149"/>
      <c r="V379" s="149"/>
      <c r="W379" s="149"/>
      <c r="X379" s="149"/>
      <c r="Y379" s="149"/>
      <c r="Z379" s="149"/>
    </row>
    <row r="380" spans="1:26" ht="13.5" customHeight="1">
      <c r="A380" s="2"/>
      <c r="B380" s="952"/>
      <c r="C380" s="271"/>
      <c r="D380" s="271"/>
      <c r="E380" s="271"/>
      <c r="F380" s="271"/>
      <c r="G380" s="271"/>
      <c r="H380" s="271"/>
      <c r="I380" s="485"/>
      <c r="J380" s="291"/>
      <c r="K380" s="953"/>
      <c r="L380" s="953"/>
      <c r="M380" s="291"/>
      <c r="N380" s="953"/>
      <c r="O380" s="953"/>
      <c r="P380" s="15"/>
      <c r="Q380" s="15"/>
      <c r="R380" s="15"/>
      <c r="S380" s="15"/>
      <c r="T380" s="15"/>
      <c r="U380" s="15"/>
      <c r="V380" s="15"/>
      <c r="W380" s="15"/>
      <c r="X380" s="15"/>
      <c r="Y380" s="15"/>
      <c r="Z380" s="15"/>
    </row>
    <row r="381" spans="1:26" ht="69" customHeight="1">
      <c r="A381" s="666" t="s">
        <v>736</v>
      </c>
      <c r="B381" s="721" t="s">
        <v>359</v>
      </c>
      <c r="C381" s="506">
        <v>0</v>
      </c>
      <c r="D381" s="515">
        <v>0.5</v>
      </c>
      <c r="E381" s="506">
        <v>0</v>
      </c>
      <c r="F381" s="506">
        <v>0.5</v>
      </c>
      <c r="G381" s="506">
        <v>1</v>
      </c>
      <c r="H381" s="506">
        <v>0</v>
      </c>
      <c r="I381" s="454" t="s">
        <v>91</v>
      </c>
      <c r="J381" s="507" t="s">
        <v>4761</v>
      </c>
      <c r="K381" s="507" t="s">
        <v>3381</v>
      </c>
      <c r="L381" s="507" t="s">
        <v>748</v>
      </c>
      <c r="M381" s="507" t="s">
        <v>4762</v>
      </c>
      <c r="N381" s="507" t="s">
        <v>4763</v>
      </c>
      <c r="O381" s="507" t="s">
        <v>4764</v>
      </c>
      <c r="P381" s="87"/>
      <c r="Q381" s="146"/>
      <c r="R381" s="146"/>
      <c r="S381" s="149"/>
      <c r="T381" s="149"/>
      <c r="U381" s="149"/>
      <c r="V381" s="149"/>
      <c r="W381" s="149"/>
      <c r="X381" s="149"/>
      <c r="Y381" s="149"/>
      <c r="Z381" s="149"/>
    </row>
    <row r="382" spans="1:26" ht="13.5" customHeight="1">
      <c r="A382" s="2"/>
      <c r="B382" s="952"/>
      <c r="C382" s="271"/>
      <c r="D382" s="271"/>
      <c r="E382" s="271"/>
      <c r="F382" s="271"/>
      <c r="G382" s="271"/>
      <c r="H382" s="271"/>
      <c r="I382" s="485"/>
      <c r="J382" s="291"/>
      <c r="K382" s="953"/>
      <c r="L382" s="953"/>
      <c r="M382" s="291"/>
      <c r="N382" s="953"/>
      <c r="O382" s="953"/>
      <c r="P382" s="15"/>
      <c r="Q382" s="15"/>
      <c r="R382" s="15"/>
      <c r="S382" s="15"/>
      <c r="T382" s="15"/>
      <c r="U382" s="15"/>
      <c r="V382" s="15"/>
      <c r="W382" s="15"/>
      <c r="X382" s="15"/>
      <c r="Y382" s="15"/>
      <c r="Z382" s="15"/>
    </row>
    <row r="383" spans="1:26" ht="64.5" customHeight="1">
      <c r="A383" s="666" t="s">
        <v>736</v>
      </c>
      <c r="B383" s="721" t="s">
        <v>360</v>
      </c>
      <c r="C383" s="506">
        <v>1</v>
      </c>
      <c r="D383" s="506">
        <v>1</v>
      </c>
      <c r="E383" s="506">
        <v>0</v>
      </c>
      <c r="F383" s="506">
        <v>1</v>
      </c>
      <c r="G383" s="506">
        <v>1</v>
      </c>
      <c r="H383" s="506">
        <v>0</v>
      </c>
      <c r="I383" s="454" t="s">
        <v>38</v>
      </c>
      <c r="J383" s="507" t="s">
        <v>4765</v>
      </c>
      <c r="K383" s="507" t="s">
        <v>3385</v>
      </c>
      <c r="L383" s="507" t="s">
        <v>748</v>
      </c>
      <c r="M383" s="507" t="s">
        <v>4766</v>
      </c>
      <c r="N383" s="507" t="s">
        <v>3387</v>
      </c>
      <c r="O383" s="507" t="s">
        <v>4764</v>
      </c>
      <c r="P383" s="87"/>
      <c r="Q383" s="146"/>
      <c r="R383" s="146"/>
      <c r="S383" s="149"/>
      <c r="T383" s="149"/>
      <c r="U383" s="149"/>
      <c r="V383" s="149"/>
      <c r="W383" s="149"/>
      <c r="X383" s="149"/>
      <c r="Y383" s="149"/>
      <c r="Z383" s="149"/>
    </row>
    <row r="384" spans="1:26" ht="13.5" customHeight="1">
      <c r="A384" s="2"/>
      <c r="B384" s="952"/>
      <c r="C384" s="271"/>
      <c r="D384" s="271"/>
      <c r="E384" s="271"/>
      <c r="F384" s="271"/>
      <c r="G384" s="271"/>
      <c r="H384" s="271"/>
      <c r="I384" s="485"/>
      <c r="J384" s="291"/>
      <c r="K384" s="953"/>
      <c r="L384" s="953"/>
      <c r="M384" s="291"/>
      <c r="N384" s="953"/>
      <c r="O384" s="953"/>
      <c r="P384" s="15"/>
      <c r="Q384" s="15"/>
      <c r="R384" s="15"/>
      <c r="S384" s="15"/>
      <c r="T384" s="15"/>
      <c r="U384" s="15"/>
      <c r="V384" s="15"/>
      <c r="W384" s="15"/>
      <c r="X384" s="15"/>
      <c r="Y384" s="15"/>
      <c r="Z384" s="15"/>
    </row>
    <row r="385" spans="1:26" ht="42" customHeight="1">
      <c r="A385" s="533" t="s">
        <v>1543</v>
      </c>
      <c r="B385" s="517" t="s">
        <v>3388</v>
      </c>
      <c r="C385" s="506">
        <f t="shared" ref="C385:H385" si="54">AVERAGE(C386,C388,C390,C392,C394,C396)</f>
        <v>0.58333333333333337</v>
      </c>
      <c r="D385" s="506">
        <f t="shared" si="54"/>
        <v>0.875</v>
      </c>
      <c r="E385" s="506">
        <f t="shared" si="54"/>
        <v>0.45833333333333331</v>
      </c>
      <c r="F385" s="506">
        <f t="shared" si="54"/>
        <v>0.58333333333333337</v>
      </c>
      <c r="G385" s="506">
        <f t="shared" si="54"/>
        <v>0.70833333333333337</v>
      </c>
      <c r="H385" s="506">
        <f t="shared" si="54"/>
        <v>0.45833333333333331</v>
      </c>
      <c r="I385" s="454"/>
      <c r="J385" s="507"/>
      <c r="K385" s="507"/>
      <c r="L385" s="507"/>
      <c r="M385" s="506"/>
      <c r="N385" s="507"/>
      <c r="O385" s="507"/>
      <c r="P385" s="506"/>
      <c r="Q385" s="534"/>
      <c r="R385" s="534"/>
      <c r="S385" s="535"/>
      <c r="T385" s="535"/>
      <c r="U385" s="535"/>
      <c r="V385" s="535"/>
      <c r="W385" s="535"/>
      <c r="X385" s="535"/>
      <c r="Y385" s="535"/>
      <c r="Z385" s="535"/>
    </row>
    <row r="386" spans="1:26" ht="52.5" customHeight="1">
      <c r="A386" s="666" t="s">
        <v>736</v>
      </c>
      <c r="B386" s="721" t="s">
        <v>363</v>
      </c>
      <c r="C386" s="994">
        <v>0.5</v>
      </c>
      <c r="D386" s="515">
        <v>0.75</v>
      </c>
      <c r="E386" s="515">
        <v>0.5</v>
      </c>
      <c r="F386" s="515">
        <v>0.25</v>
      </c>
      <c r="G386" s="515">
        <v>0.25</v>
      </c>
      <c r="H386" s="515">
        <v>0.25</v>
      </c>
      <c r="I386" s="454" t="s">
        <v>38</v>
      </c>
      <c r="J386" s="507" t="s">
        <v>4767</v>
      </c>
      <c r="K386" s="507" t="s">
        <v>3390</v>
      </c>
      <c r="L386" s="507" t="s">
        <v>3391</v>
      </c>
      <c r="M386" s="507" t="s">
        <v>4768</v>
      </c>
      <c r="N386" s="735" t="s">
        <v>1548</v>
      </c>
      <c r="O386" s="625" t="s">
        <v>3393</v>
      </c>
      <c r="P386" s="87"/>
      <c r="Q386" s="146"/>
      <c r="R386" s="146"/>
      <c r="S386" s="149"/>
      <c r="T386" s="149"/>
      <c r="U386" s="149"/>
      <c r="V386" s="149"/>
      <c r="W386" s="149"/>
      <c r="X386" s="149"/>
      <c r="Y386" s="149"/>
      <c r="Z386" s="149"/>
    </row>
    <row r="387" spans="1:26" ht="13.5" customHeight="1">
      <c r="A387" s="2"/>
      <c r="B387" s="952"/>
      <c r="C387" s="271"/>
      <c r="D387" s="271"/>
      <c r="E387" s="271"/>
      <c r="F387" s="271"/>
      <c r="G387" s="271"/>
      <c r="H387" s="271"/>
      <c r="I387" s="485"/>
      <c r="J387" s="291"/>
      <c r="K387" s="953"/>
      <c r="L387" s="953"/>
      <c r="M387" s="291"/>
      <c r="N387" s="953"/>
      <c r="O387" s="953"/>
      <c r="P387" s="15"/>
      <c r="Q387" s="15"/>
      <c r="R387" s="15"/>
      <c r="S387" s="15"/>
      <c r="T387" s="15"/>
      <c r="U387" s="15"/>
      <c r="V387" s="15"/>
      <c r="W387" s="15"/>
      <c r="X387" s="15"/>
      <c r="Y387" s="15"/>
      <c r="Z387" s="15"/>
    </row>
    <row r="388" spans="1:26" ht="84" customHeight="1">
      <c r="A388" s="666" t="s">
        <v>736</v>
      </c>
      <c r="B388" s="721" t="s">
        <v>364</v>
      </c>
      <c r="C388" s="515">
        <v>0.25</v>
      </c>
      <c r="D388" s="515">
        <v>0.5</v>
      </c>
      <c r="E388" s="991">
        <v>0</v>
      </c>
      <c r="F388" s="515">
        <v>0.5</v>
      </c>
      <c r="G388" s="506">
        <v>0.5</v>
      </c>
      <c r="H388" s="506">
        <v>0</v>
      </c>
      <c r="I388" s="454" t="s">
        <v>38</v>
      </c>
      <c r="J388" s="507" t="s">
        <v>3394</v>
      </c>
      <c r="K388" s="507" t="s">
        <v>3395</v>
      </c>
      <c r="L388" s="507" t="s">
        <v>748</v>
      </c>
      <c r="M388" s="507" t="s">
        <v>4769</v>
      </c>
      <c r="N388" s="507" t="s">
        <v>4770</v>
      </c>
      <c r="O388" s="507" t="s">
        <v>1554</v>
      </c>
      <c r="P388" s="87"/>
      <c r="Q388" s="146"/>
      <c r="R388" s="146"/>
      <c r="S388" s="149"/>
      <c r="T388" s="149"/>
      <c r="U388" s="149"/>
      <c r="V388" s="149"/>
      <c r="W388" s="149"/>
      <c r="X388" s="149"/>
      <c r="Y388" s="149"/>
      <c r="Z388" s="149"/>
    </row>
    <row r="389" spans="1:26" ht="13.5" customHeight="1">
      <c r="A389" s="2"/>
      <c r="B389" s="952"/>
      <c r="C389" s="271"/>
      <c r="D389" s="271"/>
      <c r="E389" s="271"/>
      <c r="F389" s="271"/>
      <c r="G389" s="271"/>
      <c r="H389" s="271"/>
      <c r="I389" s="485"/>
      <c r="J389" s="291"/>
      <c r="K389" s="953"/>
      <c r="L389" s="953"/>
      <c r="M389" s="291"/>
      <c r="N389" s="953"/>
      <c r="O389" s="953"/>
      <c r="P389" s="15"/>
      <c r="Q389" s="15"/>
      <c r="R389" s="15"/>
      <c r="S389" s="15"/>
      <c r="T389" s="15"/>
      <c r="U389" s="15"/>
      <c r="V389" s="15"/>
      <c r="W389" s="15"/>
      <c r="X389" s="15"/>
      <c r="Y389" s="15"/>
      <c r="Z389" s="15"/>
    </row>
    <row r="390" spans="1:26" ht="60.75" customHeight="1">
      <c r="A390" s="666" t="s">
        <v>736</v>
      </c>
      <c r="B390" s="721" t="s">
        <v>365</v>
      </c>
      <c r="C390" s="515">
        <v>0.75</v>
      </c>
      <c r="D390" s="506">
        <v>1</v>
      </c>
      <c r="E390" s="515">
        <v>0.25</v>
      </c>
      <c r="F390" s="515">
        <v>0.75</v>
      </c>
      <c r="G390" s="515">
        <v>0.75</v>
      </c>
      <c r="H390" s="515">
        <v>0.75</v>
      </c>
      <c r="I390" s="454" t="s">
        <v>38</v>
      </c>
      <c r="J390" s="507" t="s">
        <v>4771</v>
      </c>
      <c r="K390" s="507" t="s">
        <v>3400</v>
      </c>
      <c r="L390" s="625" t="s">
        <v>3401</v>
      </c>
      <c r="M390" s="507" t="s">
        <v>3403</v>
      </c>
      <c r="N390" s="507" t="s">
        <v>4772</v>
      </c>
      <c r="O390" s="507" t="s">
        <v>3404</v>
      </c>
      <c r="P390" s="87"/>
      <c r="Q390" s="146"/>
      <c r="R390" s="146"/>
      <c r="S390" s="149"/>
      <c r="T390" s="149"/>
      <c r="U390" s="149"/>
      <c r="V390" s="149"/>
      <c r="W390" s="149"/>
      <c r="X390" s="149"/>
      <c r="Y390" s="149"/>
      <c r="Z390" s="149"/>
    </row>
    <row r="391" spans="1:26" ht="22.5" customHeight="1">
      <c r="A391" s="143"/>
      <c r="B391" s="144"/>
      <c r="C391" s="87"/>
      <c r="D391" s="87"/>
      <c r="E391" s="87"/>
      <c r="F391" s="87"/>
      <c r="G391" s="87"/>
      <c r="H391" s="87"/>
      <c r="I391" s="454"/>
      <c r="J391" s="75"/>
      <c r="K391" s="75"/>
      <c r="L391" s="75"/>
      <c r="M391" s="75"/>
      <c r="N391" s="75"/>
      <c r="O391" s="75"/>
      <c r="P391" s="87"/>
      <c r="Q391" s="146"/>
      <c r="R391" s="146"/>
      <c r="S391" s="149"/>
      <c r="T391" s="149"/>
      <c r="U391" s="149"/>
      <c r="V391" s="149"/>
      <c r="W391" s="149"/>
      <c r="X391" s="149"/>
      <c r="Y391" s="149"/>
      <c r="Z391" s="149"/>
    </row>
    <row r="392" spans="1:26" ht="55.5" customHeight="1">
      <c r="A392" s="666" t="s">
        <v>736</v>
      </c>
      <c r="B392" s="721" t="s">
        <v>366</v>
      </c>
      <c r="C392" s="515">
        <v>0.25</v>
      </c>
      <c r="D392" s="506">
        <v>1</v>
      </c>
      <c r="E392" s="506">
        <v>0</v>
      </c>
      <c r="F392" s="506">
        <v>0</v>
      </c>
      <c r="G392" s="506">
        <v>1</v>
      </c>
      <c r="H392" s="506">
        <v>0</v>
      </c>
      <c r="I392" s="454" t="s">
        <v>38</v>
      </c>
      <c r="J392" s="507" t="s">
        <v>4773</v>
      </c>
      <c r="K392" s="507" t="s">
        <v>3406</v>
      </c>
      <c r="L392" s="507" t="s">
        <v>748</v>
      </c>
      <c r="M392" s="625" t="s">
        <v>3407</v>
      </c>
      <c r="N392" s="507" t="s">
        <v>4774</v>
      </c>
      <c r="O392" s="507" t="s">
        <v>3409</v>
      </c>
      <c r="P392" s="87"/>
      <c r="Q392" s="146"/>
      <c r="R392" s="146"/>
      <c r="S392" s="149"/>
      <c r="T392" s="149"/>
      <c r="U392" s="149"/>
      <c r="V392" s="149"/>
      <c r="W392" s="149"/>
      <c r="X392" s="149"/>
      <c r="Y392" s="149"/>
      <c r="Z392" s="149"/>
    </row>
    <row r="393" spans="1:26" ht="30" customHeight="1">
      <c r="A393" s="143"/>
      <c r="B393" s="144"/>
      <c r="C393" s="87"/>
      <c r="D393" s="87"/>
      <c r="E393" s="87"/>
      <c r="F393" s="87"/>
      <c r="G393" s="87"/>
      <c r="H393" s="87"/>
      <c r="I393" s="454"/>
      <c r="J393" s="75"/>
      <c r="K393" s="75"/>
      <c r="L393" s="75"/>
      <c r="M393" s="75"/>
      <c r="N393" s="75"/>
      <c r="O393" s="75"/>
      <c r="P393" s="87"/>
      <c r="Q393" s="146"/>
      <c r="R393" s="146"/>
      <c r="S393" s="149"/>
      <c r="T393" s="149"/>
      <c r="U393" s="149"/>
      <c r="V393" s="149"/>
      <c r="W393" s="149"/>
      <c r="X393" s="149"/>
      <c r="Y393" s="149"/>
      <c r="Z393" s="149"/>
    </row>
    <row r="394" spans="1:26" ht="47.25" customHeight="1">
      <c r="A394" s="666" t="s">
        <v>736</v>
      </c>
      <c r="B394" s="721" t="s">
        <v>367</v>
      </c>
      <c r="C394" s="506">
        <v>1</v>
      </c>
      <c r="D394" s="506">
        <v>1</v>
      </c>
      <c r="E394" s="506">
        <v>1</v>
      </c>
      <c r="F394" s="506">
        <v>1</v>
      </c>
      <c r="G394" s="506">
        <v>1</v>
      </c>
      <c r="H394" s="506">
        <v>1</v>
      </c>
      <c r="I394" s="454" t="s">
        <v>38</v>
      </c>
      <c r="J394" s="507" t="s">
        <v>4775</v>
      </c>
      <c r="K394" s="507" t="s">
        <v>948</v>
      </c>
      <c r="L394" s="507" t="s">
        <v>811</v>
      </c>
      <c r="M394" s="507" t="s">
        <v>4776</v>
      </c>
      <c r="N394" s="507" t="s">
        <v>4777</v>
      </c>
      <c r="O394" s="507" t="s">
        <v>4778</v>
      </c>
      <c r="P394" s="87"/>
      <c r="Q394" s="146"/>
      <c r="R394" s="146"/>
      <c r="S394" s="149"/>
      <c r="T394" s="149"/>
      <c r="U394" s="149"/>
      <c r="V394" s="149"/>
      <c r="W394" s="149"/>
      <c r="X394" s="149"/>
      <c r="Y394" s="149"/>
      <c r="Z394" s="149"/>
    </row>
    <row r="395" spans="1:26" ht="13.5" customHeight="1">
      <c r="A395" s="2"/>
      <c r="B395" s="952"/>
      <c r="C395" s="271"/>
      <c r="D395" s="271"/>
      <c r="E395" s="271"/>
      <c r="F395" s="271"/>
      <c r="G395" s="271"/>
      <c r="H395" s="271"/>
      <c r="I395" s="485"/>
      <c r="J395" s="291"/>
      <c r="K395" s="953"/>
      <c r="L395" s="953"/>
      <c r="M395" s="291"/>
      <c r="N395" s="953"/>
      <c r="O395" s="953"/>
      <c r="P395" s="15"/>
      <c r="Q395" s="15"/>
      <c r="R395" s="15"/>
      <c r="S395" s="15"/>
      <c r="T395" s="15"/>
      <c r="U395" s="15"/>
      <c r="V395" s="15"/>
      <c r="W395" s="15"/>
      <c r="X395" s="15"/>
      <c r="Y395" s="15"/>
      <c r="Z395" s="15"/>
    </row>
    <row r="396" spans="1:26" ht="52.5" customHeight="1">
      <c r="A396" s="666" t="s">
        <v>736</v>
      </c>
      <c r="B396" s="721" t="s">
        <v>368</v>
      </c>
      <c r="C396" s="515">
        <v>0.75</v>
      </c>
      <c r="D396" s="506">
        <v>1</v>
      </c>
      <c r="E396" s="506">
        <v>1</v>
      </c>
      <c r="F396" s="506">
        <v>1</v>
      </c>
      <c r="G396" s="515">
        <v>0.75</v>
      </c>
      <c r="H396" s="515">
        <v>0.75</v>
      </c>
      <c r="I396" s="454" t="s">
        <v>38</v>
      </c>
      <c r="J396" s="507" t="s">
        <v>4779</v>
      </c>
      <c r="K396" s="507" t="s">
        <v>3414</v>
      </c>
      <c r="L396" s="507" t="s">
        <v>811</v>
      </c>
      <c r="M396" s="507" t="s">
        <v>4780</v>
      </c>
      <c r="N396" s="507" t="s">
        <v>4781</v>
      </c>
      <c r="O396" s="507" t="s">
        <v>4782</v>
      </c>
      <c r="P396" s="354"/>
      <c r="Q396" s="146"/>
      <c r="R396" s="146"/>
      <c r="S396" s="149"/>
      <c r="T396" s="149"/>
      <c r="U396" s="149"/>
      <c r="V396" s="149"/>
      <c r="W396" s="149"/>
      <c r="X396" s="149"/>
      <c r="Y396" s="149"/>
      <c r="Z396" s="149"/>
    </row>
    <row r="397" spans="1:26" ht="21" customHeight="1">
      <c r="A397" s="143"/>
      <c r="B397" s="144"/>
      <c r="C397" s="87"/>
      <c r="D397" s="87"/>
      <c r="E397" s="87"/>
      <c r="F397" s="87"/>
      <c r="G397" s="87"/>
      <c r="H397" s="87"/>
      <c r="I397" s="454"/>
      <c r="J397" s="75"/>
      <c r="K397" s="75"/>
      <c r="L397" s="75"/>
      <c r="M397" s="75"/>
      <c r="N397" s="75"/>
      <c r="O397" s="75"/>
      <c r="P397" s="354"/>
      <c r="Q397" s="146"/>
      <c r="R397" s="146"/>
      <c r="S397" s="149"/>
      <c r="T397" s="149"/>
      <c r="U397" s="149"/>
      <c r="V397" s="149"/>
      <c r="W397" s="149"/>
      <c r="X397" s="149"/>
      <c r="Y397" s="149"/>
      <c r="Z397" s="149"/>
    </row>
    <row r="398" spans="1:26" ht="21.75" customHeight="1">
      <c r="A398" s="739" t="s">
        <v>1572</v>
      </c>
      <c r="B398" s="711" t="s">
        <v>84</v>
      </c>
      <c r="C398" s="160">
        <f t="shared" ref="C398:H398" si="55">AVERAGE(C399,C463,C474)</f>
        <v>0.72630251897860598</v>
      </c>
      <c r="D398" s="160">
        <f t="shared" si="55"/>
        <v>0.79092058201058191</v>
      </c>
      <c r="E398" s="160">
        <f t="shared" si="55"/>
        <v>0.42531746031746032</v>
      </c>
      <c r="F398" s="160">
        <f t="shared" si="55"/>
        <v>0.58348867034736596</v>
      </c>
      <c r="G398" s="160">
        <f t="shared" si="55"/>
        <v>0.63532370140326655</v>
      </c>
      <c r="H398" s="160">
        <f t="shared" si="55"/>
        <v>0.33196871405567063</v>
      </c>
      <c r="I398" s="713"/>
      <c r="J398" s="742"/>
      <c r="K398" s="575"/>
      <c r="L398" s="715"/>
      <c r="M398" s="575"/>
      <c r="N398" s="575"/>
      <c r="O398" s="575"/>
      <c r="P398" s="713"/>
      <c r="Q398" s="713"/>
      <c r="R398" s="713"/>
      <c r="S398" s="713"/>
      <c r="T398" s="713"/>
      <c r="U398" s="713"/>
      <c r="V398" s="713"/>
      <c r="W398" s="713"/>
      <c r="X398" s="713"/>
      <c r="Y398" s="713"/>
      <c r="Z398" s="713"/>
    </row>
    <row r="399" spans="1:26" ht="13.5" customHeight="1">
      <c r="A399" s="556" t="s">
        <v>1573</v>
      </c>
      <c r="B399" s="517" t="s">
        <v>86</v>
      </c>
      <c r="C399" s="506">
        <f t="shared" ref="C399:H399" si="56">AVERAGE(C400,C415,C432,C443,C450)</f>
        <v>0.64015755693581788</v>
      </c>
      <c r="D399" s="506">
        <f t="shared" si="56"/>
        <v>0.85553952380952369</v>
      </c>
      <c r="E399" s="506">
        <f t="shared" si="56"/>
        <v>0.20095238095238094</v>
      </c>
      <c r="F399" s="506">
        <f t="shared" si="56"/>
        <v>0.44616045548654243</v>
      </c>
      <c r="G399" s="506">
        <f t="shared" si="56"/>
        <v>0.607082215320911</v>
      </c>
      <c r="H399" s="506">
        <f t="shared" si="56"/>
        <v>0.37646169772256732</v>
      </c>
      <c r="I399" s="454"/>
      <c r="J399" s="507"/>
      <c r="K399" s="499"/>
      <c r="L399" s="499"/>
      <c r="M399" s="499"/>
      <c r="N399" s="499"/>
      <c r="O399" s="499"/>
      <c r="P399" s="558"/>
      <c r="Q399" s="558"/>
      <c r="R399" s="558"/>
      <c r="S399" s="559"/>
      <c r="T399" s="559"/>
      <c r="U399" s="559"/>
      <c r="V399" s="559"/>
      <c r="W399" s="559"/>
      <c r="X399" s="559"/>
      <c r="Y399" s="559"/>
      <c r="Z399" s="559"/>
    </row>
    <row r="400" spans="1:26" ht="13.5" customHeight="1">
      <c r="A400" s="556" t="s">
        <v>1574</v>
      </c>
      <c r="B400" s="517" t="s">
        <v>88</v>
      </c>
      <c r="C400" s="506">
        <f t="shared" ref="C400:H400" si="57">AVERAGE(C401,C403,C405,C407,C409,C411,C413)</f>
        <v>0.35714285714285715</v>
      </c>
      <c r="D400" s="506">
        <f t="shared" si="57"/>
        <v>0.7857142857142857</v>
      </c>
      <c r="E400" s="506">
        <f t="shared" si="57"/>
        <v>7.1428571428571425E-2</v>
      </c>
      <c r="F400" s="506">
        <f t="shared" si="57"/>
        <v>0.35714285714285715</v>
      </c>
      <c r="G400" s="506">
        <f t="shared" si="57"/>
        <v>0.7142857142857143</v>
      </c>
      <c r="H400" s="506">
        <f t="shared" si="57"/>
        <v>0.2857142857142857</v>
      </c>
      <c r="I400" s="454"/>
      <c r="J400" s="507"/>
      <c r="K400" s="499"/>
      <c r="L400" s="499"/>
      <c r="M400" s="499"/>
      <c r="N400" s="499"/>
      <c r="O400" s="499"/>
      <c r="P400" s="558"/>
      <c r="Q400" s="558"/>
      <c r="R400" s="558"/>
      <c r="S400" s="559"/>
      <c r="T400" s="559"/>
      <c r="U400" s="559"/>
      <c r="V400" s="559"/>
      <c r="W400" s="559"/>
      <c r="X400" s="559"/>
      <c r="Y400" s="559"/>
      <c r="Z400" s="559"/>
    </row>
    <row r="401" spans="1:26" ht="60.75" customHeight="1">
      <c r="A401" s="533" t="s">
        <v>736</v>
      </c>
      <c r="B401" s="517" t="s">
        <v>1575</v>
      </c>
      <c r="C401" s="506">
        <v>0</v>
      </c>
      <c r="D401" s="506">
        <v>1</v>
      </c>
      <c r="E401" s="515">
        <v>0.5</v>
      </c>
      <c r="F401" s="506">
        <v>0</v>
      </c>
      <c r="G401" s="506">
        <v>0</v>
      </c>
      <c r="H401" s="506">
        <v>1</v>
      </c>
      <c r="I401" s="454" t="s">
        <v>38</v>
      </c>
      <c r="J401" s="507" t="s">
        <v>4783</v>
      </c>
      <c r="K401" s="551" t="s">
        <v>811</v>
      </c>
      <c r="L401" s="507" t="s">
        <v>4784</v>
      </c>
      <c r="M401" s="507" t="s">
        <v>4785</v>
      </c>
      <c r="N401" s="507" t="s">
        <v>3422</v>
      </c>
      <c r="O401" s="507" t="s">
        <v>4786</v>
      </c>
      <c r="P401" s="146"/>
      <c r="Q401" s="146"/>
      <c r="R401" s="146"/>
      <c r="S401" s="149"/>
      <c r="T401" s="149"/>
      <c r="U401" s="149"/>
      <c r="V401" s="149"/>
      <c r="W401" s="149"/>
      <c r="X401" s="149"/>
      <c r="Y401" s="149"/>
      <c r="Z401" s="149"/>
    </row>
    <row r="402" spans="1:26" ht="13.5" customHeight="1">
      <c r="A402" s="2"/>
      <c r="B402" s="952"/>
      <c r="C402" s="271"/>
      <c r="D402" s="271"/>
      <c r="E402" s="271"/>
      <c r="F402" s="271"/>
      <c r="G402" s="271"/>
      <c r="H402" s="271"/>
      <c r="I402" s="485"/>
      <c r="J402" s="291"/>
      <c r="K402" s="953"/>
      <c r="L402" s="953"/>
      <c r="M402" s="291"/>
      <c r="N402" s="953"/>
      <c r="O402" s="953"/>
      <c r="P402" s="15"/>
      <c r="Q402" s="15"/>
      <c r="R402" s="15"/>
      <c r="S402" s="15"/>
      <c r="T402" s="15"/>
      <c r="U402" s="15"/>
      <c r="V402" s="15"/>
      <c r="W402" s="15"/>
      <c r="X402" s="15"/>
      <c r="Y402" s="15"/>
      <c r="Z402" s="15"/>
    </row>
    <row r="403" spans="1:26" ht="103.5" customHeight="1">
      <c r="A403" s="533" t="s">
        <v>736</v>
      </c>
      <c r="B403" s="517" t="s">
        <v>3424</v>
      </c>
      <c r="C403" s="506">
        <v>1</v>
      </c>
      <c r="D403" s="506">
        <v>1</v>
      </c>
      <c r="E403" s="506">
        <v>0</v>
      </c>
      <c r="F403" s="506">
        <v>1</v>
      </c>
      <c r="G403" s="506">
        <v>1</v>
      </c>
      <c r="H403" s="506">
        <v>0</v>
      </c>
      <c r="I403" s="454" t="s">
        <v>38</v>
      </c>
      <c r="J403" s="507" t="s">
        <v>3425</v>
      </c>
      <c r="K403" s="551" t="s">
        <v>811</v>
      </c>
      <c r="L403" s="507" t="s">
        <v>748</v>
      </c>
      <c r="M403" s="507" t="s">
        <v>4787</v>
      </c>
      <c r="N403" s="507" t="s">
        <v>4788</v>
      </c>
      <c r="O403" s="507" t="s">
        <v>4789</v>
      </c>
      <c r="P403" s="146"/>
      <c r="Q403" s="146"/>
      <c r="R403" s="146"/>
      <c r="S403" s="149"/>
      <c r="T403" s="149"/>
      <c r="U403" s="149"/>
      <c r="V403" s="149"/>
      <c r="W403" s="149"/>
      <c r="X403" s="149"/>
      <c r="Y403" s="149"/>
      <c r="Z403" s="149"/>
    </row>
    <row r="404" spans="1:26" ht="22.5" customHeight="1">
      <c r="A404" s="143"/>
      <c r="B404" s="144"/>
      <c r="C404" s="87"/>
      <c r="D404" s="87"/>
      <c r="E404" s="87"/>
      <c r="F404" s="87"/>
      <c r="G404" s="87"/>
      <c r="H404" s="87"/>
      <c r="I404" s="454"/>
      <c r="J404" s="75"/>
      <c r="K404" s="75"/>
      <c r="L404" s="343"/>
      <c r="M404" s="75"/>
      <c r="N404" s="75"/>
      <c r="O404" s="75"/>
      <c r="P404" s="146"/>
      <c r="Q404" s="146"/>
      <c r="R404" s="146"/>
      <c r="S404" s="149"/>
      <c r="T404" s="149"/>
      <c r="U404" s="149"/>
      <c r="V404" s="149"/>
      <c r="W404" s="149"/>
      <c r="X404" s="149"/>
      <c r="Y404" s="149"/>
      <c r="Z404" s="149"/>
    </row>
    <row r="405" spans="1:26" ht="69.75" customHeight="1">
      <c r="A405" s="533" t="s">
        <v>736</v>
      </c>
      <c r="B405" s="517" t="s">
        <v>90</v>
      </c>
      <c r="C405" s="506">
        <v>0.5</v>
      </c>
      <c r="D405" s="506">
        <v>1</v>
      </c>
      <c r="E405" s="506">
        <v>0</v>
      </c>
      <c r="F405" s="515">
        <v>0.5</v>
      </c>
      <c r="G405" s="506">
        <v>1</v>
      </c>
      <c r="H405" s="506">
        <v>0</v>
      </c>
      <c r="I405" s="454" t="s">
        <v>91</v>
      </c>
      <c r="J405" s="507" t="s">
        <v>4790</v>
      </c>
      <c r="K405" s="551" t="s">
        <v>811</v>
      </c>
      <c r="L405" s="507" t="s">
        <v>748</v>
      </c>
      <c r="M405" s="507" t="s">
        <v>4791</v>
      </c>
      <c r="N405" s="507" t="s">
        <v>4792</v>
      </c>
      <c r="O405" s="507" t="s">
        <v>4793</v>
      </c>
      <c r="P405" s="146"/>
      <c r="Q405" s="146"/>
      <c r="R405" s="146"/>
      <c r="S405" s="149"/>
      <c r="T405" s="149"/>
      <c r="U405" s="149"/>
      <c r="V405" s="149"/>
      <c r="W405" s="149"/>
      <c r="X405" s="149"/>
      <c r="Y405" s="149"/>
      <c r="Z405" s="149"/>
    </row>
    <row r="406" spans="1:26" ht="13.5" customHeight="1">
      <c r="A406" s="2"/>
      <c r="B406" s="952"/>
      <c r="C406" s="271"/>
      <c r="D406" s="271"/>
      <c r="E406" s="271"/>
      <c r="F406" s="271"/>
      <c r="G406" s="271"/>
      <c r="H406" s="271"/>
      <c r="I406" s="485"/>
      <c r="J406" s="291"/>
      <c r="K406" s="953"/>
      <c r="L406" s="953"/>
      <c r="M406" s="291"/>
      <c r="N406" s="953"/>
      <c r="O406" s="953"/>
      <c r="P406" s="15"/>
      <c r="Q406" s="15"/>
      <c r="R406" s="15"/>
      <c r="S406" s="15"/>
      <c r="T406" s="15"/>
      <c r="U406" s="15"/>
      <c r="V406" s="15"/>
      <c r="W406" s="15"/>
      <c r="X406" s="15"/>
      <c r="Y406" s="15"/>
      <c r="Z406" s="15"/>
    </row>
    <row r="407" spans="1:26" ht="64.5" customHeight="1">
      <c r="A407" s="533" t="s">
        <v>736</v>
      </c>
      <c r="B407" s="517" t="s">
        <v>92</v>
      </c>
      <c r="C407" s="506">
        <v>0</v>
      </c>
      <c r="D407" s="991">
        <v>0.5</v>
      </c>
      <c r="E407" s="506">
        <v>0</v>
      </c>
      <c r="F407" s="506">
        <v>0.5</v>
      </c>
      <c r="G407" s="506">
        <v>1</v>
      </c>
      <c r="H407" s="506">
        <v>0</v>
      </c>
      <c r="I407" s="454" t="s">
        <v>3613</v>
      </c>
      <c r="J407" s="507" t="s">
        <v>3436</v>
      </c>
      <c r="K407" s="507" t="s">
        <v>4794</v>
      </c>
      <c r="L407" s="507" t="s">
        <v>748</v>
      </c>
      <c r="M407" s="507" t="s">
        <v>4795</v>
      </c>
      <c r="N407" s="507" t="s">
        <v>4796</v>
      </c>
      <c r="O407" s="507" t="s">
        <v>4797</v>
      </c>
      <c r="P407" s="146"/>
      <c r="Q407" s="146"/>
      <c r="R407" s="146"/>
      <c r="S407" s="149"/>
      <c r="T407" s="149"/>
      <c r="U407" s="149"/>
      <c r="V407" s="149"/>
      <c r="W407" s="149"/>
      <c r="X407" s="149"/>
      <c r="Y407" s="149"/>
      <c r="Z407" s="149"/>
    </row>
    <row r="408" spans="1:26" ht="13.5" customHeight="1">
      <c r="A408" s="2"/>
      <c r="B408" s="952"/>
      <c r="C408" s="271"/>
      <c r="D408" s="271"/>
      <c r="E408" s="271"/>
      <c r="F408" s="271"/>
      <c r="G408" s="271"/>
      <c r="H408" s="271"/>
      <c r="I408" s="485"/>
      <c r="J408" s="291"/>
      <c r="K408" s="953"/>
      <c r="L408" s="953"/>
      <c r="M408" s="291"/>
      <c r="N408" s="953"/>
      <c r="O408" s="953"/>
      <c r="P408" s="15"/>
      <c r="Q408" s="15"/>
      <c r="R408" s="15"/>
      <c r="S408" s="15"/>
      <c r="T408" s="15"/>
      <c r="U408" s="15"/>
      <c r="V408" s="15"/>
      <c r="W408" s="15"/>
      <c r="X408" s="15"/>
      <c r="Y408" s="15"/>
      <c r="Z408" s="15"/>
    </row>
    <row r="409" spans="1:26" ht="72" customHeight="1">
      <c r="A409" s="533" t="s">
        <v>736</v>
      </c>
      <c r="B409" s="517" t="s">
        <v>3441</v>
      </c>
      <c r="C409" s="991">
        <v>0</v>
      </c>
      <c r="D409" s="750">
        <v>1</v>
      </c>
      <c r="E409" s="506">
        <v>0</v>
      </c>
      <c r="F409" s="506">
        <v>0</v>
      </c>
      <c r="G409" s="750">
        <v>1</v>
      </c>
      <c r="H409" s="506">
        <v>0</v>
      </c>
      <c r="I409" s="454" t="s">
        <v>95</v>
      </c>
      <c r="J409" s="507" t="s">
        <v>3442</v>
      </c>
      <c r="K409" s="507" t="s">
        <v>4798</v>
      </c>
      <c r="L409" s="507" t="s">
        <v>3444</v>
      </c>
      <c r="M409" s="507" t="s">
        <v>3445</v>
      </c>
      <c r="N409" s="507" t="s">
        <v>4799</v>
      </c>
      <c r="O409" s="507" t="s">
        <v>4800</v>
      </c>
      <c r="P409" s="146"/>
      <c r="Q409" s="146"/>
      <c r="R409" s="146"/>
      <c r="S409" s="149"/>
      <c r="T409" s="149"/>
      <c r="U409" s="149"/>
      <c r="V409" s="149"/>
      <c r="W409" s="149"/>
      <c r="X409" s="149"/>
      <c r="Y409" s="149"/>
      <c r="Z409" s="149"/>
    </row>
    <row r="410" spans="1:26" ht="13.5" customHeight="1">
      <c r="A410" s="2"/>
      <c r="B410" s="952"/>
      <c r="C410" s="271"/>
      <c r="D410" s="271"/>
      <c r="E410" s="271"/>
      <c r="F410" s="271"/>
      <c r="G410" s="271"/>
      <c r="H410" s="271"/>
      <c r="I410" s="485"/>
      <c r="J410" s="291"/>
      <c r="K410" s="953"/>
      <c r="L410" s="953"/>
      <c r="M410" s="291"/>
      <c r="N410" s="953"/>
      <c r="O410" s="953"/>
      <c r="P410" s="15"/>
      <c r="Q410" s="15"/>
      <c r="R410" s="15"/>
      <c r="S410" s="15"/>
      <c r="T410" s="15"/>
      <c r="U410" s="15"/>
      <c r="V410" s="15"/>
      <c r="W410" s="15"/>
      <c r="X410" s="15"/>
      <c r="Y410" s="15"/>
      <c r="Z410" s="15"/>
    </row>
    <row r="411" spans="1:26" ht="58.5" customHeight="1">
      <c r="A411" s="533" t="s">
        <v>736</v>
      </c>
      <c r="B411" s="517" t="s">
        <v>96</v>
      </c>
      <c r="C411" s="506">
        <v>0</v>
      </c>
      <c r="D411" s="506">
        <v>0</v>
      </c>
      <c r="E411" s="506">
        <v>0</v>
      </c>
      <c r="F411" s="752">
        <v>0</v>
      </c>
      <c r="G411" s="506">
        <v>0</v>
      </c>
      <c r="H411" s="506">
        <v>0</v>
      </c>
      <c r="I411" s="454" t="s">
        <v>38</v>
      </c>
      <c r="J411" s="507" t="s">
        <v>3448</v>
      </c>
      <c r="K411" s="551" t="s">
        <v>748</v>
      </c>
      <c r="L411" s="507" t="s">
        <v>748</v>
      </c>
      <c r="M411" s="507" t="s">
        <v>3450</v>
      </c>
      <c r="N411" s="507" t="s">
        <v>3451</v>
      </c>
      <c r="O411" s="507" t="s">
        <v>1607</v>
      </c>
      <c r="P411" s="146"/>
      <c r="Q411" s="146"/>
      <c r="R411" s="146"/>
      <c r="S411" s="149"/>
      <c r="T411" s="149"/>
      <c r="U411" s="149"/>
      <c r="V411" s="149"/>
      <c r="W411" s="149"/>
      <c r="X411" s="149"/>
      <c r="Y411" s="149"/>
      <c r="Z411" s="149"/>
    </row>
    <row r="412" spans="1:26" ht="13.5" customHeight="1">
      <c r="A412" s="143"/>
      <c r="B412" s="144"/>
      <c r="C412" s="87"/>
      <c r="D412" s="87"/>
      <c r="E412" s="87"/>
      <c r="F412" s="578"/>
      <c r="G412" s="87"/>
      <c r="H412" s="87"/>
      <c r="I412" s="454"/>
      <c r="J412" s="75"/>
      <c r="K412" s="75"/>
      <c r="L412" s="75"/>
      <c r="M412" s="75"/>
      <c r="N412" s="87"/>
      <c r="O412" s="75"/>
      <c r="P412" s="146"/>
      <c r="Q412" s="146"/>
      <c r="R412" s="146"/>
      <c r="S412" s="149"/>
      <c r="T412" s="149"/>
      <c r="U412" s="149"/>
      <c r="V412" s="149"/>
      <c r="W412" s="149"/>
      <c r="X412" s="149"/>
      <c r="Y412" s="149"/>
      <c r="Z412" s="149"/>
    </row>
    <row r="413" spans="1:26" ht="51.75" customHeight="1">
      <c r="A413" s="533" t="s">
        <v>736</v>
      </c>
      <c r="B413" s="517" t="s">
        <v>3452</v>
      </c>
      <c r="C413" s="506">
        <v>1</v>
      </c>
      <c r="D413" s="506">
        <v>1</v>
      </c>
      <c r="E413" s="515">
        <v>0</v>
      </c>
      <c r="F413" s="506">
        <v>0.5</v>
      </c>
      <c r="G413" s="506">
        <v>1</v>
      </c>
      <c r="H413" s="506">
        <v>1</v>
      </c>
      <c r="I413" s="454" t="s">
        <v>38</v>
      </c>
      <c r="J413" s="507" t="s">
        <v>3453</v>
      </c>
      <c r="K413" s="551" t="s">
        <v>811</v>
      </c>
      <c r="L413" s="753" t="s">
        <v>3455</v>
      </c>
      <c r="M413" s="507" t="s">
        <v>3456</v>
      </c>
      <c r="N413" s="507" t="s">
        <v>3457</v>
      </c>
      <c r="O413" s="507" t="s">
        <v>4801</v>
      </c>
      <c r="P413" s="146"/>
      <c r="Q413" s="146"/>
      <c r="R413" s="146"/>
      <c r="S413" s="149"/>
      <c r="T413" s="149"/>
      <c r="U413" s="149"/>
      <c r="V413" s="149"/>
      <c r="W413" s="149"/>
      <c r="X413" s="149"/>
      <c r="Y413" s="149"/>
      <c r="Z413" s="149"/>
    </row>
    <row r="414" spans="1:26" ht="13.5" customHeight="1">
      <c r="A414" s="2"/>
      <c r="B414" s="952"/>
      <c r="C414" s="271"/>
      <c r="D414" s="271"/>
      <c r="E414" s="271"/>
      <c r="F414" s="271"/>
      <c r="G414" s="271"/>
      <c r="H414" s="271"/>
      <c r="I414" s="485"/>
      <c r="J414" s="291"/>
      <c r="K414" s="953"/>
      <c r="L414" s="953"/>
      <c r="M414" s="291"/>
      <c r="N414" s="953"/>
      <c r="O414" s="953"/>
      <c r="P414" s="15"/>
      <c r="Q414" s="15"/>
      <c r="R414" s="15"/>
      <c r="S414" s="15"/>
      <c r="T414" s="15"/>
      <c r="U414" s="15"/>
      <c r="V414" s="15"/>
      <c r="W414" s="15"/>
      <c r="X414" s="15"/>
      <c r="Y414" s="15"/>
      <c r="Z414" s="15"/>
    </row>
    <row r="415" spans="1:26" ht="13.5" customHeight="1">
      <c r="A415" s="556" t="s">
        <v>1614</v>
      </c>
      <c r="B415" s="517" t="s">
        <v>99</v>
      </c>
      <c r="C415" s="506">
        <f t="shared" ref="C415:H415" si="58">AVERAGE(C416,C418,C420,C422,C424,C426,C428,C430)</f>
        <v>0.625</v>
      </c>
      <c r="D415" s="506">
        <f t="shared" si="58"/>
        <v>0.875</v>
      </c>
      <c r="E415" s="506">
        <f t="shared" si="58"/>
        <v>0</v>
      </c>
      <c r="F415" s="506">
        <f t="shared" si="58"/>
        <v>0.5625</v>
      </c>
      <c r="G415" s="506">
        <f t="shared" si="58"/>
        <v>0.625</v>
      </c>
      <c r="H415" s="506">
        <f t="shared" si="58"/>
        <v>0.375</v>
      </c>
      <c r="I415" s="454"/>
      <c r="J415" s="507"/>
      <c r="K415" s="499"/>
      <c r="L415" s="499"/>
      <c r="M415" s="499"/>
      <c r="N415" s="499"/>
      <c r="O415" s="499"/>
      <c r="P415" s="558"/>
      <c r="Q415" s="558"/>
      <c r="R415" s="558"/>
      <c r="S415" s="559"/>
      <c r="T415" s="559"/>
      <c r="U415" s="559"/>
      <c r="V415" s="559"/>
      <c r="W415" s="559"/>
      <c r="X415" s="559"/>
      <c r="Y415" s="559"/>
      <c r="Z415" s="559"/>
    </row>
    <row r="416" spans="1:26" ht="48.75" customHeight="1">
      <c r="A416" s="533" t="s">
        <v>736</v>
      </c>
      <c r="B416" s="517" t="s">
        <v>3458</v>
      </c>
      <c r="C416" s="506">
        <v>1</v>
      </c>
      <c r="D416" s="506">
        <v>0</v>
      </c>
      <c r="E416" s="506">
        <v>0</v>
      </c>
      <c r="F416" s="506">
        <v>0</v>
      </c>
      <c r="G416" s="506">
        <v>0</v>
      </c>
      <c r="H416" s="506">
        <v>1</v>
      </c>
      <c r="I416" s="454" t="s">
        <v>38</v>
      </c>
      <c r="J416" s="507" t="s">
        <v>4802</v>
      </c>
      <c r="K416" s="507" t="s">
        <v>3460</v>
      </c>
      <c r="L416" s="507" t="s">
        <v>748</v>
      </c>
      <c r="M416" s="507" t="s">
        <v>4803</v>
      </c>
      <c r="N416" s="507" t="s">
        <v>3462</v>
      </c>
      <c r="O416" s="507" t="s">
        <v>4804</v>
      </c>
      <c r="P416" s="146"/>
      <c r="Q416" s="146"/>
      <c r="R416" s="146"/>
      <c r="S416" s="149"/>
      <c r="T416" s="149"/>
      <c r="U416" s="149"/>
      <c r="V416" s="149"/>
      <c r="W416" s="149"/>
      <c r="X416" s="149"/>
      <c r="Y416" s="149"/>
      <c r="Z416" s="149"/>
    </row>
    <row r="417" spans="1:26" ht="13.5" customHeight="1">
      <c r="A417" s="2"/>
      <c r="B417" s="952"/>
      <c r="C417" s="271"/>
      <c r="D417" s="271"/>
      <c r="E417" s="271"/>
      <c r="F417" s="271"/>
      <c r="G417" s="271"/>
      <c r="H417" s="271"/>
      <c r="I417" s="485"/>
      <c r="J417" s="291"/>
      <c r="K417" s="953"/>
      <c r="L417" s="953"/>
      <c r="M417" s="291"/>
      <c r="N417" s="953"/>
      <c r="O417" s="953"/>
      <c r="P417" s="15"/>
      <c r="Q417" s="15"/>
      <c r="R417" s="15"/>
      <c r="S417" s="15"/>
      <c r="T417" s="15"/>
      <c r="U417" s="15"/>
      <c r="V417" s="15"/>
      <c r="W417" s="15"/>
      <c r="X417" s="15"/>
      <c r="Y417" s="15"/>
      <c r="Z417" s="15"/>
    </row>
    <row r="418" spans="1:26" ht="135" customHeight="1">
      <c r="A418" s="533" t="s">
        <v>736</v>
      </c>
      <c r="B418" s="517" t="s">
        <v>3463</v>
      </c>
      <c r="C418" s="506">
        <v>0</v>
      </c>
      <c r="D418" s="506">
        <v>1</v>
      </c>
      <c r="E418" s="506">
        <v>0</v>
      </c>
      <c r="F418" s="991">
        <v>0.5</v>
      </c>
      <c r="G418" s="506">
        <v>0</v>
      </c>
      <c r="H418" s="506">
        <v>0</v>
      </c>
      <c r="I418" s="454" t="s">
        <v>38</v>
      </c>
      <c r="J418" s="507" t="s">
        <v>4805</v>
      </c>
      <c r="K418" s="551" t="s">
        <v>811</v>
      </c>
      <c r="L418" s="507" t="s">
        <v>3464</v>
      </c>
      <c r="M418" s="507" t="s">
        <v>4806</v>
      </c>
      <c r="N418" s="507" t="s">
        <v>3466</v>
      </c>
      <c r="O418" s="507" t="s">
        <v>4807</v>
      </c>
      <c r="P418" s="146"/>
      <c r="Q418" s="146"/>
      <c r="R418" s="146"/>
      <c r="S418" s="149"/>
      <c r="T418" s="149"/>
      <c r="U418" s="149"/>
      <c r="V418" s="149"/>
      <c r="W418" s="149"/>
      <c r="X418" s="149"/>
      <c r="Y418" s="149"/>
      <c r="Z418" s="149"/>
    </row>
    <row r="419" spans="1:26" ht="13.5" customHeight="1">
      <c r="A419" s="2"/>
      <c r="B419" s="952"/>
      <c r="C419" s="271"/>
      <c r="D419" s="271"/>
      <c r="E419" s="271"/>
      <c r="F419" s="271"/>
      <c r="G419" s="271"/>
      <c r="H419" s="271"/>
      <c r="I419" s="485"/>
      <c r="J419" s="291"/>
      <c r="K419" s="953"/>
      <c r="L419" s="953"/>
      <c r="M419" s="291"/>
      <c r="N419" s="953"/>
      <c r="O419" s="953"/>
      <c r="P419" s="15"/>
      <c r="Q419" s="15"/>
      <c r="R419" s="15"/>
      <c r="S419" s="15"/>
      <c r="T419" s="15"/>
      <c r="U419" s="15"/>
      <c r="V419" s="15"/>
      <c r="W419" s="15"/>
      <c r="X419" s="15"/>
      <c r="Y419" s="15"/>
      <c r="Z419" s="15"/>
    </row>
    <row r="420" spans="1:26" ht="92.25" customHeight="1">
      <c r="A420" s="533" t="s">
        <v>736</v>
      </c>
      <c r="B420" s="517" t="s">
        <v>100</v>
      </c>
      <c r="C420" s="506">
        <v>0</v>
      </c>
      <c r="D420" s="506">
        <v>1</v>
      </c>
      <c r="E420" s="506">
        <v>0</v>
      </c>
      <c r="F420" s="506">
        <v>0</v>
      </c>
      <c r="G420" s="506">
        <v>1</v>
      </c>
      <c r="H420" s="506">
        <v>0</v>
      </c>
      <c r="I420" s="454" t="s">
        <v>101</v>
      </c>
      <c r="J420" s="507" t="s">
        <v>1629</v>
      </c>
      <c r="K420" s="551" t="s">
        <v>4808</v>
      </c>
      <c r="L420" s="507" t="s">
        <v>3468</v>
      </c>
      <c r="M420" s="507" t="s">
        <v>4809</v>
      </c>
      <c r="N420" s="507" t="s">
        <v>4810</v>
      </c>
      <c r="O420" s="507" t="s">
        <v>1634</v>
      </c>
      <c r="P420" s="146"/>
      <c r="Q420" s="146"/>
      <c r="R420" s="146"/>
      <c r="S420" s="149"/>
      <c r="T420" s="149"/>
      <c r="U420" s="149"/>
      <c r="V420" s="149"/>
      <c r="W420" s="149"/>
      <c r="X420" s="149"/>
      <c r="Y420" s="149"/>
      <c r="Z420" s="149"/>
    </row>
    <row r="421" spans="1:26" ht="13.5" customHeight="1">
      <c r="A421" s="2"/>
      <c r="B421" s="952"/>
      <c r="C421" s="271"/>
      <c r="D421" s="271"/>
      <c r="E421" s="271"/>
      <c r="F421" s="271"/>
      <c r="G421" s="271"/>
      <c r="H421" s="271"/>
      <c r="I421" s="485"/>
      <c r="J421" s="291"/>
      <c r="K421" s="953"/>
      <c r="L421" s="953"/>
      <c r="M421" s="291"/>
      <c r="N421" s="953"/>
      <c r="O421" s="953"/>
      <c r="P421" s="15"/>
      <c r="Q421" s="15"/>
      <c r="R421" s="15"/>
      <c r="S421" s="15"/>
      <c r="T421" s="15"/>
      <c r="U421" s="15"/>
      <c r="V421" s="15"/>
      <c r="W421" s="15"/>
      <c r="X421" s="15"/>
      <c r="Y421" s="15"/>
      <c r="Z421" s="15"/>
    </row>
    <row r="422" spans="1:26" ht="75" customHeight="1">
      <c r="A422" s="533" t="s">
        <v>736</v>
      </c>
      <c r="B422" s="517" t="s">
        <v>102</v>
      </c>
      <c r="C422" s="506">
        <v>1</v>
      </c>
      <c r="D422" s="506">
        <v>1</v>
      </c>
      <c r="E422" s="506">
        <v>0</v>
      </c>
      <c r="F422" s="506">
        <v>0</v>
      </c>
      <c r="G422" s="506">
        <v>0</v>
      </c>
      <c r="H422" s="506">
        <v>0</v>
      </c>
      <c r="I422" s="454" t="s">
        <v>103</v>
      </c>
      <c r="J422" s="507" t="s">
        <v>1635</v>
      </c>
      <c r="K422" s="551" t="s">
        <v>811</v>
      </c>
      <c r="L422" s="507" t="s">
        <v>3472</v>
      </c>
      <c r="M422" s="507" t="s">
        <v>4811</v>
      </c>
      <c r="N422" s="507" t="s">
        <v>4812</v>
      </c>
      <c r="O422" s="507" t="s">
        <v>3475</v>
      </c>
      <c r="P422" s="146"/>
      <c r="Q422" s="146"/>
      <c r="R422" s="146"/>
      <c r="S422" s="149"/>
      <c r="T422" s="149"/>
      <c r="U422" s="149"/>
      <c r="V422" s="149"/>
      <c r="W422" s="149"/>
      <c r="X422" s="149"/>
      <c r="Y422" s="149"/>
      <c r="Z422" s="149"/>
    </row>
    <row r="423" spans="1:26" ht="13.5" customHeight="1">
      <c r="A423" s="143"/>
      <c r="B423" s="931"/>
      <c r="C423" s="87"/>
      <c r="D423" s="87"/>
      <c r="E423" s="87"/>
      <c r="F423" s="87"/>
      <c r="G423" s="908"/>
      <c r="H423" s="87"/>
      <c r="I423" s="454"/>
      <c r="J423" s="75"/>
      <c r="K423" s="75"/>
      <c r="L423" s="75"/>
      <c r="M423" s="75"/>
      <c r="N423" s="756"/>
      <c r="O423" s="75"/>
      <c r="P423" s="146"/>
      <c r="Q423" s="146"/>
      <c r="R423" s="146"/>
      <c r="S423" s="149"/>
      <c r="T423" s="149"/>
      <c r="U423" s="149"/>
      <c r="V423" s="149"/>
      <c r="W423" s="149"/>
      <c r="X423" s="149"/>
      <c r="Y423" s="149"/>
      <c r="Z423" s="149"/>
    </row>
    <row r="424" spans="1:26" ht="54" customHeight="1">
      <c r="A424" s="533" t="s">
        <v>736</v>
      </c>
      <c r="B424" s="517" t="s">
        <v>104</v>
      </c>
      <c r="C424" s="506">
        <v>0</v>
      </c>
      <c r="D424" s="506">
        <v>1</v>
      </c>
      <c r="E424" s="506">
        <v>0</v>
      </c>
      <c r="F424" s="506">
        <v>1</v>
      </c>
      <c r="G424" s="506">
        <v>1</v>
      </c>
      <c r="H424" s="506">
        <v>0</v>
      </c>
      <c r="I424" s="454" t="s">
        <v>38</v>
      </c>
      <c r="J424" s="507" t="s">
        <v>1640</v>
      </c>
      <c r="K424" s="551" t="s">
        <v>811</v>
      </c>
      <c r="L424" s="507" t="s">
        <v>748</v>
      </c>
      <c r="M424" s="507" t="s">
        <v>3476</v>
      </c>
      <c r="N424" s="507" t="s">
        <v>4813</v>
      </c>
      <c r="O424" s="507" t="s">
        <v>748</v>
      </c>
      <c r="P424" s="146"/>
      <c r="Q424" s="146"/>
      <c r="R424" s="146"/>
      <c r="S424" s="149"/>
      <c r="T424" s="149"/>
      <c r="U424" s="149"/>
      <c r="V424" s="149"/>
      <c r="W424" s="149"/>
      <c r="X424" s="149"/>
      <c r="Y424" s="149"/>
      <c r="Z424" s="149"/>
    </row>
    <row r="425" spans="1:26" ht="13.5" customHeight="1">
      <c r="A425" s="2"/>
      <c r="B425" s="952"/>
      <c r="C425" s="271"/>
      <c r="D425" s="271"/>
      <c r="E425" s="271"/>
      <c r="F425" s="271"/>
      <c r="G425" s="271"/>
      <c r="H425" s="271"/>
      <c r="I425" s="485"/>
      <c r="J425" s="291"/>
      <c r="K425" s="953"/>
      <c r="L425" s="953"/>
      <c r="M425" s="291"/>
      <c r="N425" s="953"/>
      <c r="O425" s="953"/>
      <c r="P425" s="15"/>
      <c r="Q425" s="15"/>
      <c r="R425" s="15"/>
      <c r="S425" s="15"/>
      <c r="T425" s="15"/>
      <c r="U425" s="15"/>
      <c r="V425" s="15"/>
      <c r="W425" s="15"/>
      <c r="X425" s="15"/>
      <c r="Y425" s="15"/>
      <c r="Z425" s="15"/>
    </row>
    <row r="426" spans="1:26" ht="86.25" customHeight="1">
      <c r="A426" s="533" t="s">
        <v>736</v>
      </c>
      <c r="B426" s="517" t="s">
        <v>105</v>
      </c>
      <c r="C426" s="506">
        <v>1</v>
      </c>
      <c r="D426" s="506">
        <v>1</v>
      </c>
      <c r="E426" s="506">
        <v>0</v>
      </c>
      <c r="F426" s="506">
        <v>1</v>
      </c>
      <c r="G426" s="506">
        <v>1</v>
      </c>
      <c r="H426" s="506">
        <v>1</v>
      </c>
      <c r="I426" s="454" t="s">
        <v>38</v>
      </c>
      <c r="J426" s="507" t="s">
        <v>3478</v>
      </c>
      <c r="K426" s="551" t="s">
        <v>811</v>
      </c>
      <c r="L426" s="507" t="s">
        <v>4814</v>
      </c>
      <c r="M426" s="507" t="s">
        <v>1646</v>
      </c>
      <c r="N426" s="507" t="s">
        <v>3480</v>
      </c>
      <c r="O426" s="507" t="s">
        <v>811</v>
      </c>
      <c r="P426" s="146"/>
      <c r="Q426" s="146"/>
      <c r="R426" s="146"/>
      <c r="S426" s="149"/>
      <c r="T426" s="149"/>
      <c r="U426" s="149"/>
      <c r="V426" s="149"/>
      <c r="W426" s="149"/>
      <c r="X426" s="149"/>
      <c r="Y426" s="149"/>
      <c r="Z426" s="149"/>
    </row>
    <row r="427" spans="1:26" ht="13.5" customHeight="1">
      <c r="A427" s="143"/>
      <c r="B427" s="144"/>
      <c r="C427" s="87"/>
      <c r="D427" s="87"/>
      <c r="E427" s="87"/>
      <c r="F427" s="87"/>
      <c r="G427" s="87"/>
      <c r="H427" s="87"/>
      <c r="I427" s="454"/>
      <c r="J427" s="75"/>
      <c r="K427" s="75"/>
      <c r="L427" s="75"/>
      <c r="M427" s="75"/>
      <c r="N427" s="75"/>
      <c r="O427" s="75"/>
      <c r="P427" s="146"/>
      <c r="Q427" s="146"/>
      <c r="R427" s="146"/>
      <c r="S427" s="149"/>
      <c r="T427" s="149"/>
      <c r="U427" s="149"/>
      <c r="V427" s="149"/>
      <c r="W427" s="149"/>
      <c r="X427" s="149"/>
      <c r="Y427" s="149"/>
      <c r="Z427" s="149"/>
    </row>
    <row r="428" spans="1:26" ht="55.5" customHeight="1">
      <c r="A428" s="533" t="s">
        <v>736</v>
      </c>
      <c r="B428" s="517" t="s">
        <v>1648</v>
      </c>
      <c r="C428" s="506">
        <v>1</v>
      </c>
      <c r="D428" s="506">
        <v>1</v>
      </c>
      <c r="E428" s="506">
        <v>0</v>
      </c>
      <c r="F428" s="506">
        <v>1</v>
      </c>
      <c r="G428" s="506">
        <v>1</v>
      </c>
      <c r="H428" s="506">
        <v>0</v>
      </c>
      <c r="I428" s="454" t="s">
        <v>38</v>
      </c>
      <c r="J428" s="507" t="s">
        <v>3481</v>
      </c>
      <c r="K428" s="551" t="s">
        <v>811</v>
      </c>
      <c r="L428" s="507" t="s">
        <v>3483</v>
      </c>
      <c r="M428" s="507" t="s">
        <v>3484</v>
      </c>
      <c r="N428" s="507" t="s">
        <v>4815</v>
      </c>
      <c r="O428" s="507" t="s">
        <v>3486</v>
      </c>
      <c r="P428" s="146"/>
      <c r="Q428" s="146"/>
      <c r="R428" s="146"/>
      <c r="S428" s="149"/>
      <c r="T428" s="149"/>
      <c r="U428" s="149"/>
      <c r="V428" s="149"/>
      <c r="W428" s="149"/>
      <c r="X428" s="149"/>
      <c r="Y428" s="149"/>
      <c r="Z428" s="149"/>
    </row>
    <row r="429" spans="1:26" ht="13.5" customHeight="1">
      <c r="A429" s="2"/>
      <c r="B429" s="952"/>
      <c r="C429" s="271"/>
      <c r="D429" s="271"/>
      <c r="E429" s="271"/>
      <c r="F429" s="271"/>
      <c r="G429" s="271"/>
      <c r="H429" s="271"/>
      <c r="I429" s="485"/>
      <c r="J429" s="291"/>
      <c r="K429" s="953"/>
      <c r="L429" s="953"/>
      <c r="M429" s="291"/>
      <c r="N429" s="953"/>
      <c r="O429" s="953"/>
      <c r="P429" s="15"/>
      <c r="Q429" s="15"/>
      <c r="R429" s="15"/>
      <c r="S429" s="15"/>
      <c r="T429" s="15"/>
      <c r="U429" s="15"/>
      <c r="V429" s="15"/>
      <c r="W429" s="15"/>
      <c r="X429" s="15"/>
      <c r="Y429" s="15"/>
      <c r="Z429" s="15"/>
    </row>
    <row r="430" spans="1:26" ht="78" customHeight="1">
      <c r="A430" s="533" t="s">
        <v>736</v>
      </c>
      <c r="B430" s="517" t="s">
        <v>106</v>
      </c>
      <c r="C430" s="506">
        <v>1</v>
      </c>
      <c r="D430" s="506">
        <v>1</v>
      </c>
      <c r="E430" s="506">
        <v>0</v>
      </c>
      <c r="F430" s="506">
        <v>1</v>
      </c>
      <c r="G430" s="506">
        <v>1</v>
      </c>
      <c r="H430" s="506">
        <v>1</v>
      </c>
      <c r="I430" s="454" t="s">
        <v>38</v>
      </c>
      <c r="J430" s="507" t="s">
        <v>1655</v>
      </c>
      <c r="K430" s="551" t="s">
        <v>811</v>
      </c>
      <c r="L430" s="507" t="s">
        <v>4816</v>
      </c>
      <c r="M430" s="507" t="s">
        <v>3489</v>
      </c>
      <c r="N430" s="507" t="s">
        <v>4817</v>
      </c>
      <c r="O430" s="507" t="s">
        <v>4818</v>
      </c>
      <c r="P430" s="146"/>
      <c r="Q430" s="146"/>
      <c r="R430" s="146"/>
      <c r="S430" s="149"/>
      <c r="T430" s="149"/>
      <c r="U430" s="149"/>
      <c r="V430" s="149"/>
      <c r="W430" s="149"/>
      <c r="X430" s="149"/>
      <c r="Y430" s="149"/>
      <c r="Z430" s="149"/>
    </row>
    <row r="431" spans="1:26" ht="13.5" customHeight="1">
      <c r="A431" s="2"/>
      <c r="B431" s="952"/>
      <c r="C431" s="271"/>
      <c r="D431" s="271"/>
      <c r="E431" s="271"/>
      <c r="F431" s="271"/>
      <c r="G431" s="271"/>
      <c r="H431" s="271"/>
      <c r="I431" s="485"/>
      <c r="J431" s="291"/>
      <c r="K431" s="953"/>
      <c r="L431" s="953"/>
      <c r="M431" s="291"/>
      <c r="N431" s="953"/>
      <c r="O431" s="953"/>
      <c r="P431" s="15"/>
      <c r="Q431" s="15"/>
      <c r="R431" s="15"/>
      <c r="S431" s="15"/>
      <c r="T431" s="15"/>
      <c r="U431" s="15"/>
      <c r="V431" s="15"/>
      <c r="W431" s="15"/>
      <c r="X431" s="15"/>
      <c r="Y431" s="15"/>
      <c r="Z431" s="15"/>
    </row>
    <row r="432" spans="1:26" ht="13.5" customHeight="1">
      <c r="A432" s="556" t="s">
        <v>1661</v>
      </c>
      <c r="B432" s="517" t="s">
        <v>108</v>
      </c>
      <c r="C432" s="506">
        <f t="shared" ref="C432:H432" si="59">AVERAGE(C433,C435,C437,C439,C441)</f>
        <v>0.8</v>
      </c>
      <c r="D432" s="506">
        <f t="shared" si="59"/>
        <v>1</v>
      </c>
      <c r="E432" s="506">
        <f t="shared" si="59"/>
        <v>0.6</v>
      </c>
      <c r="F432" s="506">
        <f t="shared" si="59"/>
        <v>0.8</v>
      </c>
      <c r="G432" s="506">
        <f t="shared" si="59"/>
        <v>0.8</v>
      </c>
      <c r="H432" s="506">
        <f t="shared" si="59"/>
        <v>0.8</v>
      </c>
      <c r="I432" s="454"/>
      <c r="J432" s="507"/>
      <c r="K432" s="499"/>
      <c r="L432" s="499"/>
      <c r="M432" s="499"/>
      <c r="N432" s="499"/>
      <c r="O432" s="499"/>
      <c r="P432" s="558"/>
      <c r="Q432" s="558"/>
      <c r="R432" s="558"/>
      <c r="S432" s="559"/>
      <c r="T432" s="559"/>
      <c r="U432" s="559"/>
      <c r="V432" s="559"/>
      <c r="W432" s="559"/>
      <c r="X432" s="559"/>
      <c r="Y432" s="559"/>
      <c r="Z432" s="559"/>
    </row>
    <row r="433" spans="1:26" ht="69.75" customHeight="1">
      <c r="A433" s="533" t="s">
        <v>736</v>
      </c>
      <c r="B433" s="517" t="s">
        <v>109</v>
      </c>
      <c r="C433" s="506">
        <v>0</v>
      </c>
      <c r="D433" s="506">
        <v>1</v>
      </c>
      <c r="E433" s="506">
        <v>0</v>
      </c>
      <c r="F433" s="752">
        <v>1</v>
      </c>
      <c r="G433" s="506">
        <v>0</v>
      </c>
      <c r="H433" s="506">
        <v>0</v>
      </c>
      <c r="I433" s="454" t="s">
        <v>38</v>
      </c>
      <c r="J433" s="507" t="s">
        <v>3492</v>
      </c>
      <c r="K433" s="551" t="s">
        <v>811</v>
      </c>
      <c r="L433" s="507" t="s">
        <v>3494</v>
      </c>
      <c r="M433" s="507" t="s">
        <v>4819</v>
      </c>
      <c r="N433" s="507" t="s">
        <v>1667</v>
      </c>
      <c r="O433" s="507" t="s">
        <v>1668</v>
      </c>
      <c r="P433" s="146"/>
      <c r="Q433" s="146"/>
      <c r="R433" s="146"/>
      <c r="S433" s="149"/>
      <c r="T433" s="149"/>
      <c r="U433" s="149"/>
      <c r="V433" s="149"/>
      <c r="W433" s="149"/>
      <c r="X433" s="149"/>
      <c r="Y433" s="149"/>
      <c r="Z433" s="149"/>
    </row>
    <row r="434" spans="1:26" ht="13.5" customHeight="1">
      <c r="A434" s="2"/>
      <c r="B434" s="952"/>
      <c r="C434" s="271"/>
      <c r="D434" s="271"/>
      <c r="E434" s="271"/>
      <c r="F434" s="271"/>
      <c r="G434" s="271"/>
      <c r="H434" s="271"/>
      <c r="I434" s="485"/>
      <c r="J434" s="291"/>
      <c r="K434" s="953"/>
      <c r="L434" s="953"/>
      <c r="M434" s="291"/>
      <c r="N434" s="953"/>
      <c r="O434" s="953"/>
      <c r="P434" s="15"/>
      <c r="Q434" s="15"/>
      <c r="R434" s="15"/>
      <c r="S434" s="15"/>
      <c r="T434" s="15"/>
      <c r="U434" s="15"/>
      <c r="V434" s="15"/>
      <c r="W434" s="15"/>
      <c r="X434" s="15"/>
      <c r="Y434" s="15"/>
      <c r="Z434" s="15"/>
    </row>
    <row r="435" spans="1:26" ht="56.25" customHeight="1">
      <c r="A435" s="533" t="s">
        <v>736</v>
      </c>
      <c r="B435" s="517" t="s">
        <v>110</v>
      </c>
      <c r="C435" s="506">
        <v>1</v>
      </c>
      <c r="D435" s="506">
        <v>1</v>
      </c>
      <c r="E435" s="506">
        <v>1</v>
      </c>
      <c r="F435" s="506">
        <v>1</v>
      </c>
      <c r="G435" s="506">
        <v>1</v>
      </c>
      <c r="H435" s="506">
        <v>1</v>
      </c>
      <c r="I435" s="454" t="s">
        <v>38</v>
      </c>
      <c r="J435" s="507" t="s">
        <v>3496</v>
      </c>
      <c r="K435" s="551" t="s">
        <v>811</v>
      </c>
      <c r="L435" s="507" t="s">
        <v>811</v>
      </c>
      <c r="M435" s="507" t="s">
        <v>4820</v>
      </c>
      <c r="N435" s="507" t="s">
        <v>4821</v>
      </c>
      <c r="O435" s="507" t="s">
        <v>811</v>
      </c>
      <c r="P435" s="146"/>
      <c r="Q435" s="146"/>
      <c r="R435" s="146"/>
      <c r="S435" s="149"/>
      <c r="T435" s="149"/>
      <c r="U435" s="149"/>
      <c r="V435" s="149"/>
      <c r="W435" s="149"/>
      <c r="X435" s="149"/>
      <c r="Y435" s="149"/>
      <c r="Z435" s="149"/>
    </row>
    <row r="436" spans="1:26" ht="13.5" customHeight="1">
      <c r="A436" s="2"/>
      <c r="B436" s="952"/>
      <c r="C436" s="271"/>
      <c r="D436" s="271"/>
      <c r="E436" s="271"/>
      <c r="F436" s="271"/>
      <c r="G436" s="271"/>
      <c r="H436" s="271"/>
      <c r="I436" s="485"/>
      <c r="J436" s="291"/>
      <c r="K436" s="953"/>
      <c r="L436" s="953"/>
      <c r="M436" s="291"/>
      <c r="N436" s="953"/>
      <c r="O436" s="953"/>
      <c r="P436" s="15"/>
      <c r="Q436" s="15"/>
      <c r="R436" s="15"/>
      <c r="S436" s="15"/>
      <c r="T436" s="15"/>
      <c r="U436" s="15"/>
      <c r="V436" s="15"/>
      <c r="W436" s="15"/>
      <c r="X436" s="15"/>
      <c r="Y436" s="15"/>
      <c r="Z436" s="15"/>
    </row>
    <row r="437" spans="1:26" ht="42.75" customHeight="1">
      <c r="A437" s="533" t="s">
        <v>736</v>
      </c>
      <c r="B437" s="517" t="s">
        <v>111</v>
      </c>
      <c r="C437" s="506">
        <v>1</v>
      </c>
      <c r="D437" s="506">
        <v>1</v>
      </c>
      <c r="E437" s="506">
        <v>1</v>
      </c>
      <c r="F437" s="506">
        <v>1</v>
      </c>
      <c r="G437" s="506">
        <v>1</v>
      </c>
      <c r="H437" s="506">
        <v>1</v>
      </c>
      <c r="I437" s="454" t="s">
        <v>38</v>
      </c>
      <c r="J437" s="507" t="s">
        <v>1673</v>
      </c>
      <c r="K437" s="551" t="s">
        <v>811</v>
      </c>
      <c r="L437" s="507" t="s">
        <v>3501</v>
      </c>
      <c r="M437" s="507" t="s">
        <v>4822</v>
      </c>
      <c r="N437" s="507" t="s">
        <v>1675</v>
      </c>
      <c r="O437" s="507" t="s">
        <v>811</v>
      </c>
      <c r="P437" s="146"/>
      <c r="Q437" s="146"/>
      <c r="R437" s="146"/>
      <c r="S437" s="149"/>
      <c r="T437" s="149"/>
      <c r="U437" s="149"/>
      <c r="V437" s="149"/>
      <c r="W437" s="149"/>
      <c r="X437" s="149"/>
      <c r="Y437" s="149"/>
      <c r="Z437" s="149"/>
    </row>
    <row r="438" spans="1:26" ht="13.5" customHeight="1">
      <c r="A438" s="2"/>
      <c r="B438" s="952"/>
      <c r="C438" s="271"/>
      <c r="D438" s="271"/>
      <c r="E438" s="271"/>
      <c r="F438" s="271"/>
      <c r="G438" s="271"/>
      <c r="H438" s="271"/>
      <c r="I438" s="485"/>
      <c r="J438" s="291"/>
      <c r="K438" s="953"/>
      <c r="L438" s="953"/>
      <c r="M438" s="291"/>
      <c r="N438" s="953"/>
      <c r="O438" s="953"/>
      <c r="P438" s="15"/>
      <c r="Q438" s="15"/>
      <c r="R438" s="15"/>
      <c r="S438" s="15"/>
      <c r="T438" s="15"/>
      <c r="U438" s="15"/>
      <c r="V438" s="15"/>
      <c r="W438" s="15"/>
      <c r="X438" s="15"/>
      <c r="Y438" s="15"/>
      <c r="Z438" s="15"/>
    </row>
    <row r="439" spans="1:26" ht="51" customHeight="1">
      <c r="A439" s="533" t="s">
        <v>736</v>
      </c>
      <c r="B439" s="517" t="s">
        <v>112</v>
      </c>
      <c r="C439" s="506">
        <v>1</v>
      </c>
      <c r="D439" s="506">
        <v>1</v>
      </c>
      <c r="E439" s="515">
        <v>1</v>
      </c>
      <c r="F439" s="506">
        <v>0</v>
      </c>
      <c r="G439" s="506">
        <v>1</v>
      </c>
      <c r="H439" s="506">
        <v>1</v>
      </c>
      <c r="I439" s="454" t="s">
        <v>38</v>
      </c>
      <c r="J439" s="507" t="s">
        <v>1677</v>
      </c>
      <c r="K439" s="551" t="s">
        <v>811</v>
      </c>
      <c r="L439" s="507" t="s">
        <v>4823</v>
      </c>
      <c r="M439" s="507" t="s">
        <v>4824</v>
      </c>
      <c r="N439" s="507" t="s">
        <v>1681</v>
      </c>
      <c r="O439" s="507" t="s">
        <v>1682</v>
      </c>
      <c r="P439" s="146"/>
      <c r="Q439" s="146"/>
      <c r="R439" s="146"/>
      <c r="S439" s="149"/>
      <c r="T439" s="149"/>
      <c r="U439" s="149"/>
      <c r="V439" s="149"/>
      <c r="W439" s="149"/>
      <c r="X439" s="149"/>
      <c r="Y439" s="149"/>
      <c r="Z439" s="149"/>
    </row>
    <row r="440" spans="1:26" ht="13.5" customHeight="1">
      <c r="A440" s="2"/>
      <c r="B440" s="952"/>
      <c r="C440" s="271"/>
      <c r="D440" s="271"/>
      <c r="E440" s="271"/>
      <c r="F440" s="271"/>
      <c r="G440" s="271"/>
      <c r="H440" s="271"/>
      <c r="I440" s="485"/>
      <c r="J440" s="291"/>
      <c r="K440" s="953"/>
      <c r="L440" s="953"/>
      <c r="M440" s="291"/>
      <c r="N440" s="953"/>
      <c r="O440" s="953"/>
      <c r="P440" s="15"/>
      <c r="Q440" s="15"/>
      <c r="R440" s="15"/>
      <c r="S440" s="15"/>
      <c r="T440" s="15"/>
      <c r="U440" s="15"/>
      <c r="V440" s="15"/>
      <c r="W440" s="15"/>
      <c r="X440" s="15"/>
      <c r="Y440" s="15"/>
      <c r="Z440" s="15"/>
    </row>
    <row r="441" spans="1:26" ht="57" customHeight="1">
      <c r="A441" s="533" t="s">
        <v>736</v>
      </c>
      <c r="B441" s="517" t="s">
        <v>113</v>
      </c>
      <c r="C441" s="506">
        <v>1</v>
      </c>
      <c r="D441" s="506">
        <v>1</v>
      </c>
      <c r="E441" s="506">
        <v>0</v>
      </c>
      <c r="F441" s="506">
        <v>1</v>
      </c>
      <c r="G441" s="506">
        <v>1</v>
      </c>
      <c r="H441" s="506">
        <v>1</v>
      </c>
      <c r="I441" s="454" t="s">
        <v>1683</v>
      </c>
      <c r="J441" s="507" t="s">
        <v>3506</v>
      </c>
      <c r="K441" s="551" t="s">
        <v>3507</v>
      </c>
      <c r="L441" s="507" t="s">
        <v>748</v>
      </c>
      <c r="M441" s="507" t="s">
        <v>4825</v>
      </c>
      <c r="N441" s="507" t="s">
        <v>3508</v>
      </c>
      <c r="O441" s="507" t="s">
        <v>4826</v>
      </c>
      <c r="P441" s="146"/>
      <c r="Q441" s="146"/>
      <c r="R441" s="146"/>
      <c r="S441" s="149"/>
      <c r="T441" s="149"/>
      <c r="U441" s="149"/>
      <c r="V441" s="149"/>
      <c r="W441" s="149"/>
      <c r="X441" s="149"/>
      <c r="Y441" s="149"/>
      <c r="Z441" s="149"/>
    </row>
    <row r="442" spans="1:26" ht="13.5" customHeight="1">
      <c r="A442" s="2"/>
      <c r="B442" s="952"/>
      <c r="C442" s="271"/>
      <c r="D442" s="271"/>
      <c r="E442" s="271"/>
      <c r="F442" s="271"/>
      <c r="G442" s="271"/>
      <c r="H442" s="271"/>
      <c r="I442" s="485"/>
      <c r="J442" s="291"/>
      <c r="K442" s="953"/>
      <c r="L442" s="953"/>
      <c r="M442" s="291"/>
      <c r="N442" s="953"/>
      <c r="O442" s="953"/>
      <c r="P442" s="15"/>
      <c r="Q442" s="15"/>
      <c r="R442" s="15"/>
      <c r="S442" s="15"/>
      <c r="T442" s="15"/>
      <c r="U442" s="15"/>
      <c r="V442" s="15"/>
      <c r="W442" s="15"/>
      <c r="X442" s="15"/>
      <c r="Y442" s="15"/>
      <c r="Z442" s="15"/>
    </row>
    <row r="443" spans="1:26" ht="13.5" customHeight="1">
      <c r="A443" s="556" t="s">
        <v>1689</v>
      </c>
      <c r="B443" s="517" t="s">
        <v>115</v>
      </c>
      <c r="C443" s="506">
        <f t="shared" ref="C443:H443" si="60">AVERAGE(C444,C446,C448)</f>
        <v>0.66666666666666663</v>
      </c>
      <c r="D443" s="506">
        <f t="shared" si="60"/>
        <v>0.66666666666666663</v>
      </c>
      <c r="E443" s="506">
        <f t="shared" si="60"/>
        <v>0.33333333333333331</v>
      </c>
      <c r="F443" s="506">
        <f t="shared" si="60"/>
        <v>0</v>
      </c>
      <c r="G443" s="506">
        <f t="shared" si="60"/>
        <v>0.33333333333333331</v>
      </c>
      <c r="H443" s="506">
        <f t="shared" si="60"/>
        <v>0.33333333333333331</v>
      </c>
      <c r="I443" s="454"/>
      <c r="J443" s="507"/>
      <c r="K443" s="499"/>
      <c r="L443" s="499"/>
      <c r="M443" s="499"/>
      <c r="N443" s="499"/>
      <c r="O443" s="499"/>
      <c r="P443" s="558"/>
      <c r="Q443" s="558"/>
      <c r="R443" s="558"/>
      <c r="S443" s="559"/>
      <c r="T443" s="559"/>
      <c r="U443" s="559"/>
      <c r="V443" s="559"/>
      <c r="W443" s="559"/>
      <c r="X443" s="559"/>
      <c r="Y443" s="559"/>
      <c r="Z443" s="559"/>
    </row>
    <row r="444" spans="1:26" ht="39.75" customHeight="1">
      <c r="A444" s="533" t="s">
        <v>736</v>
      </c>
      <c r="B444" s="517" t="s">
        <v>116</v>
      </c>
      <c r="C444" s="506">
        <v>1</v>
      </c>
      <c r="D444" s="506">
        <v>0</v>
      </c>
      <c r="E444" s="506">
        <v>1</v>
      </c>
      <c r="F444" s="506">
        <v>0</v>
      </c>
      <c r="G444" s="506">
        <v>1</v>
      </c>
      <c r="H444" s="506">
        <v>1</v>
      </c>
      <c r="I444" s="454" t="s">
        <v>38</v>
      </c>
      <c r="J444" s="507" t="s">
        <v>4827</v>
      </c>
      <c r="K444" s="507" t="s">
        <v>748</v>
      </c>
      <c r="L444" s="507" t="s">
        <v>811</v>
      </c>
      <c r="M444" s="507" t="s">
        <v>4828</v>
      </c>
      <c r="N444" s="507" t="s">
        <v>3511</v>
      </c>
      <c r="O444" s="507" t="s">
        <v>4829</v>
      </c>
      <c r="P444" s="146"/>
      <c r="Q444" s="146"/>
      <c r="R444" s="146"/>
      <c r="S444" s="149"/>
      <c r="T444" s="149"/>
      <c r="U444" s="149"/>
      <c r="V444" s="149"/>
      <c r="W444" s="149"/>
      <c r="X444" s="149"/>
      <c r="Y444" s="149"/>
      <c r="Z444" s="149"/>
    </row>
    <row r="445" spans="1:26" ht="13.5" customHeight="1">
      <c r="A445" s="2"/>
      <c r="B445" s="952"/>
      <c r="C445" s="271"/>
      <c r="D445" s="271"/>
      <c r="E445" s="271"/>
      <c r="F445" s="271"/>
      <c r="G445" s="271"/>
      <c r="H445" s="271"/>
      <c r="I445" s="485"/>
      <c r="J445" s="291"/>
      <c r="K445" s="953"/>
      <c r="L445" s="953"/>
      <c r="M445" s="291"/>
      <c r="N445" s="953"/>
      <c r="O445" s="953"/>
      <c r="P445" s="15"/>
      <c r="Q445" s="15"/>
      <c r="R445" s="15"/>
      <c r="S445" s="15"/>
      <c r="T445" s="15"/>
      <c r="U445" s="15"/>
      <c r="V445" s="15"/>
      <c r="W445" s="15"/>
      <c r="X445" s="15"/>
      <c r="Y445" s="15"/>
      <c r="Z445" s="15"/>
    </row>
    <row r="446" spans="1:26" ht="51.75" customHeight="1">
      <c r="A446" s="533" t="s">
        <v>736</v>
      </c>
      <c r="B446" s="517" t="s">
        <v>117</v>
      </c>
      <c r="C446" s="506">
        <v>0</v>
      </c>
      <c r="D446" s="506">
        <v>1</v>
      </c>
      <c r="E446" s="506">
        <v>0</v>
      </c>
      <c r="F446" s="506">
        <v>0</v>
      </c>
      <c r="G446" s="506">
        <v>0</v>
      </c>
      <c r="H446" s="506">
        <v>0</v>
      </c>
      <c r="I446" s="454" t="s">
        <v>38</v>
      </c>
      <c r="J446" s="507" t="s">
        <v>1693</v>
      </c>
      <c r="K446" s="507" t="s">
        <v>811</v>
      </c>
      <c r="L446" s="507" t="s">
        <v>748</v>
      </c>
      <c r="M446" s="507" t="s">
        <v>4830</v>
      </c>
      <c r="N446" s="507" t="s">
        <v>4831</v>
      </c>
      <c r="O446" s="507" t="s">
        <v>748</v>
      </c>
      <c r="P446" s="146"/>
      <c r="Q446" s="146"/>
      <c r="R446" s="146"/>
      <c r="S446" s="149"/>
      <c r="T446" s="149"/>
      <c r="U446" s="149"/>
      <c r="V446" s="149"/>
      <c r="W446" s="149"/>
      <c r="X446" s="149"/>
      <c r="Y446" s="149"/>
      <c r="Z446" s="149"/>
    </row>
    <row r="447" spans="1:26" ht="13.5" customHeight="1">
      <c r="A447" s="143"/>
      <c r="B447" s="144"/>
      <c r="C447" s="87"/>
      <c r="D447" s="87"/>
      <c r="E447" s="343"/>
      <c r="F447" s="87"/>
      <c r="G447" s="87"/>
      <c r="H447" s="87"/>
      <c r="I447" s="454"/>
      <c r="J447" s="75"/>
      <c r="K447" s="75"/>
      <c r="L447" s="75"/>
      <c r="M447" s="75"/>
      <c r="N447" s="75"/>
      <c r="O447" s="75"/>
      <c r="P447" s="146"/>
      <c r="Q447" s="146"/>
      <c r="R447" s="146"/>
      <c r="S447" s="149"/>
      <c r="T447" s="149"/>
      <c r="U447" s="149"/>
      <c r="V447" s="149"/>
      <c r="W447" s="149"/>
      <c r="X447" s="149"/>
      <c r="Y447" s="149"/>
      <c r="Z447" s="149"/>
    </row>
    <row r="448" spans="1:26" ht="60" customHeight="1">
      <c r="A448" s="533" t="s">
        <v>736</v>
      </c>
      <c r="B448" s="517" t="s">
        <v>4832</v>
      </c>
      <c r="C448" s="506">
        <v>1</v>
      </c>
      <c r="D448" s="506">
        <v>1</v>
      </c>
      <c r="E448" s="506">
        <f>(L449-0)/(0.5-0)</f>
        <v>0</v>
      </c>
      <c r="F448" s="506">
        <f>(M449-0)/(0.5-0)</f>
        <v>0</v>
      </c>
      <c r="G448" s="506">
        <f>(N449-0)/(0.5-0)</f>
        <v>0</v>
      </c>
      <c r="H448" s="506">
        <f>(O449-0)/(0.5-0)</f>
        <v>0</v>
      </c>
      <c r="I448" s="454" t="s">
        <v>4833</v>
      </c>
      <c r="J448" s="507" t="s">
        <v>4834</v>
      </c>
      <c r="K448" s="508" t="s">
        <v>1699</v>
      </c>
      <c r="L448" s="507" t="s">
        <v>4835</v>
      </c>
      <c r="M448" s="507" t="s">
        <v>4836</v>
      </c>
      <c r="N448" s="507" t="s">
        <v>4837</v>
      </c>
      <c r="O448" s="507" t="s">
        <v>4838</v>
      </c>
      <c r="P448" s="534"/>
      <c r="Q448" s="534"/>
      <c r="R448" s="534"/>
      <c r="S448" s="535"/>
      <c r="T448" s="535"/>
      <c r="U448" s="535"/>
      <c r="V448" s="535"/>
      <c r="W448" s="535"/>
      <c r="X448" s="535"/>
      <c r="Y448" s="535"/>
      <c r="Z448" s="535"/>
    </row>
    <row r="449" spans="1:26" ht="13.5" customHeight="1">
      <c r="A449" s="143"/>
      <c r="B449" s="144"/>
      <c r="C449" s="87"/>
      <c r="D449" s="87"/>
      <c r="E449" s="87"/>
      <c r="F449" s="87"/>
      <c r="G449" s="87"/>
      <c r="H449" s="87"/>
      <c r="I449" s="454"/>
      <c r="J449" s="75"/>
      <c r="K449" s="75"/>
      <c r="L449" s="75"/>
      <c r="M449" s="75"/>
      <c r="N449" s="75"/>
      <c r="O449" s="75"/>
      <c r="P449" s="146"/>
      <c r="Q449" s="146"/>
      <c r="R449" s="146"/>
      <c r="S449" s="149"/>
      <c r="T449" s="149"/>
      <c r="U449" s="149"/>
      <c r="V449" s="149"/>
      <c r="W449" s="149"/>
      <c r="X449" s="149"/>
      <c r="Y449" s="149"/>
      <c r="Z449" s="149"/>
    </row>
    <row r="450" spans="1:26" ht="13.5" customHeight="1">
      <c r="A450" s="559" t="s">
        <v>1704</v>
      </c>
      <c r="B450" s="559" t="s">
        <v>120</v>
      </c>
      <c r="C450" s="506">
        <f t="shared" ref="C450:H450" si="61">AVERAGE(C451,C453,C455,C457,C459,C461)</f>
        <v>0.75197826086956521</v>
      </c>
      <c r="D450" s="506">
        <f t="shared" si="61"/>
        <v>0.95031666666666659</v>
      </c>
      <c r="E450" s="506">
        <f t="shared" si="61"/>
        <v>0</v>
      </c>
      <c r="F450" s="506">
        <f t="shared" si="61"/>
        <v>0.51115942028985506</v>
      </c>
      <c r="G450" s="506">
        <f t="shared" si="61"/>
        <v>0.56279202898550718</v>
      </c>
      <c r="H450" s="506">
        <f t="shared" si="61"/>
        <v>8.8260869565217392E-2</v>
      </c>
      <c r="I450" s="767"/>
      <c r="J450" s="769"/>
      <c r="K450" s="770"/>
      <c r="L450" s="770"/>
      <c r="M450" s="770"/>
      <c r="N450" s="770"/>
      <c r="O450" s="770"/>
      <c r="P450" s="558"/>
      <c r="Q450" s="558"/>
      <c r="R450" s="558"/>
      <c r="S450" s="559"/>
      <c r="T450" s="559"/>
      <c r="U450" s="559"/>
      <c r="V450" s="559"/>
      <c r="W450" s="559"/>
      <c r="X450" s="559"/>
      <c r="Y450" s="559"/>
      <c r="Z450" s="559"/>
    </row>
    <row r="451" spans="1:26" ht="75.75" customHeight="1">
      <c r="A451" s="533" t="s">
        <v>736</v>
      </c>
      <c r="B451" s="517" t="s">
        <v>121</v>
      </c>
      <c r="C451" s="515">
        <v>0.5</v>
      </c>
      <c r="D451" s="506">
        <v>1</v>
      </c>
      <c r="E451" s="506">
        <v>0</v>
      </c>
      <c r="F451" s="506">
        <v>0</v>
      </c>
      <c r="G451" s="506">
        <v>0</v>
      </c>
      <c r="H451" s="506">
        <v>0</v>
      </c>
      <c r="I451" s="454" t="s">
        <v>123</v>
      </c>
      <c r="J451" s="507" t="s">
        <v>4839</v>
      </c>
      <c r="K451" s="507" t="s">
        <v>4840</v>
      </c>
      <c r="L451" s="507" t="s">
        <v>3519</v>
      </c>
      <c r="M451" s="507" t="s">
        <v>4841</v>
      </c>
      <c r="N451" s="507" t="s">
        <v>3521</v>
      </c>
      <c r="O451" s="507" t="s">
        <v>1709</v>
      </c>
      <c r="P451" s="146"/>
      <c r="Q451" s="146"/>
      <c r="R451" s="146"/>
      <c r="S451" s="149"/>
      <c r="T451" s="149"/>
      <c r="U451" s="149"/>
      <c r="V451" s="149"/>
      <c r="W451" s="149"/>
      <c r="X451" s="149"/>
      <c r="Y451" s="149"/>
      <c r="Z451" s="149"/>
    </row>
    <row r="452" spans="1:26" ht="13.5" customHeight="1">
      <c r="A452" s="2"/>
      <c r="B452" s="952"/>
      <c r="C452" s="271"/>
      <c r="D452" s="271"/>
      <c r="E452" s="271"/>
      <c r="F452" s="271"/>
      <c r="G452" s="271"/>
      <c r="H452" s="271"/>
      <c r="I452" s="485"/>
      <c r="J452" s="291"/>
      <c r="K452" s="953"/>
      <c r="L452" s="953"/>
      <c r="M452" s="291"/>
      <c r="N452" s="953"/>
      <c r="O452" s="953"/>
      <c r="P452" s="15"/>
      <c r="Q452" s="15"/>
      <c r="R452" s="15"/>
      <c r="S452" s="15"/>
      <c r="T452" s="15"/>
      <c r="U452" s="15"/>
      <c r="V452" s="15"/>
      <c r="W452" s="15"/>
      <c r="X452" s="15"/>
      <c r="Y452" s="15"/>
      <c r="Z452" s="15"/>
    </row>
    <row r="453" spans="1:26" ht="71.25" customHeight="1">
      <c r="A453" s="533" t="s">
        <v>736</v>
      </c>
      <c r="B453" s="517" t="s">
        <v>122</v>
      </c>
      <c r="C453" s="515">
        <v>0.5</v>
      </c>
      <c r="D453" s="506">
        <v>1</v>
      </c>
      <c r="E453" s="506">
        <v>0</v>
      </c>
      <c r="F453" s="506">
        <v>1</v>
      </c>
      <c r="G453" s="506">
        <v>1</v>
      </c>
      <c r="H453" s="506">
        <v>0</v>
      </c>
      <c r="I453" s="454" t="s">
        <v>123</v>
      </c>
      <c r="J453" s="507" t="s">
        <v>1710</v>
      </c>
      <c r="K453" s="507" t="s">
        <v>811</v>
      </c>
      <c r="L453" s="507" t="s">
        <v>748</v>
      </c>
      <c r="M453" s="507" t="s">
        <v>4842</v>
      </c>
      <c r="N453" s="507" t="s">
        <v>4843</v>
      </c>
      <c r="O453" s="507" t="s">
        <v>4844</v>
      </c>
      <c r="P453" s="146"/>
      <c r="Q453" s="146"/>
      <c r="R453" s="146"/>
      <c r="S453" s="149"/>
      <c r="T453" s="149"/>
      <c r="U453" s="149"/>
      <c r="V453" s="149"/>
      <c r="W453" s="149"/>
      <c r="X453" s="149"/>
      <c r="Y453" s="149"/>
      <c r="Z453" s="149"/>
    </row>
    <row r="454" spans="1:26" ht="13.5" customHeight="1">
      <c r="A454" s="2"/>
      <c r="B454" s="952"/>
      <c r="C454" s="271"/>
      <c r="D454" s="271"/>
      <c r="E454" s="271"/>
      <c r="F454" s="271"/>
      <c r="G454" s="271"/>
      <c r="H454" s="271"/>
      <c r="I454" s="485"/>
      <c r="J454" s="291"/>
      <c r="K454" s="953"/>
      <c r="L454" s="953"/>
      <c r="M454" s="291"/>
      <c r="N454" s="953"/>
      <c r="O454" s="953"/>
      <c r="P454" s="15"/>
      <c r="Q454" s="15"/>
      <c r="R454" s="15"/>
      <c r="S454" s="15"/>
      <c r="T454" s="15"/>
      <c r="U454" s="15"/>
      <c r="V454" s="15"/>
      <c r="W454" s="15"/>
      <c r="X454" s="15"/>
      <c r="Y454" s="15"/>
      <c r="Z454" s="15"/>
    </row>
    <row r="455" spans="1:26" ht="78" customHeight="1">
      <c r="A455" s="533" t="s">
        <v>736</v>
      </c>
      <c r="B455" s="517" t="s">
        <v>124</v>
      </c>
      <c r="C455" s="515">
        <v>1</v>
      </c>
      <c r="D455" s="506">
        <v>1</v>
      </c>
      <c r="E455" s="506">
        <v>0</v>
      </c>
      <c r="F455" s="506">
        <v>1</v>
      </c>
      <c r="G455" s="506">
        <v>1</v>
      </c>
      <c r="H455" s="506">
        <v>0</v>
      </c>
      <c r="I455" s="454" t="s">
        <v>123</v>
      </c>
      <c r="J455" s="753" t="s">
        <v>3523</v>
      </c>
      <c r="K455" s="507" t="s">
        <v>4845</v>
      </c>
      <c r="L455" s="507" t="s">
        <v>3519</v>
      </c>
      <c r="M455" s="507" t="s">
        <v>4846</v>
      </c>
      <c r="N455" s="507" t="s">
        <v>4847</v>
      </c>
      <c r="O455" s="507" t="s">
        <v>3527</v>
      </c>
      <c r="P455" s="146"/>
      <c r="Q455" s="146"/>
      <c r="R455" s="146"/>
      <c r="S455" s="149"/>
      <c r="T455" s="149"/>
      <c r="U455" s="149"/>
      <c r="V455" s="149"/>
      <c r="W455" s="149"/>
      <c r="X455" s="149"/>
      <c r="Y455" s="149"/>
      <c r="Z455" s="149"/>
    </row>
    <row r="456" spans="1:26" ht="13.5" customHeight="1">
      <c r="A456" s="2"/>
      <c r="B456" s="952"/>
      <c r="C456" s="271"/>
      <c r="D456" s="271"/>
      <c r="E456" s="271"/>
      <c r="F456" s="271"/>
      <c r="G456" s="271"/>
      <c r="H456" s="271"/>
      <c r="I456" s="485"/>
      <c r="J456" s="291"/>
      <c r="K456" s="953"/>
      <c r="L456" s="953"/>
      <c r="M456" s="291"/>
      <c r="N456" s="953"/>
      <c r="O456" s="953"/>
      <c r="P456" s="15"/>
      <c r="Q456" s="15"/>
      <c r="R456" s="15"/>
      <c r="S456" s="15"/>
      <c r="T456" s="15"/>
      <c r="U456" s="15"/>
      <c r="V456" s="15"/>
      <c r="W456" s="15"/>
      <c r="X456" s="15"/>
      <c r="Y456" s="15"/>
      <c r="Z456" s="15"/>
    </row>
    <row r="457" spans="1:26" ht="76.5" customHeight="1">
      <c r="A457" s="533" t="s">
        <v>736</v>
      </c>
      <c r="B457" s="517" t="s">
        <v>4848</v>
      </c>
      <c r="C457" s="506">
        <f>(20.9-100)/(0-100)</f>
        <v>0.79099999999999993</v>
      </c>
      <c r="D457" s="506">
        <f>(18.81-100)/-100</f>
        <v>0.81189999999999996</v>
      </c>
      <c r="E457" s="506">
        <v>0</v>
      </c>
      <c r="F457" s="506">
        <v>0.23</v>
      </c>
      <c r="G457" s="506">
        <f>(64.89-100)/-100</f>
        <v>0.35109999999999997</v>
      </c>
      <c r="H457" s="506">
        <v>0</v>
      </c>
      <c r="I457" s="454" t="s">
        <v>64</v>
      </c>
      <c r="J457" s="507" t="s">
        <v>4849</v>
      </c>
      <c r="K457" s="508" t="s">
        <v>4850</v>
      </c>
      <c r="L457" s="507" t="s">
        <v>3531</v>
      </c>
      <c r="M457" s="507" t="s">
        <v>4851</v>
      </c>
      <c r="N457" s="507" t="s">
        <v>4852</v>
      </c>
      <c r="O457" s="507" t="s">
        <v>4853</v>
      </c>
      <c r="P457" s="534"/>
      <c r="Q457" s="534"/>
      <c r="R457" s="534"/>
      <c r="S457" s="535"/>
      <c r="T457" s="535"/>
      <c r="U457" s="535"/>
      <c r="V457" s="535"/>
      <c r="W457" s="535"/>
      <c r="X457" s="535"/>
      <c r="Y457" s="535"/>
      <c r="Z457" s="535"/>
    </row>
    <row r="458" spans="1:26" ht="15" customHeight="1">
      <c r="A458" s="143"/>
      <c r="B458" s="929"/>
      <c r="C458" s="87"/>
      <c r="D458" s="87"/>
      <c r="E458" s="87"/>
      <c r="F458" s="87"/>
      <c r="G458" s="87"/>
      <c r="H458" s="87"/>
      <c r="I458" s="454"/>
      <c r="J458" s="507"/>
      <c r="K458" s="507"/>
      <c r="L458" s="198"/>
      <c r="M458" s="507"/>
      <c r="N458" s="75"/>
      <c r="O458" s="75"/>
      <c r="P458" s="146"/>
      <c r="Q458" s="146"/>
      <c r="R458" s="146"/>
      <c r="S458" s="149"/>
      <c r="T458" s="149"/>
      <c r="U458" s="149"/>
      <c r="V458" s="149"/>
      <c r="W458" s="149"/>
      <c r="X458" s="149"/>
      <c r="Y458" s="149"/>
      <c r="Z458" s="149"/>
    </row>
    <row r="459" spans="1:26" ht="105" customHeight="1">
      <c r="A459" s="533" t="s">
        <v>736</v>
      </c>
      <c r="B459" s="517" t="s">
        <v>127</v>
      </c>
      <c r="C459" s="506">
        <f>(17.5-0)/23</f>
        <v>0.76086956521739135</v>
      </c>
      <c r="D459" s="506">
        <f>(23-0)/23</f>
        <v>1</v>
      </c>
      <c r="E459" s="506">
        <f>(0-0)/23</f>
        <v>0</v>
      </c>
      <c r="F459" s="506">
        <f>(2-0)/23</f>
        <v>8.6956521739130432E-2</v>
      </c>
      <c r="G459" s="506">
        <f>(2.2-0)/23</f>
        <v>9.5652173913043481E-2</v>
      </c>
      <c r="H459" s="506">
        <f>(2.29-0)/23</f>
        <v>9.9565217391304348E-2</v>
      </c>
      <c r="I459" s="454" t="s">
        <v>4854</v>
      </c>
      <c r="J459" s="507" t="s">
        <v>4855</v>
      </c>
      <c r="K459" s="508" t="s">
        <v>4856</v>
      </c>
      <c r="L459" s="507" t="s">
        <v>3538</v>
      </c>
      <c r="M459" s="507" t="s">
        <v>4857</v>
      </c>
      <c r="N459" s="507" t="s">
        <v>4858</v>
      </c>
      <c r="O459" s="507" t="s">
        <v>4859</v>
      </c>
      <c r="P459" s="146"/>
      <c r="Q459" s="146"/>
      <c r="R459" s="146"/>
      <c r="S459" s="149"/>
      <c r="T459" s="149"/>
      <c r="U459" s="149"/>
      <c r="V459" s="149"/>
      <c r="W459" s="149"/>
      <c r="X459" s="149"/>
      <c r="Y459" s="149"/>
      <c r="Z459" s="149"/>
    </row>
    <row r="460" spans="1:26" ht="24" customHeight="1">
      <c r="A460" s="143"/>
      <c r="B460" s="144"/>
      <c r="C460" s="87"/>
      <c r="D460" s="87"/>
      <c r="E460" s="87"/>
      <c r="F460" s="87"/>
      <c r="G460" s="87"/>
      <c r="H460" s="87"/>
      <c r="I460" s="454"/>
      <c r="J460" s="75"/>
      <c r="K460" s="88"/>
      <c r="L460" s="75"/>
      <c r="M460" s="75"/>
      <c r="N460" s="75"/>
      <c r="O460" s="75"/>
      <c r="P460" s="146"/>
      <c r="Q460" s="146"/>
      <c r="R460" s="146"/>
      <c r="S460" s="149"/>
      <c r="T460" s="149"/>
      <c r="U460" s="149"/>
      <c r="V460" s="149"/>
      <c r="W460" s="149"/>
      <c r="X460" s="149"/>
      <c r="Y460" s="149"/>
      <c r="Z460" s="149"/>
    </row>
    <row r="461" spans="1:26" ht="87.75" customHeight="1">
      <c r="A461" s="533" t="s">
        <v>736</v>
      </c>
      <c r="B461" s="517" t="s">
        <v>128</v>
      </c>
      <c r="C461" s="506">
        <v>0.96</v>
      </c>
      <c r="D461" s="506">
        <v>0.89</v>
      </c>
      <c r="E461" s="506" t="s">
        <v>3550</v>
      </c>
      <c r="F461" s="506">
        <v>0.75</v>
      </c>
      <c r="G461" s="506">
        <v>0.93</v>
      </c>
      <c r="H461" s="506">
        <v>0.43</v>
      </c>
      <c r="I461" s="454" t="s">
        <v>3542</v>
      </c>
      <c r="J461" s="507" t="s">
        <v>4860</v>
      </c>
      <c r="K461" s="508" t="s">
        <v>4861</v>
      </c>
      <c r="L461" s="551" t="s">
        <v>3550</v>
      </c>
      <c r="M461" s="507" t="s">
        <v>4862</v>
      </c>
      <c r="N461" s="507" t="s">
        <v>4863</v>
      </c>
      <c r="O461" s="507" t="s">
        <v>4864</v>
      </c>
      <c r="P461" s="146"/>
      <c r="Q461" s="146"/>
      <c r="R461" s="146"/>
      <c r="S461" s="149"/>
      <c r="T461" s="149"/>
      <c r="U461" s="149"/>
      <c r="V461" s="149"/>
      <c r="W461" s="149"/>
      <c r="X461" s="149"/>
      <c r="Y461" s="149"/>
      <c r="Z461" s="149"/>
    </row>
    <row r="462" spans="1:26" ht="21" customHeight="1">
      <c r="A462" s="143"/>
      <c r="B462" s="144"/>
      <c r="C462" s="87"/>
      <c r="D462" s="87"/>
      <c r="E462" s="87"/>
      <c r="F462" s="87"/>
      <c r="G462" s="87"/>
      <c r="H462" s="87"/>
      <c r="I462" s="454"/>
      <c r="J462" s="75"/>
      <c r="K462" s="88"/>
      <c r="L462" s="198"/>
      <c r="M462" s="75"/>
      <c r="N462" s="75"/>
      <c r="O462" s="75"/>
      <c r="P462" s="146"/>
      <c r="Q462" s="146"/>
      <c r="R462" s="146"/>
      <c r="S462" s="149"/>
      <c r="T462" s="149"/>
      <c r="U462" s="149"/>
      <c r="V462" s="149"/>
      <c r="W462" s="149"/>
      <c r="X462" s="149"/>
      <c r="Y462" s="149"/>
      <c r="Z462" s="149"/>
    </row>
    <row r="463" spans="1:26" ht="13.5" customHeight="1">
      <c r="A463" s="556" t="s">
        <v>1741</v>
      </c>
      <c r="B463" s="778" t="s">
        <v>130</v>
      </c>
      <c r="C463" s="506">
        <f t="shared" ref="C463:H463" si="62">AVERAGE(C464,C466,C468)</f>
        <v>0.97000000000000008</v>
      </c>
      <c r="D463" s="506">
        <f t="shared" si="62"/>
        <v>0.85333333333333339</v>
      </c>
      <c r="E463" s="506">
        <f t="shared" si="62"/>
        <v>0.875</v>
      </c>
      <c r="F463" s="506">
        <f t="shared" si="62"/>
        <v>0.84666666666666668</v>
      </c>
      <c r="G463" s="506">
        <f t="shared" si="62"/>
        <v>0.84333333333333338</v>
      </c>
      <c r="H463" s="506">
        <f t="shared" si="62"/>
        <v>0.45</v>
      </c>
      <c r="I463" s="454"/>
      <c r="J463" s="507"/>
      <c r="K463" s="571"/>
      <c r="L463" s="571"/>
      <c r="M463" s="499"/>
      <c r="N463" s="571"/>
      <c r="O463" s="571"/>
      <c r="P463" s="558"/>
      <c r="Q463" s="558"/>
      <c r="R463" s="558"/>
      <c r="S463" s="559"/>
      <c r="T463" s="559"/>
      <c r="U463" s="559"/>
      <c r="V463" s="559"/>
      <c r="W463" s="559"/>
      <c r="X463" s="559"/>
      <c r="Y463" s="559"/>
      <c r="Z463" s="559"/>
    </row>
    <row r="464" spans="1:26" ht="71.25" customHeight="1">
      <c r="A464" s="533" t="s">
        <v>736</v>
      </c>
      <c r="B464" s="517" t="s">
        <v>3549</v>
      </c>
      <c r="C464" s="506">
        <v>0.91</v>
      </c>
      <c r="D464" s="506">
        <v>0.56000000000000005</v>
      </c>
      <c r="E464" s="506" t="s">
        <v>1073</v>
      </c>
      <c r="F464" s="506">
        <v>0.54</v>
      </c>
      <c r="G464" s="515">
        <v>0.53</v>
      </c>
      <c r="H464" s="506">
        <v>0.6</v>
      </c>
      <c r="I464" s="454" t="s">
        <v>3551</v>
      </c>
      <c r="J464" s="507" t="s">
        <v>3552</v>
      </c>
      <c r="K464" s="507" t="s">
        <v>3553</v>
      </c>
      <c r="L464" s="507" t="s">
        <v>3550</v>
      </c>
      <c r="M464" s="507" t="s">
        <v>4865</v>
      </c>
      <c r="N464" s="780" t="s">
        <v>3555</v>
      </c>
      <c r="O464" s="507" t="s">
        <v>4866</v>
      </c>
      <c r="P464" s="146"/>
      <c r="Q464" s="146"/>
      <c r="R464" s="146"/>
      <c r="S464" s="149"/>
      <c r="T464" s="149"/>
      <c r="U464" s="149"/>
      <c r="V464" s="149"/>
      <c r="W464" s="149"/>
      <c r="X464" s="149"/>
      <c r="Y464" s="149"/>
      <c r="Z464" s="149"/>
    </row>
    <row r="465" spans="1:26" ht="22.5" customHeight="1">
      <c r="A465" s="143"/>
      <c r="B465" s="144"/>
      <c r="C465" s="87"/>
      <c r="D465" s="87"/>
      <c r="E465" s="87"/>
      <c r="F465" s="87"/>
      <c r="G465" s="87"/>
      <c r="H465" s="87"/>
      <c r="I465" s="454"/>
      <c r="J465" s="75"/>
      <c r="K465" s="75"/>
      <c r="L465" s="75"/>
      <c r="M465" s="75"/>
      <c r="N465" s="781"/>
      <c r="O465" s="75"/>
      <c r="P465" s="146"/>
      <c r="Q465" s="146"/>
      <c r="R465" s="146"/>
      <c r="S465" s="149"/>
      <c r="T465" s="149"/>
      <c r="U465" s="149"/>
      <c r="V465" s="149"/>
      <c r="W465" s="149"/>
      <c r="X465" s="149"/>
      <c r="Y465" s="149"/>
      <c r="Z465" s="149"/>
    </row>
    <row r="466" spans="1:26" ht="66" customHeight="1">
      <c r="A466" s="533" t="s">
        <v>736</v>
      </c>
      <c r="B466" s="517" t="s">
        <v>131</v>
      </c>
      <c r="C466" s="506">
        <v>1</v>
      </c>
      <c r="D466" s="506">
        <v>1</v>
      </c>
      <c r="E466" s="506">
        <v>1</v>
      </c>
      <c r="F466" s="506">
        <v>1</v>
      </c>
      <c r="G466" s="506">
        <v>1</v>
      </c>
      <c r="H466" s="506">
        <v>0</v>
      </c>
      <c r="I466" s="454" t="s">
        <v>123</v>
      </c>
      <c r="J466" s="507" t="s">
        <v>1750</v>
      </c>
      <c r="K466" s="507" t="s">
        <v>1134</v>
      </c>
      <c r="L466" s="507" t="s">
        <v>811</v>
      </c>
      <c r="M466" s="507" t="s">
        <v>3557</v>
      </c>
      <c r="N466" s="507" t="s">
        <v>4867</v>
      </c>
      <c r="O466" s="507" t="s">
        <v>4868</v>
      </c>
      <c r="P466" s="146"/>
      <c r="Q466" s="146"/>
      <c r="R466" s="146"/>
      <c r="S466" s="149"/>
      <c r="T466" s="149"/>
      <c r="U466" s="149"/>
      <c r="V466" s="149"/>
      <c r="W466" s="149"/>
      <c r="X466" s="149"/>
      <c r="Y466" s="149"/>
      <c r="Z466" s="149"/>
    </row>
    <row r="467" spans="1:26" ht="27" customHeight="1">
      <c r="A467" s="143"/>
      <c r="B467" s="144"/>
      <c r="C467" s="87"/>
      <c r="D467" s="87"/>
      <c r="E467" s="87"/>
      <c r="F467" s="87"/>
      <c r="G467" s="87"/>
      <c r="H467" s="87"/>
      <c r="I467" s="454"/>
      <c r="J467" s="75"/>
      <c r="K467" s="75"/>
      <c r="L467" s="75"/>
      <c r="M467" s="75"/>
      <c r="N467" s="75"/>
      <c r="O467" s="75"/>
      <c r="P467" s="146"/>
      <c r="Q467" s="146"/>
      <c r="R467" s="146"/>
      <c r="S467" s="149"/>
      <c r="T467" s="149"/>
      <c r="U467" s="149"/>
      <c r="V467" s="149"/>
      <c r="W467" s="149"/>
      <c r="X467" s="149"/>
      <c r="Y467" s="149"/>
      <c r="Z467" s="149"/>
    </row>
    <row r="468" spans="1:26" ht="55.5" customHeight="1">
      <c r="A468" s="533" t="s">
        <v>736</v>
      </c>
      <c r="B468" s="517" t="s">
        <v>132</v>
      </c>
      <c r="C468" s="506">
        <f t="shared" ref="C468:H468" si="63">AVERAGE(C469:C472)</f>
        <v>1</v>
      </c>
      <c r="D468" s="506">
        <f t="shared" si="63"/>
        <v>1</v>
      </c>
      <c r="E468" s="506">
        <f t="shared" si="63"/>
        <v>0.75</v>
      </c>
      <c r="F468" s="506">
        <f t="shared" si="63"/>
        <v>1</v>
      </c>
      <c r="G468" s="506">
        <f t="shared" si="63"/>
        <v>1</v>
      </c>
      <c r="H468" s="506">
        <f t="shared" si="63"/>
        <v>0.75</v>
      </c>
      <c r="I468" s="454"/>
      <c r="J468" s="507"/>
      <c r="K468" s="507"/>
      <c r="L468" s="507"/>
      <c r="M468" s="507"/>
      <c r="N468" s="507"/>
      <c r="O468" s="507"/>
      <c r="P468" s="534"/>
      <c r="Q468" s="534"/>
      <c r="R468" s="534"/>
      <c r="S468" s="535"/>
      <c r="T468" s="535"/>
      <c r="U468" s="535"/>
      <c r="V468" s="535"/>
      <c r="W468" s="535"/>
      <c r="X468" s="535"/>
      <c r="Y468" s="535"/>
      <c r="Z468" s="535"/>
    </row>
    <row r="469" spans="1:26" ht="139.5" customHeight="1">
      <c r="A469" s="533"/>
      <c r="B469" s="993" t="s">
        <v>133</v>
      </c>
      <c r="C469" s="506">
        <v>1</v>
      </c>
      <c r="D469" s="506">
        <v>1</v>
      </c>
      <c r="E469" s="506">
        <v>1</v>
      </c>
      <c r="F469" s="506">
        <v>1</v>
      </c>
      <c r="G469" s="506">
        <v>1</v>
      </c>
      <c r="H469" s="506">
        <v>0</v>
      </c>
      <c r="I469" s="454" t="s">
        <v>123</v>
      </c>
      <c r="J469" s="507" t="s">
        <v>3559</v>
      </c>
      <c r="K469" s="507" t="s">
        <v>811</v>
      </c>
      <c r="L469" s="507" t="s">
        <v>811</v>
      </c>
      <c r="M469" s="507" t="s">
        <v>1759</v>
      </c>
      <c r="N469" s="507" t="s">
        <v>1760</v>
      </c>
      <c r="O469" s="507" t="s">
        <v>4869</v>
      </c>
      <c r="P469" s="534"/>
      <c r="Q469" s="534"/>
      <c r="R469" s="534"/>
      <c r="S469" s="535"/>
      <c r="T469" s="535"/>
      <c r="U469" s="535"/>
      <c r="V469" s="535"/>
      <c r="W469" s="535"/>
      <c r="X469" s="535"/>
      <c r="Y469" s="535"/>
      <c r="Z469" s="535"/>
    </row>
    <row r="470" spans="1:26" ht="46.5" customHeight="1">
      <c r="A470" s="533"/>
      <c r="B470" s="993" t="s">
        <v>134</v>
      </c>
      <c r="C470" s="506">
        <v>1</v>
      </c>
      <c r="D470" s="506">
        <v>1</v>
      </c>
      <c r="E470" s="506">
        <v>0</v>
      </c>
      <c r="F470" s="506">
        <v>1</v>
      </c>
      <c r="G470" s="506">
        <v>1</v>
      </c>
      <c r="H470" s="506">
        <v>1</v>
      </c>
      <c r="I470" s="454" t="s">
        <v>123</v>
      </c>
      <c r="J470" s="507" t="s">
        <v>3562</v>
      </c>
      <c r="K470" s="507" t="s">
        <v>811</v>
      </c>
      <c r="L470" s="507" t="s">
        <v>748</v>
      </c>
      <c r="M470" s="507" t="s">
        <v>1763</v>
      </c>
      <c r="N470" s="507" t="s">
        <v>4870</v>
      </c>
      <c r="O470" s="507" t="s">
        <v>4871</v>
      </c>
      <c r="P470" s="534"/>
      <c r="Q470" s="534"/>
      <c r="R470" s="534"/>
      <c r="S470" s="535"/>
      <c r="T470" s="535"/>
      <c r="U470" s="535"/>
      <c r="V470" s="535"/>
      <c r="W470" s="535"/>
      <c r="X470" s="535"/>
      <c r="Y470" s="535"/>
      <c r="Z470" s="535"/>
    </row>
    <row r="471" spans="1:26" ht="81" customHeight="1">
      <c r="A471" s="533"/>
      <c r="B471" s="993" t="s">
        <v>135</v>
      </c>
      <c r="C471" s="506">
        <v>1</v>
      </c>
      <c r="D471" s="506">
        <v>1</v>
      </c>
      <c r="E471" s="506">
        <v>1</v>
      </c>
      <c r="F471" s="506">
        <v>1</v>
      </c>
      <c r="G471" s="506">
        <v>1</v>
      </c>
      <c r="H471" s="506">
        <v>1</v>
      </c>
      <c r="I471" s="454" t="s">
        <v>123</v>
      </c>
      <c r="J471" s="507" t="s">
        <v>1765</v>
      </c>
      <c r="K471" s="507" t="s">
        <v>811</v>
      </c>
      <c r="L471" s="507" t="s">
        <v>811</v>
      </c>
      <c r="M471" s="507" t="s">
        <v>3564</v>
      </c>
      <c r="N471" s="507" t="s">
        <v>811</v>
      </c>
      <c r="O471" s="507" t="s">
        <v>4872</v>
      </c>
      <c r="P471" s="534"/>
      <c r="Q471" s="534"/>
      <c r="R471" s="534"/>
      <c r="S471" s="535"/>
      <c r="T471" s="535"/>
      <c r="U471" s="535"/>
      <c r="V471" s="535"/>
      <c r="W471" s="535"/>
      <c r="X471" s="535"/>
      <c r="Y471" s="535"/>
      <c r="Z471" s="535"/>
    </row>
    <row r="472" spans="1:26" ht="84" customHeight="1">
      <c r="A472" s="533"/>
      <c r="B472" s="993" t="s">
        <v>136</v>
      </c>
      <c r="C472" s="506">
        <v>1</v>
      </c>
      <c r="D472" s="506">
        <v>1</v>
      </c>
      <c r="E472" s="506">
        <v>1</v>
      </c>
      <c r="F472" s="506">
        <v>1</v>
      </c>
      <c r="G472" s="506">
        <v>1</v>
      </c>
      <c r="H472" s="506">
        <v>1</v>
      </c>
      <c r="I472" s="454" t="s">
        <v>123</v>
      </c>
      <c r="J472" s="507" t="s">
        <v>1767</v>
      </c>
      <c r="K472" s="507" t="s">
        <v>811</v>
      </c>
      <c r="L472" s="507" t="s">
        <v>811</v>
      </c>
      <c r="M472" s="507" t="s">
        <v>811</v>
      </c>
      <c r="N472" s="507" t="s">
        <v>811</v>
      </c>
      <c r="O472" s="507" t="s">
        <v>4873</v>
      </c>
      <c r="P472" s="534"/>
      <c r="Q472" s="534"/>
      <c r="R472" s="534"/>
      <c r="S472" s="535"/>
      <c r="T472" s="535"/>
      <c r="U472" s="535"/>
      <c r="V472" s="535"/>
      <c r="W472" s="535"/>
      <c r="X472" s="535"/>
      <c r="Y472" s="535"/>
      <c r="Z472" s="535"/>
    </row>
    <row r="473" spans="1:26" ht="13.5" customHeight="1">
      <c r="A473" s="2"/>
      <c r="B473" s="952"/>
      <c r="C473" s="271"/>
      <c r="D473" s="911"/>
      <c r="E473" s="271"/>
      <c r="F473" s="271"/>
      <c r="G473" s="271"/>
      <c r="H473" s="271"/>
      <c r="I473" s="485"/>
      <c r="J473" s="291"/>
      <c r="K473" s="953"/>
      <c r="L473" s="953"/>
      <c r="M473" s="291"/>
      <c r="N473" s="953"/>
      <c r="O473" s="953"/>
      <c r="P473" s="15"/>
      <c r="Q473" s="15"/>
      <c r="R473" s="15"/>
      <c r="S473" s="15"/>
      <c r="T473" s="15"/>
      <c r="U473" s="15"/>
      <c r="V473" s="15"/>
      <c r="W473" s="15"/>
      <c r="X473" s="15"/>
      <c r="Y473" s="15"/>
      <c r="Z473" s="15"/>
    </row>
    <row r="474" spans="1:26" ht="54" customHeight="1">
      <c r="A474" s="413" t="s">
        <v>1768</v>
      </c>
      <c r="B474" s="414" t="s">
        <v>138</v>
      </c>
      <c r="C474" s="350">
        <f t="shared" ref="C474:H474" si="64">AVERAGE(C475,C490,C511,C534)</f>
        <v>0.56874999999999998</v>
      </c>
      <c r="D474" s="350">
        <f t="shared" si="64"/>
        <v>0.66388888888888886</v>
      </c>
      <c r="E474" s="350">
        <f t="shared" si="64"/>
        <v>0.2</v>
      </c>
      <c r="F474" s="350">
        <f t="shared" si="64"/>
        <v>0.45763888888888887</v>
      </c>
      <c r="G474" s="350">
        <f t="shared" si="64"/>
        <v>0.45555555555555549</v>
      </c>
      <c r="H474" s="350">
        <f t="shared" si="64"/>
        <v>0.16944444444444445</v>
      </c>
      <c r="I474" s="415"/>
      <c r="J474" s="372"/>
      <c r="K474" s="163"/>
      <c r="L474" s="163"/>
      <c r="M474" s="416"/>
      <c r="N474" s="163"/>
      <c r="O474" s="163"/>
      <c r="P474" s="165"/>
      <c r="Q474" s="165"/>
      <c r="R474" s="165"/>
      <c r="S474" s="161"/>
      <c r="T474" s="161"/>
      <c r="U474" s="161"/>
      <c r="V474" s="161"/>
      <c r="W474" s="161"/>
      <c r="X474" s="161"/>
      <c r="Y474" s="161"/>
      <c r="Z474" s="161"/>
    </row>
    <row r="475" spans="1:26" ht="22.5" customHeight="1">
      <c r="A475" s="533" t="s">
        <v>1769</v>
      </c>
      <c r="B475" s="782" t="s">
        <v>140</v>
      </c>
      <c r="C475" s="506">
        <f t="shared" ref="C475:H475" si="65">AVERAGE(C476,C478,C480,C485)</f>
        <v>0.54166666666666663</v>
      </c>
      <c r="D475" s="506">
        <f t="shared" si="65"/>
        <v>0.33333333333333331</v>
      </c>
      <c r="E475" s="506">
        <f t="shared" si="65"/>
        <v>0.25</v>
      </c>
      <c r="F475" s="506">
        <f t="shared" si="65"/>
        <v>0.375</v>
      </c>
      <c r="G475" s="506">
        <f t="shared" si="65"/>
        <v>0.41666666666666663</v>
      </c>
      <c r="H475" s="506">
        <f t="shared" si="65"/>
        <v>0.16666666666666666</v>
      </c>
      <c r="I475" s="454"/>
      <c r="J475" s="507"/>
      <c r="K475" s="571"/>
      <c r="L475" s="571"/>
      <c r="M475" s="783"/>
      <c r="N475" s="499"/>
      <c r="O475" s="571"/>
      <c r="P475" s="558"/>
      <c r="Q475" s="558"/>
      <c r="R475" s="558"/>
      <c r="S475" s="559"/>
      <c r="T475" s="559"/>
      <c r="U475" s="559"/>
      <c r="V475" s="559"/>
      <c r="W475" s="559"/>
      <c r="X475" s="559"/>
      <c r="Y475" s="559"/>
      <c r="Z475" s="559"/>
    </row>
    <row r="476" spans="1:26" ht="197.25" customHeight="1">
      <c r="A476" s="784" t="s">
        <v>736</v>
      </c>
      <c r="B476" s="560" t="s">
        <v>3565</v>
      </c>
      <c r="C476" s="553">
        <v>1</v>
      </c>
      <c r="D476" s="553">
        <v>0</v>
      </c>
      <c r="E476" s="553">
        <v>0</v>
      </c>
      <c r="F476" s="553">
        <v>0.5</v>
      </c>
      <c r="G476" s="506">
        <v>1</v>
      </c>
      <c r="H476" s="506">
        <v>0</v>
      </c>
      <c r="I476" s="454" t="s">
        <v>3566</v>
      </c>
      <c r="J476" s="507" t="s">
        <v>3567</v>
      </c>
      <c r="K476" s="507" t="s">
        <v>4874</v>
      </c>
      <c r="L476" s="507" t="s">
        <v>4875</v>
      </c>
      <c r="M476" s="507" t="s">
        <v>4876</v>
      </c>
      <c r="N476" s="507" t="s">
        <v>4877</v>
      </c>
      <c r="O476" s="507" t="s">
        <v>3572</v>
      </c>
      <c r="P476" s="146"/>
      <c r="Q476" s="146"/>
      <c r="R476" s="146"/>
      <c r="S476" s="149"/>
      <c r="T476" s="149"/>
      <c r="U476" s="149"/>
      <c r="V476" s="149"/>
      <c r="W476" s="149"/>
      <c r="X476" s="149"/>
      <c r="Y476" s="149"/>
      <c r="Z476" s="149"/>
    </row>
    <row r="477" spans="1:26" ht="13.5" customHeight="1">
      <c r="A477" s="2"/>
      <c r="B477" s="952"/>
      <c r="C477" s="271"/>
      <c r="D477" s="271"/>
      <c r="E477" s="271"/>
      <c r="F477" s="271"/>
      <c r="G477" s="271"/>
      <c r="H477" s="271"/>
      <c r="I477" s="485"/>
      <c r="J477" s="291"/>
      <c r="K477" s="953"/>
      <c r="L477" s="953"/>
      <c r="M477" s="291"/>
      <c r="N477" s="953"/>
      <c r="O477" s="953"/>
      <c r="P477" s="15"/>
      <c r="Q477" s="15"/>
      <c r="R477" s="15"/>
      <c r="S477" s="15"/>
      <c r="T477" s="15"/>
      <c r="U477" s="15"/>
      <c r="V477" s="15"/>
      <c r="W477" s="15"/>
      <c r="X477" s="15"/>
      <c r="Y477" s="15"/>
      <c r="Z477" s="15"/>
    </row>
    <row r="478" spans="1:26" ht="103.5" customHeight="1">
      <c r="A478" s="784" t="s">
        <v>736</v>
      </c>
      <c r="B478" s="560" t="s">
        <v>143</v>
      </c>
      <c r="C478" s="553">
        <v>0</v>
      </c>
      <c r="D478" s="553">
        <v>0</v>
      </c>
      <c r="E478" s="553">
        <v>0</v>
      </c>
      <c r="F478" s="553">
        <v>0</v>
      </c>
      <c r="G478" s="553">
        <v>0</v>
      </c>
      <c r="H478" s="553">
        <v>0</v>
      </c>
      <c r="I478" s="600" t="s">
        <v>144</v>
      </c>
      <c r="J478" s="507" t="s">
        <v>3573</v>
      </c>
      <c r="K478" s="507" t="s">
        <v>4878</v>
      </c>
      <c r="L478" s="507" t="s">
        <v>4879</v>
      </c>
      <c r="M478" s="507" t="s">
        <v>4880</v>
      </c>
      <c r="N478" s="507" t="s">
        <v>4881</v>
      </c>
      <c r="O478" s="551" t="s">
        <v>811</v>
      </c>
      <c r="P478" s="146"/>
      <c r="Q478" s="146"/>
      <c r="R478" s="146"/>
      <c r="S478" s="149"/>
      <c r="T478" s="149"/>
      <c r="U478" s="149"/>
      <c r="V478" s="149"/>
      <c r="W478" s="149"/>
      <c r="X478" s="149"/>
      <c r="Y478" s="149"/>
      <c r="Z478" s="149"/>
    </row>
    <row r="479" spans="1:26" ht="13.5" customHeight="1">
      <c r="A479" s="2"/>
      <c r="B479" s="952"/>
      <c r="C479" s="271"/>
      <c r="D479" s="271"/>
      <c r="E479" s="271"/>
      <c r="F479" s="271"/>
      <c r="G479" s="271"/>
      <c r="H479" s="271"/>
      <c r="I479" s="485"/>
      <c r="J479" s="291"/>
      <c r="K479" s="953"/>
      <c r="L479" s="953"/>
      <c r="M479" s="291"/>
      <c r="N479" s="953"/>
      <c r="O479" s="953"/>
      <c r="P479" s="15"/>
      <c r="Q479" s="15"/>
      <c r="R479" s="15"/>
      <c r="S479" s="15"/>
      <c r="T479" s="15"/>
      <c r="U479" s="15"/>
      <c r="V479" s="15"/>
      <c r="W479" s="15"/>
      <c r="X479" s="15"/>
      <c r="Y479" s="15"/>
      <c r="Z479" s="15"/>
    </row>
    <row r="480" spans="1:26" ht="191.25" customHeight="1">
      <c r="A480" s="784" t="s">
        <v>736</v>
      </c>
      <c r="B480" s="560" t="s">
        <v>145</v>
      </c>
      <c r="C480" s="553">
        <f t="shared" ref="C480:H480" si="66">AVERAGE(C481:C483)</f>
        <v>0.66666666666666663</v>
      </c>
      <c r="D480" s="553">
        <f t="shared" si="66"/>
        <v>0.66666666666666663</v>
      </c>
      <c r="E480" s="553">
        <f t="shared" si="66"/>
        <v>1</v>
      </c>
      <c r="F480" s="553">
        <f t="shared" si="66"/>
        <v>0.5</v>
      </c>
      <c r="G480" s="553">
        <f t="shared" si="66"/>
        <v>0.33333333333333331</v>
      </c>
      <c r="H480" s="553">
        <f t="shared" si="66"/>
        <v>0.66666666666666663</v>
      </c>
      <c r="I480" s="454"/>
      <c r="J480" s="507"/>
      <c r="K480" s="507"/>
      <c r="L480" s="551"/>
      <c r="M480" s="507"/>
      <c r="N480" s="507" t="s">
        <v>4882</v>
      </c>
      <c r="O480" s="507" t="s">
        <v>3581</v>
      </c>
      <c r="P480" s="534"/>
      <c r="Q480" s="534"/>
      <c r="R480" s="534"/>
      <c r="S480" s="535"/>
      <c r="T480" s="535"/>
      <c r="U480" s="535"/>
      <c r="V480" s="535"/>
      <c r="W480" s="535"/>
      <c r="X480" s="535"/>
      <c r="Y480" s="535"/>
      <c r="Z480" s="535"/>
    </row>
    <row r="481" spans="1:26" ht="28.5" customHeight="1">
      <c r="A481" s="784"/>
      <c r="B481" s="574" t="s">
        <v>146</v>
      </c>
      <c r="C481" s="553">
        <v>0.5</v>
      </c>
      <c r="D481" s="553">
        <v>1</v>
      </c>
      <c r="E481" s="553">
        <v>1</v>
      </c>
      <c r="F481" s="553">
        <v>0.5</v>
      </c>
      <c r="G481" s="506">
        <v>0.5</v>
      </c>
      <c r="H481" s="515">
        <v>0.5</v>
      </c>
      <c r="I481" s="454" t="s">
        <v>3582</v>
      </c>
      <c r="J481" s="507" t="s">
        <v>3583</v>
      </c>
      <c r="K481" s="507" t="s">
        <v>811</v>
      </c>
      <c r="L481" s="507" t="s">
        <v>811</v>
      </c>
      <c r="M481" s="507" t="s">
        <v>3585</v>
      </c>
      <c r="N481" s="507" t="s">
        <v>4883</v>
      </c>
      <c r="O481" s="507" t="s">
        <v>1788</v>
      </c>
      <c r="P481" s="534"/>
      <c r="Q481" s="534"/>
      <c r="R481" s="534"/>
      <c r="S481" s="535"/>
      <c r="T481" s="535"/>
      <c r="U481" s="535"/>
      <c r="V481" s="535"/>
      <c r="W481" s="535"/>
      <c r="X481" s="535"/>
      <c r="Y481" s="535"/>
      <c r="Z481" s="535"/>
    </row>
    <row r="482" spans="1:26" ht="29.25" customHeight="1">
      <c r="A482" s="784"/>
      <c r="B482" s="574" t="s">
        <v>148</v>
      </c>
      <c r="C482" s="553">
        <v>0.5</v>
      </c>
      <c r="D482" s="553">
        <v>1</v>
      </c>
      <c r="E482" s="553">
        <v>1</v>
      </c>
      <c r="F482" s="553">
        <v>1</v>
      </c>
      <c r="G482" s="506">
        <v>0.5</v>
      </c>
      <c r="H482" s="515">
        <v>0.5</v>
      </c>
      <c r="I482" s="454" t="s">
        <v>3582</v>
      </c>
      <c r="J482" s="507" t="s">
        <v>4884</v>
      </c>
      <c r="K482" s="507" t="s">
        <v>811</v>
      </c>
      <c r="L482" s="507" t="s">
        <v>811</v>
      </c>
      <c r="M482" s="507" t="s">
        <v>4885</v>
      </c>
      <c r="N482" s="608" t="s">
        <v>4886</v>
      </c>
      <c r="O482" s="507" t="s">
        <v>3591</v>
      </c>
      <c r="P482" s="534"/>
      <c r="Q482" s="534"/>
      <c r="R482" s="534"/>
      <c r="S482" s="535"/>
      <c r="T482" s="535"/>
      <c r="U482" s="535"/>
      <c r="V482" s="535"/>
      <c r="W482" s="535"/>
      <c r="X482" s="535"/>
      <c r="Y482" s="535"/>
      <c r="Z482" s="535"/>
    </row>
    <row r="483" spans="1:26" ht="45" customHeight="1">
      <c r="A483" s="784"/>
      <c r="B483" s="574" t="s">
        <v>149</v>
      </c>
      <c r="C483" s="553">
        <v>1</v>
      </c>
      <c r="D483" s="785">
        <v>0</v>
      </c>
      <c r="E483" s="553">
        <v>1</v>
      </c>
      <c r="F483" s="553">
        <v>0</v>
      </c>
      <c r="G483" s="515">
        <v>0</v>
      </c>
      <c r="H483" s="506">
        <v>1</v>
      </c>
      <c r="I483" s="454" t="s">
        <v>38</v>
      </c>
      <c r="J483" s="507" t="s">
        <v>1794</v>
      </c>
      <c r="K483" s="507" t="s">
        <v>3611</v>
      </c>
      <c r="L483" s="507" t="s">
        <v>811</v>
      </c>
      <c r="M483" s="608" t="s">
        <v>3593</v>
      </c>
      <c r="N483" s="507" t="s">
        <v>3594</v>
      </c>
      <c r="O483" s="507" t="s">
        <v>1797</v>
      </c>
      <c r="P483" s="534"/>
      <c r="Q483" s="534"/>
      <c r="R483" s="534"/>
      <c r="S483" s="535"/>
      <c r="T483" s="535"/>
      <c r="U483" s="535"/>
      <c r="V483" s="535"/>
      <c r="W483" s="535"/>
      <c r="X483" s="535"/>
      <c r="Y483" s="535"/>
      <c r="Z483" s="535"/>
    </row>
    <row r="484" spans="1:26" ht="13.5" customHeight="1">
      <c r="A484" s="419"/>
      <c r="B484" s="586"/>
      <c r="C484" s="996"/>
      <c r="D484" s="786"/>
      <c r="E484" s="996"/>
      <c r="F484" s="996"/>
      <c r="G484" s="786"/>
      <c r="H484" s="271"/>
      <c r="I484" s="454"/>
      <c r="J484" s="75"/>
      <c r="K484" s="354"/>
      <c r="L484" s="637"/>
      <c r="M484" s="354"/>
      <c r="N484" s="75"/>
      <c r="O484" s="75"/>
      <c r="P484" s="146"/>
      <c r="Q484" s="146"/>
      <c r="R484" s="146"/>
      <c r="S484" s="149"/>
      <c r="T484" s="149"/>
      <c r="U484" s="149"/>
      <c r="V484" s="149"/>
      <c r="W484" s="149"/>
      <c r="X484" s="149"/>
      <c r="Y484" s="149"/>
      <c r="Z484" s="149"/>
    </row>
    <row r="485" spans="1:26" ht="76.5" customHeight="1">
      <c r="A485" s="784" t="s">
        <v>736</v>
      </c>
      <c r="B485" s="560" t="s">
        <v>4887</v>
      </c>
      <c r="C485" s="553">
        <f t="shared" ref="C485:H485" si="67">AVERAGE(C486:C488)</f>
        <v>0.5</v>
      </c>
      <c r="D485" s="553">
        <f t="shared" si="67"/>
        <v>0.66666666666666663</v>
      </c>
      <c r="E485" s="553">
        <f t="shared" si="67"/>
        <v>0</v>
      </c>
      <c r="F485" s="553">
        <f t="shared" si="67"/>
        <v>0.5</v>
      </c>
      <c r="G485" s="553">
        <f t="shared" si="67"/>
        <v>0.33333333333333331</v>
      </c>
      <c r="H485" s="553">
        <f t="shared" si="67"/>
        <v>0</v>
      </c>
      <c r="I485" s="454"/>
      <c r="J485" s="507"/>
      <c r="K485" s="507"/>
      <c r="L485" s="551"/>
      <c r="M485" s="507" t="s">
        <v>4888</v>
      </c>
      <c r="N485" s="507" t="s">
        <v>3596</v>
      </c>
      <c r="O485" s="507" t="s">
        <v>3597</v>
      </c>
      <c r="P485" s="534"/>
      <c r="Q485" s="534"/>
      <c r="R485" s="534"/>
      <c r="S485" s="535"/>
      <c r="T485" s="535"/>
      <c r="U485" s="535"/>
      <c r="V485" s="535"/>
      <c r="W485" s="535"/>
      <c r="X485" s="535"/>
      <c r="Y485" s="535"/>
      <c r="Z485" s="535"/>
    </row>
    <row r="486" spans="1:26" ht="76.5" customHeight="1">
      <c r="A486" s="784"/>
      <c r="B486" s="574" t="s">
        <v>146</v>
      </c>
      <c r="C486" s="553">
        <v>0.5</v>
      </c>
      <c r="D486" s="553">
        <v>1</v>
      </c>
      <c r="E486" s="553">
        <v>0</v>
      </c>
      <c r="F486" s="553">
        <v>0.5</v>
      </c>
      <c r="G486" s="506">
        <v>0.5</v>
      </c>
      <c r="H486" s="506">
        <v>0</v>
      </c>
      <c r="I486" s="454" t="s">
        <v>3582</v>
      </c>
      <c r="J486" s="507" t="s">
        <v>3598</v>
      </c>
      <c r="K486" s="507" t="s">
        <v>811</v>
      </c>
      <c r="L486" s="507" t="s">
        <v>748</v>
      </c>
      <c r="M486" s="507" t="s">
        <v>4889</v>
      </c>
      <c r="N486" s="608" t="s">
        <v>3602</v>
      </c>
      <c r="O486" s="507" t="s">
        <v>3603</v>
      </c>
      <c r="P486" s="534"/>
      <c r="Q486" s="534"/>
      <c r="R486" s="534"/>
      <c r="S486" s="535"/>
      <c r="T486" s="535"/>
      <c r="U486" s="535"/>
      <c r="V486" s="535"/>
      <c r="W486" s="535"/>
      <c r="X486" s="535"/>
      <c r="Y486" s="535"/>
      <c r="Z486" s="535"/>
    </row>
    <row r="487" spans="1:26" ht="76.5" customHeight="1">
      <c r="A487" s="784"/>
      <c r="B487" s="574" t="s">
        <v>148</v>
      </c>
      <c r="C487" s="553">
        <v>0.5</v>
      </c>
      <c r="D487" s="553">
        <v>1</v>
      </c>
      <c r="E487" s="553">
        <v>0</v>
      </c>
      <c r="F487" s="553">
        <v>0.5</v>
      </c>
      <c r="G487" s="506">
        <v>0.5</v>
      </c>
      <c r="H487" s="506">
        <v>0</v>
      </c>
      <c r="I487" s="454" t="s">
        <v>3582</v>
      </c>
      <c r="J487" s="507" t="s">
        <v>3604</v>
      </c>
      <c r="K487" s="507" t="s">
        <v>811</v>
      </c>
      <c r="L487" s="507" t="s">
        <v>748</v>
      </c>
      <c r="M487" s="507" t="s">
        <v>4889</v>
      </c>
      <c r="N487" s="608" t="s">
        <v>4890</v>
      </c>
      <c r="O487" s="507" t="s">
        <v>3608</v>
      </c>
      <c r="P487" s="534"/>
      <c r="Q487" s="534"/>
      <c r="R487" s="534"/>
      <c r="S487" s="535"/>
      <c r="T487" s="535"/>
      <c r="U487" s="535"/>
      <c r="V487" s="535"/>
      <c r="W487" s="535"/>
      <c r="X487" s="535"/>
      <c r="Y487" s="535"/>
      <c r="Z487" s="535"/>
    </row>
    <row r="488" spans="1:26" ht="76.5" customHeight="1">
      <c r="A488" s="784"/>
      <c r="B488" s="574" t="s">
        <v>149</v>
      </c>
      <c r="C488" s="553">
        <v>0.5</v>
      </c>
      <c r="D488" s="515">
        <v>0</v>
      </c>
      <c r="E488" s="553">
        <v>0</v>
      </c>
      <c r="F488" s="506">
        <v>0.5</v>
      </c>
      <c r="G488" s="515">
        <v>0</v>
      </c>
      <c r="H488" s="506">
        <v>0</v>
      </c>
      <c r="I488" s="454" t="s">
        <v>3582</v>
      </c>
      <c r="J488" s="507" t="s">
        <v>3609</v>
      </c>
      <c r="K488" s="507" t="s">
        <v>3611</v>
      </c>
      <c r="L488" s="507" t="s">
        <v>748</v>
      </c>
      <c r="M488" s="507" t="s">
        <v>4891</v>
      </c>
      <c r="N488" s="507" t="s">
        <v>3611</v>
      </c>
      <c r="O488" s="507" t="s">
        <v>3612</v>
      </c>
      <c r="P488" s="534"/>
      <c r="Q488" s="534"/>
      <c r="R488" s="534"/>
      <c r="S488" s="535"/>
      <c r="T488" s="535"/>
      <c r="U488" s="535"/>
      <c r="V488" s="535"/>
      <c r="W488" s="535"/>
      <c r="X488" s="535"/>
      <c r="Y488" s="535"/>
      <c r="Z488" s="535"/>
    </row>
    <row r="489" spans="1:26" ht="13.5" customHeight="1">
      <c r="A489" s="419"/>
      <c r="B489" s="787"/>
      <c r="C489" s="271"/>
      <c r="D489" s="271"/>
      <c r="E489" s="271"/>
      <c r="F489" s="271"/>
      <c r="G489" s="271"/>
      <c r="H489" s="271"/>
      <c r="I489" s="454"/>
      <c r="J489" s="75"/>
      <c r="K489" s="354"/>
      <c r="L489" s="354"/>
      <c r="M489" s="354"/>
      <c r="N489" s="87"/>
      <c r="O489" s="198"/>
      <c r="P489" s="146"/>
      <c r="Q489" s="146"/>
      <c r="R489" s="146"/>
      <c r="S489" s="149"/>
      <c r="T489" s="149"/>
      <c r="U489" s="149"/>
      <c r="V489" s="149"/>
      <c r="W489" s="149"/>
      <c r="X489" s="149"/>
      <c r="Y489" s="149"/>
      <c r="Z489" s="149"/>
    </row>
    <row r="490" spans="1:26" ht="22.5" customHeight="1">
      <c r="A490" s="556" t="s">
        <v>1812</v>
      </c>
      <c r="B490" s="782" t="s">
        <v>152</v>
      </c>
      <c r="C490" s="498">
        <f t="shared" ref="C490:H490" si="68">AVERAGE(C491,C493,C495,C497,C499,C501,C503,C505,C507,C509)</f>
        <v>0.7</v>
      </c>
      <c r="D490" s="498">
        <f t="shared" si="68"/>
        <v>0.8</v>
      </c>
      <c r="E490" s="498">
        <f t="shared" si="68"/>
        <v>0.25</v>
      </c>
      <c r="F490" s="498">
        <f t="shared" si="68"/>
        <v>0.65</v>
      </c>
      <c r="G490" s="498">
        <f t="shared" si="68"/>
        <v>0.65</v>
      </c>
      <c r="H490" s="498">
        <f t="shared" si="68"/>
        <v>0.2</v>
      </c>
      <c r="I490" s="161"/>
      <c r="J490" s="499"/>
      <c r="K490" s="498"/>
      <c r="L490" s="498"/>
      <c r="M490" s="498"/>
      <c r="N490" s="498"/>
      <c r="O490" s="571"/>
      <c r="P490" s="558"/>
      <c r="Q490" s="558"/>
      <c r="R490" s="558"/>
      <c r="S490" s="559"/>
      <c r="T490" s="559"/>
      <c r="U490" s="559"/>
      <c r="V490" s="559"/>
      <c r="W490" s="559"/>
      <c r="X490" s="559"/>
      <c r="Y490" s="559"/>
      <c r="Z490" s="559"/>
    </row>
    <row r="491" spans="1:26" ht="79.5" customHeight="1">
      <c r="A491" s="533" t="s">
        <v>736</v>
      </c>
      <c r="B491" s="560" t="s">
        <v>153</v>
      </c>
      <c r="C491" s="515">
        <v>0.5</v>
      </c>
      <c r="D491" s="506">
        <v>1</v>
      </c>
      <c r="E491" s="506">
        <v>0.5</v>
      </c>
      <c r="F491" s="506">
        <v>0.5</v>
      </c>
      <c r="G491" s="506">
        <v>1</v>
      </c>
      <c r="H491" s="506">
        <v>0.5</v>
      </c>
      <c r="I491" s="454" t="s">
        <v>3613</v>
      </c>
      <c r="J491" s="507" t="s">
        <v>3614</v>
      </c>
      <c r="K491" s="507" t="s">
        <v>811</v>
      </c>
      <c r="L491" s="507" t="s">
        <v>3615</v>
      </c>
      <c r="M491" s="507" t="s">
        <v>3616</v>
      </c>
      <c r="N491" s="507" t="s">
        <v>4892</v>
      </c>
      <c r="O491" s="507" t="s">
        <v>3618</v>
      </c>
      <c r="P491" s="146"/>
      <c r="Q491" s="146"/>
      <c r="R491" s="146"/>
      <c r="S491" s="149"/>
      <c r="T491" s="149"/>
      <c r="U491" s="149"/>
      <c r="V491" s="149"/>
      <c r="W491" s="149"/>
      <c r="X491" s="149"/>
      <c r="Y491" s="149"/>
      <c r="Z491" s="149"/>
    </row>
    <row r="492" spans="1:26" ht="18.75" customHeight="1">
      <c r="A492" s="143"/>
      <c r="B492" s="562"/>
      <c r="C492" s="87"/>
      <c r="D492" s="87"/>
      <c r="E492" s="87"/>
      <c r="F492" s="87"/>
      <c r="G492" s="87"/>
      <c r="H492" s="87"/>
      <c r="I492" s="454"/>
      <c r="J492" s="75"/>
      <c r="K492" s="75"/>
      <c r="L492" s="75"/>
      <c r="M492" s="75"/>
      <c r="N492" s="75"/>
      <c r="O492" s="75"/>
      <c r="P492" s="146"/>
      <c r="Q492" s="146"/>
      <c r="R492" s="146"/>
      <c r="S492" s="149"/>
      <c r="T492" s="149"/>
      <c r="U492" s="149"/>
      <c r="V492" s="149"/>
      <c r="W492" s="149"/>
      <c r="X492" s="149"/>
      <c r="Y492" s="149"/>
      <c r="Z492" s="149"/>
    </row>
    <row r="493" spans="1:26" ht="55.5" customHeight="1">
      <c r="A493" s="533" t="s">
        <v>736</v>
      </c>
      <c r="B493" s="560" t="s">
        <v>3619</v>
      </c>
      <c r="C493" s="506">
        <v>1</v>
      </c>
      <c r="D493" s="506">
        <v>1</v>
      </c>
      <c r="E493" s="506">
        <v>1</v>
      </c>
      <c r="F493" s="506">
        <v>0.5</v>
      </c>
      <c r="G493" s="506">
        <v>1</v>
      </c>
      <c r="H493" s="506">
        <v>1</v>
      </c>
      <c r="I493" s="454" t="s">
        <v>3620</v>
      </c>
      <c r="J493" s="507" t="s">
        <v>4893</v>
      </c>
      <c r="K493" s="507" t="s">
        <v>4894</v>
      </c>
      <c r="L493" s="507" t="s">
        <v>4895</v>
      </c>
      <c r="M493" s="608" t="s">
        <v>3624</v>
      </c>
      <c r="N493" s="608" t="s">
        <v>3631</v>
      </c>
      <c r="O493" s="507" t="s">
        <v>3625</v>
      </c>
      <c r="P493" s="146"/>
      <c r="Q493" s="146"/>
      <c r="R493" s="146"/>
      <c r="S493" s="149"/>
      <c r="T493" s="149"/>
      <c r="U493" s="149"/>
      <c r="V493" s="149"/>
      <c r="W493" s="149"/>
      <c r="X493" s="149"/>
      <c r="Y493" s="149"/>
      <c r="Z493" s="149"/>
    </row>
    <row r="494" spans="1:26" ht="13.5" customHeight="1">
      <c r="A494" s="143"/>
      <c r="B494" s="562"/>
      <c r="C494" s="271"/>
      <c r="D494" s="271"/>
      <c r="E494" s="271"/>
      <c r="F494" s="271"/>
      <c r="G494" s="271"/>
      <c r="H494" s="271"/>
      <c r="I494" s="454"/>
      <c r="J494" s="75"/>
      <c r="K494" s="788"/>
      <c r="L494" s="75"/>
      <c r="M494" s="473"/>
      <c r="N494" s="609"/>
      <c r="O494" s="75"/>
      <c r="P494" s="146"/>
      <c r="Q494" s="146"/>
      <c r="R494" s="146"/>
      <c r="S494" s="149"/>
      <c r="T494" s="149"/>
      <c r="U494" s="149"/>
      <c r="V494" s="149"/>
      <c r="W494" s="149"/>
      <c r="X494" s="149"/>
      <c r="Y494" s="149"/>
      <c r="Z494" s="149"/>
    </row>
    <row r="495" spans="1:26" ht="63" customHeight="1">
      <c r="A495" s="533" t="s">
        <v>736</v>
      </c>
      <c r="B495" s="560" t="s">
        <v>3626</v>
      </c>
      <c r="C495" s="506">
        <v>0</v>
      </c>
      <c r="D495" s="506">
        <v>1</v>
      </c>
      <c r="E495" s="506">
        <v>0</v>
      </c>
      <c r="F495" s="506">
        <v>0</v>
      </c>
      <c r="G495" s="506">
        <v>0</v>
      </c>
      <c r="H495" s="506">
        <v>0</v>
      </c>
      <c r="I495" s="454" t="s">
        <v>38</v>
      </c>
      <c r="J495" s="507" t="s">
        <v>3627</v>
      </c>
      <c r="K495" s="507" t="s">
        <v>3628</v>
      </c>
      <c r="L495" s="789" t="s">
        <v>748</v>
      </c>
      <c r="M495" s="507" t="s">
        <v>4896</v>
      </c>
      <c r="N495" s="608" t="s">
        <v>4897</v>
      </c>
      <c r="O495" s="507" t="s">
        <v>3632</v>
      </c>
      <c r="P495" s="146"/>
      <c r="Q495" s="146"/>
      <c r="R495" s="146"/>
      <c r="S495" s="149"/>
      <c r="T495" s="149"/>
      <c r="U495" s="149"/>
      <c r="V495" s="149"/>
      <c r="W495" s="149"/>
      <c r="X495" s="149"/>
      <c r="Y495" s="149"/>
      <c r="Z495" s="149"/>
    </row>
    <row r="496" spans="1:26" ht="23.25" customHeight="1">
      <c r="A496" s="2"/>
      <c r="B496" s="952"/>
      <c r="C496" s="271"/>
      <c r="D496" s="271"/>
      <c r="E496" s="271"/>
      <c r="F496" s="271"/>
      <c r="G496" s="271"/>
      <c r="H496" s="271"/>
      <c r="I496" s="485"/>
      <c r="J496" s="291"/>
      <c r="K496" s="953"/>
      <c r="L496" s="953"/>
      <c r="M496" s="291"/>
      <c r="N496" s="953"/>
      <c r="O496" s="953"/>
      <c r="P496" s="15"/>
      <c r="Q496" s="15"/>
      <c r="R496" s="15"/>
      <c r="S496" s="15"/>
      <c r="T496" s="15"/>
      <c r="U496" s="15"/>
      <c r="V496" s="15"/>
      <c r="W496" s="15"/>
      <c r="X496" s="15"/>
      <c r="Y496" s="15"/>
      <c r="Z496" s="15"/>
    </row>
    <row r="497" spans="1:26" ht="66" customHeight="1">
      <c r="A497" s="533" t="s">
        <v>736</v>
      </c>
      <c r="B497" s="560" t="s">
        <v>158</v>
      </c>
      <c r="C497" s="506">
        <v>1</v>
      </c>
      <c r="D497" s="506">
        <v>1</v>
      </c>
      <c r="E497" s="506">
        <v>1</v>
      </c>
      <c r="F497" s="506">
        <v>1</v>
      </c>
      <c r="G497" s="506">
        <v>0.5</v>
      </c>
      <c r="H497" s="506">
        <v>0</v>
      </c>
      <c r="I497" s="454" t="s">
        <v>3582</v>
      </c>
      <c r="J497" s="507" t="s">
        <v>3633</v>
      </c>
      <c r="K497" s="507" t="s">
        <v>4898</v>
      </c>
      <c r="L497" s="507" t="s">
        <v>4899</v>
      </c>
      <c r="M497" s="608" t="s">
        <v>4900</v>
      </c>
      <c r="N497" s="608" t="s">
        <v>3637</v>
      </c>
      <c r="O497" s="507" t="s">
        <v>4901</v>
      </c>
      <c r="P497" s="146"/>
      <c r="Q497" s="146"/>
      <c r="R497" s="146"/>
      <c r="S497" s="149"/>
      <c r="T497" s="149"/>
      <c r="U497" s="149"/>
      <c r="V497" s="149"/>
      <c r="W497" s="149"/>
      <c r="X497" s="149"/>
      <c r="Y497" s="149"/>
      <c r="Z497" s="149"/>
    </row>
    <row r="498" spans="1:26" ht="13.5" customHeight="1">
      <c r="A498" s="2"/>
      <c r="B498" s="952"/>
      <c r="C498" s="271"/>
      <c r="D498" s="271"/>
      <c r="E498" s="271"/>
      <c r="F498" s="271"/>
      <c r="G498" s="271"/>
      <c r="H498" s="271"/>
      <c r="I498" s="485"/>
      <c r="J498" s="291"/>
      <c r="K498" s="953"/>
      <c r="L498" s="953"/>
      <c r="M498" s="291"/>
      <c r="N498" s="953"/>
      <c r="O498" s="953"/>
      <c r="P498" s="15"/>
      <c r="Q498" s="15"/>
      <c r="R498" s="15"/>
      <c r="S498" s="15"/>
      <c r="T498" s="15"/>
      <c r="U498" s="15"/>
      <c r="V498" s="15"/>
      <c r="W498" s="15"/>
      <c r="X498" s="15"/>
      <c r="Y498" s="15"/>
      <c r="Z498" s="15"/>
    </row>
    <row r="499" spans="1:26" ht="105" customHeight="1">
      <c r="A499" s="533" t="s">
        <v>736</v>
      </c>
      <c r="B499" s="560" t="s">
        <v>3639</v>
      </c>
      <c r="C499" s="506">
        <v>0</v>
      </c>
      <c r="D499" s="506">
        <v>0</v>
      </c>
      <c r="E499" s="506">
        <v>0</v>
      </c>
      <c r="F499" s="506">
        <v>0.5</v>
      </c>
      <c r="G499" s="506">
        <v>0</v>
      </c>
      <c r="H499" s="506">
        <v>0</v>
      </c>
      <c r="I499" s="454" t="s">
        <v>3582</v>
      </c>
      <c r="J499" s="507" t="s">
        <v>3640</v>
      </c>
      <c r="K499" s="507" t="s">
        <v>748</v>
      </c>
      <c r="L499" s="507" t="s">
        <v>3641</v>
      </c>
      <c r="M499" s="507" t="s">
        <v>4902</v>
      </c>
      <c r="N499" s="790" t="s">
        <v>4903</v>
      </c>
      <c r="O499" s="507" t="s">
        <v>3644</v>
      </c>
      <c r="P499" s="146"/>
      <c r="Q499" s="146"/>
      <c r="R499" s="146"/>
      <c r="S499" s="149"/>
      <c r="T499" s="149"/>
      <c r="U499" s="149"/>
      <c r="V499" s="149"/>
      <c r="W499" s="149"/>
      <c r="X499" s="149"/>
      <c r="Y499" s="149"/>
      <c r="Z499" s="149"/>
    </row>
    <row r="500" spans="1:26" ht="13.5" customHeight="1">
      <c r="A500" s="2"/>
      <c r="B500" s="952"/>
      <c r="C500" s="271"/>
      <c r="D500" s="271"/>
      <c r="E500" s="271"/>
      <c r="F500" s="271"/>
      <c r="G500" s="271"/>
      <c r="H500" s="271"/>
      <c r="I500" s="485"/>
      <c r="J500" s="291"/>
      <c r="K500" s="953"/>
      <c r="L500" s="953"/>
      <c r="M500" s="291"/>
      <c r="N500" s="953"/>
      <c r="O500" s="953"/>
      <c r="P500" s="15"/>
      <c r="Q500" s="15"/>
      <c r="R500" s="15"/>
      <c r="S500" s="15"/>
      <c r="T500" s="15"/>
      <c r="U500" s="15"/>
      <c r="V500" s="15"/>
      <c r="W500" s="15"/>
      <c r="X500" s="15"/>
      <c r="Y500" s="15"/>
      <c r="Z500" s="15"/>
    </row>
    <row r="501" spans="1:26" ht="64.5" customHeight="1">
      <c r="A501" s="533" t="s">
        <v>736</v>
      </c>
      <c r="B501" s="560" t="s">
        <v>1841</v>
      </c>
      <c r="C501" s="506">
        <v>1</v>
      </c>
      <c r="D501" s="506">
        <v>1</v>
      </c>
      <c r="E501" s="506">
        <v>0</v>
      </c>
      <c r="F501" s="506">
        <v>1</v>
      </c>
      <c r="G501" s="506">
        <v>1</v>
      </c>
      <c r="H501" s="506">
        <v>0</v>
      </c>
      <c r="I501" s="454" t="s">
        <v>38</v>
      </c>
      <c r="J501" s="507" t="s">
        <v>4904</v>
      </c>
      <c r="K501" s="507" t="s">
        <v>811</v>
      </c>
      <c r="L501" s="507" t="s">
        <v>3647</v>
      </c>
      <c r="M501" s="608" t="s">
        <v>3648</v>
      </c>
      <c r="N501" s="507" t="s">
        <v>3649</v>
      </c>
      <c r="O501" s="507" t="s">
        <v>4905</v>
      </c>
      <c r="P501" s="146"/>
      <c r="Q501" s="146"/>
      <c r="R501" s="146"/>
      <c r="S501" s="149"/>
      <c r="T501" s="149"/>
      <c r="U501" s="149"/>
      <c r="V501" s="149"/>
      <c r="W501" s="149"/>
      <c r="X501" s="149"/>
      <c r="Y501" s="149"/>
      <c r="Z501" s="149"/>
    </row>
    <row r="502" spans="1:26" ht="27" customHeight="1">
      <c r="A502" s="143"/>
      <c r="B502" s="197"/>
      <c r="C502" s="87"/>
      <c r="D502" s="87"/>
      <c r="E502" s="87"/>
      <c r="F502" s="87"/>
      <c r="G502" s="87"/>
      <c r="H502" s="87"/>
      <c r="I502" s="454"/>
      <c r="J502" s="75"/>
      <c r="K502" s="75"/>
      <c r="L502" s="75"/>
      <c r="M502" s="473"/>
      <c r="N502" s="75"/>
      <c r="O502" s="75"/>
      <c r="P502" s="146"/>
      <c r="Q502" s="146"/>
      <c r="R502" s="146"/>
      <c r="S502" s="149"/>
      <c r="T502" s="149"/>
      <c r="U502" s="149"/>
      <c r="V502" s="149"/>
      <c r="W502" s="149"/>
      <c r="X502" s="149"/>
      <c r="Y502" s="149"/>
      <c r="Z502" s="149"/>
    </row>
    <row r="503" spans="1:26" ht="57.75" customHeight="1">
      <c r="A503" s="533" t="s">
        <v>736</v>
      </c>
      <c r="B503" s="560" t="s">
        <v>1848</v>
      </c>
      <c r="C503" s="506">
        <v>0.5</v>
      </c>
      <c r="D503" s="506">
        <v>0</v>
      </c>
      <c r="E503" s="506">
        <v>0</v>
      </c>
      <c r="F503" s="515">
        <v>0.5</v>
      </c>
      <c r="G503" s="506">
        <v>0.5</v>
      </c>
      <c r="H503" s="506">
        <v>0</v>
      </c>
      <c r="I503" s="454" t="s">
        <v>3582</v>
      </c>
      <c r="J503" s="507" t="s">
        <v>3651</v>
      </c>
      <c r="K503" s="507" t="s">
        <v>748</v>
      </c>
      <c r="L503" s="507" t="s">
        <v>748</v>
      </c>
      <c r="M503" s="507" t="s">
        <v>4906</v>
      </c>
      <c r="N503" s="507" t="s">
        <v>3653</v>
      </c>
      <c r="O503" s="507" t="s">
        <v>3654</v>
      </c>
      <c r="P503" s="146"/>
      <c r="Q503" s="146"/>
      <c r="R503" s="146"/>
      <c r="S503" s="149"/>
      <c r="T503" s="149"/>
      <c r="U503" s="149"/>
      <c r="V503" s="149"/>
      <c r="W503" s="149"/>
      <c r="X503" s="149"/>
      <c r="Y503" s="149"/>
      <c r="Z503" s="149"/>
    </row>
    <row r="504" spans="1:26" ht="13.5" customHeight="1">
      <c r="A504" s="143"/>
      <c r="B504" s="562"/>
      <c r="C504" s="271"/>
      <c r="D504" s="271"/>
      <c r="E504" s="271"/>
      <c r="F504" s="271"/>
      <c r="G504" s="271"/>
      <c r="H504" s="271"/>
      <c r="I504" s="454"/>
      <c r="J504" s="75"/>
      <c r="K504" s="87"/>
      <c r="L504" s="87"/>
      <c r="M504" s="87"/>
      <c r="N504" s="87"/>
      <c r="O504" s="198"/>
      <c r="P504" s="146"/>
      <c r="Q504" s="146"/>
      <c r="R504" s="146"/>
      <c r="S504" s="149"/>
      <c r="T504" s="149"/>
      <c r="U504" s="149"/>
      <c r="V504" s="149"/>
      <c r="W504" s="149"/>
      <c r="X504" s="149"/>
      <c r="Y504" s="149"/>
      <c r="Z504" s="149"/>
    </row>
    <row r="505" spans="1:26" ht="114" customHeight="1">
      <c r="A505" s="533" t="s">
        <v>736</v>
      </c>
      <c r="B505" s="560" t="s">
        <v>3655</v>
      </c>
      <c r="C505" s="506">
        <v>1</v>
      </c>
      <c r="D505" s="506">
        <v>1</v>
      </c>
      <c r="E505" s="506">
        <v>0</v>
      </c>
      <c r="F505" s="506">
        <v>0.5</v>
      </c>
      <c r="G505" s="515">
        <v>0.5</v>
      </c>
      <c r="H505" s="506">
        <v>0</v>
      </c>
      <c r="I505" s="454" t="s">
        <v>3582</v>
      </c>
      <c r="J505" s="507" t="s">
        <v>3656</v>
      </c>
      <c r="K505" s="507" t="s">
        <v>4907</v>
      </c>
      <c r="L505" s="507" t="s">
        <v>4908</v>
      </c>
      <c r="M505" s="507" t="s">
        <v>4909</v>
      </c>
      <c r="N505" s="608" t="s">
        <v>3660</v>
      </c>
      <c r="O505" s="551" t="s">
        <v>748</v>
      </c>
      <c r="P505" s="146"/>
      <c r="Q505" s="146"/>
      <c r="R505" s="146"/>
      <c r="S505" s="149"/>
      <c r="T505" s="149"/>
      <c r="U505" s="149"/>
      <c r="V505" s="149"/>
      <c r="W505" s="149"/>
      <c r="X505" s="149"/>
      <c r="Y505" s="149"/>
      <c r="Z505" s="149"/>
    </row>
    <row r="506" spans="1:26" ht="13.5" customHeight="1">
      <c r="A506" s="2"/>
      <c r="B506" s="952"/>
      <c r="C506" s="271"/>
      <c r="D506" s="271"/>
      <c r="E506" s="271"/>
      <c r="F506" s="271"/>
      <c r="G506" s="271"/>
      <c r="H506" s="271"/>
      <c r="I506" s="485"/>
      <c r="J506" s="291"/>
      <c r="K506" s="953"/>
      <c r="L506" s="953"/>
      <c r="M506" s="291"/>
      <c r="N506" s="953"/>
      <c r="O506" s="953"/>
      <c r="P506" s="15"/>
      <c r="Q506" s="15"/>
      <c r="R506" s="15"/>
      <c r="S506" s="15"/>
      <c r="T506" s="15"/>
      <c r="U506" s="15"/>
      <c r="V506" s="15"/>
      <c r="W506" s="15"/>
      <c r="X506" s="15"/>
      <c r="Y506" s="15"/>
      <c r="Z506" s="15"/>
    </row>
    <row r="507" spans="1:26" ht="104.25" customHeight="1">
      <c r="A507" s="533" t="s">
        <v>736</v>
      </c>
      <c r="B507" s="560" t="s">
        <v>162</v>
      </c>
      <c r="C507" s="506">
        <v>1</v>
      </c>
      <c r="D507" s="506">
        <v>1</v>
      </c>
      <c r="E507" s="506">
        <v>0</v>
      </c>
      <c r="F507" s="506">
        <v>1</v>
      </c>
      <c r="G507" s="506">
        <v>1</v>
      </c>
      <c r="H507" s="506">
        <v>0.5</v>
      </c>
      <c r="I507" s="454" t="s">
        <v>3582</v>
      </c>
      <c r="J507" s="507" t="s">
        <v>3662</v>
      </c>
      <c r="K507" s="507" t="s">
        <v>811</v>
      </c>
      <c r="L507" s="507" t="s">
        <v>3663</v>
      </c>
      <c r="M507" s="507" t="s">
        <v>4910</v>
      </c>
      <c r="N507" s="608" t="s">
        <v>4911</v>
      </c>
      <c r="O507" s="507" t="s">
        <v>4912</v>
      </c>
      <c r="P507" s="146"/>
      <c r="Q507" s="146"/>
      <c r="R507" s="146"/>
      <c r="S507" s="149"/>
      <c r="T507" s="149"/>
      <c r="U507" s="149"/>
      <c r="V507" s="149"/>
      <c r="W507" s="149"/>
      <c r="X507" s="149"/>
      <c r="Y507" s="149"/>
      <c r="Z507" s="149"/>
    </row>
    <row r="508" spans="1:26" ht="13.5" customHeight="1">
      <c r="A508" s="2"/>
      <c r="B508" s="952"/>
      <c r="C508" s="271"/>
      <c r="D508" s="271"/>
      <c r="E508" s="271"/>
      <c r="F508" s="271"/>
      <c r="G508" s="271"/>
      <c r="H508" s="271"/>
      <c r="I508" s="485"/>
      <c r="J508" s="291"/>
      <c r="K508" s="953"/>
      <c r="L508" s="953"/>
      <c r="M508" s="291"/>
      <c r="N508" s="953"/>
      <c r="O508" s="953"/>
      <c r="P508" s="15"/>
      <c r="Q508" s="15"/>
      <c r="R508" s="15"/>
      <c r="S508" s="15"/>
      <c r="T508" s="15"/>
      <c r="U508" s="15"/>
      <c r="V508" s="15"/>
      <c r="W508" s="15"/>
      <c r="X508" s="15"/>
      <c r="Y508" s="15"/>
      <c r="Z508" s="15"/>
    </row>
    <row r="509" spans="1:26" ht="129" customHeight="1">
      <c r="A509" s="533" t="s">
        <v>736</v>
      </c>
      <c r="B509" s="560" t="s">
        <v>3665</v>
      </c>
      <c r="C509" s="580">
        <v>1</v>
      </c>
      <c r="D509" s="580">
        <v>1</v>
      </c>
      <c r="E509" s="580">
        <v>0</v>
      </c>
      <c r="F509" s="580">
        <v>1</v>
      </c>
      <c r="G509" s="580">
        <v>1</v>
      </c>
      <c r="H509" s="997">
        <v>0</v>
      </c>
      <c r="I509" s="454"/>
      <c r="J509" s="507" t="s">
        <v>3666</v>
      </c>
      <c r="K509" s="555" t="s">
        <v>3667</v>
      </c>
      <c r="L509" s="507" t="s">
        <v>3663</v>
      </c>
      <c r="M509" s="507" t="s">
        <v>3668</v>
      </c>
      <c r="N509" s="791" t="s">
        <v>1867</v>
      </c>
      <c r="O509" s="507" t="s">
        <v>3669</v>
      </c>
      <c r="P509" s="534"/>
      <c r="Q509" s="534"/>
      <c r="R509" s="534"/>
      <c r="S509" s="535"/>
      <c r="T509" s="535"/>
      <c r="U509" s="535"/>
      <c r="V509" s="535"/>
      <c r="W509" s="535"/>
      <c r="X509" s="535"/>
      <c r="Y509" s="535"/>
      <c r="Z509" s="535"/>
    </row>
    <row r="510" spans="1:26" ht="24" customHeight="1">
      <c r="A510" s="143"/>
      <c r="B510" s="792"/>
      <c r="C510" s="271"/>
      <c r="D510" s="271"/>
      <c r="E510" s="271"/>
      <c r="F510" s="271"/>
      <c r="G510" s="271"/>
      <c r="H510" s="271"/>
      <c r="I510" s="485"/>
      <c r="J510" s="291"/>
      <c r="K510" s="953"/>
      <c r="L510" s="953"/>
      <c r="M510" s="291"/>
      <c r="N510" s="953"/>
      <c r="O510" s="953"/>
      <c r="P510" s="146"/>
      <c r="Q510" s="146"/>
      <c r="R510" s="146"/>
      <c r="S510" s="149"/>
      <c r="T510" s="149"/>
      <c r="U510" s="149"/>
      <c r="V510" s="149"/>
      <c r="W510" s="149"/>
      <c r="X510" s="149"/>
      <c r="Y510" s="149"/>
      <c r="Z510" s="149"/>
    </row>
    <row r="511" spans="1:26" ht="13.5" customHeight="1">
      <c r="A511" s="533" t="s">
        <v>1869</v>
      </c>
      <c r="B511" s="778" t="s">
        <v>165</v>
      </c>
      <c r="C511" s="498">
        <f t="shared" ref="C511:H511" si="69">AVERAGE(C512,C517,C522,C524,C529)</f>
        <v>0.53333333333333333</v>
      </c>
      <c r="D511" s="498">
        <f t="shared" si="69"/>
        <v>0.8</v>
      </c>
      <c r="E511" s="498">
        <f t="shared" si="69"/>
        <v>0.3</v>
      </c>
      <c r="F511" s="498">
        <f t="shared" si="69"/>
        <v>0.49999999999999989</v>
      </c>
      <c r="G511" s="498">
        <f t="shared" si="69"/>
        <v>0.2</v>
      </c>
      <c r="H511" s="498">
        <f t="shared" si="69"/>
        <v>0.2</v>
      </c>
      <c r="I511" s="454"/>
      <c r="J511" s="507"/>
      <c r="K511" s="506"/>
      <c r="L511" s="506"/>
      <c r="M511" s="506"/>
      <c r="N511" s="506"/>
      <c r="O511" s="571"/>
      <c r="P511" s="558"/>
      <c r="Q511" s="558"/>
      <c r="R511" s="558"/>
      <c r="S511" s="559"/>
      <c r="T511" s="559"/>
      <c r="U511" s="559"/>
      <c r="V511" s="559"/>
      <c r="W511" s="559"/>
      <c r="X511" s="559"/>
      <c r="Y511" s="559"/>
      <c r="Z511" s="559"/>
    </row>
    <row r="512" spans="1:26" ht="55.5" customHeight="1">
      <c r="A512" s="533" t="s">
        <v>736</v>
      </c>
      <c r="B512" s="560" t="s">
        <v>166</v>
      </c>
      <c r="C512" s="506">
        <f t="shared" ref="C512:H512" si="70">AVERAGE(C513:C515)</f>
        <v>1</v>
      </c>
      <c r="D512" s="506">
        <f t="shared" si="70"/>
        <v>1</v>
      </c>
      <c r="E512" s="506">
        <f t="shared" si="70"/>
        <v>1</v>
      </c>
      <c r="F512" s="506">
        <f t="shared" si="70"/>
        <v>1</v>
      </c>
      <c r="G512" s="506">
        <f t="shared" si="70"/>
        <v>0.66666666666666663</v>
      </c>
      <c r="H512" s="506">
        <f t="shared" si="70"/>
        <v>0.83333333333333337</v>
      </c>
      <c r="I512" s="454"/>
      <c r="J512" s="507"/>
      <c r="K512" s="551"/>
      <c r="L512" s="551"/>
      <c r="M512" s="507"/>
      <c r="N512" s="551"/>
      <c r="O512" s="551"/>
      <c r="P512" s="534"/>
      <c r="Q512" s="534"/>
      <c r="R512" s="534"/>
      <c r="S512" s="535"/>
      <c r="T512" s="535"/>
      <c r="U512" s="535"/>
      <c r="V512" s="535"/>
      <c r="W512" s="535"/>
      <c r="X512" s="535"/>
      <c r="Y512" s="535"/>
      <c r="Z512" s="535"/>
    </row>
    <row r="513" spans="1:26" ht="78.75" customHeight="1">
      <c r="A513" s="533"/>
      <c r="B513" s="793" t="s">
        <v>3670</v>
      </c>
      <c r="C513" s="506">
        <v>1</v>
      </c>
      <c r="D513" s="506">
        <v>1</v>
      </c>
      <c r="E513" s="506">
        <v>1</v>
      </c>
      <c r="F513" s="506">
        <v>1</v>
      </c>
      <c r="G513" s="506">
        <v>1</v>
      </c>
      <c r="H513" s="506">
        <v>0.5</v>
      </c>
      <c r="I513" s="454" t="s">
        <v>3582</v>
      </c>
      <c r="J513" s="507" t="s">
        <v>3671</v>
      </c>
      <c r="K513" s="551" t="s">
        <v>811</v>
      </c>
      <c r="L513" s="507" t="s">
        <v>811</v>
      </c>
      <c r="M513" s="507" t="s">
        <v>811</v>
      </c>
      <c r="N513" s="507" t="s">
        <v>1872</v>
      </c>
      <c r="O513" s="507" t="s">
        <v>4913</v>
      </c>
      <c r="P513" s="534"/>
      <c r="Q513" s="534"/>
      <c r="R513" s="534"/>
      <c r="S513" s="535"/>
      <c r="T513" s="535"/>
      <c r="U513" s="535"/>
      <c r="V513" s="535"/>
      <c r="W513" s="535"/>
      <c r="X513" s="535"/>
      <c r="Y513" s="535"/>
      <c r="Z513" s="535"/>
    </row>
    <row r="514" spans="1:26" ht="123" customHeight="1">
      <c r="A514" s="533"/>
      <c r="B514" s="793" t="s">
        <v>168</v>
      </c>
      <c r="C514" s="506">
        <v>1</v>
      </c>
      <c r="D514" s="506">
        <v>1</v>
      </c>
      <c r="E514" s="506">
        <v>1</v>
      </c>
      <c r="F514" s="506">
        <v>1</v>
      </c>
      <c r="G514" s="506">
        <v>1</v>
      </c>
      <c r="H514" s="506">
        <v>1</v>
      </c>
      <c r="I514" s="454" t="s">
        <v>38</v>
      </c>
      <c r="J514" s="507" t="s">
        <v>4914</v>
      </c>
      <c r="K514" s="551" t="s">
        <v>811</v>
      </c>
      <c r="L514" s="507" t="s">
        <v>811</v>
      </c>
      <c r="M514" s="507" t="s">
        <v>811</v>
      </c>
      <c r="N514" s="507" t="s">
        <v>4915</v>
      </c>
      <c r="O514" s="507" t="s">
        <v>3677</v>
      </c>
      <c r="P514" s="534"/>
      <c r="Q514" s="534"/>
      <c r="R514" s="534"/>
      <c r="S514" s="535"/>
      <c r="T514" s="535"/>
      <c r="U514" s="535"/>
      <c r="V514" s="535"/>
      <c r="W514" s="535"/>
      <c r="X514" s="535"/>
      <c r="Y514" s="535"/>
      <c r="Z514" s="535"/>
    </row>
    <row r="515" spans="1:26" ht="87" customHeight="1">
      <c r="A515" s="533"/>
      <c r="B515" s="793" t="s">
        <v>169</v>
      </c>
      <c r="C515" s="506">
        <v>1</v>
      </c>
      <c r="D515" s="506">
        <v>1</v>
      </c>
      <c r="E515" s="506">
        <v>1</v>
      </c>
      <c r="F515" s="515">
        <v>1</v>
      </c>
      <c r="G515" s="506">
        <v>0</v>
      </c>
      <c r="H515" s="506">
        <v>1</v>
      </c>
      <c r="I515" s="454" t="s">
        <v>38</v>
      </c>
      <c r="J515" s="507" t="s">
        <v>3678</v>
      </c>
      <c r="K515" s="551" t="s">
        <v>811</v>
      </c>
      <c r="L515" s="507" t="s">
        <v>811</v>
      </c>
      <c r="M515" s="608" t="s">
        <v>4916</v>
      </c>
      <c r="N515" s="551" t="s">
        <v>3594</v>
      </c>
      <c r="O515" s="507" t="s">
        <v>3680</v>
      </c>
      <c r="P515" s="534"/>
      <c r="Q515" s="534"/>
      <c r="R515" s="534"/>
      <c r="S515" s="535"/>
      <c r="T515" s="535"/>
      <c r="U515" s="535"/>
      <c r="V515" s="535"/>
      <c r="W515" s="535"/>
      <c r="X515" s="535"/>
      <c r="Y515" s="535"/>
      <c r="Z515" s="535"/>
    </row>
    <row r="516" spans="1:26" ht="13.5" customHeight="1">
      <c r="A516" s="143"/>
      <c r="B516" s="931"/>
      <c r="C516" s="271"/>
      <c r="D516" s="271"/>
      <c r="E516" s="271"/>
      <c r="F516" s="271"/>
      <c r="G516" s="271"/>
      <c r="H516" s="271"/>
      <c r="I516" s="454"/>
      <c r="J516" s="75"/>
      <c r="K516" s="87"/>
      <c r="L516" s="87"/>
      <c r="M516" s="354"/>
      <c r="N516" s="87"/>
      <c r="O516" s="198"/>
      <c r="P516" s="146"/>
      <c r="Q516" s="146"/>
      <c r="R516" s="146"/>
      <c r="S516" s="149"/>
      <c r="T516" s="149"/>
      <c r="U516" s="149"/>
      <c r="V516" s="149"/>
      <c r="W516" s="149"/>
      <c r="X516" s="149"/>
      <c r="Y516" s="149"/>
      <c r="Z516" s="149"/>
    </row>
    <row r="517" spans="1:26" ht="69.75" customHeight="1">
      <c r="A517" s="533" t="s">
        <v>736</v>
      </c>
      <c r="B517" s="560" t="s">
        <v>4917</v>
      </c>
      <c r="C517" s="506">
        <f t="shared" ref="C517:H517" si="71">AVERAGE(C518:C520)</f>
        <v>0.66666666666666663</v>
      </c>
      <c r="D517" s="506">
        <f t="shared" si="71"/>
        <v>1</v>
      </c>
      <c r="E517" s="506">
        <f t="shared" si="71"/>
        <v>0.5</v>
      </c>
      <c r="F517" s="506">
        <f t="shared" si="71"/>
        <v>0.66666666666666663</v>
      </c>
      <c r="G517" s="506">
        <f t="shared" si="71"/>
        <v>0.33333333333333331</v>
      </c>
      <c r="H517" s="506">
        <f t="shared" si="71"/>
        <v>0.16666666666666666</v>
      </c>
      <c r="I517" s="454"/>
      <c r="J517" s="507"/>
      <c r="K517" s="551"/>
      <c r="L517" s="507"/>
      <c r="M517" s="507"/>
      <c r="N517" s="507" t="s">
        <v>3681</v>
      </c>
      <c r="O517" s="507" t="s">
        <v>748</v>
      </c>
      <c r="P517" s="534"/>
      <c r="Q517" s="534"/>
      <c r="R517" s="534"/>
      <c r="S517" s="535"/>
      <c r="T517" s="535"/>
      <c r="U517" s="535"/>
      <c r="V517" s="535"/>
      <c r="W517" s="535"/>
      <c r="X517" s="535"/>
      <c r="Y517" s="535"/>
      <c r="Z517" s="535"/>
    </row>
    <row r="518" spans="1:26" ht="42.75" customHeight="1">
      <c r="A518" s="533"/>
      <c r="B518" s="793" t="s">
        <v>3670</v>
      </c>
      <c r="C518" s="506">
        <v>0.5</v>
      </c>
      <c r="D518" s="506">
        <v>1</v>
      </c>
      <c r="E518" s="506">
        <v>0.5</v>
      </c>
      <c r="F518" s="506">
        <v>1</v>
      </c>
      <c r="G518" s="506">
        <v>0.5</v>
      </c>
      <c r="H518" s="506">
        <v>0</v>
      </c>
      <c r="I518" s="454" t="s">
        <v>3582</v>
      </c>
      <c r="J518" s="507" t="s">
        <v>3682</v>
      </c>
      <c r="K518" s="507" t="s">
        <v>811</v>
      </c>
      <c r="L518" s="507" t="s">
        <v>3683</v>
      </c>
      <c r="M518" s="507" t="s">
        <v>4918</v>
      </c>
      <c r="N518" s="507" t="s">
        <v>4919</v>
      </c>
      <c r="O518" s="507" t="s">
        <v>3685</v>
      </c>
      <c r="P518" s="534"/>
      <c r="Q518" s="534"/>
      <c r="R518" s="534"/>
      <c r="S518" s="535"/>
      <c r="T518" s="535"/>
      <c r="U518" s="535"/>
      <c r="V518" s="535"/>
      <c r="W518" s="535"/>
      <c r="X518" s="535"/>
      <c r="Y518" s="535"/>
      <c r="Z518" s="535"/>
    </row>
    <row r="519" spans="1:26" ht="60.75" customHeight="1">
      <c r="A519" s="533"/>
      <c r="B519" s="793" t="s">
        <v>168</v>
      </c>
      <c r="C519" s="506">
        <v>0.5</v>
      </c>
      <c r="D519" s="506">
        <v>1</v>
      </c>
      <c r="E519" s="506">
        <v>0.5</v>
      </c>
      <c r="F519" s="506">
        <v>0.5</v>
      </c>
      <c r="G519" s="506">
        <v>0.5</v>
      </c>
      <c r="H519" s="506">
        <v>0.5</v>
      </c>
      <c r="I519" s="454" t="s">
        <v>3582</v>
      </c>
      <c r="J519" s="507" t="s">
        <v>3686</v>
      </c>
      <c r="K519" s="507" t="s">
        <v>811</v>
      </c>
      <c r="L519" s="507" t="s">
        <v>3683</v>
      </c>
      <c r="M519" s="507" t="s">
        <v>4920</v>
      </c>
      <c r="N519" s="608" t="s">
        <v>4921</v>
      </c>
      <c r="O519" s="507" t="s">
        <v>3689</v>
      </c>
      <c r="P519" s="534"/>
      <c r="Q519" s="534"/>
      <c r="R519" s="534"/>
      <c r="S519" s="535"/>
      <c r="T519" s="535"/>
      <c r="U519" s="535"/>
      <c r="V519" s="535"/>
      <c r="W519" s="535"/>
      <c r="X519" s="535"/>
      <c r="Y519" s="535"/>
      <c r="Z519" s="535"/>
    </row>
    <row r="520" spans="1:26" ht="45" customHeight="1">
      <c r="A520" s="533"/>
      <c r="B520" s="793" t="s">
        <v>169</v>
      </c>
      <c r="C520" s="506">
        <v>1</v>
      </c>
      <c r="D520" s="506">
        <v>1</v>
      </c>
      <c r="E520" s="506">
        <v>0.5</v>
      </c>
      <c r="F520" s="506">
        <v>0.5</v>
      </c>
      <c r="G520" s="506">
        <v>0</v>
      </c>
      <c r="H520" s="506">
        <v>0</v>
      </c>
      <c r="I520" s="454" t="s">
        <v>3582</v>
      </c>
      <c r="J520" s="507" t="s">
        <v>3690</v>
      </c>
      <c r="K520" s="507" t="s">
        <v>811</v>
      </c>
      <c r="L520" s="507" t="s">
        <v>3692</v>
      </c>
      <c r="M520" s="608" t="s">
        <v>4922</v>
      </c>
      <c r="N520" s="507" t="s">
        <v>4923</v>
      </c>
      <c r="O520" s="795" t="s">
        <v>4924</v>
      </c>
      <c r="P520" s="534"/>
      <c r="Q520" s="534"/>
      <c r="R520" s="534"/>
      <c r="S520" s="535"/>
      <c r="T520" s="535"/>
      <c r="U520" s="535"/>
      <c r="V520" s="535"/>
      <c r="W520" s="535"/>
      <c r="X520" s="535"/>
      <c r="Y520" s="535"/>
      <c r="Z520" s="535"/>
    </row>
    <row r="521" spans="1:26" ht="13.5" customHeight="1">
      <c r="A521" s="143"/>
      <c r="B521" s="931"/>
      <c r="C521" s="271"/>
      <c r="D521" s="271"/>
      <c r="E521" s="271"/>
      <c r="F521" s="271"/>
      <c r="G521" s="271"/>
      <c r="H521" s="271"/>
      <c r="I521" s="454"/>
      <c r="J521" s="75"/>
      <c r="K521" s="87"/>
      <c r="L521" s="87"/>
      <c r="M521" s="87"/>
      <c r="N521" s="87"/>
      <c r="O521" s="198"/>
      <c r="P521" s="146"/>
      <c r="Q521" s="146"/>
      <c r="R521" s="146"/>
      <c r="S521" s="149"/>
      <c r="T521" s="149"/>
      <c r="U521" s="149"/>
      <c r="V521" s="149"/>
      <c r="W521" s="149"/>
      <c r="X521" s="149"/>
      <c r="Y521" s="149"/>
      <c r="Z521" s="149"/>
    </row>
    <row r="522" spans="1:26" ht="132" customHeight="1">
      <c r="A522" s="533" t="s">
        <v>736</v>
      </c>
      <c r="B522" s="560" t="s">
        <v>171</v>
      </c>
      <c r="C522" s="506">
        <v>0.5</v>
      </c>
      <c r="D522" s="506">
        <v>1</v>
      </c>
      <c r="E522" s="506">
        <v>0</v>
      </c>
      <c r="F522" s="506">
        <v>0.5</v>
      </c>
      <c r="G522" s="506">
        <v>0</v>
      </c>
      <c r="H522" s="506">
        <v>0</v>
      </c>
      <c r="I522" s="454" t="s">
        <v>3582</v>
      </c>
      <c r="J522" s="507" t="s">
        <v>3695</v>
      </c>
      <c r="K522" s="507" t="s">
        <v>811</v>
      </c>
      <c r="L522" s="507" t="s">
        <v>748</v>
      </c>
      <c r="M522" s="507" t="s">
        <v>4925</v>
      </c>
      <c r="N522" s="608" t="s">
        <v>3698</v>
      </c>
      <c r="O522" s="507" t="s">
        <v>4926</v>
      </c>
      <c r="P522" s="534"/>
      <c r="Q522" s="534"/>
      <c r="R522" s="534"/>
      <c r="S522" s="535"/>
      <c r="T522" s="535"/>
      <c r="U522" s="535"/>
      <c r="V522" s="535"/>
      <c r="W522" s="535"/>
      <c r="X522" s="535"/>
      <c r="Y522" s="535"/>
      <c r="Z522" s="535"/>
    </row>
    <row r="523" spans="1:26" ht="13.5" customHeight="1">
      <c r="A523" s="143"/>
      <c r="B523" s="562"/>
      <c r="C523" s="271"/>
      <c r="D523" s="271"/>
      <c r="E523" s="271"/>
      <c r="F523" s="271"/>
      <c r="G523" s="271"/>
      <c r="H523" s="271"/>
      <c r="I523" s="454"/>
      <c r="J523" s="75"/>
      <c r="K523" s="87"/>
      <c r="L523" s="87"/>
      <c r="M523" s="87"/>
      <c r="N523" s="87"/>
      <c r="O523" s="198"/>
      <c r="P523" s="146"/>
      <c r="Q523" s="146"/>
      <c r="R523" s="146"/>
      <c r="S523" s="149"/>
      <c r="T523" s="149"/>
      <c r="U523" s="149"/>
      <c r="V523" s="149"/>
      <c r="W523" s="149"/>
      <c r="X523" s="149"/>
      <c r="Y523" s="149"/>
      <c r="Z523" s="149"/>
    </row>
    <row r="524" spans="1:26" ht="110.25" customHeight="1">
      <c r="A524" s="533" t="s">
        <v>736</v>
      </c>
      <c r="B524" s="560" t="s">
        <v>172</v>
      </c>
      <c r="C524" s="506">
        <f t="shared" ref="C524:H524" si="72">AVERAGE(C525:C527)</f>
        <v>0.5</v>
      </c>
      <c r="D524" s="506">
        <f t="shared" si="72"/>
        <v>0.66666666666666663</v>
      </c>
      <c r="E524" s="506">
        <f t="shared" si="72"/>
        <v>0</v>
      </c>
      <c r="F524" s="506">
        <f t="shared" si="72"/>
        <v>0.16666666666666666</v>
      </c>
      <c r="G524" s="506">
        <f t="shared" si="72"/>
        <v>0</v>
      </c>
      <c r="H524" s="506">
        <f t="shared" si="72"/>
        <v>0</v>
      </c>
      <c r="I524" s="454"/>
      <c r="J524" s="507"/>
      <c r="K524" s="551"/>
      <c r="L524" s="507"/>
      <c r="M524" s="507"/>
      <c r="N524" s="507"/>
      <c r="O524" s="507" t="s">
        <v>3700</v>
      </c>
      <c r="P524" s="534"/>
      <c r="Q524" s="534"/>
      <c r="R524" s="534"/>
      <c r="S524" s="535"/>
      <c r="T524" s="535"/>
      <c r="U524" s="535"/>
      <c r="V524" s="535"/>
      <c r="W524" s="535"/>
      <c r="X524" s="535"/>
      <c r="Y524" s="535"/>
      <c r="Z524" s="535"/>
    </row>
    <row r="525" spans="1:26" ht="31.5" customHeight="1">
      <c r="A525" s="533"/>
      <c r="B525" s="793" t="s">
        <v>3670</v>
      </c>
      <c r="C525" s="506">
        <v>0.5</v>
      </c>
      <c r="D525" s="506">
        <v>1</v>
      </c>
      <c r="E525" s="506">
        <v>0</v>
      </c>
      <c r="F525" s="506">
        <v>0.5</v>
      </c>
      <c r="G525" s="515">
        <v>0</v>
      </c>
      <c r="H525" s="506">
        <v>0</v>
      </c>
      <c r="I525" s="454" t="s">
        <v>3582</v>
      </c>
      <c r="J525" s="507" t="s">
        <v>3701</v>
      </c>
      <c r="K525" s="507" t="s">
        <v>811</v>
      </c>
      <c r="L525" s="507" t="s">
        <v>4927</v>
      </c>
      <c r="M525" s="507" t="s">
        <v>4928</v>
      </c>
      <c r="N525" s="507" t="s">
        <v>3704</v>
      </c>
      <c r="O525" s="507" t="s">
        <v>3705</v>
      </c>
      <c r="P525" s="534"/>
      <c r="Q525" s="534"/>
      <c r="R525" s="534"/>
      <c r="S525" s="535"/>
      <c r="T525" s="535"/>
      <c r="U525" s="535"/>
      <c r="V525" s="535"/>
      <c r="W525" s="535"/>
      <c r="X525" s="535"/>
      <c r="Y525" s="535"/>
      <c r="Z525" s="535"/>
    </row>
    <row r="526" spans="1:26" ht="54" customHeight="1">
      <c r="A526" s="533"/>
      <c r="B526" s="793" t="s">
        <v>168</v>
      </c>
      <c r="C526" s="506">
        <v>0.5</v>
      </c>
      <c r="D526" s="506">
        <v>1</v>
      </c>
      <c r="E526" s="506">
        <v>0</v>
      </c>
      <c r="F526" s="506">
        <v>0</v>
      </c>
      <c r="G526" s="515">
        <v>0</v>
      </c>
      <c r="H526" s="506">
        <v>0</v>
      </c>
      <c r="I526" s="454" t="s">
        <v>3582</v>
      </c>
      <c r="J526" s="507" t="s">
        <v>3701</v>
      </c>
      <c r="K526" s="507" t="s">
        <v>811</v>
      </c>
      <c r="L526" s="507" t="s">
        <v>4927</v>
      </c>
      <c r="M526" s="507" t="s">
        <v>4929</v>
      </c>
      <c r="N526" s="507" t="s">
        <v>3704</v>
      </c>
      <c r="O526" s="507" t="s">
        <v>3707</v>
      </c>
      <c r="P526" s="534"/>
      <c r="Q526" s="534"/>
      <c r="R526" s="534"/>
      <c r="S526" s="535"/>
      <c r="T526" s="535"/>
      <c r="U526" s="535"/>
      <c r="V526" s="535"/>
      <c r="W526" s="535"/>
      <c r="X526" s="535"/>
      <c r="Y526" s="535"/>
      <c r="Z526" s="535"/>
    </row>
    <row r="527" spans="1:26" ht="45" customHeight="1">
      <c r="A527" s="533"/>
      <c r="B527" s="793" t="s">
        <v>169</v>
      </c>
      <c r="C527" s="506">
        <v>0.5</v>
      </c>
      <c r="D527" s="506">
        <v>0</v>
      </c>
      <c r="E527" s="506">
        <v>0</v>
      </c>
      <c r="F527" s="506">
        <v>0</v>
      </c>
      <c r="G527" s="515">
        <v>0</v>
      </c>
      <c r="H527" s="506">
        <v>0</v>
      </c>
      <c r="I527" s="454" t="s">
        <v>3582</v>
      </c>
      <c r="J527" s="507" t="s">
        <v>3701</v>
      </c>
      <c r="K527" s="507" t="s">
        <v>748</v>
      </c>
      <c r="L527" s="507" t="s">
        <v>4930</v>
      </c>
      <c r="M527" s="507" t="s">
        <v>3708</v>
      </c>
      <c r="N527" s="608" t="s">
        <v>3710</v>
      </c>
      <c r="O527" s="507" t="s">
        <v>3711</v>
      </c>
      <c r="P527" s="534"/>
      <c r="Q527" s="534"/>
      <c r="R527" s="534"/>
      <c r="S527" s="535"/>
      <c r="T527" s="535"/>
      <c r="U527" s="535"/>
      <c r="V527" s="535"/>
      <c r="W527" s="535"/>
      <c r="X527" s="535"/>
      <c r="Y527" s="535"/>
      <c r="Z527" s="535"/>
    </row>
    <row r="528" spans="1:26" ht="13.5" customHeight="1">
      <c r="A528" s="143"/>
      <c r="B528" s="253"/>
      <c r="C528" s="271"/>
      <c r="D528" s="271"/>
      <c r="E528" s="271"/>
      <c r="F528" s="271"/>
      <c r="G528" s="271"/>
      <c r="H528" s="271"/>
      <c r="I528" s="454"/>
      <c r="J528" s="75"/>
      <c r="K528" s="75"/>
      <c r="L528" s="87"/>
      <c r="M528" s="354"/>
      <c r="N528" s="317"/>
      <c r="O528" s="75"/>
      <c r="P528" s="146"/>
      <c r="Q528" s="146"/>
      <c r="R528" s="146"/>
      <c r="S528" s="149"/>
      <c r="T528" s="149"/>
      <c r="U528" s="149"/>
      <c r="V528" s="149"/>
      <c r="W528" s="149"/>
      <c r="X528" s="149"/>
      <c r="Y528" s="149"/>
      <c r="Z528" s="149"/>
    </row>
    <row r="529" spans="1:26" ht="69.75" customHeight="1">
      <c r="A529" s="533" t="s">
        <v>736</v>
      </c>
      <c r="B529" s="560" t="s">
        <v>1914</v>
      </c>
      <c r="C529" s="506">
        <f t="shared" ref="C529:H529" si="73">AVERAGE(C530:C532)</f>
        <v>0</v>
      </c>
      <c r="D529" s="506">
        <f t="shared" si="73"/>
        <v>0.33333333333333331</v>
      </c>
      <c r="E529" s="506">
        <f t="shared" si="73"/>
        <v>0</v>
      </c>
      <c r="F529" s="506">
        <f t="shared" si="73"/>
        <v>0.16666666666666666</v>
      </c>
      <c r="G529" s="506">
        <f t="shared" si="73"/>
        <v>0</v>
      </c>
      <c r="H529" s="506">
        <f t="shared" si="73"/>
        <v>0</v>
      </c>
      <c r="I529" s="454"/>
      <c r="J529" s="507"/>
      <c r="K529" s="551"/>
      <c r="L529" s="551"/>
      <c r="M529" s="507"/>
      <c r="N529" s="509"/>
      <c r="O529" s="507" t="s">
        <v>748</v>
      </c>
      <c r="P529" s="534"/>
      <c r="Q529" s="534"/>
      <c r="R529" s="534"/>
      <c r="S529" s="535"/>
      <c r="T529" s="535"/>
      <c r="U529" s="535"/>
      <c r="V529" s="535"/>
      <c r="W529" s="535"/>
      <c r="X529" s="535"/>
      <c r="Y529" s="535"/>
      <c r="Z529" s="535"/>
    </row>
    <row r="530" spans="1:26" ht="34.5" customHeight="1">
      <c r="A530" s="533"/>
      <c r="B530" s="793" t="s">
        <v>3713</v>
      </c>
      <c r="C530" s="506">
        <v>0</v>
      </c>
      <c r="D530" s="506">
        <v>0</v>
      </c>
      <c r="E530" s="506">
        <v>0</v>
      </c>
      <c r="F530" s="506">
        <v>0</v>
      </c>
      <c r="G530" s="506">
        <v>0</v>
      </c>
      <c r="H530" s="506">
        <v>0</v>
      </c>
      <c r="I530" s="454" t="s">
        <v>38</v>
      </c>
      <c r="J530" s="507" t="s">
        <v>3714</v>
      </c>
      <c r="K530" s="507" t="s">
        <v>748</v>
      </c>
      <c r="L530" s="507" t="s">
        <v>748</v>
      </c>
      <c r="M530" s="507" t="s">
        <v>748</v>
      </c>
      <c r="N530" s="796" t="s">
        <v>4931</v>
      </c>
      <c r="O530" s="507" t="s">
        <v>3717</v>
      </c>
      <c r="P530" s="534"/>
      <c r="Q530" s="534"/>
      <c r="R530" s="534"/>
      <c r="S530" s="535"/>
      <c r="T530" s="535"/>
      <c r="U530" s="535"/>
      <c r="V530" s="535"/>
      <c r="W530" s="535"/>
      <c r="X530" s="535"/>
      <c r="Y530" s="535"/>
      <c r="Z530" s="535"/>
    </row>
    <row r="531" spans="1:26" ht="43.5" customHeight="1">
      <c r="A531" s="533"/>
      <c r="B531" s="793" t="s">
        <v>168</v>
      </c>
      <c r="C531" s="506">
        <v>0</v>
      </c>
      <c r="D531" s="506">
        <v>1</v>
      </c>
      <c r="E531" s="506">
        <v>0</v>
      </c>
      <c r="F531" s="506">
        <v>0.5</v>
      </c>
      <c r="G531" s="506">
        <v>0</v>
      </c>
      <c r="H531" s="506">
        <v>0</v>
      </c>
      <c r="I531" s="454" t="s">
        <v>3582</v>
      </c>
      <c r="J531" s="507" t="s">
        <v>3714</v>
      </c>
      <c r="K531" s="507" t="s">
        <v>811</v>
      </c>
      <c r="L531" s="507" t="s">
        <v>748</v>
      </c>
      <c r="M531" s="507" t="s">
        <v>4932</v>
      </c>
      <c r="N531" s="796" t="s">
        <v>4933</v>
      </c>
      <c r="O531" s="507" t="s">
        <v>3720</v>
      </c>
      <c r="P531" s="534"/>
      <c r="Q531" s="534"/>
      <c r="R531" s="534"/>
      <c r="S531" s="535"/>
      <c r="T531" s="535"/>
      <c r="U531" s="535"/>
      <c r="V531" s="535"/>
      <c r="W531" s="535"/>
      <c r="X531" s="535"/>
      <c r="Y531" s="535"/>
      <c r="Z531" s="535"/>
    </row>
    <row r="532" spans="1:26" ht="32.25" customHeight="1">
      <c r="A532" s="533"/>
      <c r="B532" s="793" t="s">
        <v>169</v>
      </c>
      <c r="C532" s="506">
        <v>0</v>
      </c>
      <c r="D532" s="506">
        <v>0</v>
      </c>
      <c r="E532" s="506">
        <v>0</v>
      </c>
      <c r="F532" s="506">
        <v>0</v>
      </c>
      <c r="G532" s="506">
        <v>0</v>
      </c>
      <c r="H532" s="506">
        <v>0</v>
      </c>
      <c r="I532" s="454" t="s">
        <v>38</v>
      </c>
      <c r="J532" s="507" t="s">
        <v>3714</v>
      </c>
      <c r="K532" s="507" t="s">
        <v>748</v>
      </c>
      <c r="L532" s="507" t="s">
        <v>748</v>
      </c>
      <c r="M532" s="507" t="s">
        <v>748</v>
      </c>
      <c r="N532" s="509" t="s">
        <v>748</v>
      </c>
      <c r="O532" s="507" t="s">
        <v>3722</v>
      </c>
      <c r="P532" s="534"/>
      <c r="Q532" s="534"/>
      <c r="R532" s="534"/>
      <c r="S532" s="535"/>
      <c r="T532" s="535"/>
      <c r="U532" s="535"/>
      <c r="V532" s="535"/>
      <c r="W532" s="535"/>
      <c r="X532" s="535"/>
      <c r="Y532" s="535"/>
      <c r="Z532" s="535"/>
    </row>
    <row r="533" spans="1:26" ht="13.5" customHeight="1">
      <c r="A533" s="143"/>
      <c r="B533" s="253"/>
      <c r="C533" s="87"/>
      <c r="D533" s="87"/>
      <c r="E533" s="87"/>
      <c r="F533" s="87"/>
      <c r="G533" s="87"/>
      <c r="H533" s="87"/>
      <c r="I533" s="454"/>
      <c r="J533" s="75"/>
      <c r="K533" s="75"/>
      <c r="L533" s="75"/>
      <c r="M533" s="75"/>
      <c r="N533" s="77"/>
      <c r="O533" s="75"/>
      <c r="P533" s="146"/>
      <c r="Q533" s="146"/>
      <c r="R533" s="146"/>
      <c r="S533" s="149"/>
      <c r="T533" s="149"/>
      <c r="U533" s="149"/>
      <c r="V533" s="149"/>
      <c r="W533" s="149"/>
      <c r="X533" s="149"/>
      <c r="Y533" s="149"/>
      <c r="Z533" s="149"/>
    </row>
    <row r="534" spans="1:26" ht="13.5" customHeight="1">
      <c r="A534" s="533" t="s">
        <v>1920</v>
      </c>
      <c r="B534" s="778" t="s">
        <v>175</v>
      </c>
      <c r="C534" s="506">
        <f t="shared" ref="C534:H534" si="74">AVERAGE(C535,C540,C542,C547,C549,C551)</f>
        <v>0.5</v>
      </c>
      <c r="D534" s="506">
        <f t="shared" si="74"/>
        <v>0.72222222222222221</v>
      </c>
      <c r="E534" s="506">
        <f t="shared" si="74"/>
        <v>0</v>
      </c>
      <c r="F534" s="506">
        <f t="shared" si="74"/>
        <v>0.30555555555555552</v>
      </c>
      <c r="G534" s="506">
        <f t="shared" si="74"/>
        <v>0.55555555555555547</v>
      </c>
      <c r="H534" s="506">
        <f t="shared" si="74"/>
        <v>0.1111111111111111</v>
      </c>
      <c r="I534" s="454"/>
      <c r="J534" s="507"/>
      <c r="K534" s="571"/>
      <c r="L534" s="571"/>
      <c r="M534" s="499"/>
      <c r="N534" s="499"/>
      <c r="O534" s="571"/>
      <c r="P534" s="558"/>
      <c r="Q534" s="558"/>
      <c r="R534" s="558"/>
      <c r="S534" s="559"/>
      <c r="T534" s="559"/>
      <c r="U534" s="559"/>
      <c r="V534" s="559"/>
      <c r="W534" s="559"/>
      <c r="X534" s="559"/>
      <c r="Y534" s="559"/>
      <c r="Z534" s="559"/>
    </row>
    <row r="535" spans="1:26" ht="99.75" customHeight="1">
      <c r="A535" s="784" t="s">
        <v>736</v>
      </c>
      <c r="B535" s="560" t="s">
        <v>1921</v>
      </c>
      <c r="C535" s="553">
        <f t="shared" ref="C535:H535" si="75">AVERAGE(C536:C538)</f>
        <v>0.5</v>
      </c>
      <c r="D535" s="553">
        <f t="shared" si="75"/>
        <v>0.66666666666666663</v>
      </c>
      <c r="E535" s="553">
        <f t="shared" si="75"/>
        <v>0</v>
      </c>
      <c r="F535" s="553">
        <f t="shared" si="75"/>
        <v>0.16666666666666666</v>
      </c>
      <c r="G535" s="553">
        <f t="shared" si="75"/>
        <v>0.5</v>
      </c>
      <c r="H535" s="553">
        <f t="shared" si="75"/>
        <v>0.16666666666666666</v>
      </c>
      <c r="I535" s="454"/>
      <c r="J535" s="507"/>
      <c r="K535" s="551"/>
      <c r="L535" s="551"/>
      <c r="M535" s="507"/>
      <c r="N535" s="507" t="s">
        <v>3723</v>
      </c>
      <c r="O535" s="551" t="s">
        <v>748</v>
      </c>
      <c r="P535" s="534"/>
      <c r="Q535" s="534"/>
      <c r="R535" s="534"/>
      <c r="S535" s="535"/>
      <c r="T535" s="535"/>
      <c r="U535" s="535"/>
      <c r="V535" s="535"/>
      <c r="W535" s="535"/>
      <c r="X535" s="535"/>
      <c r="Y535" s="535"/>
      <c r="Z535" s="535"/>
    </row>
    <row r="536" spans="1:26" ht="49.5" customHeight="1">
      <c r="A536" s="784"/>
      <c r="B536" s="574" t="s">
        <v>3713</v>
      </c>
      <c r="C536" s="553">
        <v>0.5</v>
      </c>
      <c r="D536" s="506">
        <v>1</v>
      </c>
      <c r="E536" s="506">
        <v>0</v>
      </c>
      <c r="F536" s="506">
        <v>0.5</v>
      </c>
      <c r="G536" s="506">
        <v>0.5</v>
      </c>
      <c r="H536" s="506">
        <v>0</v>
      </c>
      <c r="I536" s="454" t="s">
        <v>3613</v>
      </c>
      <c r="J536" s="507" t="s">
        <v>3724</v>
      </c>
      <c r="K536" s="507" t="s">
        <v>811</v>
      </c>
      <c r="L536" s="507" t="s">
        <v>748</v>
      </c>
      <c r="M536" s="608" t="s">
        <v>3726</v>
      </c>
      <c r="N536" s="608" t="s">
        <v>3727</v>
      </c>
      <c r="O536" s="507" t="s">
        <v>3728</v>
      </c>
      <c r="P536" s="534"/>
      <c r="Q536" s="534"/>
      <c r="R536" s="534"/>
      <c r="S536" s="535"/>
      <c r="T536" s="535"/>
      <c r="U536" s="535"/>
      <c r="V536" s="535"/>
      <c r="W536" s="535"/>
      <c r="X536" s="535"/>
      <c r="Y536" s="535"/>
      <c r="Z536" s="535"/>
    </row>
    <row r="537" spans="1:26" ht="49.5" customHeight="1">
      <c r="A537" s="784"/>
      <c r="B537" s="574" t="s">
        <v>168</v>
      </c>
      <c r="C537" s="553">
        <v>0.5</v>
      </c>
      <c r="D537" s="506">
        <v>1</v>
      </c>
      <c r="E537" s="506">
        <v>0</v>
      </c>
      <c r="F537" s="506">
        <v>0</v>
      </c>
      <c r="G537" s="506">
        <v>0.5</v>
      </c>
      <c r="H537" s="506">
        <v>0.5</v>
      </c>
      <c r="I537" s="454" t="s">
        <v>3613</v>
      </c>
      <c r="J537" s="507" t="s">
        <v>3724</v>
      </c>
      <c r="K537" s="507" t="s">
        <v>811</v>
      </c>
      <c r="L537" s="507" t="s">
        <v>748</v>
      </c>
      <c r="M537" s="507" t="s">
        <v>4934</v>
      </c>
      <c r="N537" s="608" t="s">
        <v>3741</v>
      </c>
      <c r="O537" s="507" t="s">
        <v>3730</v>
      </c>
      <c r="P537" s="534"/>
      <c r="Q537" s="534"/>
      <c r="R537" s="534"/>
      <c r="S537" s="535"/>
      <c r="T537" s="535"/>
      <c r="U537" s="535"/>
      <c r="V537" s="535"/>
      <c r="W537" s="535"/>
      <c r="X537" s="535"/>
      <c r="Y537" s="535"/>
      <c r="Z537" s="535"/>
    </row>
    <row r="538" spans="1:26" ht="49.5" customHeight="1">
      <c r="A538" s="784"/>
      <c r="B538" s="574" t="s">
        <v>169</v>
      </c>
      <c r="C538" s="553">
        <v>0.5</v>
      </c>
      <c r="D538" s="506">
        <v>0</v>
      </c>
      <c r="E538" s="506">
        <v>0</v>
      </c>
      <c r="F538" s="506">
        <v>0</v>
      </c>
      <c r="G538" s="506">
        <v>0.5</v>
      </c>
      <c r="H538" s="506">
        <v>0</v>
      </c>
      <c r="I538" s="454" t="s">
        <v>3613</v>
      </c>
      <c r="J538" s="507" t="s">
        <v>3724</v>
      </c>
      <c r="K538" s="507" t="s">
        <v>943</v>
      </c>
      <c r="L538" s="507" t="s">
        <v>4935</v>
      </c>
      <c r="M538" s="507" t="s">
        <v>763</v>
      </c>
      <c r="N538" s="608" t="s">
        <v>4936</v>
      </c>
      <c r="O538" s="507" t="s">
        <v>1934</v>
      </c>
      <c r="P538" s="534"/>
      <c r="Q538" s="534"/>
      <c r="R538" s="534"/>
      <c r="S538" s="535"/>
      <c r="T538" s="535"/>
      <c r="U538" s="535"/>
      <c r="V538" s="535"/>
      <c r="W538" s="535"/>
      <c r="X538" s="535"/>
      <c r="Y538" s="535"/>
      <c r="Z538" s="535"/>
    </row>
    <row r="539" spans="1:26" ht="13.5" customHeight="1">
      <c r="A539" s="419"/>
      <c r="B539" s="662"/>
      <c r="C539" s="271"/>
      <c r="D539" s="271"/>
      <c r="E539" s="271"/>
      <c r="F539" s="271"/>
      <c r="G539" s="271"/>
      <c r="H539" s="271"/>
      <c r="I539" s="454"/>
      <c r="J539" s="75"/>
      <c r="K539" s="87"/>
      <c r="L539" s="87"/>
      <c r="M539" s="87"/>
      <c r="N539" s="87"/>
      <c r="O539" s="198"/>
      <c r="P539" s="146"/>
      <c r="Q539" s="146"/>
      <c r="R539" s="146"/>
      <c r="S539" s="149"/>
      <c r="T539" s="149"/>
      <c r="U539" s="149"/>
      <c r="V539" s="149"/>
      <c r="W539" s="149"/>
      <c r="X539" s="149"/>
      <c r="Y539" s="149"/>
      <c r="Z539" s="149"/>
    </row>
    <row r="540" spans="1:26" ht="141.75" customHeight="1">
      <c r="A540" s="784" t="s">
        <v>736</v>
      </c>
      <c r="B540" s="560" t="s">
        <v>177</v>
      </c>
      <c r="C540" s="553">
        <v>1</v>
      </c>
      <c r="D540" s="506">
        <v>1</v>
      </c>
      <c r="E540" s="506">
        <v>0</v>
      </c>
      <c r="F540" s="506">
        <v>0</v>
      </c>
      <c r="G540" s="506">
        <v>0</v>
      </c>
      <c r="H540" s="506">
        <v>0</v>
      </c>
      <c r="I540" s="454" t="s">
        <v>38</v>
      </c>
      <c r="J540" s="507" t="s">
        <v>4937</v>
      </c>
      <c r="K540" s="507" t="s">
        <v>3733</v>
      </c>
      <c r="L540" s="507" t="s">
        <v>1936</v>
      </c>
      <c r="M540" s="507" t="s">
        <v>4938</v>
      </c>
      <c r="N540" s="507" t="s">
        <v>4939</v>
      </c>
      <c r="O540" s="507" t="s">
        <v>4940</v>
      </c>
      <c r="P540" s="146"/>
      <c r="Q540" s="146"/>
      <c r="R540" s="146"/>
      <c r="S540" s="149"/>
      <c r="T540" s="149"/>
      <c r="U540" s="149"/>
      <c r="V540" s="149"/>
      <c r="W540" s="149"/>
      <c r="X540" s="149"/>
      <c r="Y540" s="149"/>
      <c r="Z540" s="149"/>
    </row>
    <row r="541" spans="1:26" ht="13.5" customHeight="1">
      <c r="A541" s="2"/>
      <c r="B541" s="952"/>
      <c r="C541" s="271"/>
      <c r="D541" s="271"/>
      <c r="E541" s="271"/>
      <c r="F541" s="271"/>
      <c r="G541" s="271"/>
      <c r="H541" s="271"/>
      <c r="I541" s="485"/>
      <c r="J541" s="291"/>
      <c r="K541" s="953"/>
      <c r="L541" s="953"/>
      <c r="M541" s="291"/>
      <c r="N541" s="953"/>
      <c r="O541" s="953"/>
      <c r="P541" s="15"/>
      <c r="Q541" s="15"/>
      <c r="R541" s="15"/>
      <c r="S541" s="15"/>
      <c r="T541" s="15"/>
      <c r="U541" s="15"/>
      <c r="V541" s="15"/>
      <c r="W541" s="15"/>
      <c r="X541" s="15"/>
      <c r="Y541" s="15"/>
      <c r="Z541" s="15"/>
    </row>
    <row r="542" spans="1:26" ht="105" customHeight="1">
      <c r="A542" s="784" t="s">
        <v>736</v>
      </c>
      <c r="B542" s="560" t="s">
        <v>179</v>
      </c>
      <c r="C542" s="553">
        <f t="shared" ref="C542:H542" si="76">AVERAGE(C543:C545)</f>
        <v>1</v>
      </c>
      <c r="D542" s="553">
        <f t="shared" si="76"/>
        <v>0.66666666666666663</v>
      </c>
      <c r="E542" s="553">
        <f t="shared" si="76"/>
        <v>0</v>
      </c>
      <c r="F542" s="553">
        <f t="shared" si="76"/>
        <v>0.16666666666666666</v>
      </c>
      <c r="G542" s="553">
        <f t="shared" si="76"/>
        <v>0.33333333333333331</v>
      </c>
      <c r="H542" s="553">
        <f t="shared" si="76"/>
        <v>0</v>
      </c>
      <c r="I542" s="454"/>
      <c r="J542" s="507"/>
      <c r="K542" s="551"/>
      <c r="L542" s="507"/>
      <c r="M542" s="507"/>
      <c r="N542" s="608"/>
      <c r="O542" s="507" t="s">
        <v>748</v>
      </c>
      <c r="P542" s="608"/>
      <c r="Q542" s="608"/>
      <c r="R542" s="534"/>
      <c r="S542" s="535"/>
      <c r="T542" s="535"/>
      <c r="U542" s="535"/>
      <c r="V542" s="535"/>
      <c r="W542" s="535"/>
      <c r="X542" s="535"/>
      <c r="Y542" s="535"/>
      <c r="Z542" s="535"/>
    </row>
    <row r="543" spans="1:26" ht="49.5" customHeight="1">
      <c r="A543" s="784"/>
      <c r="B543" s="574" t="s">
        <v>3713</v>
      </c>
      <c r="C543" s="553">
        <v>1</v>
      </c>
      <c r="D543" s="506">
        <v>1</v>
      </c>
      <c r="E543" s="506">
        <v>0</v>
      </c>
      <c r="F543" s="506">
        <v>0.5</v>
      </c>
      <c r="G543" s="506">
        <v>0.5</v>
      </c>
      <c r="H543" s="506">
        <v>0</v>
      </c>
      <c r="I543" s="438" t="s">
        <v>3582</v>
      </c>
      <c r="J543" s="507" t="s">
        <v>3737</v>
      </c>
      <c r="K543" s="507" t="s">
        <v>1134</v>
      </c>
      <c r="L543" s="507" t="s">
        <v>748</v>
      </c>
      <c r="M543" s="507" t="s">
        <v>4941</v>
      </c>
      <c r="N543" s="608" t="s">
        <v>3741</v>
      </c>
      <c r="O543" s="507" t="s">
        <v>3742</v>
      </c>
      <c r="P543" s="608"/>
      <c r="Q543" s="608"/>
      <c r="R543" s="534"/>
      <c r="S543" s="535"/>
      <c r="T543" s="535"/>
      <c r="U543" s="535"/>
      <c r="V543" s="535"/>
      <c r="W543" s="535"/>
      <c r="X543" s="535"/>
      <c r="Y543" s="535"/>
      <c r="Z543" s="535"/>
    </row>
    <row r="544" spans="1:26" ht="49.5" customHeight="1">
      <c r="A544" s="784"/>
      <c r="B544" s="574" t="s">
        <v>168</v>
      </c>
      <c r="C544" s="553">
        <v>1</v>
      </c>
      <c r="D544" s="506">
        <v>1</v>
      </c>
      <c r="E544" s="506">
        <v>0</v>
      </c>
      <c r="F544" s="506">
        <v>0</v>
      </c>
      <c r="G544" s="506">
        <v>0.5</v>
      </c>
      <c r="H544" s="506">
        <v>0</v>
      </c>
      <c r="I544" s="438" t="s">
        <v>3582</v>
      </c>
      <c r="J544" s="507" t="s">
        <v>3743</v>
      </c>
      <c r="K544" s="551" t="s">
        <v>1134</v>
      </c>
      <c r="L544" s="507" t="s">
        <v>748</v>
      </c>
      <c r="M544" s="507" t="s">
        <v>748</v>
      </c>
      <c r="N544" s="608" t="s">
        <v>4936</v>
      </c>
      <c r="O544" s="507" t="s">
        <v>3746</v>
      </c>
      <c r="P544" s="534"/>
      <c r="Q544" s="534"/>
      <c r="R544" s="534"/>
      <c r="S544" s="535"/>
      <c r="T544" s="535"/>
      <c r="U544" s="535"/>
      <c r="V544" s="535"/>
      <c r="W544" s="535"/>
      <c r="X544" s="535"/>
      <c r="Y544" s="535"/>
      <c r="Z544" s="535"/>
    </row>
    <row r="545" spans="1:26" ht="49.5" customHeight="1">
      <c r="A545" s="784"/>
      <c r="B545" s="574" t="s">
        <v>180</v>
      </c>
      <c r="C545" s="553">
        <v>1</v>
      </c>
      <c r="D545" s="506">
        <v>0</v>
      </c>
      <c r="E545" s="506">
        <v>0</v>
      </c>
      <c r="F545" s="506">
        <v>0</v>
      </c>
      <c r="G545" s="506">
        <v>0</v>
      </c>
      <c r="H545" s="506">
        <v>0</v>
      </c>
      <c r="I545" s="454" t="s">
        <v>38</v>
      </c>
      <c r="J545" s="507" t="s">
        <v>3747</v>
      </c>
      <c r="K545" s="507" t="s">
        <v>748</v>
      </c>
      <c r="L545" s="507" t="s">
        <v>748</v>
      </c>
      <c r="M545" s="608" t="s">
        <v>748</v>
      </c>
      <c r="N545" s="507" t="s">
        <v>748</v>
      </c>
      <c r="O545" s="507" t="s">
        <v>1951</v>
      </c>
      <c r="P545" s="534"/>
      <c r="Q545" s="534"/>
      <c r="R545" s="534"/>
      <c r="S545" s="535"/>
      <c r="T545" s="535"/>
      <c r="U545" s="535"/>
      <c r="V545" s="535"/>
      <c r="W545" s="535"/>
      <c r="X545" s="535"/>
      <c r="Y545" s="535"/>
      <c r="Z545" s="535"/>
    </row>
    <row r="546" spans="1:26" ht="13.5" customHeight="1">
      <c r="A546" s="419"/>
      <c r="B546" s="931"/>
      <c r="C546" s="271"/>
      <c r="D546" s="271"/>
      <c r="E546" s="271"/>
      <c r="F546" s="271"/>
      <c r="G546" s="271"/>
      <c r="H546" s="271"/>
      <c r="I546" s="454"/>
      <c r="J546" s="75"/>
      <c r="K546" s="87"/>
      <c r="L546" s="87"/>
      <c r="M546" s="87"/>
      <c r="N546" s="87"/>
      <c r="O546" s="198"/>
      <c r="P546" s="146"/>
      <c r="Q546" s="146"/>
      <c r="R546" s="146"/>
      <c r="S546" s="149"/>
      <c r="T546" s="149"/>
      <c r="U546" s="149"/>
      <c r="V546" s="149"/>
      <c r="W546" s="149"/>
      <c r="X546" s="149"/>
      <c r="Y546" s="149"/>
      <c r="Z546" s="149"/>
    </row>
    <row r="547" spans="1:26" ht="102" customHeight="1">
      <c r="A547" s="799" t="s">
        <v>736</v>
      </c>
      <c r="B547" s="800" t="s">
        <v>181</v>
      </c>
      <c r="C547" s="553">
        <v>0.5</v>
      </c>
      <c r="D547" s="506">
        <v>0</v>
      </c>
      <c r="E547" s="506">
        <v>0</v>
      </c>
      <c r="F547" s="506">
        <v>0</v>
      </c>
      <c r="G547" s="506">
        <v>0.5</v>
      </c>
      <c r="H547" s="506">
        <v>0</v>
      </c>
      <c r="I547" s="438" t="s">
        <v>3582</v>
      </c>
      <c r="J547" s="507" t="s">
        <v>1952</v>
      </c>
      <c r="K547" s="507" t="s">
        <v>4942</v>
      </c>
      <c r="L547" s="507" t="s">
        <v>3752</v>
      </c>
      <c r="M547" s="507" t="s">
        <v>4943</v>
      </c>
      <c r="N547" s="608" t="s">
        <v>4944</v>
      </c>
      <c r="O547" s="551" t="s">
        <v>748</v>
      </c>
      <c r="P547" s="146"/>
      <c r="Q547" s="146"/>
      <c r="R547" s="146"/>
      <c r="S547" s="149"/>
      <c r="T547" s="149"/>
      <c r="U547" s="149"/>
      <c r="V547" s="149"/>
      <c r="W547" s="149"/>
      <c r="X547" s="149"/>
      <c r="Y547" s="149"/>
      <c r="Z547" s="149"/>
    </row>
    <row r="548" spans="1:26" ht="13.5" customHeight="1">
      <c r="A548" s="2"/>
      <c r="B548" s="952"/>
      <c r="C548" s="271"/>
      <c r="D548" s="271"/>
      <c r="E548" s="271"/>
      <c r="F548" s="271"/>
      <c r="G548" s="271"/>
      <c r="H548" s="271"/>
      <c r="I548" s="485"/>
      <c r="J548" s="291"/>
      <c r="K548" s="953"/>
      <c r="L548" s="953"/>
      <c r="M548" s="291"/>
      <c r="N548" s="953"/>
      <c r="O548" s="953"/>
      <c r="P548" s="15"/>
      <c r="Q548" s="15"/>
      <c r="R548" s="15"/>
      <c r="S548" s="15"/>
      <c r="T548" s="15"/>
      <c r="U548" s="15"/>
      <c r="V548" s="15"/>
      <c r="W548" s="15"/>
      <c r="X548" s="15"/>
      <c r="Y548" s="15"/>
      <c r="Z548" s="15"/>
    </row>
    <row r="549" spans="1:26" ht="105" customHeight="1">
      <c r="A549" s="799" t="s">
        <v>736</v>
      </c>
      <c r="B549" s="800" t="s">
        <v>182</v>
      </c>
      <c r="C549" s="553">
        <v>0</v>
      </c>
      <c r="D549" s="506">
        <v>1</v>
      </c>
      <c r="E549" s="506">
        <v>0</v>
      </c>
      <c r="F549" s="506">
        <v>1</v>
      </c>
      <c r="G549" s="506">
        <v>1</v>
      </c>
      <c r="H549" s="506">
        <v>0.5</v>
      </c>
      <c r="I549" s="438" t="s">
        <v>3582</v>
      </c>
      <c r="J549" s="507" t="s">
        <v>4945</v>
      </c>
      <c r="K549" s="507" t="s">
        <v>811</v>
      </c>
      <c r="L549" s="507" t="s">
        <v>748</v>
      </c>
      <c r="M549" s="608" t="s">
        <v>4946</v>
      </c>
      <c r="N549" s="608" t="s">
        <v>4947</v>
      </c>
      <c r="O549" s="507" t="s">
        <v>3758</v>
      </c>
      <c r="P549" s="146"/>
      <c r="Q549" s="146"/>
      <c r="R549" s="146"/>
      <c r="S549" s="149"/>
      <c r="T549" s="149"/>
      <c r="U549" s="149"/>
      <c r="V549" s="149"/>
      <c r="W549" s="149"/>
      <c r="X549" s="149"/>
      <c r="Y549" s="149"/>
      <c r="Z549" s="149"/>
    </row>
    <row r="550" spans="1:26" ht="12.75" customHeight="1">
      <c r="A550" s="419"/>
      <c r="B550" s="562"/>
      <c r="C550" s="271"/>
      <c r="D550" s="271"/>
      <c r="E550" s="271"/>
      <c r="F550" s="271"/>
      <c r="G550" s="271"/>
      <c r="H550" s="271"/>
      <c r="I550" s="438"/>
      <c r="J550" s="75"/>
      <c r="K550" s="87"/>
      <c r="L550" s="87"/>
      <c r="M550" s="87"/>
      <c r="N550" s="87"/>
      <c r="O550" s="75"/>
      <c r="P550" s="146"/>
      <c r="Q550" s="146"/>
      <c r="R550" s="146"/>
      <c r="S550" s="149"/>
      <c r="T550" s="149"/>
      <c r="U550" s="149"/>
      <c r="V550" s="149"/>
      <c r="W550" s="149"/>
      <c r="X550" s="149"/>
      <c r="Y550" s="149"/>
      <c r="Z550" s="149"/>
    </row>
    <row r="551" spans="1:26" ht="72.75" customHeight="1">
      <c r="A551" s="799" t="s">
        <v>736</v>
      </c>
      <c r="B551" s="800" t="s">
        <v>183</v>
      </c>
      <c r="C551" s="553">
        <v>0</v>
      </c>
      <c r="D551" s="506">
        <v>1</v>
      </c>
      <c r="E551" s="506">
        <v>0</v>
      </c>
      <c r="F551" s="506">
        <v>0.5</v>
      </c>
      <c r="G551" s="506">
        <v>1</v>
      </c>
      <c r="H551" s="506">
        <v>0</v>
      </c>
      <c r="I551" s="438" t="s">
        <v>3582</v>
      </c>
      <c r="J551" s="507" t="s">
        <v>4945</v>
      </c>
      <c r="K551" s="507" t="s">
        <v>811</v>
      </c>
      <c r="L551" s="507" t="s">
        <v>748</v>
      </c>
      <c r="M551" s="507" t="s">
        <v>4948</v>
      </c>
      <c r="N551" s="608" t="s">
        <v>3761</v>
      </c>
      <c r="O551" s="507" t="s">
        <v>4949</v>
      </c>
      <c r="P551" s="149"/>
      <c r="Q551" s="149"/>
      <c r="R551" s="149"/>
      <c r="S551" s="149"/>
      <c r="T551" s="149"/>
      <c r="U551" s="149"/>
      <c r="V551" s="149"/>
      <c r="W551" s="149"/>
      <c r="X551" s="149"/>
      <c r="Y551" s="149"/>
      <c r="Z551" s="149"/>
    </row>
    <row r="552" spans="1:26" ht="13.5" customHeight="1">
      <c r="A552" s="2"/>
      <c r="B552" s="952"/>
      <c r="C552" s="271"/>
      <c r="D552" s="271"/>
      <c r="E552" s="271"/>
      <c r="F552" s="271"/>
      <c r="G552" s="271"/>
      <c r="H552" s="477"/>
      <c r="I552" s="485"/>
      <c r="J552" s="75"/>
      <c r="K552" s="953"/>
      <c r="L552" s="953"/>
      <c r="M552" s="291"/>
      <c r="N552" s="953"/>
      <c r="O552" s="953"/>
      <c r="P552" s="15"/>
      <c r="Q552" s="15"/>
      <c r="R552" s="15"/>
      <c r="S552" s="15"/>
      <c r="T552" s="15"/>
      <c r="U552" s="15"/>
      <c r="V552" s="15"/>
      <c r="W552" s="15"/>
      <c r="X552" s="15"/>
      <c r="Y552" s="15"/>
      <c r="Z552" s="15"/>
    </row>
    <row r="553" spans="1:26" ht="18.75" customHeight="1">
      <c r="A553" s="478">
        <v>2</v>
      </c>
      <c r="B553" s="2608" t="s">
        <v>3763</v>
      </c>
      <c r="C553" s="2600"/>
      <c r="D553" s="2600"/>
      <c r="E553" s="2600"/>
      <c r="F553" s="2600"/>
      <c r="G553" s="2600"/>
      <c r="H553" s="2600"/>
      <c r="I553" s="801"/>
      <c r="J553" s="2610"/>
      <c r="K553" s="2600"/>
      <c r="L553" s="2600"/>
      <c r="M553" s="2600"/>
      <c r="N553" s="2600"/>
      <c r="O553" s="2600"/>
      <c r="P553" s="480"/>
      <c r="Q553" s="480"/>
      <c r="R553" s="480"/>
      <c r="S553" s="479"/>
      <c r="T553" s="479"/>
      <c r="U553" s="479"/>
      <c r="V553" s="479"/>
      <c r="W553" s="479"/>
      <c r="X553" s="479"/>
      <c r="Y553" s="479"/>
      <c r="Z553" s="479"/>
    </row>
    <row r="554" spans="1:26" ht="18" customHeight="1">
      <c r="A554" s="556"/>
      <c r="B554" s="802" t="s">
        <v>732</v>
      </c>
      <c r="C554" s="498">
        <f t="shared" ref="C554:H554" si="77">AVERAGE(C555,C601,C626)</f>
        <v>0.50737995768927313</v>
      </c>
      <c r="D554" s="498">
        <f t="shared" si="77"/>
        <v>0.58526149119714954</v>
      </c>
      <c r="E554" s="498">
        <f t="shared" si="77"/>
        <v>0.3719774630683898</v>
      </c>
      <c r="F554" s="498">
        <f t="shared" si="77"/>
        <v>0.61715347284194311</v>
      </c>
      <c r="G554" s="498">
        <f t="shared" si="77"/>
        <v>0.52070605594768959</v>
      </c>
      <c r="H554" s="498">
        <f t="shared" si="77"/>
        <v>0.41543209734707548</v>
      </c>
      <c r="I554" s="161"/>
      <c r="J554" s="571"/>
      <c r="K554" s="571"/>
      <c r="L554" s="571"/>
      <c r="M554" s="571"/>
      <c r="N554" s="571"/>
      <c r="O554" s="571"/>
      <c r="P554" s="558"/>
      <c r="Q554" s="558"/>
      <c r="R554" s="558"/>
      <c r="S554" s="559"/>
      <c r="T554" s="559"/>
      <c r="U554" s="559"/>
      <c r="V554" s="559"/>
      <c r="W554" s="559"/>
      <c r="X554" s="559"/>
      <c r="Y554" s="559"/>
      <c r="Z554" s="559"/>
    </row>
    <row r="555" spans="1:26" ht="20.25" customHeight="1">
      <c r="A555" s="483" t="s">
        <v>436</v>
      </c>
      <c r="B555" s="123" t="s">
        <v>529</v>
      </c>
      <c r="C555" s="350">
        <f t="shared" ref="C555:H555" si="78">AVERAGE(C556,C563,C569,C575,C581,C586,C591,C595,C597,C599)</f>
        <v>0.41497209774713661</v>
      </c>
      <c r="D555" s="350">
        <f t="shared" si="78"/>
        <v>0.5762148652979493</v>
      </c>
      <c r="E555" s="350">
        <f t="shared" si="78"/>
        <v>0.47557782634663698</v>
      </c>
      <c r="F555" s="350">
        <f t="shared" si="78"/>
        <v>0.63861857672088262</v>
      </c>
      <c r="G555" s="350">
        <f t="shared" si="78"/>
        <v>0.44601485373657468</v>
      </c>
      <c r="H555" s="350">
        <f t="shared" si="78"/>
        <v>0.48473375497897875</v>
      </c>
      <c r="I555" s="161"/>
      <c r="J555" s="163"/>
      <c r="K555" s="163"/>
      <c r="L555" s="163"/>
      <c r="M555" s="163"/>
      <c r="N555" s="163"/>
      <c r="O555" s="163"/>
      <c r="P555" s="165"/>
      <c r="Q555" s="165"/>
      <c r="R555" s="165"/>
      <c r="S555" s="161"/>
      <c r="T555" s="161"/>
      <c r="U555" s="161"/>
      <c r="V555" s="161"/>
      <c r="W555" s="161"/>
      <c r="X555" s="161"/>
      <c r="Y555" s="161"/>
      <c r="Z555" s="161"/>
    </row>
    <row r="556" spans="1:26" ht="16.5" customHeight="1">
      <c r="A556" s="533" t="s">
        <v>736</v>
      </c>
      <c r="B556" s="504" t="s">
        <v>4950</v>
      </c>
      <c r="C556" s="998">
        <f t="shared" ref="C556:H556" si="79">AVERAGE(C557:C561)</f>
        <v>0.60737606977174696</v>
      </c>
      <c r="D556" s="998">
        <f t="shared" si="79"/>
        <v>0.67485794593420434</v>
      </c>
      <c r="E556" s="998">
        <f t="shared" si="79"/>
        <v>0.91647188449973349</v>
      </c>
      <c r="F556" s="998">
        <f t="shared" si="79"/>
        <v>0.97411312177637899</v>
      </c>
      <c r="G556" s="998">
        <f t="shared" si="79"/>
        <v>0.93518872048124013</v>
      </c>
      <c r="H556" s="998">
        <f t="shared" si="79"/>
        <v>0.86595015067618719</v>
      </c>
      <c r="I556" s="600"/>
      <c r="J556" s="507"/>
      <c r="K556" s="507"/>
      <c r="L556" s="507"/>
      <c r="M556" s="507"/>
      <c r="N556" s="507"/>
      <c r="O556" s="507"/>
      <c r="P556" s="534"/>
      <c r="Q556" s="534"/>
      <c r="R556" s="534"/>
      <c r="S556" s="535"/>
      <c r="T556" s="535"/>
      <c r="U556" s="535"/>
      <c r="V556" s="535"/>
      <c r="W556" s="535"/>
      <c r="X556" s="535"/>
      <c r="Y556" s="535"/>
      <c r="Z556" s="535"/>
    </row>
    <row r="557" spans="1:26" ht="16.5" customHeight="1">
      <c r="A557" s="533"/>
      <c r="B557" s="993" t="s">
        <v>530</v>
      </c>
      <c r="C557" s="998">
        <f t="shared" ref="C557:H557" si="80">1-(J557-5)/(160-5)</f>
        <v>0.30967741935483872</v>
      </c>
      <c r="D557" s="998">
        <f t="shared" si="80"/>
        <v>0.46451612903225803</v>
      </c>
      <c r="E557" s="998">
        <f t="shared" si="80"/>
        <v>0.97419354838709682</v>
      </c>
      <c r="F557" s="998">
        <f t="shared" si="80"/>
        <v>0.98709677419354835</v>
      </c>
      <c r="G557" s="998">
        <f t="shared" si="80"/>
        <v>0.967741935483871</v>
      </c>
      <c r="H557" s="998">
        <f t="shared" si="80"/>
        <v>0.91612903225806452</v>
      </c>
      <c r="I557" s="600" t="s">
        <v>4951</v>
      </c>
      <c r="J557" s="507">
        <v>112</v>
      </c>
      <c r="K557" s="507">
        <v>88</v>
      </c>
      <c r="L557" s="507">
        <v>9</v>
      </c>
      <c r="M557" s="507">
        <v>7</v>
      </c>
      <c r="N557" s="507">
        <v>10</v>
      </c>
      <c r="O557" s="507">
        <v>18</v>
      </c>
      <c r="P557" s="534"/>
      <c r="Q557" s="534"/>
      <c r="R557" s="534"/>
      <c r="S557" s="535"/>
      <c r="T557" s="535"/>
      <c r="U557" s="535"/>
      <c r="V557" s="535"/>
      <c r="W557" s="535"/>
      <c r="X557" s="535"/>
      <c r="Y557" s="535"/>
      <c r="Z557" s="535"/>
    </row>
    <row r="558" spans="1:26" ht="16.5" customHeight="1">
      <c r="A558" s="533"/>
      <c r="B558" s="993" t="s">
        <v>531</v>
      </c>
      <c r="C558" s="998">
        <f t="shared" ref="C558:H558" si="81">1-(J558-2)/(55-2)</f>
        <v>0.58490566037735847</v>
      </c>
      <c r="D558" s="998">
        <f t="shared" si="81"/>
        <v>0.86792452830188682</v>
      </c>
      <c r="E558" s="998">
        <f t="shared" si="81"/>
        <v>0.94339622641509435</v>
      </c>
      <c r="F558" s="998">
        <f t="shared" si="81"/>
        <v>1</v>
      </c>
      <c r="G558" s="998">
        <f t="shared" si="81"/>
        <v>0.8867924528301887</v>
      </c>
      <c r="H558" s="998">
        <f t="shared" si="81"/>
        <v>0.8867924528301887</v>
      </c>
      <c r="I558" s="999" t="s">
        <v>3766</v>
      </c>
      <c r="J558" s="507">
        <v>24</v>
      </c>
      <c r="K558" s="507">
        <v>9</v>
      </c>
      <c r="L558" s="507">
        <v>5</v>
      </c>
      <c r="M558" s="507">
        <v>2</v>
      </c>
      <c r="N558" s="507">
        <v>8</v>
      </c>
      <c r="O558" s="507">
        <v>8</v>
      </c>
      <c r="P558" s="534"/>
      <c r="Q558" s="534"/>
      <c r="R558" s="534"/>
      <c r="S558" s="535"/>
      <c r="T558" s="535"/>
      <c r="U558" s="535"/>
      <c r="V558" s="535"/>
      <c r="W558" s="535"/>
      <c r="X558" s="535"/>
      <c r="Y558" s="535"/>
      <c r="Z558" s="535"/>
    </row>
    <row r="559" spans="1:26" ht="16.5" customHeight="1">
      <c r="A559" s="533"/>
      <c r="B559" s="993" t="s">
        <v>532</v>
      </c>
      <c r="C559" s="998">
        <f t="shared" ref="C559:H559" si="82">1-(J559-2)/(12-2)</f>
        <v>0.30000000000000004</v>
      </c>
      <c r="D559" s="998">
        <f t="shared" si="82"/>
        <v>0.5</v>
      </c>
      <c r="E559" s="998">
        <f t="shared" si="82"/>
        <v>0.7</v>
      </c>
      <c r="F559" s="998">
        <f t="shared" si="82"/>
        <v>1</v>
      </c>
      <c r="G559" s="998">
        <f t="shared" si="82"/>
        <v>0.9</v>
      </c>
      <c r="H559" s="998">
        <f t="shared" si="82"/>
        <v>0.6</v>
      </c>
      <c r="I559" s="999" t="s">
        <v>3767</v>
      </c>
      <c r="J559" s="507">
        <v>9</v>
      </c>
      <c r="K559" s="507">
        <v>7</v>
      </c>
      <c r="L559" s="507">
        <v>5</v>
      </c>
      <c r="M559" s="507">
        <v>2</v>
      </c>
      <c r="N559" s="507">
        <v>3</v>
      </c>
      <c r="O559" s="507">
        <v>6</v>
      </c>
      <c r="P559" s="534"/>
      <c r="Q559" s="534"/>
      <c r="R559" s="534"/>
      <c r="S559" s="535"/>
      <c r="T559" s="535"/>
      <c r="U559" s="535"/>
      <c r="V559" s="535"/>
      <c r="W559" s="535"/>
      <c r="X559" s="535"/>
      <c r="Y559" s="535"/>
      <c r="Z559" s="535"/>
    </row>
    <row r="560" spans="1:26" ht="16.5" customHeight="1">
      <c r="A560" s="533"/>
      <c r="B560" s="993" t="s">
        <v>533</v>
      </c>
      <c r="C560" s="998">
        <f t="shared" ref="C560:H560" si="83">1-(J560-0)/(36.9-0)</f>
        <v>0.8807588075880759</v>
      </c>
      <c r="D560" s="998">
        <f t="shared" si="83"/>
        <v>0.75338753387533874</v>
      </c>
      <c r="E560" s="998">
        <f t="shared" si="83"/>
        <v>0.964769647696477</v>
      </c>
      <c r="F560" s="998">
        <f t="shared" si="83"/>
        <v>0.88346883468834692</v>
      </c>
      <c r="G560" s="998">
        <f t="shared" si="83"/>
        <v>0.92140921409214094</v>
      </c>
      <c r="H560" s="998">
        <f t="shared" si="83"/>
        <v>0.92682926829268286</v>
      </c>
      <c r="I560" s="600" t="s">
        <v>3768</v>
      </c>
      <c r="J560" s="507">
        <v>4.4000000000000004</v>
      </c>
      <c r="K560" s="507">
        <v>9.1</v>
      </c>
      <c r="L560" s="507">
        <v>1.3</v>
      </c>
      <c r="M560" s="507">
        <v>4.3</v>
      </c>
      <c r="N560" s="507">
        <v>2.9</v>
      </c>
      <c r="O560" s="507">
        <v>2.7</v>
      </c>
      <c r="P560" s="534"/>
      <c r="Q560" s="534"/>
      <c r="R560" s="534"/>
      <c r="S560" s="535"/>
      <c r="T560" s="535"/>
      <c r="U560" s="535"/>
      <c r="V560" s="535"/>
      <c r="W560" s="535"/>
      <c r="X560" s="535"/>
      <c r="Y560" s="535"/>
      <c r="Z560" s="535"/>
    </row>
    <row r="561" spans="1:26" ht="16.5" customHeight="1">
      <c r="A561" s="533"/>
      <c r="B561" s="993" t="s">
        <v>534</v>
      </c>
      <c r="C561" s="998">
        <f t="shared" ref="C561:H561" si="84">1-(J561-0)/(46.8-0)</f>
        <v>0.96153846153846156</v>
      </c>
      <c r="D561" s="998">
        <f t="shared" si="84"/>
        <v>0.78846153846153844</v>
      </c>
      <c r="E561" s="998">
        <f t="shared" si="84"/>
        <v>1</v>
      </c>
      <c r="F561" s="998">
        <f t="shared" si="84"/>
        <v>1</v>
      </c>
      <c r="G561" s="998">
        <f t="shared" si="84"/>
        <v>1</v>
      </c>
      <c r="H561" s="998">
        <f t="shared" si="84"/>
        <v>1</v>
      </c>
      <c r="I561" s="600" t="s">
        <v>3769</v>
      </c>
      <c r="J561" s="507">
        <v>1.8</v>
      </c>
      <c r="K561" s="507">
        <v>9.9</v>
      </c>
      <c r="L561" s="507">
        <v>0</v>
      </c>
      <c r="M561" s="507">
        <v>0</v>
      </c>
      <c r="N561" s="507">
        <v>0</v>
      </c>
      <c r="O561" s="507">
        <v>0</v>
      </c>
      <c r="P561" s="534"/>
      <c r="Q561" s="534"/>
      <c r="R561" s="534"/>
      <c r="S561" s="535"/>
      <c r="T561" s="535"/>
      <c r="U561" s="535"/>
      <c r="V561" s="535"/>
      <c r="W561" s="535"/>
      <c r="X561" s="535"/>
      <c r="Y561" s="535"/>
      <c r="Z561" s="535"/>
    </row>
    <row r="562" spans="1:26" ht="13.5" customHeight="1">
      <c r="A562" s="143"/>
      <c r="B562" s="144"/>
      <c r="C562" s="1000"/>
      <c r="D562" s="1000"/>
      <c r="E562" s="1000"/>
      <c r="F562" s="1000"/>
      <c r="G562" s="1000"/>
      <c r="H562" s="1000"/>
      <c r="I562" s="600"/>
      <c r="J562" s="75"/>
      <c r="K562" s="75"/>
      <c r="L562" s="75"/>
      <c r="M562" s="75"/>
      <c r="N562" s="75"/>
      <c r="O562" s="75"/>
      <c r="P562" s="146"/>
      <c r="Q562" s="146"/>
      <c r="R562" s="146"/>
      <c r="S562" s="149"/>
      <c r="T562" s="149"/>
      <c r="U562" s="149"/>
      <c r="V562" s="149"/>
      <c r="W562" s="149"/>
      <c r="X562" s="149"/>
      <c r="Y562" s="149"/>
      <c r="Z562" s="149"/>
    </row>
    <row r="563" spans="1:26" ht="30.75" customHeight="1">
      <c r="A563" s="533" t="s">
        <v>736</v>
      </c>
      <c r="B563" s="504" t="s">
        <v>4952</v>
      </c>
      <c r="C563" s="998">
        <f t="shared" ref="C563:H563" si="85">AVERAGE(C564:C567)</f>
        <v>0.25383973253711262</v>
      </c>
      <c r="D563" s="998">
        <f t="shared" si="85"/>
        <v>0.68635810530152286</v>
      </c>
      <c r="E563" s="998">
        <f t="shared" si="85"/>
        <v>0.45135893531296595</v>
      </c>
      <c r="F563" s="998">
        <f t="shared" si="85"/>
        <v>0.63396245987355793</v>
      </c>
      <c r="G563" s="998">
        <f t="shared" si="85"/>
        <v>0.86059891781263587</v>
      </c>
      <c r="H563" s="998">
        <f t="shared" si="85"/>
        <v>0.68485106643559146</v>
      </c>
      <c r="I563" s="600"/>
      <c r="J563" s="507"/>
      <c r="K563" s="507"/>
      <c r="L563" s="507"/>
      <c r="M563" s="507"/>
      <c r="N563" s="507"/>
      <c r="O563" s="507"/>
      <c r="P563" s="534"/>
      <c r="Q563" s="534"/>
      <c r="R563" s="534"/>
      <c r="S563" s="535"/>
      <c r="T563" s="535"/>
      <c r="U563" s="535"/>
      <c r="V563" s="535"/>
      <c r="W563" s="535"/>
      <c r="X563" s="535"/>
      <c r="Y563" s="535"/>
      <c r="Z563" s="535"/>
    </row>
    <row r="564" spans="1:26" ht="30.75" customHeight="1">
      <c r="A564" s="533"/>
      <c r="B564" s="993" t="s">
        <v>530</v>
      </c>
      <c r="C564" s="998">
        <f t="shared" ref="C564:H564" si="86">1-(J564-33)/(183-33)</f>
        <v>0.18000000000000005</v>
      </c>
      <c r="D564" s="998">
        <f t="shared" si="86"/>
        <v>0.61333333333333329</v>
      </c>
      <c r="E564" s="998">
        <f t="shared" si="86"/>
        <v>0.67333333333333334</v>
      </c>
      <c r="F564" s="998">
        <f t="shared" si="86"/>
        <v>0.49333333333333329</v>
      </c>
      <c r="G564" s="998">
        <f t="shared" si="86"/>
        <v>0.80666666666666664</v>
      </c>
      <c r="H564" s="998">
        <f t="shared" si="86"/>
        <v>0.58666666666666667</v>
      </c>
      <c r="I564" s="600" t="s">
        <v>3771</v>
      </c>
      <c r="J564" s="507">
        <v>156</v>
      </c>
      <c r="K564" s="507">
        <v>91</v>
      </c>
      <c r="L564" s="507">
        <v>82</v>
      </c>
      <c r="M564" s="507">
        <v>109</v>
      </c>
      <c r="N564" s="507">
        <v>62</v>
      </c>
      <c r="O564" s="507">
        <v>95</v>
      </c>
      <c r="P564" s="534"/>
      <c r="Q564" s="534"/>
      <c r="R564" s="534"/>
      <c r="S564" s="535"/>
      <c r="T564" s="535"/>
      <c r="U564" s="535"/>
      <c r="V564" s="535"/>
      <c r="W564" s="535"/>
      <c r="X564" s="535"/>
      <c r="Y564" s="535"/>
      <c r="Z564" s="535"/>
    </row>
    <row r="565" spans="1:26" ht="30.75" customHeight="1">
      <c r="A565" s="533"/>
      <c r="B565" s="993" t="s">
        <v>536</v>
      </c>
      <c r="C565" s="998">
        <f t="shared" ref="C565:H565" si="87">(J565-0)/(55.3-0)</f>
        <v>0.16094032549728754</v>
      </c>
      <c r="D565" s="998">
        <f t="shared" si="87"/>
        <v>0.5660036166365281</v>
      </c>
      <c r="E565" s="998">
        <f t="shared" si="87"/>
        <v>0.60578661844484627</v>
      </c>
      <c r="F565" s="998">
        <f t="shared" si="87"/>
        <v>0.46112115732368897</v>
      </c>
      <c r="G565" s="998">
        <f t="shared" si="87"/>
        <v>0.72875226039783003</v>
      </c>
      <c r="H565" s="998">
        <f t="shared" si="87"/>
        <v>0.53707052441229652</v>
      </c>
      <c r="I565" s="600" t="s">
        <v>3772</v>
      </c>
      <c r="J565" s="507">
        <v>8.9</v>
      </c>
      <c r="K565" s="507">
        <v>31.3</v>
      </c>
      <c r="L565" s="507">
        <v>33.5</v>
      </c>
      <c r="M565" s="507">
        <v>25.5</v>
      </c>
      <c r="N565" s="507">
        <v>40.299999999999997</v>
      </c>
      <c r="O565" s="507">
        <v>29.7</v>
      </c>
      <c r="P565" s="534"/>
      <c r="Q565" s="534"/>
      <c r="R565" s="534"/>
      <c r="S565" s="535"/>
      <c r="T565" s="535"/>
      <c r="U565" s="535"/>
      <c r="V565" s="535"/>
      <c r="W565" s="535"/>
      <c r="X565" s="535"/>
      <c r="Y565" s="535"/>
      <c r="Z565" s="535"/>
    </row>
    <row r="566" spans="1:26" ht="30.75" customHeight="1">
      <c r="A566" s="1001"/>
      <c r="B566" s="993" t="s">
        <v>537</v>
      </c>
      <c r="C566" s="998">
        <f t="shared" ref="C566:H566" si="88">1-(J566-1.5)/(5.8-1.5)</f>
        <v>0.67441860465116288</v>
      </c>
      <c r="D566" s="998">
        <f t="shared" si="88"/>
        <v>0.69767441860465118</v>
      </c>
      <c r="E566" s="998">
        <f t="shared" si="88"/>
        <v>0</v>
      </c>
      <c r="F566" s="998">
        <f t="shared" si="88"/>
        <v>0.58139534883720934</v>
      </c>
      <c r="G566" s="998">
        <f t="shared" si="88"/>
        <v>0.90697674418604657</v>
      </c>
      <c r="H566" s="998">
        <f t="shared" si="88"/>
        <v>0.72093023255813948</v>
      </c>
      <c r="I566" s="999" t="s">
        <v>3773</v>
      </c>
      <c r="J566" s="507">
        <v>2.9</v>
      </c>
      <c r="K566" s="507">
        <v>2.8</v>
      </c>
      <c r="L566" s="507">
        <v>5.8</v>
      </c>
      <c r="M566" s="507">
        <v>3.3</v>
      </c>
      <c r="N566" s="507">
        <v>1.9</v>
      </c>
      <c r="O566" s="507">
        <v>2.7</v>
      </c>
      <c r="P566" s="809"/>
      <c r="Q566" s="809"/>
      <c r="R566" s="809"/>
      <c r="S566" s="1002"/>
      <c r="T566" s="1002"/>
      <c r="U566" s="1002"/>
      <c r="V566" s="1002"/>
      <c r="W566" s="1002"/>
      <c r="X566" s="1002"/>
      <c r="Y566" s="1002"/>
      <c r="Z566" s="1002"/>
    </row>
    <row r="567" spans="1:26" ht="30.75" customHeight="1">
      <c r="A567" s="533"/>
      <c r="B567" s="993" t="s">
        <v>538</v>
      </c>
      <c r="C567" s="998">
        <f t="shared" ref="C567:H567" si="89">1-(J567-4)/(42-4)</f>
        <v>0</v>
      </c>
      <c r="D567" s="998">
        <f t="shared" si="89"/>
        <v>0.86842105263157898</v>
      </c>
      <c r="E567" s="998">
        <f t="shared" si="89"/>
        <v>0.52631578947368429</v>
      </c>
      <c r="F567" s="998">
        <f t="shared" si="89"/>
        <v>1</v>
      </c>
      <c r="G567" s="998">
        <f t="shared" si="89"/>
        <v>1</v>
      </c>
      <c r="H567" s="998">
        <f t="shared" si="89"/>
        <v>0.89473684210526316</v>
      </c>
      <c r="I567" s="600" t="s">
        <v>1976</v>
      </c>
      <c r="J567" s="507">
        <v>42</v>
      </c>
      <c r="K567" s="507">
        <v>9</v>
      </c>
      <c r="L567" s="507">
        <v>22</v>
      </c>
      <c r="M567" s="507">
        <v>4</v>
      </c>
      <c r="N567" s="507">
        <v>4</v>
      </c>
      <c r="O567" s="507">
        <v>8</v>
      </c>
      <c r="P567" s="534"/>
      <c r="Q567" s="534"/>
      <c r="R567" s="534"/>
      <c r="S567" s="535"/>
      <c r="T567" s="535"/>
      <c r="U567" s="535"/>
      <c r="V567" s="535"/>
      <c r="W567" s="535"/>
      <c r="X567" s="535"/>
      <c r="Y567" s="535"/>
      <c r="Z567" s="535"/>
    </row>
    <row r="568" spans="1:26" ht="13.5" customHeight="1">
      <c r="A568" s="143"/>
      <c r="B568" s="144"/>
      <c r="C568" s="1000"/>
      <c r="D568" s="1000"/>
      <c r="E568" s="1000"/>
      <c r="F568" s="1000"/>
      <c r="G568" s="1000"/>
      <c r="H568" s="1000"/>
      <c r="I568" s="999"/>
      <c r="J568" s="75"/>
      <c r="K568" s="75"/>
      <c r="L568" s="75"/>
      <c r="M568" s="75"/>
      <c r="N568" s="75"/>
      <c r="O568" s="75"/>
      <c r="P568" s="146"/>
      <c r="Q568" s="146"/>
      <c r="R568" s="146"/>
      <c r="S568" s="149"/>
      <c r="T568" s="149"/>
      <c r="U568" s="149"/>
      <c r="V568" s="149"/>
      <c r="W568" s="149"/>
      <c r="X568" s="149"/>
      <c r="Y568" s="149"/>
      <c r="Z568" s="149"/>
    </row>
    <row r="569" spans="1:26" ht="27" customHeight="1">
      <c r="A569" s="533" t="s">
        <v>736</v>
      </c>
      <c r="B569" s="504" t="s">
        <v>4953</v>
      </c>
      <c r="C569" s="998">
        <f t="shared" ref="C569:H569" si="90">AVERAGE(C570:C573)</f>
        <v>0.16566644789017418</v>
      </c>
      <c r="D569" s="998">
        <f t="shared" si="90"/>
        <v>0.71729164409490298</v>
      </c>
      <c r="E569" s="998">
        <f t="shared" si="90"/>
        <v>0.41407988306312976</v>
      </c>
      <c r="F569" s="998">
        <f t="shared" si="90"/>
        <v>0.85634465501681845</v>
      </c>
      <c r="G569" s="998">
        <f t="shared" si="90"/>
        <v>0.50655521277788318</v>
      </c>
      <c r="H569" s="998">
        <f t="shared" si="90"/>
        <v>0.75326931615854376</v>
      </c>
      <c r="I569" s="600"/>
      <c r="J569" s="507"/>
      <c r="K569" s="507"/>
      <c r="L569" s="507"/>
      <c r="M569" s="507"/>
      <c r="N569" s="507"/>
      <c r="O569" s="507"/>
      <c r="P569" s="534"/>
      <c r="Q569" s="534"/>
      <c r="R569" s="534"/>
      <c r="S569" s="535"/>
      <c r="T569" s="535"/>
      <c r="U569" s="535"/>
      <c r="V569" s="535"/>
      <c r="W569" s="535"/>
      <c r="X569" s="535"/>
      <c r="Y569" s="535"/>
      <c r="Z569" s="535"/>
    </row>
    <row r="570" spans="1:26" ht="27" customHeight="1">
      <c r="A570" s="533"/>
      <c r="B570" s="993" t="s">
        <v>530</v>
      </c>
      <c r="C570" s="998">
        <f t="shared" ref="C570:H570" si="91">1-(J570-30)/(183-30)</f>
        <v>1.3071895424836555E-2</v>
      </c>
      <c r="D570" s="998">
        <f t="shared" si="91"/>
        <v>0.65359477124183007</v>
      </c>
      <c r="E570" s="998">
        <f t="shared" si="91"/>
        <v>0.17647058823529416</v>
      </c>
      <c r="F570" s="998">
        <f t="shared" si="91"/>
        <v>0.92156862745098045</v>
      </c>
      <c r="G570" s="998">
        <f t="shared" si="91"/>
        <v>0.19607843137254899</v>
      </c>
      <c r="H570" s="998">
        <f t="shared" si="91"/>
        <v>0.66666666666666674</v>
      </c>
      <c r="I570" s="600" t="s">
        <v>3775</v>
      </c>
      <c r="J570" s="507">
        <v>181</v>
      </c>
      <c r="K570" s="507">
        <v>83</v>
      </c>
      <c r="L570" s="507">
        <v>156</v>
      </c>
      <c r="M570" s="507">
        <v>42</v>
      </c>
      <c r="N570" s="507">
        <v>153</v>
      </c>
      <c r="O570" s="507">
        <v>81</v>
      </c>
      <c r="P570" s="534"/>
      <c r="Q570" s="534"/>
      <c r="R570" s="534"/>
      <c r="S570" s="535"/>
      <c r="T570" s="535"/>
      <c r="U570" s="535"/>
      <c r="V570" s="535"/>
      <c r="W570" s="535"/>
      <c r="X570" s="535"/>
      <c r="Y570" s="535"/>
      <c r="Z570" s="535"/>
    </row>
    <row r="571" spans="1:26" ht="27" customHeight="1">
      <c r="A571" s="533"/>
      <c r="B571" s="993" t="s">
        <v>540</v>
      </c>
      <c r="C571" s="998">
        <f t="shared" ref="C571:H571" si="92">1-(J571-81)/(798-81)</f>
        <v>0.19665271966527198</v>
      </c>
      <c r="D571" s="998">
        <f t="shared" si="92"/>
        <v>0.79497907949790791</v>
      </c>
      <c r="E571" s="998">
        <f t="shared" si="92"/>
        <v>0.20083682008368198</v>
      </c>
      <c r="F571" s="998">
        <f t="shared" si="92"/>
        <v>0.57322175732217573</v>
      </c>
      <c r="G571" s="998">
        <f t="shared" si="92"/>
        <v>0.41562064156206413</v>
      </c>
      <c r="H571" s="998">
        <f t="shared" si="92"/>
        <v>0.79916317991631802</v>
      </c>
      <c r="I571" s="600" t="s">
        <v>3776</v>
      </c>
      <c r="J571" s="507">
        <v>657</v>
      </c>
      <c r="K571" s="507">
        <v>228</v>
      </c>
      <c r="L571" s="507">
        <v>654</v>
      </c>
      <c r="M571" s="507">
        <v>387</v>
      </c>
      <c r="N571" s="507">
        <v>500</v>
      </c>
      <c r="O571" s="507">
        <v>225</v>
      </c>
      <c r="P571" s="534"/>
      <c r="Q571" s="534"/>
      <c r="R571" s="534"/>
      <c r="S571" s="535"/>
      <c r="T571" s="535"/>
      <c r="U571" s="535"/>
      <c r="V571" s="535"/>
      <c r="W571" s="535"/>
      <c r="X571" s="535"/>
      <c r="Y571" s="535"/>
      <c r="Z571" s="535"/>
    </row>
    <row r="572" spans="1:26" ht="27" customHeight="1">
      <c r="A572" s="1001"/>
      <c r="B572" s="993" t="s">
        <v>541</v>
      </c>
      <c r="C572" s="998">
        <f t="shared" ref="C572:H572" si="93">1-(J572-4)/(135-4)</f>
        <v>0</v>
      </c>
      <c r="D572" s="998">
        <f t="shared" si="93"/>
        <v>0.66412213740458015</v>
      </c>
      <c r="E572" s="998">
        <f t="shared" si="93"/>
        <v>0.89312977099236646</v>
      </c>
      <c r="F572" s="998">
        <f t="shared" si="93"/>
        <v>1</v>
      </c>
      <c r="G572" s="998">
        <f t="shared" si="93"/>
        <v>0.7709923664122138</v>
      </c>
      <c r="H572" s="998">
        <f t="shared" si="93"/>
        <v>0.89312977099236646</v>
      </c>
      <c r="I572" s="999" t="s">
        <v>3777</v>
      </c>
      <c r="J572" s="507">
        <v>135</v>
      </c>
      <c r="K572" s="507">
        <v>48</v>
      </c>
      <c r="L572" s="507">
        <v>18</v>
      </c>
      <c r="M572" s="507">
        <v>4</v>
      </c>
      <c r="N572" s="507">
        <v>34</v>
      </c>
      <c r="O572" s="507">
        <v>18</v>
      </c>
      <c r="P572" s="534"/>
      <c r="Q572" s="534"/>
      <c r="R572" s="534"/>
      <c r="S572" s="535"/>
      <c r="T572" s="535"/>
      <c r="U572" s="535"/>
      <c r="V572" s="535"/>
      <c r="W572" s="535"/>
      <c r="X572" s="535"/>
      <c r="Y572" s="535"/>
      <c r="Z572" s="535"/>
    </row>
    <row r="573" spans="1:26" ht="27" customHeight="1">
      <c r="A573" s="533"/>
      <c r="B573" s="993" t="s">
        <v>542</v>
      </c>
      <c r="C573" s="998">
        <f t="shared" ref="C573:H573" si="94">1-(J573-10.6)/(95.6-10.6)</f>
        <v>0.45294117647058818</v>
      </c>
      <c r="D573" s="998">
        <f t="shared" si="94"/>
        <v>0.75647058823529412</v>
      </c>
      <c r="E573" s="998">
        <f t="shared" si="94"/>
        <v>0.38588235294117657</v>
      </c>
      <c r="F573" s="998">
        <f t="shared" si="94"/>
        <v>0.93058823529411761</v>
      </c>
      <c r="G573" s="998">
        <f t="shared" si="94"/>
        <v>0.64352941176470591</v>
      </c>
      <c r="H573" s="998">
        <f t="shared" si="94"/>
        <v>0.65411764705882347</v>
      </c>
      <c r="I573" s="600" t="s">
        <v>3778</v>
      </c>
      <c r="J573" s="507">
        <v>57.1</v>
      </c>
      <c r="K573" s="507">
        <v>31.3</v>
      </c>
      <c r="L573" s="507">
        <v>62.8</v>
      </c>
      <c r="M573" s="507">
        <v>16.5</v>
      </c>
      <c r="N573" s="507">
        <v>40.9</v>
      </c>
      <c r="O573" s="507">
        <v>40</v>
      </c>
      <c r="P573" s="534"/>
      <c r="Q573" s="534"/>
      <c r="R573" s="534"/>
      <c r="S573" s="535"/>
      <c r="T573" s="535"/>
      <c r="U573" s="535"/>
      <c r="V573" s="535"/>
      <c r="W573" s="535"/>
      <c r="X573" s="535"/>
      <c r="Y573" s="535"/>
      <c r="Z573" s="535"/>
    </row>
    <row r="574" spans="1:26" ht="13.5" customHeight="1">
      <c r="A574" s="143"/>
      <c r="B574" s="144"/>
      <c r="C574" s="910"/>
      <c r="D574" s="910"/>
      <c r="E574" s="910"/>
      <c r="F574" s="910"/>
      <c r="G574" s="910"/>
      <c r="H574" s="910"/>
      <c r="I574" s="600"/>
      <c r="J574" s="75"/>
      <c r="K574" s="75"/>
      <c r="L574" s="75"/>
      <c r="M574" s="75"/>
      <c r="N574" s="75"/>
      <c r="O574" s="75"/>
      <c r="P574" s="146"/>
      <c r="Q574" s="146"/>
      <c r="R574" s="146"/>
      <c r="S574" s="149"/>
      <c r="T574" s="149"/>
      <c r="U574" s="149"/>
      <c r="V574" s="149"/>
      <c r="W574" s="149"/>
      <c r="X574" s="149"/>
      <c r="Y574" s="149"/>
      <c r="Z574" s="149"/>
    </row>
    <row r="575" spans="1:26" ht="49.5" customHeight="1">
      <c r="A575" s="533" t="s">
        <v>736</v>
      </c>
      <c r="B575" s="504" t="s">
        <v>4954</v>
      </c>
      <c r="C575" s="998">
        <f t="shared" ref="C575:H575" si="95">AVERAGE(C576:C579)</f>
        <v>0.6170784861646873</v>
      </c>
      <c r="D575" s="998">
        <f t="shared" si="95"/>
        <v>0.76093109139610304</v>
      </c>
      <c r="E575" s="998">
        <f t="shared" si="95"/>
        <v>0.85833267694814697</v>
      </c>
      <c r="F575" s="998">
        <f t="shared" si="95"/>
        <v>0.66654132283666168</v>
      </c>
      <c r="G575" s="998">
        <f t="shared" si="95"/>
        <v>0.47417278735127727</v>
      </c>
      <c r="H575" s="998">
        <f t="shared" si="95"/>
        <v>0.77253981255011916</v>
      </c>
      <c r="I575" s="600"/>
      <c r="J575" s="507"/>
      <c r="K575" s="507"/>
      <c r="L575" s="507"/>
      <c r="M575" s="507"/>
      <c r="N575" s="507"/>
      <c r="O575" s="507"/>
      <c r="P575" s="534"/>
      <c r="Q575" s="534"/>
      <c r="R575" s="534"/>
      <c r="S575" s="535"/>
      <c r="T575" s="535"/>
      <c r="U575" s="535"/>
      <c r="V575" s="535"/>
      <c r="W575" s="535"/>
      <c r="X575" s="535"/>
      <c r="Y575" s="535"/>
      <c r="Z575" s="535"/>
    </row>
    <row r="576" spans="1:26" ht="17.25" customHeight="1">
      <c r="A576" s="533"/>
      <c r="B576" s="993" t="s">
        <v>530</v>
      </c>
      <c r="C576" s="998">
        <f t="shared" ref="C576:H576" si="96">1-(J576-12)/(135-12)</f>
        <v>0.73983739837398366</v>
      </c>
      <c r="D576" s="998">
        <f t="shared" si="96"/>
        <v>0.88617886178861793</v>
      </c>
      <c r="E576" s="998">
        <f t="shared" si="96"/>
        <v>0.98373983739837401</v>
      </c>
      <c r="F576" s="998">
        <f t="shared" si="96"/>
        <v>0.7642276422764227</v>
      </c>
      <c r="G576" s="998">
        <f t="shared" si="96"/>
        <v>0.35772357723577231</v>
      </c>
      <c r="H576" s="998">
        <f t="shared" si="96"/>
        <v>0.89430894308943087</v>
      </c>
      <c r="I576" s="600" t="s">
        <v>3780</v>
      </c>
      <c r="J576" s="507">
        <v>44</v>
      </c>
      <c r="K576" s="507">
        <v>26</v>
      </c>
      <c r="L576" s="507">
        <v>14</v>
      </c>
      <c r="M576" s="507">
        <v>41</v>
      </c>
      <c r="N576" s="507">
        <v>91</v>
      </c>
      <c r="O576" s="507">
        <v>25</v>
      </c>
      <c r="P576" s="534"/>
      <c r="Q576" s="534"/>
      <c r="R576" s="534"/>
      <c r="S576" s="535"/>
      <c r="T576" s="535"/>
      <c r="U576" s="535"/>
      <c r="V576" s="535"/>
      <c r="W576" s="535"/>
      <c r="X576" s="535"/>
      <c r="Y576" s="535"/>
      <c r="Z576" s="535"/>
    </row>
    <row r="577" spans="1:26" ht="18.75" customHeight="1">
      <c r="A577" s="533"/>
      <c r="B577" s="993" t="s">
        <v>532</v>
      </c>
      <c r="C577" s="998">
        <f t="shared" ref="C577:H577" si="97">1-(J577-27)/(49-27)</f>
        <v>0.86363636363636365</v>
      </c>
      <c r="D577" s="998">
        <f t="shared" si="97"/>
        <v>0.86363636363636365</v>
      </c>
      <c r="E577" s="998">
        <f t="shared" si="97"/>
        <v>0.90909090909090906</v>
      </c>
      <c r="F577" s="998">
        <f t="shared" si="97"/>
        <v>0.59090909090909083</v>
      </c>
      <c r="G577" s="998">
        <f t="shared" si="97"/>
        <v>0</v>
      </c>
      <c r="H577" s="998">
        <f t="shared" si="97"/>
        <v>0.45454545454545459</v>
      </c>
      <c r="I577" s="600" t="s">
        <v>3781</v>
      </c>
      <c r="J577" s="507">
        <v>30</v>
      </c>
      <c r="K577" s="507">
        <v>30</v>
      </c>
      <c r="L577" s="507">
        <v>29</v>
      </c>
      <c r="M577" s="507">
        <v>36</v>
      </c>
      <c r="N577" s="507">
        <v>49</v>
      </c>
      <c r="O577" s="507">
        <v>39</v>
      </c>
      <c r="P577" s="534"/>
      <c r="Q577" s="534"/>
      <c r="R577" s="534"/>
      <c r="S577" s="535"/>
      <c r="T577" s="535"/>
      <c r="U577" s="535"/>
      <c r="V577" s="535"/>
      <c r="W577" s="535"/>
      <c r="X577" s="535"/>
      <c r="Y577" s="535"/>
      <c r="Z577" s="535"/>
    </row>
    <row r="578" spans="1:26" ht="20.25" customHeight="1">
      <c r="A578" s="533"/>
      <c r="B578" s="993" t="s">
        <v>531</v>
      </c>
      <c r="C578" s="998">
        <f t="shared" ref="C578:H578" si="98">1-(J578-195)/(1290-195)</f>
        <v>0.86484018264840179</v>
      </c>
      <c r="D578" s="998">
        <f t="shared" si="98"/>
        <v>0.85662100456621004</v>
      </c>
      <c r="E578" s="998">
        <f t="shared" si="98"/>
        <v>0.9269406392694064</v>
      </c>
      <c r="F578" s="998">
        <f t="shared" si="98"/>
        <v>0.9178082191780822</v>
      </c>
      <c r="G578" s="998">
        <f t="shared" si="98"/>
        <v>0.77625570776255715</v>
      </c>
      <c r="H578" s="998">
        <f t="shared" si="98"/>
        <v>0.9616438356164384</v>
      </c>
      <c r="I578" s="600" t="s">
        <v>3782</v>
      </c>
      <c r="J578" s="507">
        <v>343</v>
      </c>
      <c r="K578" s="507">
        <v>352</v>
      </c>
      <c r="L578" s="507">
        <v>275</v>
      </c>
      <c r="M578" s="507">
        <v>285</v>
      </c>
      <c r="N578" s="507">
        <v>440</v>
      </c>
      <c r="O578" s="507">
        <v>237</v>
      </c>
      <c r="P578" s="534"/>
      <c r="Q578" s="534"/>
      <c r="R578" s="534"/>
      <c r="S578" s="535"/>
      <c r="T578" s="535"/>
      <c r="U578" s="535"/>
      <c r="V578" s="535"/>
      <c r="W578" s="535"/>
      <c r="X578" s="535"/>
      <c r="Y578" s="535"/>
      <c r="Z578" s="535"/>
    </row>
    <row r="579" spans="1:26" ht="18.75" customHeight="1">
      <c r="A579" s="533"/>
      <c r="B579" s="993" t="s">
        <v>544</v>
      </c>
      <c r="C579" s="998">
        <f t="shared" ref="C579:H579" si="99">1-(J579-12)/(41.5-12)</f>
        <v>0</v>
      </c>
      <c r="D579" s="998">
        <f t="shared" si="99"/>
        <v>0.43728813559322033</v>
      </c>
      <c r="E579" s="998">
        <f t="shared" si="99"/>
        <v>0.6135593220338984</v>
      </c>
      <c r="F579" s="998">
        <f t="shared" si="99"/>
        <v>0.39322033898305087</v>
      </c>
      <c r="G579" s="998">
        <f t="shared" si="99"/>
        <v>0.76271186440677963</v>
      </c>
      <c r="H579" s="998">
        <f t="shared" si="99"/>
        <v>0.77966101694915257</v>
      </c>
      <c r="I579" s="600" t="s">
        <v>3783</v>
      </c>
      <c r="J579" s="507">
        <v>41.5</v>
      </c>
      <c r="K579" s="507">
        <v>28.6</v>
      </c>
      <c r="L579" s="507">
        <v>23.4</v>
      </c>
      <c r="M579" s="507">
        <v>29.9</v>
      </c>
      <c r="N579" s="507">
        <v>19</v>
      </c>
      <c r="O579" s="507">
        <v>18.5</v>
      </c>
      <c r="P579" s="534"/>
      <c r="Q579" s="534"/>
      <c r="R579" s="534"/>
      <c r="S579" s="535"/>
      <c r="T579" s="535"/>
      <c r="U579" s="535"/>
      <c r="V579" s="535"/>
      <c r="W579" s="535"/>
      <c r="X579" s="535"/>
      <c r="Y579" s="535"/>
      <c r="Z579" s="535"/>
    </row>
    <row r="580" spans="1:26" ht="13.5" customHeight="1">
      <c r="A580" s="143"/>
      <c r="B580" s="930"/>
      <c r="C580" s="1000"/>
      <c r="D580" s="1000"/>
      <c r="E580" s="1000"/>
      <c r="F580" s="1000"/>
      <c r="G580" s="1000"/>
      <c r="H580" s="1000"/>
      <c r="I580" s="600"/>
      <c r="J580" s="75"/>
      <c r="K580" s="75"/>
      <c r="L580" s="75"/>
      <c r="M580" s="75"/>
      <c r="N580" s="75"/>
      <c r="O580" s="75"/>
      <c r="P580" s="146"/>
      <c r="Q580" s="146"/>
      <c r="R580" s="146"/>
      <c r="S580" s="149"/>
      <c r="T580" s="149"/>
      <c r="U580" s="149"/>
      <c r="V580" s="149"/>
      <c r="W580" s="149"/>
      <c r="X580" s="149"/>
      <c r="Y580" s="149"/>
      <c r="Z580" s="149"/>
    </row>
    <row r="581" spans="1:26" ht="33" customHeight="1">
      <c r="A581" s="556" t="s">
        <v>736</v>
      </c>
      <c r="B581" s="517" t="s">
        <v>4955</v>
      </c>
      <c r="C581" s="998">
        <f t="shared" ref="C581:H581" si="100">AVERAGE(C582:C584)</f>
        <v>0.61222222222222222</v>
      </c>
      <c r="D581" s="998">
        <f t="shared" si="100"/>
        <v>0.55722222222222217</v>
      </c>
      <c r="E581" s="998">
        <f t="shared" si="100"/>
        <v>0.18777777777777779</v>
      </c>
      <c r="F581" s="998">
        <f t="shared" si="100"/>
        <v>0.77666666666666673</v>
      </c>
      <c r="G581" s="998">
        <f t="shared" si="100"/>
        <v>0.68666666666666665</v>
      </c>
      <c r="H581" s="998">
        <f t="shared" si="100"/>
        <v>0.44611111111111112</v>
      </c>
      <c r="I581" s="600"/>
      <c r="J581" s="507"/>
      <c r="K581" s="499"/>
      <c r="L581" s="499"/>
      <c r="M581" s="499"/>
      <c r="N581" s="499"/>
      <c r="O581" s="499"/>
      <c r="P581" s="558"/>
      <c r="Q581" s="558"/>
      <c r="R581" s="558"/>
      <c r="S581" s="559"/>
      <c r="T581" s="559"/>
      <c r="U581" s="559"/>
      <c r="V581" s="559"/>
      <c r="W581" s="559"/>
      <c r="X581" s="559"/>
      <c r="Y581" s="559"/>
      <c r="Z581" s="559"/>
    </row>
    <row r="582" spans="1:26" ht="33" customHeight="1">
      <c r="A582" s="533"/>
      <c r="B582" s="1003" t="s">
        <v>3785</v>
      </c>
      <c r="C582" s="998">
        <f t="shared" ref="C582:H582" si="101">(J582-1)/(4-1)</f>
        <v>0.66666666666666663</v>
      </c>
      <c r="D582" s="998">
        <f t="shared" si="101"/>
        <v>0.66666666666666663</v>
      </c>
      <c r="E582" s="998">
        <f t="shared" si="101"/>
        <v>0.2233333333333333</v>
      </c>
      <c r="F582" s="998">
        <f t="shared" si="101"/>
        <v>1</v>
      </c>
      <c r="G582" s="998">
        <f t="shared" si="101"/>
        <v>0.89</v>
      </c>
      <c r="H582" s="998">
        <f t="shared" si="101"/>
        <v>0.33333333333333331</v>
      </c>
      <c r="I582" s="600" t="s">
        <v>546</v>
      </c>
      <c r="J582" s="810">
        <v>3</v>
      </c>
      <c r="K582" s="810">
        <v>3</v>
      </c>
      <c r="L582" s="810">
        <v>1.67</v>
      </c>
      <c r="M582" s="810">
        <v>4</v>
      </c>
      <c r="N582" s="810">
        <v>3.67</v>
      </c>
      <c r="O582" s="810">
        <v>2</v>
      </c>
      <c r="P582" s="534"/>
      <c r="Q582" s="534"/>
      <c r="R582" s="534"/>
      <c r="S582" s="535"/>
      <c r="T582" s="535"/>
      <c r="U582" s="535"/>
      <c r="V582" s="535"/>
      <c r="W582" s="535"/>
      <c r="X582" s="535"/>
      <c r="Y582" s="535"/>
      <c r="Z582" s="535"/>
    </row>
    <row r="583" spans="1:26" ht="27.75" customHeight="1">
      <c r="A583" s="533"/>
      <c r="B583" s="1003" t="s">
        <v>3786</v>
      </c>
      <c r="C583" s="998">
        <v>0.84</v>
      </c>
      <c r="D583" s="998">
        <v>0.84</v>
      </c>
      <c r="E583" s="998">
        <v>0.34</v>
      </c>
      <c r="F583" s="998">
        <v>1</v>
      </c>
      <c r="G583" s="998">
        <v>0.84</v>
      </c>
      <c r="H583" s="998">
        <v>0.84</v>
      </c>
      <c r="I583" s="600" t="s">
        <v>548</v>
      </c>
      <c r="J583" s="810">
        <v>4</v>
      </c>
      <c r="K583" s="810">
        <v>4</v>
      </c>
      <c r="L583" s="810">
        <v>2.33</v>
      </c>
      <c r="M583" s="810">
        <v>4</v>
      </c>
      <c r="N583" s="810">
        <v>4</v>
      </c>
      <c r="O583" s="810">
        <v>3.67</v>
      </c>
      <c r="P583" s="534"/>
      <c r="Q583" s="534"/>
      <c r="R583" s="534"/>
      <c r="S583" s="535"/>
      <c r="T583" s="535"/>
      <c r="U583" s="535"/>
      <c r="V583" s="535"/>
      <c r="W583" s="535"/>
      <c r="X583" s="535"/>
      <c r="Y583" s="535"/>
      <c r="Z583" s="535"/>
    </row>
    <row r="584" spans="1:26" ht="26.25" customHeight="1">
      <c r="A584" s="533"/>
      <c r="B584" s="1003" t="s">
        <v>549</v>
      </c>
      <c r="C584" s="998">
        <f t="shared" ref="C584:H584" si="102">(J584-1.67)/(3.67-1.67)</f>
        <v>0.33000000000000007</v>
      </c>
      <c r="D584" s="998">
        <f t="shared" si="102"/>
        <v>0.16500000000000004</v>
      </c>
      <c r="E584" s="998">
        <f t="shared" si="102"/>
        <v>0</v>
      </c>
      <c r="F584" s="998">
        <f t="shared" si="102"/>
        <v>0.33000000000000007</v>
      </c>
      <c r="G584" s="998">
        <f t="shared" si="102"/>
        <v>0.33000000000000007</v>
      </c>
      <c r="H584" s="998">
        <f t="shared" si="102"/>
        <v>0.16500000000000004</v>
      </c>
      <c r="I584" s="600" t="s">
        <v>550</v>
      </c>
      <c r="J584" s="810">
        <v>2.33</v>
      </c>
      <c r="K584" s="810">
        <v>2</v>
      </c>
      <c r="L584" s="810">
        <v>1.67</v>
      </c>
      <c r="M584" s="810">
        <v>2.33</v>
      </c>
      <c r="N584" s="810">
        <v>2.33</v>
      </c>
      <c r="O584" s="810">
        <v>2</v>
      </c>
      <c r="P584" s="534"/>
      <c r="Q584" s="534"/>
      <c r="R584" s="534"/>
      <c r="S584" s="535"/>
      <c r="T584" s="535"/>
      <c r="U584" s="535"/>
      <c r="V584" s="535"/>
      <c r="W584" s="535"/>
      <c r="X584" s="535"/>
      <c r="Y584" s="535"/>
      <c r="Z584" s="535"/>
    </row>
    <row r="585" spans="1:26" ht="13.5" customHeight="1">
      <c r="A585" s="143"/>
      <c r="B585" s="1004"/>
      <c r="C585" s="1000"/>
      <c r="D585" s="1000"/>
      <c r="E585" s="1000"/>
      <c r="F585" s="1000"/>
      <c r="G585" s="1000"/>
      <c r="H585" s="1000"/>
      <c r="I585" s="600"/>
      <c r="J585" s="811"/>
      <c r="K585" s="811"/>
      <c r="L585" s="811"/>
      <c r="M585" s="811"/>
      <c r="N585" s="811"/>
      <c r="O585" s="811"/>
      <c r="P585" s="146"/>
      <c r="Q585" s="146"/>
      <c r="R585" s="146"/>
      <c r="S585" s="149"/>
      <c r="T585" s="149"/>
      <c r="U585" s="149"/>
      <c r="V585" s="149"/>
      <c r="W585" s="149"/>
      <c r="X585" s="149"/>
      <c r="Y585" s="149"/>
      <c r="Z585" s="149"/>
    </row>
    <row r="586" spans="1:26" ht="49.5" customHeight="1">
      <c r="A586" s="556" t="s">
        <v>736</v>
      </c>
      <c r="B586" s="517" t="s">
        <v>4956</v>
      </c>
      <c r="C586" s="998">
        <f t="shared" ref="C586:H586" si="103">AVERAGE(C587:C589)</f>
        <v>0.66904822296705613</v>
      </c>
      <c r="D586" s="998">
        <f t="shared" si="103"/>
        <v>0.71040160642570294</v>
      </c>
      <c r="E586" s="998">
        <f t="shared" si="103"/>
        <v>0.16261844369961051</v>
      </c>
      <c r="F586" s="998">
        <f t="shared" si="103"/>
        <v>0.72166666666666668</v>
      </c>
      <c r="G586" s="998">
        <f t="shared" si="103"/>
        <v>0.71040160642570294</v>
      </c>
      <c r="H586" s="998">
        <f t="shared" si="103"/>
        <v>0.55904822296705614</v>
      </c>
      <c r="I586" s="600"/>
      <c r="J586" s="812"/>
      <c r="K586" s="813"/>
      <c r="L586" s="813"/>
      <c r="M586" s="813"/>
      <c r="N586" s="813"/>
      <c r="O586" s="813"/>
      <c r="P586" s="558"/>
      <c r="Q586" s="558"/>
      <c r="R586" s="558"/>
      <c r="S586" s="559"/>
      <c r="T586" s="559"/>
      <c r="U586" s="559"/>
      <c r="V586" s="559"/>
      <c r="W586" s="559"/>
      <c r="X586" s="559"/>
      <c r="Y586" s="559"/>
      <c r="Z586" s="559"/>
    </row>
    <row r="587" spans="1:26" ht="21.75" customHeight="1">
      <c r="A587" s="533"/>
      <c r="B587" s="1003" t="s">
        <v>551</v>
      </c>
      <c r="C587" s="998">
        <f t="shared" ref="C587:H587" si="104">(J587-2.67)/(4.33-2.67)</f>
        <v>0.8012048192771084</v>
      </c>
      <c r="D587" s="998">
        <f t="shared" si="104"/>
        <v>0.8012048192771084</v>
      </c>
      <c r="E587" s="998">
        <f t="shared" si="104"/>
        <v>0.1987951807228916</v>
      </c>
      <c r="F587" s="998">
        <f t="shared" si="104"/>
        <v>1</v>
      </c>
      <c r="G587" s="998">
        <f t="shared" si="104"/>
        <v>0.8012048192771084</v>
      </c>
      <c r="H587" s="998">
        <f t="shared" si="104"/>
        <v>0.8012048192771084</v>
      </c>
      <c r="I587" s="600" t="s">
        <v>1989</v>
      </c>
      <c r="J587" s="810">
        <v>4</v>
      </c>
      <c r="K587" s="810">
        <v>4</v>
      </c>
      <c r="L587" s="810">
        <v>3</v>
      </c>
      <c r="M587" s="810">
        <v>4.33</v>
      </c>
      <c r="N587" s="810">
        <v>4</v>
      </c>
      <c r="O587" s="810">
        <v>4</v>
      </c>
      <c r="P587" s="534"/>
      <c r="Q587" s="534"/>
      <c r="R587" s="534"/>
      <c r="S587" s="535"/>
      <c r="T587" s="535"/>
      <c r="U587" s="535"/>
      <c r="V587" s="535"/>
      <c r="W587" s="535"/>
      <c r="X587" s="535"/>
      <c r="Y587" s="535"/>
      <c r="Z587" s="535"/>
    </row>
    <row r="588" spans="1:26" ht="24.75" customHeight="1">
      <c r="A588" s="533"/>
      <c r="B588" s="1003" t="s">
        <v>552</v>
      </c>
      <c r="C588" s="998">
        <f t="shared" ref="C588:H588" si="105">(J588-1.67)/(4.33-1.67)</f>
        <v>0.87593984962406013</v>
      </c>
      <c r="D588" s="998">
        <f t="shared" si="105"/>
        <v>1</v>
      </c>
      <c r="E588" s="998">
        <f t="shared" si="105"/>
        <v>0.12406015037593987</v>
      </c>
      <c r="F588" s="998">
        <f t="shared" si="105"/>
        <v>1</v>
      </c>
      <c r="G588" s="998">
        <f t="shared" si="105"/>
        <v>1</v>
      </c>
      <c r="H588" s="998">
        <f t="shared" si="105"/>
        <v>0.87593984962406013</v>
      </c>
      <c r="I588" s="600" t="s">
        <v>1990</v>
      </c>
      <c r="J588" s="810">
        <v>4</v>
      </c>
      <c r="K588" s="810">
        <v>4.33</v>
      </c>
      <c r="L588" s="810">
        <v>2</v>
      </c>
      <c r="M588" s="810">
        <v>4.33</v>
      </c>
      <c r="N588" s="810">
        <v>4.33</v>
      </c>
      <c r="O588" s="810">
        <v>4</v>
      </c>
      <c r="P588" s="534"/>
      <c r="Q588" s="534"/>
      <c r="R588" s="534"/>
      <c r="S588" s="535"/>
      <c r="T588" s="535"/>
      <c r="U588" s="535"/>
      <c r="V588" s="535"/>
      <c r="W588" s="535"/>
      <c r="X588" s="535"/>
      <c r="Y588" s="535"/>
      <c r="Z588" s="535"/>
    </row>
    <row r="589" spans="1:26" ht="26.25" customHeight="1">
      <c r="A589" s="533"/>
      <c r="B589" s="1003" t="s">
        <v>553</v>
      </c>
      <c r="C589" s="998">
        <f t="shared" ref="C589:H589" si="106">(J589-1.67)/(3.67-1.67)</f>
        <v>0.33000000000000007</v>
      </c>
      <c r="D589" s="998">
        <f t="shared" si="106"/>
        <v>0.33000000000000007</v>
      </c>
      <c r="E589" s="998">
        <f t="shared" si="106"/>
        <v>0.16500000000000004</v>
      </c>
      <c r="F589" s="998">
        <f t="shared" si="106"/>
        <v>0.16500000000000004</v>
      </c>
      <c r="G589" s="998">
        <f t="shared" si="106"/>
        <v>0.33000000000000007</v>
      </c>
      <c r="H589" s="998">
        <f t="shared" si="106"/>
        <v>0</v>
      </c>
      <c r="I589" s="600" t="s">
        <v>1991</v>
      </c>
      <c r="J589" s="810">
        <v>2.33</v>
      </c>
      <c r="K589" s="810">
        <v>2.33</v>
      </c>
      <c r="L589" s="810">
        <v>2</v>
      </c>
      <c r="M589" s="810">
        <v>2</v>
      </c>
      <c r="N589" s="810">
        <v>2.33</v>
      </c>
      <c r="O589" s="810">
        <v>1.67</v>
      </c>
      <c r="P589" s="534"/>
      <c r="Q589" s="534"/>
      <c r="R589" s="534"/>
      <c r="S589" s="535"/>
      <c r="T589" s="535"/>
      <c r="U589" s="535"/>
      <c r="V589" s="535"/>
      <c r="W589" s="535"/>
      <c r="X589" s="535"/>
      <c r="Y589" s="535"/>
      <c r="Z589" s="535"/>
    </row>
    <row r="590" spans="1:26" ht="12" customHeight="1">
      <c r="A590" s="143"/>
      <c r="B590" s="1004"/>
      <c r="C590" s="1000"/>
      <c r="D590" s="1000"/>
      <c r="E590" s="1000"/>
      <c r="F590" s="1000"/>
      <c r="G590" s="1000"/>
      <c r="H590" s="1000"/>
      <c r="I590" s="600"/>
      <c r="J590" s="811"/>
      <c r="K590" s="811"/>
      <c r="L590" s="811"/>
      <c r="M590" s="811"/>
      <c r="N590" s="811"/>
      <c r="O590" s="811"/>
      <c r="P590" s="146"/>
      <c r="Q590" s="146"/>
      <c r="R590" s="146"/>
      <c r="S590" s="149"/>
      <c r="T590" s="149"/>
      <c r="U590" s="149"/>
      <c r="V590" s="149"/>
      <c r="W590" s="149"/>
      <c r="X590" s="149"/>
      <c r="Y590" s="149"/>
      <c r="Z590" s="149"/>
    </row>
    <row r="591" spans="1:26" ht="32.25" customHeight="1">
      <c r="A591" s="556" t="s">
        <v>736</v>
      </c>
      <c r="B591" s="517" t="s">
        <v>4957</v>
      </c>
      <c r="C591" s="998">
        <f t="shared" ref="C591:H591" si="107">AVERAGE(C592:C593)</f>
        <v>0.22448979591836732</v>
      </c>
      <c r="D591" s="998">
        <f t="shared" si="107"/>
        <v>0.34693877551020408</v>
      </c>
      <c r="E591" s="998">
        <f t="shared" si="107"/>
        <v>0.16326530612244899</v>
      </c>
      <c r="F591" s="998">
        <f t="shared" si="107"/>
        <v>0.43877551020408162</v>
      </c>
      <c r="G591" s="998">
        <f t="shared" si="107"/>
        <v>0.24489795918367346</v>
      </c>
      <c r="H591" s="998">
        <f t="shared" si="107"/>
        <v>0.15306122448979592</v>
      </c>
      <c r="I591" s="600"/>
      <c r="J591" s="812"/>
      <c r="K591" s="813"/>
      <c r="L591" s="813"/>
      <c r="M591" s="813"/>
      <c r="N591" s="813"/>
      <c r="O591" s="813"/>
      <c r="P591" s="558"/>
      <c r="Q591" s="558"/>
      <c r="R591" s="558"/>
      <c r="S591" s="559"/>
      <c r="T591" s="559"/>
      <c r="U591" s="559"/>
      <c r="V591" s="559"/>
      <c r="W591" s="559"/>
      <c r="X591" s="559"/>
      <c r="Y591" s="559"/>
      <c r="Z591" s="559"/>
    </row>
    <row r="592" spans="1:26" ht="32.25" customHeight="1">
      <c r="A592" s="533"/>
      <c r="B592" s="1003" t="s">
        <v>554</v>
      </c>
      <c r="C592" s="998">
        <f t="shared" ref="C592:H592" si="108">(J592-10)/(80-10)</f>
        <v>0.2857142857142857</v>
      </c>
      <c r="D592" s="998">
        <f t="shared" si="108"/>
        <v>0.42857142857142855</v>
      </c>
      <c r="E592" s="998">
        <f t="shared" si="108"/>
        <v>0.14285714285714285</v>
      </c>
      <c r="F592" s="998">
        <f t="shared" si="108"/>
        <v>0.42857142857142855</v>
      </c>
      <c r="G592" s="998">
        <f t="shared" si="108"/>
        <v>0.2857142857142857</v>
      </c>
      <c r="H592" s="998">
        <f t="shared" si="108"/>
        <v>0.14285714285714285</v>
      </c>
      <c r="I592" s="600" t="s">
        <v>3789</v>
      </c>
      <c r="J592" s="810">
        <v>30</v>
      </c>
      <c r="K592" s="810">
        <v>40</v>
      </c>
      <c r="L592" s="810">
        <v>20</v>
      </c>
      <c r="M592" s="810">
        <v>40</v>
      </c>
      <c r="N592" s="810">
        <v>30</v>
      </c>
      <c r="O592" s="810">
        <v>20</v>
      </c>
      <c r="P592" s="534"/>
      <c r="Q592" s="534"/>
      <c r="R592" s="534"/>
      <c r="S592" s="535"/>
      <c r="T592" s="535"/>
      <c r="U592" s="535"/>
      <c r="V592" s="535"/>
      <c r="W592" s="535"/>
      <c r="X592" s="535"/>
      <c r="Y592" s="535"/>
      <c r="Z592" s="535"/>
    </row>
    <row r="593" spans="1:26" ht="32.25" customHeight="1">
      <c r="A593" s="533"/>
      <c r="B593" s="1003" t="s">
        <v>3790</v>
      </c>
      <c r="C593" s="998">
        <f t="shared" ref="C593:H593" si="109">(J593-16)/(65-16)</f>
        <v>0.16326530612244897</v>
      </c>
      <c r="D593" s="998">
        <f t="shared" si="109"/>
        <v>0.26530612244897961</v>
      </c>
      <c r="E593" s="998">
        <f t="shared" si="109"/>
        <v>0.18367346938775511</v>
      </c>
      <c r="F593" s="998">
        <f t="shared" si="109"/>
        <v>0.44897959183673469</v>
      </c>
      <c r="G593" s="998">
        <f t="shared" si="109"/>
        <v>0.20408163265306123</v>
      </c>
      <c r="H593" s="998">
        <f t="shared" si="109"/>
        <v>0.16326530612244897</v>
      </c>
      <c r="I593" s="600" t="s">
        <v>3791</v>
      </c>
      <c r="J593" s="810">
        <v>24</v>
      </c>
      <c r="K593" s="810">
        <v>29</v>
      </c>
      <c r="L593" s="810">
        <v>25</v>
      </c>
      <c r="M593" s="810">
        <v>38</v>
      </c>
      <c r="N593" s="810">
        <v>26</v>
      </c>
      <c r="O593" s="810">
        <v>24</v>
      </c>
      <c r="P593" s="534"/>
      <c r="Q593" s="534"/>
      <c r="R593" s="534"/>
      <c r="S593" s="535"/>
      <c r="T593" s="535"/>
      <c r="U593" s="535"/>
      <c r="V593" s="535"/>
      <c r="W593" s="535"/>
      <c r="X593" s="535"/>
      <c r="Y593" s="535"/>
      <c r="Z593" s="535"/>
    </row>
    <row r="594" spans="1:26" ht="13.5" customHeight="1">
      <c r="A594" s="143"/>
      <c r="B594" s="1004"/>
      <c r="C594" s="910"/>
      <c r="D594" s="910"/>
      <c r="E594" s="910"/>
      <c r="F594" s="910"/>
      <c r="G594" s="910"/>
      <c r="H594" s="910"/>
      <c r="I594" s="600"/>
      <c r="J594" s="811"/>
      <c r="K594" s="811"/>
      <c r="L594" s="811"/>
      <c r="M594" s="811"/>
      <c r="N594" s="811"/>
      <c r="O594" s="811"/>
      <c r="P594" s="146"/>
      <c r="Q594" s="146"/>
      <c r="R594" s="146"/>
      <c r="S594" s="149"/>
      <c r="T594" s="149"/>
      <c r="U594" s="149"/>
      <c r="V594" s="149"/>
      <c r="W594" s="149"/>
      <c r="X594" s="149"/>
      <c r="Y594" s="149"/>
      <c r="Z594" s="149"/>
    </row>
    <row r="595" spans="1:26" ht="66" customHeight="1">
      <c r="A595" s="556" t="s">
        <v>736</v>
      </c>
      <c r="B595" s="517" t="s">
        <v>4958</v>
      </c>
      <c r="C595" s="998">
        <f>(J595-2.8)/(4.6-2.8)</f>
        <v>0</v>
      </c>
      <c r="D595" s="998">
        <f>(K595-2.8)/(4.6-2.8)</f>
        <v>0.22222222222222243</v>
      </c>
      <c r="E595" s="814" t="s">
        <v>1073</v>
      </c>
      <c r="F595" s="998">
        <f>(M595-2.8)/(4.6-2.8)</f>
        <v>5.5555555555555608E-2</v>
      </c>
      <c r="G595" s="998">
        <f>(N595-2.8)/(4.6-2.8)</f>
        <v>0</v>
      </c>
      <c r="H595" s="998">
        <f>(O595-2.8)/(4.6-2.8)</f>
        <v>0.27777777777777779</v>
      </c>
      <c r="I595" s="600" t="s">
        <v>4959</v>
      </c>
      <c r="J595" s="1005">
        <v>2.8</v>
      </c>
      <c r="K595" s="1005">
        <v>3.2</v>
      </c>
      <c r="L595" s="1005" t="s">
        <v>1073</v>
      </c>
      <c r="M595" s="1005">
        <v>2.9</v>
      </c>
      <c r="N595" s="1005">
        <v>2.8</v>
      </c>
      <c r="O595" s="1005">
        <v>3.3</v>
      </c>
      <c r="P595" s="534"/>
      <c r="Q595" s="534"/>
      <c r="R595" s="534"/>
      <c r="S595" s="535"/>
      <c r="T595" s="535"/>
      <c r="U595" s="535"/>
      <c r="V595" s="535"/>
      <c r="W595" s="535"/>
      <c r="X595" s="535"/>
      <c r="Y595" s="535"/>
      <c r="Z595" s="535"/>
    </row>
    <row r="596" spans="1:26" ht="13.5" customHeight="1">
      <c r="A596" s="143"/>
      <c r="B596" s="1004"/>
      <c r="C596" s="910"/>
      <c r="D596" s="910"/>
      <c r="E596" s="815"/>
      <c r="F596" s="910"/>
      <c r="G596" s="910"/>
      <c r="H596" s="910"/>
      <c r="I596" s="600"/>
      <c r="J596" s="815"/>
      <c r="K596" s="815"/>
      <c r="L596" s="815"/>
      <c r="M596" s="815"/>
      <c r="N596" s="815"/>
      <c r="O596" s="815"/>
      <c r="P596" s="146"/>
      <c r="Q596" s="146"/>
      <c r="R596" s="146"/>
      <c r="S596" s="149"/>
      <c r="T596" s="149"/>
      <c r="U596" s="149"/>
      <c r="V596" s="149"/>
      <c r="W596" s="149"/>
      <c r="X596" s="149"/>
      <c r="Y596" s="149"/>
      <c r="Z596" s="149"/>
    </row>
    <row r="597" spans="1:26" ht="68.25" customHeight="1">
      <c r="A597" s="556" t="s">
        <v>736</v>
      </c>
      <c r="B597" s="517" t="s">
        <v>4960</v>
      </c>
      <c r="C597" s="998">
        <f>(J597-2.8)/(5.2-2.8)</f>
        <v>0</v>
      </c>
      <c r="D597" s="998">
        <f>(K597-2.8)/(5.2-2.8)</f>
        <v>0.29166666666666669</v>
      </c>
      <c r="E597" s="814" t="s">
        <v>1073</v>
      </c>
      <c r="F597" s="998">
        <f>(M597-2.8)/(5.2-2.8)</f>
        <v>0.87500000000000011</v>
      </c>
      <c r="G597" s="998">
        <f>(N597-2.8)/(5.2-2.8)</f>
        <v>4.1666666666666699E-2</v>
      </c>
      <c r="H597" s="998">
        <f>(O597-2.8)/(5.2-2.8)</f>
        <v>0.29166666666666669</v>
      </c>
      <c r="I597" s="600" t="s">
        <v>4961</v>
      </c>
      <c r="J597" s="1005">
        <v>2.8</v>
      </c>
      <c r="K597" s="1005">
        <v>3.5</v>
      </c>
      <c r="L597" s="1005" t="s">
        <v>1073</v>
      </c>
      <c r="M597" s="1005">
        <v>4.9000000000000004</v>
      </c>
      <c r="N597" s="1005">
        <v>2.9</v>
      </c>
      <c r="O597" s="1005">
        <v>3.5</v>
      </c>
      <c r="P597" s="534"/>
      <c r="Q597" s="534"/>
      <c r="R597" s="534"/>
      <c r="S597" s="535"/>
      <c r="T597" s="535"/>
      <c r="U597" s="535"/>
      <c r="V597" s="535"/>
      <c r="W597" s="535"/>
      <c r="X597" s="535"/>
      <c r="Y597" s="535"/>
      <c r="Z597" s="535"/>
    </row>
    <row r="598" spans="1:26" ht="13.5" customHeight="1">
      <c r="A598" s="143"/>
      <c r="B598" s="1004"/>
      <c r="C598" s="815"/>
      <c r="D598" s="815"/>
      <c r="E598" s="815"/>
      <c r="F598" s="815"/>
      <c r="G598" s="815"/>
      <c r="H598" s="815"/>
      <c r="I598" s="600"/>
      <c r="J598" s="811"/>
      <c r="K598" s="811"/>
      <c r="L598" s="811"/>
      <c r="M598" s="811"/>
      <c r="N598" s="811"/>
      <c r="O598" s="811"/>
      <c r="P598" s="146"/>
      <c r="Q598" s="146"/>
      <c r="R598" s="146"/>
      <c r="S598" s="149"/>
      <c r="T598" s="149"/>
      <c r="U598" s="149"/>
      <c r="V598" s="149"/>
      <c r="W598" s="149"/>
      <c r="X598" s="149"/>
      <c r="Y598" s="149"/>
      <c r="Z598" s="149"/>
    </row>
    <row r="599" spans="1:26" ht="97.5" customHeight="1">
      <c r="A599" s="556" t="s">
        <v>736</v>
      </c>
      <c r="B599" s="517" t="s">
        <v>4962</v>
      </c>
      <c r="C599" s="998">
        <f t="shared" ref="C599:H599" si="110">(J599-16.8)/(37.7-16.8)</f>
        <v>1</v>
      </c>
      <c r="D599" s="998">
        <f t="shared" si="110"/>
        <v>0.79425837320574144</v>
      </c>
      <c r="E599" s="998">
        <f t="shared" si="110"/>
        <v>0.65071770334928214</v>
      </c>
      <c r="F599" s="998">
        <f t="shared" si="110"/>
        <v>0.38755980861244005</v>
      </c>
      <c r="G599" s="998">
        <f t="shared" si="110"/>
        <v>0</v>
      </c>
      <c r="H599" s="998">
        <f t="shared" si="110"/>
        <v>4.3062200956937725E-2</v>
      </c>
      <c r="I599" s="600" t="s">
        <v>4963</v>
      </c>
      <c r="J599" s="1005">
        <v>37.700000000000003</v>
      </c>
      <c r="K599" s="1005">
        <v>33.4</v>
      </c>
      <c r="L599" s="1005">
        <v>30.4</v>
      </c>
      <c r="M599" s="1005">
        <v>24.9</v>
      </c>
      <c r="N599" s="1005">
        <v>16.8</v>
      </c>
      <c r="O599" s="1005">
        <v>17.7</v>
      </c>
      <c r="P599" s="534"/>
      <c r="Q599" s="534"/>
      <c r="R599" s="534"/>
      <c r="S599" s="535"/>
      <c r="T599" s="535"/>
      <c r="U599" s="535"/>
      <c r="V599" s="535"/>
      <c r="W599" s="535"/>
      <c r="X599" s="535"/>
      <c r="Y599" s="535"/>
      <c r="Z599" s="535"/>
    </row>
    <row r="600" spans="1:26" ht="13.5" customHeight="1">
      <c r="A600" s="143"/>
      <c r="B600" s="930"/>
      <c r="C600" s="910"/>
      <c r="D600" s="910"/>
      <c r="E600" s="910"/>
      <c r="F600" s="910"/>
      <c r="G600" s="910"/>
      <c r="H600" s="910"/>
      <c r="I600" s="600"/>
      <c r="J600" s="75"/>
      <c r="K600" s="75"/>
      <c r="L600" s="75"/>
      <c r="M600" s="75"/>
      <c r="N600" s="75"/>
      <c r="O600" s="75"/>
      <c r="P600" s="146"/>
      <c r="Q600" s="146"/>
      <c r="R600" s="146"/>
      <c r="S600" s="149"/>
      <c r="T600" s="149"/>
      <c r="U600" s="149"/>
      <c r="V600" s="149"/>
      <c r="W600" s="149"/>
      <c r="X600" s="149"/>
      <c r="Y600" s="149"/>
      <c r="Z600" s="149"/>
    </row>
    <row r="601" spans="1:26" ht="44.25" customHeight="1">
      <c r="A601" s="483" t="s">
        <v>1998</v>
      </c>
      <c r="B601" s="158" t="s">
        <v>555</v>
      </c>
      <c r="C601" s="518">
        <f t="shared" ref="C601:H601" si="111">AVERAGE(C602,C608,C613,C619)</f>
        <v>0.48124417716831125</v>
      </c>
      <c r="D601" s="518">
        <f t="shared" si="111"/>
        <v>0.47364759038740123</v>
      </c>
      <c r="E601" s="518">
        <f t="shared" si="111"/>
        <v>0.23528521200498342</v>
      </c>
      <c r="F601" s="518">
        <f t="shared" si="111"/>
        <v>0.47848973557784025</v>
      </c>
      <c r="G601" s="518">
        <f t="shared" si="111"/>
        <v>0.51823414481928221</v>
      </c>
      <c r="H601" s="518">
        <f t="shared" si="111"/>
        <v>0.32867188866452385</v>
      </c>
      <c r="I601" s="519"/>
      <c r="J601" s="63"/>
      <c r="K601" s="63"/>
      <c r="L601" s="63"/>
      <c r="M601" s="63"/>
      <c r="N601" s="63"/>
      <c r="O601" s="63"/>
      <c r="P601" s="165"/>
      <c r="Q601" s="165"/>
      <c r="R601" s="165"/>
      <c r="S601" s="161"/>
      <c r="T601" s="161"/>
      <c r="U601" s="161"/>
      <c r="V601" s="161"/>
      <c r="W601" s="161"/>
      <c r="X601" s="161"/>
      <c r="Y601" s="161"/>
      <c r="Z601" s="161"/>
    </row>
    <row r="602" spans="1:26" ht="45" customHeight="1">
      <c r="A602" s="533" t="s">
        <v>736</v>
      </c>
      <c r="B602" s="517" t="s">
        <v>4964</v>
      </c>
      <c r="C602" s="998">
        <f t="shared" ref="C602:H602" si="112">AVERAGE(C603:C606)</f>
        <v>0.47168802923094771</v>
      </c>
      <c r="D602" s="998">
        <f t="shared" si="112"/>
        <v>0.43202067947776102</v>
      </c>
      <c r="E602" s="998">
        <f t="shared" si="112"/>
        <v>0.32472454213870522</v>
      </c>
      <c r="F602" s="998">
        <f t="shared" si="112"/>
        <v>0.49721355475647316</v>
      </c>
      <c r="G602" s="998">
        <f t="shared" si="112"/>
        <v>0.55739605485313648</v>
      </c>
      <c r="H602" s="998">
        <f t="shared" si="112"/>
        <v>0.26098348348348349</v>
      </c>
      <c r="I602" s="600"/>
      <c r="J602" s="507"/>
      <c r="K602" s="507"/>
      <c r="L602" s="507"/>
      <c r="M602" s="507"/>
      <c r="N602" s="507"/>
      <c r="O602" s="507"/>
      <c r="P602" s="534"/>
      <c r="Q602" s="534"/>
      <c r="R602" s="534"/>
      <c r="S602" s="535"/>
      <c r="T602" s="535"/>
      <c r="U602" s="535"/>
      <c r="V602" s="535"/>
      <c r="W602" s="535"/>
      <c r="X602" s="535"/>
      <c r="Y602" s="535"/>
      <c r="Z602" s="535"/>
    </row>
    <row r="603" spans="1:26" ht="32.25" customHeight="1">
      <c r="A603" s="533"/>
      <c r="B603" s="1003" t="s">
        <v>557</v>
      </c>
      <c r="C603" s="998">
        <f t="shared" ref="C603:H603" si="113">(J603-1)/(4-1)</f>
        <v>0.55666666666666664</v>
      </c>
      <c r="D603" s="998">
        <f t="shared" si="113"/>
        <v>0.55666666666666664</v>
      </c>
      <c r="E603" s="998">
        <f t="shared" si="113"/>
        <v>0.55666666666666664</v>
      </c>
      <c r="F603" s="998">
        <f t="shared" si="113"/>
        <v>0.55666666666666664</v>
      </c>
      <c r="G603" s="998">
        <f t="shared" si="113"/>
        <v>0.55666666666666664</v>
      </c>
      <c r="H603" s="998">
        <f t="shared" si="113"/>
        <v>0.44333333333333336</v>
      </c>
      <c r="I603" s="600" t="s">
        <v>546</v>
      </c>
      <c r="J603" s="810">
        <v>2.67</v>
      </c>
      <c r="K603" s="810">
        <v>2.67</v>
      </c>
      <c r="L603" s="810">
        <v>2.67</v>
      </c>
      <c r="M603" s="810">
        <v>2.67</v>
      </c>
      <c r="N603" s="810">
        <v>2.67</v>
      </c>
      <c r="O603" s="810">
        <v>2.33</v>
      </c>
      <c r="P603" s="534"/>
      <c r="Q603" s="534"/>
      <c r="R603" s="534"/>
      <c r="S603" s="535"/>
      <c r="T603" s="535"/>
      <c r="U603" s="535"/>
      <c r="V603" s="535"/>
      <c r="W603" s="535"/>
      <c r="X603" s="535"/>
      <c r="Y603" s="535"/>
      <c r="Z603" s="535"/>
    </row>
    <row r="604" spans="1:26" ht="24" customHeight="1">
      <c r="A604" s="533"/>
      <c r="B604" s="1003" t="s">
        <v>558</v>
      </c>
      <c r="C604" s="998">
        <f t="shared" ref="C604:H604" si="114">(J604-1)/(4.33-1)</f>
        <v>0.39939939939939939</v>
      </c>
      <c r="D604" s="998">
        <f t="shared" si="114"/>
        <v>0.20120120120120116</v>
      </c>
      <c r="E604" s="998">
        <f t="shared" si="114"/>
        <v>0.3003003003003003</v>
      </c>
      <c r="F604" s="998">
        <f t="shared" si="114"/>
        <v>0.50150150150150152</v>
      </c>
      <c r="G604" s="998">
        <f t="shared" si="114"/>
        <v>0.60060060060060061</v>
      </c>
      <c r="H604" s="998">
        <f t="shared" si="114"/>
        <v>0.3003003003003003</v>
      </c>
      <c r="I604" s="600" t="s">
        <v>2000</v>
      </c>
      <c r="J604" s="810">
        <v>2.33</v>
      </c>
      <c r="K604" s="810">
        <v>1.67</v>
      </c>
      <c r="L604" s="810">
        <v>2</v>
      </c>
      <c r="M604" s="810">
        <v>2.67</v>
      </c>
      <c r="N604" s="810">
        <v>3</v>
      </c>
      <c r="O604" s="810">
        <v>2</v>
      </c>
      <c r="P604" s="534"/>
      <c r="Q604" s="534"/>
      <c r="R604" s="534"/>
      <c r="S604" s="535"/>
      <c r="T604" s="535"/>
      <c r="U604" s="535"/>
      <c r="V604" s="535"/>
      <c r="W604" s="535"/>
      <c r="X604" s="535"/>
      <c r="Y604" s="535"/>
      <c r="Z604" s="535"/>
    </row>
    <row r="605" spans="1:26" ht="27" customHeight="1">
      <c r="A605" s="533"/>
      <c r="B605" s="1003" t="s">
        <v>559</v>
      </c>
      <c r="C605" s="998">
        <f t="shared" ref="C605:H605" si="115">(J605-1)/(4.33-1)</f>
        <v>0.50150150150150152</v>
      </c>
      <c r="D605" s="998">
        <f t="shared" si="115"/>
        <v>0.39939939939939939</v>
      </c>
      <c r="E605" s="998">
        <f t="shared" si="115"/>
        <v>0.3003003003003003</v>
      </c>
      <c r="F605" s="998">
        <f t="shared" si="115"/>
        <v>0.50150150150150152</v>
      </c>
      <c r="G605" s="998">
        <f t="shared" si="115"/>
        <v>0.50150150150150152</v>
      </c>
      <c r="H605" s="998">
        <f t="shared" si="115"/>
        <v>0.3003003003003003</v>
      </c>
      <c r="I605" s="600" t="s">
        <v>2000</v>
      </c>
      <c r="J605" s="810">
        <v>2.67</v>
      </c>
      <c r="K605" s="810">
        <v>2.33</v>
      </c>
      <c r="L605" s="810">
        <v>2</v>
      </c>
      <c r="M605" s="810">
        <v>2.67</v>
      </c>
      <c r="N605" s="810">
        <v>2.67</v>
      </c>
      <c r="O605" s="810">
        <v>2</v>
      </c>
      <c r="P605" s="534"/>
      <c r="Q605" s="534"/>
      <c r="R605" s="534"/>
      <c r="S605" s="535"/>
      <c r="T605" s="535"/>
      <c r="U605" s="535"/>
      <c r="V605" s="535"/>
      <c r="W605" s="535"/>
      <c r="X605" s="535"/>
      <c r="Y605" s="535"/>
      <c r="Z605" s="535"/>
    </row>
    <row r="606" spans="1:26" ht="19.5" customHeight="1">
      <c r="A606" s="533"/>
      <c r="B606" s="1003" t="s">
        <v>560</v>
      </c>
      <c r="C606" s="998">
        <f t="shared" ref="C606:H606" si="116">(J606-1.67)/(4-1.67)</f>
        <v>0.42918454935622319</v>
      </c>
      <c r="D606" s="998">
        <f t="shared" si="116"/>
        <v>0.57081545064377681</v>
      </c>
      <c r="E606" s="998">
        <f t="shared" si="116"/>
        <v>0.14163090128755368</v>
      </c>
      <c r="F606" s="998">
        <f t="shared" si="116"/>
        <v>0.42918454935622319</v>
      </c>
      <c r="G606" s="998">
        <f t="shared" si="116"/>
        <v>0.57081545064377681</v>
      </c>
      <c r="H606" s="998">
        <f t="shared" si="116"/>
        <v>0</v>
      </c>
      <c r="I606" s="600" t="s">
        <v>561</v>
      </c>
      <c r="J606" s="810">
        <v>2.67</v>
      </c>
      <c r="K606" s="810">
        <v>3</v>
      </c>
      <c r="L606" s="810">
        <v>2</v>
      </c>
      <c r="M606" s="810">
        <v>2.67</v>
      </c>
      <c r="N606" s="810">
        <v>3</v>
      </c>
      <c r="O606" s="810">
        <v>1.67</v>
      </c>
      <c r="P606" s="534"/>
      <c r="Q606" s="534"/>
      <c r="R606" s="534"/>
      <c r="S606" s="535"/>
      <c r="T606" s="535"/>
      <c r="U606" s="535"/>
      <c r="V606" s="535"/>
      <c r="W606" s="535"/>
      <c r="X606" s="535"/>
      <c r="Y606" s="535"/>
      <c r="Z606" s="535"/>
    </row>
    <row r="607" spans="1:26" ht="13.5" customHeight="1">
      <c r="A607" s="143"/>
      <c r="B607" s="1004"/>
      <c r="C607" s="910"/>
      <c r="D607" s="910"/>
      <c r="E607" s="910"/>
      <c r="F607" s="910"/>
      <c r="G607" s="910"/>
      <c r="H607" s="910"/>
      <c r="I607" s="600"/>
      <c r="J607" s="811"/>
      <c r="K607" s="811"/>
      <c r="L607" s="198"/>
      <c r="M607" s="75"/>
      <c r="N607" s="198"/>
      <c r="O607" s="198"/>
      <c r="P607" s="146"/>
      <c r="Q607" s="146"/>
      <c r="R607" s="146"/>
      <c r="S607" s="149"/>
      <c r="T607" s="149"/>
      <c r="U607" s="149"/>
      <c r="V607" s="149"/>
      <c r="W607" s="149"/>
      <c r="X607" s="149"/>
      <c r="Y607" s="149"/>
      <c r="Z607" s="149"/>
    </row>
    <row r="608" spans="1:26" ht="37.5" customHeight="1">
      <c r="A608" s="533" t="s">
        <v>736</v>
      </c>
      <c r="B608" s="517" t="s">
        <v>4965</v>
      </c>
      <c r="C608" s="998">
        <f t="shared" ref="C608:H608" si="117">AVERAGE(C609:C611)</f>
        <v>0.48693848354792557</v>
      </c>
      <c r="D608" s="998">
        <f t="shared" si="117"/>
        <v>0.63471626132570336</v>
      </c>
      <c r="E608" s="998">
        <f t="shared" si="117"/>
        <v>0.14306151645207441</v>
      </c>
      <c r="F608" s="998">
        <f t="shared" si="117"/>
        <v>0.60891273247496425</v>
      </c>
      <c r="G608" s="998">
        <f t="shared" si="117"/>
        <v>0.68335717691940878</v>
      </c>
      <c r="H608" s="998">
        <f t="shared" si="117"/>
        <v>0.43861707200762995</v>
      </c>
      <c r="I608" s="600"/>
      <c r="J608" s="507"/>
      <c r="K608" s="551"/>
      <c r="L608" s="551"/>
      <c r="M608" s="507"/>
      <c r="N608" s="551"/>
      <c r="O608" s="551"/>
      <c r="P608" s="534"/>
      <c r="Q608" s="534"/>
      <c r="R608" s="534"/>
      <c r="S608" s="535"/>
      <c r="T608" s="535"/>
      <c r="U608" s="535"/>
      <c r="V608" s="535"/>
      <c r="W608" s="535"/>
      <c r="X608" s="535"/>
      <c r="Y608" s="535"/>
      <c r="Z608" s="535"/>
    </row>
    <row r="609" spans="1:26" ht="37.5" customHeight="1">
      <c r="A609" s="533"/>
      <c r="B609" s="1003" t="s">
        <v>563</v>
      </c>
      <c r="C609" s="998">
        <f t="shared" ref="C609:H609" si="118">(J609-1)/(4-1)</f>
        <v>0.2233333333333333</v>
      </c>
      <c r="D609" s="998">
        <f t="shared" si="118"/>
        <v>0.66666666666666663</v>
      </c>
      <c r="E609" s="998">
        <f t="shared" si="118"/>
        <v>0</v>
      </c>
      <c r="F609" s="998">
        <f t="shared" si="118"/>
        <v>0.33333333333333331</v>
      </c>
      <c r="G609" s="998">
        <f t="shared" si="118"/>
        <v>0.55666666666666664</v>
      </c>
      <c r="H609" s="998">
        <f t="shared" si="118"/>
        <v>0.44333333333333336</v>
      </c>
      <c r="I609" s="600" t="s">
        <v>546</v>
      </c>
      <c r="J609" s="810">
        <v>1.67</v>
      </c>
      <c r="K609" s="810">
        <v>3</v>
      </c>
      <c r="L609" s="810">
        <v>1</v>
      </c>
      <c r="M609" s="810">
        <v>2</v>
      </c>
      <c r="N609" s="810">
        <v>2.67</v>
      </c>
      <c r="O609" s="810">
        <v>2.33</v>
      </c>
      <c r="P609" s="534"/>
      <c r="Q609" s="534"/>
      <c r="R609" s="534"/>
      <c r="S609" s="535"/>
      <c r="T609" s="535"/>
      <c r="U609" s="535"/>
      <c r="V609" s="535"/>
      <c r="W609" s="535"/>
      <c r="X609" s="535"/>
      <c r="Y609" s="535"/>
      <c r="Z609" s="535"/>
    </row>
    <row r="610" spans="1:26" ht="37.5" customHeight="1">
      <c r="A610" s="533"/>
      <c r="B610" s="1003" t="s">
        <v>564</v>
      </c>
      <c r="C610" s="998">
        <f t="shared" ref="C610:H610" si="119">(J610-1)/(3.33-1)</f>
        <v>0.57081545064377681</v>
      </c>
      <c r="D610" s="998">
        <f t="shared" si="119"/>
        <v>0.57081545064377681</v>
      </c>
      <c r="E610" s="998">
        <f t="shared" si="119"/>
        <v>0.42918454935622319</v>
      </c>
      <c r="F610" s="998">
        <f t="shared" si="119"/>
        <v>0.71673819742489264</v>
      </c>
      <c r="G610" s="998">
        <f t="shared" si="119"/>
        <v>0.71673819742489264</v>
      </c>
      <c r="H610" s="998">
        <f t="shared" si="119"/>
        <v>0.42918454935622319</v>
      </c>
      <c r="I610" s="600" t="s">
        <v>2002</v>
      </c>
      <c r="J610" s="810">
        <v>2.33</v>
      </c>
      <c r="K610" s="810">
        <v>2.33</v>
      </c>
      <c r="L610" s="810">
        <v>2</v>
      </c>
      <c r="M610" s="810">
        <v>2.67</v>
      </c>
      <c r="N610" s="810">
        <v>2.67</v>
      </c>
      <c r="O610" s="810">
        <v>2</v>
      </c>
      <c r="P610" s="534"/>
      <c r="Q610" s="534"/>
      <c r="R610" s="534"/>
      <c r="S610" s="535"/>
      <c r="T610" s="535"/>
      <c r="U610" s="535"/>
      <c r="V610" s="535"/>
      <c r="W610" s="535"/>
      <c r="X610" s="535"/>
      <c r="Y610" s="535"/>
      <c r="Z610" s="535"/>
    </row>
    <row r="611" spans="1:26" ht="37.5" customHeight="1">
      <c r="A611" s="533"/>
      <c r="B611" s="1003" t="s">
        <v>565</v>
      </c>
      <c r="C611" s="998">
        <f t="shared" ref="C611:H611" si="120">(J611-1)/(4-1)</f>
        <v>0.66666666666666663</v>
      </c>
      <c r="D611" s="998">
        <f t="shared" si="120"/>
        <v>0.66666666666666663</v>
      </c>
      <c r="E611" s="998">
        <f t="shared" si="120"/>
        <v>0</v>
      </c>
      <c r="F611" s="998">
        <f t="shared" si="120"/>
        <v>0.77666666666666673</v>
      </c>
      <c r="G611" s="998">
        <f t="shared" si="120"/>
        <v>0.77666666666666673</v>
      </c>
      <c r="H611" s="998">
        <f t="shared" si="120"/>
        <v>0.44333333333333336</v>
      </c>
      <c r="I611" s="600" t="s">
        <v>546</v>
      </c>
      <c r="J611" s="810">
        <v>3</v>
      </c>
      <c r="K611" s="810">
        <v>3</v>
      </c>
      <c r="L611" s="810">
        <v>1</v>
      </c>
      <c r="M611" s="810">
        <v>3.33</v>
      </c>
      <c r="N611" s="810">
        <v>3.33</v>
      </c>
      <c r="O611" s="810">
        <v>2.33</v>
      </c>
      <c r="P611" s="534"/>
      <c r="Q611" s="534"/>
      <c r="R611" s="534"/>
      <c r="S611" s="535"/>
      <c r="T611" s="535"/>
      <c r="U611" s="535"/>
      <c r="V611" s="535"/>
      <c r="W611" s="535"/>
      <c r="X611" s="535"/>
      <c r="Y611" s="535"/>
      <c r="Z611" s="535"/>
    </row>
    <row r="612" spans="1:26" ht="13.5" customHeight="1">
      <c r="A612" s="143"/>
      <c r="B612" s="1006"/>
      <c r="C612" s="910"/>
      <c r="D612" s="910"/>
      <c r="E612" s="910"/>
      <c r="F612" s="910"/>
      <c r="G612" s="910"/>
      <c r="H612" s="910"/>
      <c r="I612" s="600"/>
      <c r="J612" s="75"/>
      <c r="K612" s="198"/>
      <c r="L612" s="198"/>
      <c r="M612" s="75"/>
      <c r="N612" s="198"/>
      <c r="O612" s="198"/>
      <c r="P612" s="146"/>
      <c r="Q612" s="146"/>
      <c r="R612" s="146"/>
      <c r="S612" s="149"/>
      <c r="T612" s="149"/>
      <c r="U612" s="149"/>
      <c r="V612" s="149"/>
      <c r="W612" s="149"/>
      <c r="X612" s="149"/>
      <c r="Y612" s="149"/>
      <c r="Z612" s="149"/>
    </row>
    <row r="613" spans="1:26" ht="32.25" customHeight="1">
      <c r="A613" s="533" t="s">
        <v>736</v>
      </c>
      <c r="B613" s="517" t="s">
        <v>4966</v>
      </c>
      <c r="C613" s="998">
        <f t="shared" ref="C613:H613" si="121">AVERAGE(C614:C617)</f>
        <v>0.50690074906367044</v>
      </c>
      <c r="D613" s="998">
        <f t="shared" si="121"/>
        <v>0.47940074906367036</v>
      </c>
      <c r="E613" s="998">
        <f t="shared" si="121"/>
        <v>0.24309925093632959</v>
      </c>
      <c r="F613" s="998">
        <f t="shared" si="121"/>
        <v>0.49906367041198507</v>
      </c>
      <c r="G613" s="998">
        <f t="shared" si="121"/>
        <v>0.5308988764044944</v>
      </c>
      <c r="H613" s="998">
        <f t="shared" si="121"/>
        <v>0.3848314606741573</v>
      </c>
      <c r="I613" s="600"/>
      <c r="J613" s="507"/>
      <c r="K613" s="551"/>
      <c r="L613" s="551"/>
      <c r="M613" s="507"/>
      <c r="N613" s="551"/>
      <c r="O613" s="551"/>
      <c r="P613" s="534"/>
      <c r="Q613" s="534"/>
      <c r="R613" s="534"/>
      <c r="S613" s="535"/>
      <c r="T613" s="535"/>
      <c r="U613" s="535"/>
      <c r="V613" s="535"/>
      <c r="W613" s="535"/>
      <c r="X613" s="535"/>
      <c r="Y613" s="535"/>
      <c r="Z613" s="535"/>
    </row>
    <row r="614" spans="1:26" ht="32.25" customHeight="1">
      <c r="A614" s="533"/>
      <c r="B614" s="1003" t="s">
        <v>567</v>
      </c>
      <c r="C614" s="998">
        <f t="shared" ref="C614:H614" si="122">(J614-1)/(4-1)</f>
        <v>0.44333333333333336</v>
      </c>
      <c r="D614" s="998">
        <f t="shared" si="122"/>
        <v>0.33333333333333331</v>
      </c>
      <c r="E614" s="998">
        <f t="shared" si="122"/>
        <v>0.2233333333333333</v>
      </c>
      <c r="F614" s="998">
        <f t="shared" si="122"/>
        <v>0.33333333333333331</v>
      </c>
      <c r="G614" s="998">
        <f t="shared" si="122"/>
        <v>0.55666666666666664</v>
      </c>
      <c r="H614" s="998">
        <f t="shared" si="122"/>
        <v>0.2233333333333333</v>
      </c>
      <c r="I614" s="600" t="s">
        <v>546</v>
      </c>
      <c r="J614" s="812">
        <v>2.33</v>
      </c>
      <c r="K614" s="812">
        <v>2</v>
      </c>
      <c r="L614" s="812">
        <v>1.67</v>
      </c>
      <c r="M614" s="812">
        <v>2</v>
      </c>
      <c r="N614" s="812">
        <v>2.67</v>
      </c>
      <c r="O614" s="812">
        <v>1.67</v>
      </c>
      <c r="P614" s="534"/>
      <c r="Q614" s="534"/>
      <c r="R614" s="534"/>
      <c r="S614" s="535"/>
      <c r="T614" s="535"/>
      <c r="U614" s="535"/>
      <c r="V614" s="535"/>
      <c r="W614" s="535"/>
      <c r="X614" s="535"/>
      <c r="Y614" s="535"/>
      <c r="Z614" s="535"/>
    </row>
    <row r="615" spans="1:26" ht="32.25" customHeight="1">
      <c r="A615" s="533"/>
      <c r="B615" s="1003" t="s">
        <v>568</v>
      </c>
      <c r="C615" s="998">
        <f t="shared" ref="C615:H615" si="123">(J615-1)/(3.67-1)</f>
        <v>0.62546816479400746</v>
      </c>
      <c r="D615" s="998">
        <f t="shared" si="123"/>
        <v>0.62546816479400746</v>
      </c>
      <c r="E615" s="998">
        <f t="shared" si="123"/>
        <v>0.37453183520599254</v>
      </c>
      <c r="F615" s="998">
        <f t="shared" si="123"/>
        <v>0.49812734082397009</v>
      </c>
      <c r="G615" s="998">
        <f t="shared" si="123"/>
        <v>0.49812734082397009</v>
      </c>
      <c r="H615" s="998">
        <f t="shared" si="123"/>
        <v>0.37453183520599254</v>
      </c>
      <c r="I615" s="600" t="s">
        <v>2004</v>
      </c>
      <c r="J615" s="812">
        <v>2.67</v>
      </c>
      <c r="K615" s="812">
        <v>2.67</v>
      </c>
      <c r="L615" s="812">
        <v>2</v>
      </c>
      <c r="M615" s="812">
        <v>2.33</v>
      </c>
      <c r="N615" s="812">
        <v>2.33</v>
      </c>
      <c r="O615" s="812">
        <v>2</v>
      </c>
      <c r="P615" s="534"/>
      <c r="Q615" s="534"/>
      <c r="R615" s="534"/>
      <c r="S615" s="535"/>
      <c r="T615" s="535"/>
      <c r="U615" s="535"/>
      <c r="V615" s="535"/>
      <c r="W615" s="535"/>
      <c r="X615" s="535"/>
      <c r="Y615" s="535"/>
      <c r="Z615" s="535"/>
    </row>
    <row r="616" spans="1:26" ht="32.25" customHeight="1">
      <c r="A616" s="533"/>
      <c r="B616" s="1003" t="s">
        <v>569</v>
      </c>
      <c r="C616" s="998">
        <f t="shared" ref="C616:H616" si="124">(J616-1)/(3.67-1)</f>
        <v>0.62546816479400746</v>
      </c>
      <c r="D616" s="998">
        <f t="shared" si="124"/>
        <v>0.62546816479400746</v>
      </c>
      <c r="E616" s="998">
        <f t="shared" si="124"/>
        <v>0.37453183520599254</v>
      </c>
      <c r="F616" s="998">
        <f t="shared" si="124"/>
        <v>0.49812734082397009</v>
      </c>
      <c r="G616" s="998">
        <f t="shared" si="124"/>
        <v>0.62546816479400746</v>
      </c>
      <c r="H616" s="998">
        <f t="shared" si="124"/>
        <v>0.49812734082397009</v>
      </c>
      <c r="I616" s="600" t="s">
        <v>2004</v>
      </c>
      <c r="J616" s="810">
        <v>2.67</v>
      </c>
      <c r="K616" s="810">
        <v>2.67</v>
      </c>
      <c r="L616" s="810">
        <v>2</v>
      </c>
      <c r="M616" s="810">
        <v>2.33</v>
      </c>
      <c r="N616" s="810">
        <v>2.67</v>
      </c>
      <c r="O616" s="810">
        <v>2.33</v>
      </c>
      <c r="P616" s="534"/>
      <c r="Q616" s="534"/>
      <c r="R616" s="534"/>
      <c r="S616" s="535"/>
      <c r="T616" s="535"/>
      <c r="U616" s="535"/>
      <c r="V616" s="535"/>
      <c r="W616" s="535"/>
      <c r="X616" s="535"/>
      <c r="Y616" s="535"/>
      <c r="Z616" s="535"/>
    </row>
    <row r="617" spans="1:26" ht="32.25" customHeight="1">
      <c r="A617" s="533"/>
      <c r="B617" s="1003" t="s">
        <v>570</v>
      </c>
      <c r="C617" s="998">
        <f t="shared" ref="C617:H617" si="125">(J617-1)/(4-1)</f>
        <v>0.33333333333333331</v>
      </c>
      <c r="D617" s="998">
        <f t="shared" si="125"/>
        <v>0.33333333333333331</v>
      </c>
      <c r="E617" s="998">
        <f t="shared" si="125"/>
        <v>0</v>
      </c>
      <c r="F617" s="998">
        <f t="shared" si="125"/>
        <v>0.66666666666666663</v>
      </c>
      <c r="G617" s="998">
        <f t="shared" si="125"/>
        <v>0.44333333333333336</v>
      </c>
      <c r="H617" s="998">
        <f t="shared" si="125"/>
        <v>0.44333333333333336</v>
      </c>
      <c r="I617" s="600" t="s">
        <v>546</v>
      </c>
      <c r="J617" s="810">
        <v>2</v>
      </c>
      <c r="K617" s="810">
        <v>2</v>
      </c>
      <c r="L617" s="810">
        <v>1</v>
      </c>
      <c r="M617" s="810">
        <v>3</v>
      </c>
      <c r="N617" s="810">
        <v>2.33</v>
      </c>
      <c r="O617" s="810">
        <v>2.33</v>
      </c>
      <c r="P617" s="534"/>
      <c r="Q617" s="534"/>
      <c r="R617" s="534"/>
      <c r="S617" s="535"/>
      <c r="T617" s="535"/>
      <c r="U617" s="535"/>
      <c r="V617" s="535"/>
      <c r="W617" s="535"/>
      <c r="X617" s="535"/>
      <c r="Y617" s="535"/>
      <c r="Z617" s="535"/>
    </row>
    <row r="618" spans="1:26" ht="13.5" customHeight="1">
      <c r="A618" s="143"/>
      <c r="B618" s="1007"/>
      <c r="C618" s="910"/>
      <c r="D618" s="910"/>
      <c r="E618" s="910"/>
      <c r="F618" s="910"/>
      <c r="G618" s="910"/>
      <c r="H618" s="910"/>
      <c r="I618" s="600"/>
      <c r="J618" s="75"/>
      <c r="K618" s="198"/>
      <c r="L618" s="198"/>
      <c r="M618" s="75"/>
      <c r="N618" s="198"/>
      <c r="O618" s="198"/>
      <c r="P618" s="146"/>
      <c r="Q618" s="146"/>
      <c r="R618" s="146"/>
      <c r="S618" s="149"/>
      <c r="T618" s="149"/>
      <c r="U618" s="149"/>
      <c r="V618" s="149"/>
      <c r="W618" s="149"/>
      <c r="X618" s="149"/>
      <c r="Y618" s="149"/>
      <c r="Z618" s="149"/>
    </row>
    <row r="619" spans="1:26" ht="49.5" customHeight="1">
      <c r="A619" s="533" t="s">
        <v>736</v>
      </c>
      <c r="B619" s="517" t="s">
        <v>4967</v>
      </c>
      <c r="C619" s="998">
        <f t="shared" ref="C619:H619" si="126">AVERAGE(C620:C624)</f>
        <v>0.45944944683070099</v>
      </c>
      <c r="D619" s="998">
        <f t="shared" si="126"/>
        <v>0.34845267168247018</v>
      </c>
      <c r="E619" s="998">
        <f t="shared" si="126"/>
        <v>0.2302555384928246</v>
      </c>
      <c r="F619" s="998">
        <f t="shared" si="126"/>
        <v>0.30876898466793834</v>
      </c>
      <c r="G619" s="998">
        <f t="shared" si="126"/>
        <v>0.30128447110008894</v>
      </c>
      <c r="H619" s="998">
        <f t="shared" si="126"/>
        <v>0.2302555384928246</v>
      </c>
      <c r="I619" s="600"/>
      <c r="J619" s="507"/>
      <c r="K619" s="551"/>
      <c r="L619" s="551"/>
      <c r="M619" s="507"/>
      <c r="N619" s="551"/>
      <c r="O619" s="551"/>
      <c r="P619" s="534"/>
      <c r="Q619" s="534"/>
      <c r="R619" s="534"/>
      <c r="S619" s="535"/>
      <c r="T619" s="535"/>
      <c r="U619" s="535"/>
      <c r="V619" s="535"/>
      <c r="W619" s="535"/>
      <c r="X619" s="535"/>
      <c r="Y619" s="535"/>
      <c r="Z619" s="535"/>
    </row>
    <row r="620" spans="1:26" ht="39.75" customHeight="1">
      <c r="A620" s="533"/>
      <c r="B620" s="1003" t="s">
        <v>572</v>
      </c>
      <c r="C620" s="998">
        <f t="shared" ref="C620:H620" si="127">(J620-1)/(3.67-1)</f>
        <v>0.62546816479400746</v>
      </c>
      <c r="D620" s="998">
        <f t="shared" si="127"/>
        <v>0.49812734082397009</v>
      </c>
      <c r="E620" s="998">
        <f t="shared" si="127"/>
        <v>0.37453183520599254</v>
      </c>
      <c r="F620" s="998">
        <f t="shared" si="127"/>
        <v>0.62546816479400746</v>
      </c>
      <c r="G620" s="998">
        <f t="shared" si="127"/>
        <v>0.49812734082397009</v>
      </c>
      <c r="H620" s="998">
        <f t="shared" si="127"/>
        <v>0.37453183520599254</v>
      </c>
      <c r="I620" s="600" t="s">
        <v>2004</v>
      </c>
      <c r="J620" s="810">
        <v>2.67</v>
      </c>
      <c r="K620" s="810">
        <v>2.33</v>
      </c>
      <c r="L620" s="810">
        <v>2</v>
      </c>
      <c r="M620" s="810">
        <v>2.67</v>
      </c>
      <c r="N620" s="810">
        <v>2.33</v>
      </c>
      <c r="O620" s="810">
        <v>2</v>
      </c>
      <c r="P620" s="534"/>
      <c r="Q620" s="534"/>
      <c r="R620" s="534"/>
      <c r="S620" s="535"/>
      <c r="T620" s="535"/>
      <c r="U620" s="535"/>
      <c r="V620" s="535"/>
      <c r="W620" s="535"/>
      <c r="X620" s="535"/>
      <c r="Y620" s="535"/>
      <c r="Z620" s="535"/>
    </row>
    <row r="621" spans="1:26" ht="41.25" customHeight="1">
      <c r="A621" s="533"/>
      <c r="B621" s="1003" t="s">
        <v>573</v>
      </c>
      <c r="C621" s="998">
        <f t="shared" ref="C621:H621" si="128">(J621-1.67)/(3.67-1.67)</f>
        <v>0.5</v>
      </c>
      <c r="D621" s="998">
        <f t="shared" si="128"/>
        <v>0.16500000000000004</v>
      </c>
      <c r="E621" s="998">
        <f t="shared" si="128"/>
        <v>0.16500000000000004</v>
      </c>
      <c r="F621" s="998">
        <f t="shared" si="128"/>
        <v>0.16500000000000004</v>
      </c>
      <c r="G621" s="998">
        <f t="shared" si="128"/>
        <v>0.16500000000000004</v>
      </c>
      <c r="H621" s="998">
        <f t="shared" si="128"/>
        <v>0.16500000000000004</v>
      </c>
      <c r="I621" s="600" t="s">
        <v>1991</v>
      </c>
      <c r="J621" s="810">
        <v>2.67</v>
      </c>
      <c r="K621" s="810">
        <v>2</v>
      </c>
      <c r="L621" s="810">
        <v>2</v>
      </c>
      <c r="M621" s="810">
        <v>2</v>
      </c>
      <c r="N621" s="810">
        <v>2</v>
      </c>
      <c r="O621" s="810">
        <v>2</v>
      </c>
      <c r="P621" s="534"/>
      <c r="Q621" s="534"/>
      <c r="R621" s="534"/>
      <c r="S621" s="535"/>
      <c r="T621" s="535"/>
      <c r="U621" s="535"/>
      <c r="V621" s="535"/>
      <c r="W621" s="535"/>
      <c r="X621" s="535"/>
      <c r="Y621" s="535"/>
      <c r="Z621" s="535"/>
    </row>
    <row r="622" spans="1:26" ht="44.25" customHeight="1">
      <c r="A622" s="533"/>
      <c r="B622" s="1003" t="s">
        <v>574</v>
      </c>
      <c r="C622" s="998">
        <f t="shared" ref="C622:H622" si="129">(J622-1)/(3.33-1)</f>
        <v>0.42918454935622319</v>
      </c>
      <c r="D622" s="998">
        <f t="shared" si="129"/>
        <v>0.42918454935622319</v>
      </c>
      <c r="E622" s="998">
        <f t="shared" si="129"/>
        <v>0.42918454935622319</v>
      </c>
      <c r="F622" s="998">
        <f t="shared" si="129"/>
        <v>0.57081545064377681</v>
      </c>
      <c r="G622" s="998">
        <f t="shared" si="129"/>
        <v>0.57081545064377681</v>
      </c>
      <c r="H622" s="998">
        <f t="shared" si="129"/>
        <v>0.42918454935622319</v>
      </c>
      <c r="I622" s="600" t="s">
        <v>2002</v>
      </c>
      <c r="J622" s="810">
        <v>2</v>
      </c>
      <c r="K622" s="810">
        <v>2</v>
      </c>
      <c r="L622" s="810">
        <v>2</v>
      </c>
      <c r="M622" s="810">
        <v>2.33</v>
      </c>
      <c r="N622" s="810">
        <v>2.33</v>
      </c>
      <c r="O622" s="810">
        <v>2</v>
      </c>
      <c r="P622" s="534"/>
      <c r="Q622" s="534"/>
      <c r="R622" s="534"/>
      <c r="S622" s="535"/>
      <c r="T622" s="535"/>
      <c r="U622" s="535"/>
      <c r="V622" s="535"/>
      <c r="W622" s="535"/>
      <c r="X622" s="535"/>
      <c r="Y622" s="535"/>
      <c r="Z622" s="535"/>
    </row>
    <row r="623" spans="1:26" ht="37.5" customHeight="1">
      <c r="A623" s="533"/>
      <c r="B623" s="1003" t="s">
        <v>575</v>
      </c>
      <c r="C623" s="998">
        <f t="shared" ref="C623:H623" si="130">(J623-1)/(3.33-1)</f>
        <v>0.28755364806866951</v>
      </c>
      <c r="D623" s="998">
        <f t="shared" si="130"/>
        <v>0.28755364806866951</v>
      </c>
      <c r="E623" s="998">
        <f t="shared" si="130"/>
        <v>0</v>
      </c>
      <c r="F623" s="998">
        <f t="shared" si="130"/>
        <v>0</v>
      </c>
      <c r="G623" s="998">
        <f t="shared" si="130"/>
        <v>0</v>
      </c>
      <c r="H623" s="998">
        <f t="shared" si="130"/>
        <v>0</v>
      </c>
      <c r="I623" s="600" t="s">
        <v>2002</v>
      </c>
      <c r="J623" s="810">
        <v>1.67</v>
      </c>
      <c r="K623" s="810">
        <v>1.67</v>
      </c>
      <c r="L623" s="810">
        <v>1</v>
      </c>
      <c r="M623" s="810">
        <v>1</v>
      </c>
      <c r="N623" s="810">
        <v>1</v>
      </c>
      <c r="O623" s="810">
        <v>1</v>
      </c>
      <c r="P623" s="534"/>
      <c r="Q623" s="534"/>
      <c r="R623" s="534"/>
      <c r="S623" s="535"/>
      <c r="T623" s="535"/>
      <c r="U623" s="535"/>
      <c r="V623" s="535"/>
      <c r="W623" s="535"/>
      <c r="X623" s="535"/>
      <c r="Y623" s="535"/>
      <c r="Z623" s="535"/>
    </row>
    <row r="624" spans="1:26" ht="31.5" customHeight="1">
      <c r="A624" s="533"/>
      <c r="B624" s="1003" t="s">
        <v>576</v>
      </c>
      <c r="C624" s="998">
        <f t="shared" ref="C624:H624" si="131">(J624-1)/(3.67)</f>
        <v>0.45504087193460491</v>
      </c>
      <c r="D624" s="998">
        <f t="shared" si="131"/>
        <v>0.36239782016348776</v>
      </c>
      <c r="E624" s="998">
        <f t="shared" si="131"/>
        <v>0.18256130790190733</v>
      </c>
      <c r="F624" s="998">
        <f t="shared" si="131"/>
        <v>0.18256130790190733</v>
      </c>
      <c r="G624" s="998">
        <f t="shared" si="131"/>
        <v>0.27247956403269757</v>
      </c>
      <c r="H624" s="998">
        <f t="shared" si="131"/>
        <v>0.18256130790190733</v>
      </c>
      <c r="I624" s="600" t="s">
        <v>2004</v>
      </c>
      <c r="J624" s="810">
        <v>2.67</v>
      </c>
      <c r="K624" s="810">
        <v>2.33</v>
      </c>
      <c r="L624" s="810">
        <v>1.67</v>
      </c>
      <c r="M624" s="810">
        <v>1.67</v>
      </c>
      <c r="N624" s="810">
        <v>2</v>
      </c>
      <c r="O624" s="810">
        <v>1.67</v>
      </c>
      <c r="P624" s="534"/>
      <c r="Q624" s="534"/>
      <c r="R624" s="534"/>
      <c r="S624" s="535"/>
      <c r="T624" s="535"/>
      <c r="U624" s="535"/>
      <c r="V624" s="535"/>
      <c r="W624" s="535"/>
      <c r="X624" s="535"/>
      <c r="Y624" s="535"/>
      <c r="Z624" s="535"/>
    </row>
    <row r="625" spans="1:26" ht="18" customHeight="1">
      <c r="A625" s="500"/>
      <c r="B625" s="538"/>
      <c r="C625" s="539"/>
      <c r="D625" s="539"/>
      <c r="E625" s="539"/>
      <c r="F625" s="539"/>
      <c r="G625" s="539"/>
      <c r="H625" s="539"/>
      <c r="I625" s="161"/>
      <c r="J625" s="541"/>
      <c r="K625" s="541"/>
      <c r="L625" s="541"/>
      <c r="M625" s="541"/>
      <c r="N625" s="541"/>
      <c r="O625" s="541"/>
      <c r="P625" s="208"/>
      <c r="Q625" s="208"/>
      <c r="R625" s="208"/>
      <c r="S625" s="210"/>
      <c r="T625" s="210"/>
      <c r="U625" s="210"/>
      <c r="V625" s="210"/>
      <c r="W625" s="210"/>
      <c r="X625" s="210"/>
      <c r="Y625" s="210"/>
      <c r="Z625" s="210"/>
    </row>
    <row r="626" spans="1:26" ht="49.5" customHeight="1">
      <c r="A626" s="543" t="s">
        <v>2006</v>
      </c>
      <c r="B626" s="544" t="s">
        <v>4968</v>
      </c>
      <c r="C626" s="545">
        <f t="shared" ref="C626:H626" si="132">AVERAGE(C627,C646,C661,C680,C701,C710,C717,C726)</f>
        <v>0.62592359815237164</v>
      </c>
      <c r="D626" s="545">
        <f t="shared" si="132"/>
        <v>0.7059220179060981</v>
      </c>
      <c r="E626" s="545">
        <f t="shared" si="132"/>
        <v>0.405069350853549</v>
      </c>
      <c r="F626" s="545">
        <f t="shared" si="132"/>
        <v>0.73435210622710634</v>
      </c>
      <c r="G626" s="545">
        <f t="shared" si="132"/>
        <v>0.59786916928721179</v>
      </c>
      <c r="H626" s="545">
        <f t="shared" si="132"/>
        <v>0.43289064839772384</v>
      </c>
      <c r="I626" s="546"/>
      <c r="J626" s="63"/>
      <c r="K626" s="163"/>
      <c r="L626" s="163"/>
      <c r="M626" s="63"/>
      <c r="N626" s="163"/>
      <c r="O626" s="163"/>
      <c r="P626" s="549"/>
      <c r="Q626" s="549"/>
      <c r="R626" s="549"/>
      <c r="S626" s="546"/>
      <c r="T626" s="546"/>
      <c r="U626" s="546"/>
      <c r="V626" s="546"/>
      <c r="W626" s="546"/>
      <c r="X626" s="546"/>
      <c r="Y626" s="546"/>
      <c r="Z626" s="546"/>
    </row>
    <row r="627" spans="1:26" ht="27.75" customHeight="1">
      <c r="A627" s="816" t="s">
        <v>438</v>
      </c>
      <c r="B627" s="588" t="s">
        <v>3802</v>
      </c>
      <c r="C627" s="506">
        <f t="shared" ref="C627:H627" si="133">AVERAGE(C628,C630,C632,C634,C636,C638,C640,C642,C644)</f>
        <v>0.57692307692307698</v>
      </c>
      <c r="D627" s="506">
        <f t="shared" si="133"/>
        <v>0.51282051282051277</v>
      </c>
      <c r="E627" s="506">
        <f t="shared" si="133"/>
        <v>0.3888888888888889</v>
      </c>
      <c r="F627" s="506">
        <f t="shared" si="133"/>
        <v>0.34188034188034183</v>
      </c>
      <c r="G627" s="506">
        <f t="shared" si="133"/>
        <v>0.55555555555555558</v>
      </c>
      <c r="H627" s="506">
        <f t="shared" si="133"/>
        <v>0.22222222222222221</v>
      </c>
      <c r="I627" s="454"/>
      <c r="J627" s="507"/>
      <c r="K627" s="551"/>
      <c r="L627" s="551"/>
      <c r="M627" s="507"/>
      <c r="N627" s="551"/>
      <c r="O627" s="551"/>
      <c r="P627" s="534"/>
      <c r="Q627" s="534"/>
      <c r="R627" s="534"/>
      <c r="S627" s="535"/>
      <c r="T627" s="535"/>
      <c r="U627" s="535"/>
      <c r="V627" s="535"/>
      <c r="W627" s="535"/>
      <c r="X627" s="535"/>
      <c r="Y627" s="535"/>
      <c r="Z627" s="535"/>
    </row>
    <row r="628" spans="1:26" ht="82.5" customHeight="1">
      <c r="A628" s="533" t="s">
        <v>736</v>
      </c>
      <c r="B628" s="560" t="s">
        <v>3803</v>
      </c>
      <c r="C628" s="506">
        <v>1</v>
      </c>
      <c r="D628" s="506">
        <v>1</v>
      </c>
      <c r="E628" s="506">
        <v>1</v>
      </c>
      <c r="F628" s="506">
        <v>0</v>
      </c>
      <c r="G628" s="506">
        <v>1</v>
      </c>
      <c r="H628" s="506">
        <v>0</v>
      </c>
      <c r="I628" s="454" t="s">
        <v>38</v>
      </c>
      <c r="J628" s="507" t="s">
        <v>4969</v>
      </c>
      <c r="K628" s="507" t="s">
        <v>4969</v>
      </c>
      <c r="L628" s="507" t="s">
        <v>4970</v>
      </c>
      <c r="M628" s="507" t="s">
        <v>748</v>
      </c>
      <c r="N628" s="507" t="s">
        <v>4969</v>
      </c>
      <c r="O628" s="507" t="s">
        <v>4971</v>
      </c>
      <c r="P628" s="534"/>
      <c r="Q628" s="534"/>
      <c r="R628" s="534"/>
      <c r="S628" s="535"/>
      <c r="T628" s="535"/>
      <c r="U628" s="535"/>
      <c r="V628" s="535"/>
      <c r="W628" s="535"/>
      <c r="X628" s="535"/>
      <c r="Y628" s="535"/>
      <c r="Z628" s="535"/>
    </row>
    <row r="629" spans="1:26" ht="13.5" customHeight="1">
      <c r="A629" s="143"/>
      <c r="B629" s="562"/>
      <c r="C629" s="87"/>
      <c r="D629" s="87"/>
      <c r="E629" s="87"/>
      <c r="F629" s="87"/>
      <c r="G629" s="87"/>
      <c r="H629" s="87"/>
      <c r="I629" s="454"/>
      <c r="J629" s="87"/>
      <c r="K629" s="87"/>
      <c r="L629" s="87"/>
      <c r="M629" s="87"/>
      <c r="N629" s="87"/>
      <c r="O629" s="87"/>
      <c r="P629" s="146"/>
      <c r="Q629" s="146"/>
      <c r="R629" s="146"/>
      <c r="S629" s="149"/>
      <c r="T629" s="149"/>
      <c r="U629" s="149"/>
      <c r="V629" s="149"/>
      <c r="W629" s="149"/>
      <c r="X629" s="149"/>
      <c r="Y629" s="149"/>
      <c r="Z629" s="149"/>
    </row>
    <row r="630" spans="1:26" ht="77.25" customHeight="1">
      <c r="A630" s="533" t="s">
        <v>736</v>
      </c>
      <c r="B630" s="560" t="s">
        <v>581</v>
      </c>
      <c r="C630" s="506">
        <v>1</v>
      </c>
      <c r="D630" s="506">
        <v>0</v>
      </c>
      <c r="E630" s="506">
        <v>1</v>
      </c>
      <c r="F630" s="506">
        <v>0</v>
      </c>
      <c r="G630" s="506">
        <v>1</v>
      </c>
      <c r="H630" s="506">
        <v>0</v>
      </c>
      <c r="I630" s="454" t="s">
        <v>38</v>
      </c>
      <c r="J630" s="507" t="s">
        <v>2010</v>
      </c>
      <c r="K630" s="507" t="s">
        <v>2011</v>
      </c>
      <c r="L630" s="507" t="s">
        <v>2010</v>
      </c>
      <c r="M630" s="507" t="s">
        <v>748</v>
      </c>
      <c r="N630" s="507" t="s">
        <v>2010</v>
      </c>
      <c r="O630" s="507" t="s">
        <v>748</v>
      </c>
      <c r="P630" s="534"/>
      <c r="Q630" s="534"/>
      <c r="R630" s="534"/>
      <c r="S630" s="535"/>
      <c r="T630" s="535"/>
      <c r="U630" s="535"/>
      <c r="V630" s="535"/>
      <c r="W630" s="535"/>
      <c r="X630" s="535"/>
      <c r="Y630" s="535"/>
      <c r="Z630" s="535"/>
    </row>
    <row r="631" spans="1:26" ht="13.5" customHeight="1">
      <c r="A631" s="143"/>
      <c r="B631" s="562"/>
      <c r="C631" s="87"/>
      <c r="D631" s="87"/>
      <c r="E631" s="87"/>
      <c r="F631" s="87"/>
      <c r="G631" s="87"/>
      <c r="H631" s="87"/>
      <c r="I631" s="454"/>
      <c r="J631" s="87"/>
      <c r="K631" s="87"/>
      <c r="L631" s="87"/>
      <c r="M631" s="87"/>
      <c r="N631" s="271"/>
      <c r="O631" s="87"/>
      <c r="P631" s="146"/>
      <c r="Q631" s="146"/>
      <c r="R631" s="146"/>
      <c r="S631" s="149"/>
      <c r="T631" s="149"/>
      <c r="U631" s="149"/>
      <c r="V631" s="149"/>
      <c r="W631" s="149"/>
      <c r="X631" s="149"/>
      <c r="Y631" s="149"/>
      <c r="Z631" s="149"/>
    </row>
    <row r="632" spans="1:26" ht="60" customHeight="1">
      <c r="A632" s="533" t="s">
        <v>736</v>
      </c>
      <c r="B632" s="560" t="s">
        <v>2012</v>
      </c>
      <c r="C632" s="506">
        <v>1</v>
      </c>
      <c r="D632" s="506">
        <v>1</v>
      </c>
      <c r="E632" s="506">
        <v>0.5</v>
      </c>
      <c r="F632" s="506">
        <v>1</v>
      </c>
      <c r="G632" s="506">
        <v>1</v>
      </c>
      <c r="H632" s="506">
        <v>0.5</v>
      </c>
      <c r="I632" s="454" t="s">
        <v>3809</v>
      </c>
      <c r="J632" s="551" t="s">
        <v>2013</v>
      </c>
      <c r="K632" s="551" t="s">
        <v>2013</v>
      </c>
      <c r="L632" s="551" t="s">
        <v>2014</v>
      </c>
      <c r="M632" s="551" t="s">
        <v>2013</v>
      </c>
      <c r="N632" s="551" t="s">
        <v>2013</v>
      </c>
      <c r="O632" s="551" t="s">
        <v>2014</v>
      </c>
      <c r="P632" s="534"/>
      <c r="Q632" s="534"/>
      <c r="R632" s="534"/>
      <c r="S632" s="535"/>
      <c r="T632" s="535"/>
      <c r="U632" s="535"/>
      <c r="V632" s="535"/>
      <c r="W632" s="535"/>
      <c r="X632" s="535"/>
      <c r="Y632" s="535"/>
      <c r="Z632" s="535"/>
    </row>
    <row r="633" spans="1:26" ht="13.5" customHeight="1">
      <c r="A633" s="143"/>
      <c r="B633" s="562"/>
      <c r="C633" s="87"/>
      <c r="D633" s="87"/>
      <c r="E633" s="87"/>
      <c r="F633" s="87"/>
      <c r="G633" s="87"/>
      <c r="H633" s="87"/>
      <c r="I633" s="454"/>
      <c r="J633" s="75"/>
      <c r="K633" s="953"/>
      <c r="L633" s="75"/>
      <c r="M633" s="75"/>
      <c r="N633" s="75"/>
      <c r="O633" s="75"/>
      <c r="P633" s="146"/>
      <c r="Q633" s="146"/>
      <c r="R633" s="146"/>
      <c r="S633" s="149"/>
      <c r="T633" s="149"/>
      <c r="U633" s="149"/>
      <c r="V633" s="149"/>
      <c r="W633" s="149"/>
      <c r="X633" s="149"/>
      <c r="Y633" s="149"/>
      <c r="Z633" s="149"/>
    </row>
    <row r="634" spans="1:26" ht="49.5" customHeight="1">
      <c r="A634" s="533" t="s">
        <v>736</v>
      </c>
      <c r="B634" s="560" t="s">
        <v>4972</v>
      </c>
      <c r="C634" s="506">
        <v>1</v>
      </c>
      <c r="D634" s="506">
        <v>0</v>
      </c>
      <c r="E634" s="506">
        <v>0</v>
      </c>
      <c r="F634" s="506">
        <v>0</v>
      </c>
      <c r="G634" s="506">
        <v>0</v>
      </c>
      <c r="H634" s="506">
        <v>0</v>
      </c>
      <c r="I634" s="454" t="s">
        <v>38</v>
      </c>
      <c r="J634" s="507" t="s">
        <v>4973</v>
      </c>
      <c r="K634" s="507" t="s">
        <v>4974</v>
      </c>
      <c r="L634" s="507" t="s">
        <v>4975</v>
      </c>
      <c r="M634" s="507" t="s">
        <v>748</v>
      </c>
      <c r="N634" s="507" t="s">
        <v>4976</v>
      </c>
      <c r="O634" s="507" t="s">
        <v>2425</v>
      </c>
      <c r="P634" s="534"/>
      <c r="Q634" s="534"/>
      <c r="R634" s="534"/>
      <c r="S634" s="535"/>
      <c r="T634" s="535"/>
      <c r="U634" s="535"/>
      <c r="V634" s="535"/>
      <c r="W634" s="535"/>
      <c r="X634" s="535"/>
      <c r="Y634" s="535"/>
      <c r="Z634" s="535"/>
    </row>
    <row r="635" spans="1:26" ht="23.25" customHeight="1">
      <c r="A635" s="143"/>
      <c r="B635" s="562"/>
      <c r="C635" s="87"/>
      <c r="D635" s="87"/>
      <c r="E635" s="87"/>
      <c r="F635" s="87"/>
      <c r="G635" s="87"/>
      <c r="H635" s="87"/>
      <c r="I635" s="454"/>
      <c r="J635" s="75"/>
      <c r="K635" s="75"/>
      <c r="L635" s="75"/>
      <c r="M635" s="75"/>
      <c r="N635" s="75"/>
      <c r="O635" s="75"/>
      <c r="P635" s="146"/>
      <c r="Q635" s="146"/>
      <c r="R635" s="146"/>
      <c r="S635" s="149"/>
      <c r="T635" s="149"/>
      <c r="U635" s="149"/>
      <c r="V635" s="149"/>
      <c r="W635" s="149"/>
      <c r="X635" s="149"/>
      <c r="Y635" s="149"/>
      <c r="Z635" s="149"/>
    </row>
    <row r="636" spans="1:26" ht="104.25" customHeight="1">
      <c r="A636" s="533" t="s">
        <v>736</v>
      </c>
      <c r="B636" s="560" t="s">
        <v>4977</v>
      </c>
      <c r="C636" s="506">
        <v>0.5</v>
      </c>
      <c r="D636" s="506">
        <v>0</v>
      </c>
      <c r="E636" s="506">
        <v>0</v>
      </c>
      <c r="F636" s="506">
        <v>0</v>
      </c>
      <c r="G636" s="506">
        <v>0</v>
      </c>
      <c r="H636" s="506">
        <v>0</v>
      </c>
      <c r="I636" s="454" t="s">
        <v>3613</v>
      </c>
      <c r="J636" s="507" t="s">
        <v>4978</v>
      </c>
      <c r="K636" s="507" t="s">
        <v>748</v>
      </c>
      <c r="L636" s="507" t="s">
        <v>748</v>
      </c>
      <c r="M636" s="507" t="s">
        <v>748</v>
      </c>
      <c r="N636" s="507" t="s">
        <v>1060</v>
      </c>
      <c r="O636" s="507" t="s">
        <v>4979</v>
      </c>
      <c r="P636" s="534"/>
      <c r="Q636" s="534"/>
      <c r="R636" s="534"/>
      <c r="S636" s="535"/>
      <c r="T636" s="535"/>
      <c r="U636" s="535"/>
      <c r="V636" s="535"/>
      <c r="W636" s="535"/>
      <c r="X636" s="535"/>
      <c r="Y636" s="535"/>
      <c r="Z636" s="535"/>
    </row>
    <row r="637" spans="1:26" ht="13.5" customHeight="1">
      <c r="A637" s="143"/>
      <c r="B637" s="909"/>
      <c r="C637" s="87"/>
      <c r="D637" s="75"/>
      <c r="E637" s="87"/>
      <c r="F637" s="87"/>
      <c r="G637" s="271"/>
      <c r="H637" s="908"/>
      <c r="I637" s="454"/>
      <c r="J637" s="75"/>
      <c r="K637" s="953"/>
      <c r="L637" s="75"/>
      <c r="M637" s="75"/>
      <c r="N637" s="75"/>
      <c r="O637" s="75"/>
      <c r="P637" s="146"/>
      <c r="Q637" s="146"/>
      <c r="R637" s="146"/>
      <c r="S637" s="149"/>
      <c r="T637" s="149"/>
      <c r="U637" s="149"/>
      <c r="V637" s="149"/>
      <c r="W637" s="149"/>
      <c r="X637" s="149"/>
      <c r="Y637" s="149"/>
      <c r="Z637" s="149"/>
    </row>
    <row r="638" spans="1:26" ht="123" customHeight="1">
      <c r="A638" s="533" t="s">
        <v>736</v>
      </c>
      <c r="B638" s="560" t="s">
        <v>4980</v>
      </c>
      <c r="C638" s="506">
        <v>0.5</v>
      </c>
      <c r="D638" s="506">
        <v>0</v>
      </c>
      <c r="E638" s="506">
        <v>0</v>
      </c>
      <c r="F638" s="506">
        <v>0</v>
      </c>
      <c r="G638" s="506">
        <v>0</v>
      </c>
      <c r="H638" s="506">
        <v>0</v>
      </c>
      <c r="I638" s="454" t="s">
        <v>3613</v>
      </c>
      <c r="J638" s="507" t="s">
        <v>4981</v>
      </c>
      <c r="K638" s="507" t="s">
        <v>4982</v>
      </c>
      <c r="L638" s="551" t="s">
        <v>748</v>
      </c>
      <c r="M638" s="507" t="s">
        <v>748</v>
      </c>
      <c r="N638" s="507" t="s">
        <v>1060</v>
      </c>
      <c r="O638" s="507" t="s">
        <v>4983</v>
      </c>
      <c r="P638" s="534"/>
      <c r="Q638" s="534"/>
      <c r="R638" s="534"/>
      <c r="S638" s="535"/>
      <c r="T638" s="535"/>
      <c r="U638" s="535"/>
      <c r="V638" s="535"/>
      <c r="W638" s="535"/>
      <c r="X638" s="535"/>
      <c r="Y638" s="535"/>
      <c r="Z638" s="535"/>
    </row>
    <row r="639" spans="1:26" ht="20.25" customHeight="1">
      <c r="A639" s="143"/>
      <c r="B639" s="562"/>
      <c r="C639" s="87"/>
      <c r="D639" s="87"/>
      <c r="E639" s="87"/>
      <c r="F639" s="87"/>
      <c r="G639" s="87"/>
      <c r="H639" s="87"/>
      <c r="I639" s="454"/>
      <c r="J639" s="75"/>
      <c r="K639" s="75"/>
      <c r="L639" s="87"/>
      <c r="M639" s="87"/>
      <c r="N639" s="271"/>
      <c r="O639" s="87"/>
      <c r="P639" s="146"/>
      <c r="Q639" s="146"/>
      <c r="R639" s="146"/>
      <c r="S639" s="149"/>
      <c r="T639" s="149"/>
      <c r="U639" s="149"/>
      <c r="V639" s="149"/>
      <c r="W639" s="149"/>
      <c r="X639" s="149"/>
      <c r="Y639" s="149"/>
      <c r="Z639" s="149"/>
    </row>
    <row r="640" spans="1:26" ht="66.75" customHeight="1">
      <c r="A640" s="533" t="s">
        <v>736</v>
      </c>
      <c r="B640" s="560" t="s">
        <v>4984</v>
      </c>
      <c r="C640" s="506">
        <f t="shared" ref="C640:H640" si="134">(J640-0)/(26-0)</f>
        <v>0.19230769230769232</v>
      </c>
      <c r="D640" s="506">
        <f t="shared" si="134"/>
        <v>0.61538461538461542</v>
      </c>
      <c r="E640" s="506">
        <f t="shared" si="134"/>
        <v>0</v>
      </c>
      <c r="F640" s="506">
        <f t="shared" si="134"/>
        <v>7.6923076923076927E-2</v>
      </c>
      <c r="G640" s="506">
        <f t="shared" si="134"/>
        <v>0</v>
      </c>
      <c r="H640" s="506">
        <f t="shared" si="134"/>
        <v>0</v>
      </c>
      <c r="I640" s="999" t="s">
        <v>2027</v>
      </c>
      <c r="J640" s="507">
        <v>5</v>
      </c>
      <c r="K640" s="507">
        <v>16</v>
      </c>
      <c r="L640" s="551">
        <v>0</v>
      </c>
      <c r="M640" s="507">
        <v>2</v>
      </c>
      <c r="N640" s="507">
        <v>0</v>
      </c>
      <c r="O640" s="507">
        <v>0</v>
      </c>
      <c r="P640" s="534"/>
      <c r="Q640" s="534"/>
      <c r="R640" s="534"/>
      <c r="S640" s="535"/>
      <c r="T640" s="535"/>
      <c r="U640" s="535"/>
      <c r="V640" s="535"/>
      <c r="W640" s="535"/>
      <c r="X640" s="535"/>
      <c r="Y640" s="535"/>
      <c r="Z640" s="535"/>
    </row>
    <row r="641" spans="1:26" ht="13.5" customHeight="1">
      <c r="A641" s="143"/>
      <c r="B641" s="562"/>
      <c r="C641" s="87"/>
      <c r="D641" s="87"/>
      <c r="E641" s="87"/>
      <c r="F641" s="87"/>
      <c r="G641" s="87"/>
      <c r="H641" s="87"/>
      <c r="I641" s="454"/>
      <c r="J641" s="87"/>
      <c r="K641" s="75"/>
      <c r="L641" s="343"/>
      <c r="M641" s="75"/>
      <c r="N641" s="271"/>
      <c r="O641" s="87"/>
      <c r="P641" s="146"/>
      <c r="Q641" s="146"/>
      <c r="R641" s="146"/>
      <c r="S641" s="149"/>
      <c r="T641" s="149"/>
      <c r="U641" s="149"/>
      <c r="V641" s="149"/>
      <c r="W641" s="149"/>
      <c r="X641" s="149"/>
      <c r="Y641" s="149"/>
      <c r="Z641" s="149"/>
    </row>
    <row r="642" spans="1:26" ht="93" customHeight="1">
      <c r="A642" s="533" t="s">
        <v>736</v>
      </c>
      <c r="B642" s="560" t="s">
        <v>3816</v>
      </c>
      <c r="C642" s="506">
        <v>0</v>
      </c>
      <c r="D642" s="506">
        <v>1</v>
      </c>
      <c r="E642" s="506">
        <v>0</v>
      </c>
      <c r="F642" s="506">
        <v>1</v>
      </c>
      <c r="G642" s="506">
        <v>1</v>
      </c>
      <c r="H642" s="506">
        <v>0.5</v>
      </c>
      <c r="I642" s="454" t="s">
        <v>3613</v>
      </c>
      <c r="J642" s="507" t="s">
        <v>4985</v>
      </c>
      <c r="K642" s="507" t="s">
        <v>2031</v>
      </c>
      <c r="L642" s="551" t="s">
        <v>748</v>
      </c>
      <c r="M642" s="507" t="s">
        <v>811</v>
      </c>
      <c r="N642" s="507" t="s">
        <v>960</v>
      </c>
      <c r="O642" s="507" t="s">
        <v>4986</v>
      </c>
      <c r="P642" s="534"/>
      <c r="Q642" s="534"/>
      <c r="R642" s="534"/>
      <c r="S642" s="535"/>
      <c r="T642" s="535"/>
      <c r="U642" s="535"/>
      <c r="V642" s="535"/>
      <c r="W642" s="535"/>
      <c r="X642" s="535"/>
      <c r="Y642" s="535"/>
      <c r="Z642" s="535"/>
    </row>
    <row r="643" spans="1:26" ht="13.5" customHeight="1">
      <c r="A643" s="143"/>
      <c r="B643" s="662"/>
      <c r="C643" s="87"/>
      <c r="D643" s="75"/>
      <c r="E643" s="343"/>
      <c r="F643" s="75"/>
      <c r="G643" s="271"/>
      <c r="H643" s="87"/>
      <c r="I643" s="454"/>
      <c r="J643" s="75"/>
      <c r="K643" s="953"/>
      <c r="L643" s="198"/>
      <c r="M643" s="75"/>
      <c r="N643" s="75"/>
      <c r="O643" s="75"/>
      <c r="P643" s="146"/>
      <c r="Q643" s="146"/>
      <c r="R643" s="146"/>
      <c r="S643" s="149"/>
      <c r="T643" s="149"/>
      <c r="U643" s="149"/>
      <c r="V643" s="149"/>
      <c r="W643" s="149"/>
      <c r="X643" s="149"/>
      <c r="Y643" s="149"/>
      <c r="Z643" s="149"/>
    </row>
    <row r="644" spans="1:26" ht="84" customHeight="1">
      <c r="A644" s="533" t="s">
        <v>736</v>
      </c>
      <c r="B644" s="560" t="s">
        <v>2033</v>
      </c>
      <c r="C644" s="506">
        <v>0</v>
      </c>
      <c r="D644" s="506">
        <v>1</v>
      </c>
      <c r="E644" s="506">
        <v>1</v>
      </c>
      <c r="F644" s="506">
        <v>1</v>
      </c>
      <c r="G644" s="506">
        <v>1</v>
      </c>
      <c r="H644" s="506">
        <v>1</v>
      </c>
      <c r="I644" s="454" t="s">
        <v>3613</v>
      </c>
      <c r="J644" s="507" t="s">
        <v>4987</v>
      </c>
      <c r="K644" s="507" t="s">
        <v>811</v>
      </c>
      <c r="L644" s="551" t="s">
        <v>811</v>
      </c>
      <c r="M644" s="507" t="s">
        <v>811</v>
      </c>
      <c r="N644" s="507" t="s">
        <v>960</v>
      </c>
      <c r="O644" s="507" t="s">
        <v>811</v>
      </c>
      <c r="P644" s="534"/>
      <c r="Q644" s="534"/>
      <c r="R644" s="534"/>
      <c r="S644" s="535"/>
      <c r="T644" s="535"/>
      <c r="U644" s="535"/>
      <c r="V644" s="535"/>
      <c r="W644" s="535"/>
      <c r="X644" s="535"/>
      <c r="Y644" s="535"/>
      <c r="Z644" s="535"/>
    </row>
    <row r="645" spans="1:26" ht="22.5" customHeight="1">
      <c r="A645" s="143"/>
      <c r="B645" s="929"/>
      <c r="C645" s="87"/>
      <c r="D645" s="87"/>
      <c r="E645" s="87"/>
      <c r="F645" s="87"/>
      <c r="G645" s="87"/>
      <c r="H645" s="87"/>
      <c r="I645" s="454"/>
      <c r="J645" s="75"/>
      <c r="K645" s="75"/>
      <c r="L645" s="343"/>
      <c r="M645" s="87"/>
      <c r="N645" s="271"/>
      <c r="O645" s="87"/>
      <c r="P645" s="146"/>
      <c r="Q645" s="146"/>
      <c r="R645" s="146"/>
      <c r="S645" s="149"/>
      <c r="T645" s="149"/>
      <c r="U645" s="149"/>
      <c r="V645" s="149"/>
      <c r="W645" s="149"/>
      <c r="X645" s="149"/>
      <c r="Y645" s="149"/>
      <c r="Z645" s="149"/>
    </row>
    <row r="646" spans="1:26" ht="13.5" customHeight="1">
      <c r="A646" s="556" t="s">
        <v>439</v>
      </c>
      <c r="B646" s="517" t="s">
        <v>592</v>
      </c>
      <c r="C646" s="506">
        <f t="shared" ref="C646:H646" si="135">AVERAGE(C647,C649,C651,C653,C655,C657,C659)</f>
        <v>0.35714285714285715</v>
      </c>
      <c r="D646" s="506">
        <f t="shared" si="135"/>
        <v>0.3080357142857143</v>
      </c>
      <c r="E646" s="506">
        <f t="shared" si="135"/>
        <v>0.16964285714285715</v>
      </c>
      <c r="F646" s="506">
        <f t="shared" si="135"/>
        <v>0.2857142857142857</v>
      </c>
      <c r="G646" s="506">
        <f t="shared" si="135"/>
        <v>0.36458333333333331</v>
      </c>
      <c r="H646" s="506">
        <f t="shared" si="135"/>
        <v>7.738095238095237E-2</v>
      </c>
      <c r="I646" s="454"/>
      <c r="J646" s="507"/>
      <c r="K646" s="559"/>
      <c r="L646" s="499"/>
      <c r="M646" s="499"/>
      <c r="N646" s="499"/>
      <c r="O646" s="499"/>
      <c r="P646" s="558"/>
      <c r="Q646" s="558"/>
      <c r="R646" s="558"/>
      <c r="S646" s="559"/>
      <c r="T646" s="559"/>
      <c r="U646" s="559"/>
      <c r="V646" s="559"/>
      <c r="W646" s="559"/>
      <c r="X646" s="559"/>
      <c r="Y646" s="559"/>
      <c r="Z646" s="559"/>
    </row>
    <row r="647" spans="1:26" ht="57" customHeight="1">
      <c r="A647" s="533" t="s">
        <v>736</v>
      </c>
      <c r="B647" s="560" t="s">
        <v>593</v>
      </c>
      <c r="C647" s="506">
        <v>1</v>
      </c>
      <c r="D647" s="506">
        <v>1</v>
      </c>
      <c r="E647" s="506">
        <v>0.5</v>
      </c>
      <c r="F647" s="506">
        <v>1</v>
      </c>
      <c r="G647" s="506">
        <v>1</v>
      </c>
      <c r="H647" s="506">
        <v>0.5</v>
      </c>
      <c r="I647" s="454" t="s">
        <v>3809</v>
      </c>
      <c r="J647" s="551" t="s">
        <v>2013</v>
      </c>
      <c r="K647" s="551" t="s">
        <v>2013</v>
      </c>
      <c r="L647" s="551" t="s">
        <v>2014</v>
      </c>
      <c r="M647" s="551" t="s">
        <v>2013</v>
      </c>
      <c r="N647" s="551" t="s">
        <v>2013</v>
      </c>
      <c r="O647" s="551" t="s">
        <v>2014</v>
      </c>
      <c r="P647" s="534"/>
      <c r="Q647" s="534"/>
      <c r="R647" s="534"/>
      <c r="S647" s="535"/>
      <c r="T647" s="535"/>
      <c r="U647" s="535"/>
      <c r="V647" s="535"/>
      <c r="W647" s="535"/>
      <c r="X647" s="535"/>
      <c r="Y647" s="535"/>
      <c r="Z647" s="535"/>
    </row>
    <row r="648" spans="1:26" ht="13.5" customHeight="1">
      <c r="A648" s="143"/>
      <c r="B648" s="562"/>
      <c r="C648" s="87"/>
      <c r="D648" s="87"/>
      <c r="E648" s="87"/>
      <c r="F648" s="87"/>
      <c r="G648" s="87"/>
      <c r="H648" s="87"/>
      <c r="I648" s="454"/>
      <c r="J648" s="87"/>
      <c r="K648" s="87"/>
      <c r="L648" s="87"/>
      <c r="M648" s="87"/>
      <c r="N648" s="87"/>
      <c r="O648" s="87"/>
      <c r="P648" s="146"/>
      <c r="Q648" s="146"/>
      <c r="R648" s="146"/>
      <c r="S648" s="149"/>
      <c r="T648" s="149"/>
      <c r="U648" s="149"/>
      <c r="V648" s="149"/>
      <c r="W648" s="149"/>
      <c r="X648" s="149"/>
      <c r="Y648" s="149"/>
      <c r="Z648" s="149"/>
    </row>
    <row r="649" spans="1:26" ht="88.5" customHeight="1">
      <c r="A649" s="533" t="s">
        <v>736</v>
      </c>
      <c r="B649" s="560" t="s">
        <v>3817</v>
      </c>
      <c r="C649" s="506">
        <v>0</v>
      </c>
      <c r="D649" s="506">
        <v>0</v>
      </c>
      <c r="E649" s="506">
        <v>0</v>
      </c>
      <c r="F649" s="506">
        <v>0</v>
      </c>
      <c r="G649" s="506">
        <v>0</v>
      </c>
      <c r="H649" s="506">
        <v>0</v>
      </c>
      <c r="I649" s="454" t="s">
        <v>38</v>
      </c>
      <c r="J649" s="507" t="s">
        <v>4988</v>
      </c>
      <c r="K649" s="507" t="s">
        <v>4988</v>
      </c>
      <c r="L649" s="507" t="s">
        <v>4989</v>
      </c>
      <c r="M649" s="507" t="s">
        <v>748</v>
      </c>
      <c r="N649" s="507" t="s">
        <v>748</v>
      </c>
      <c r="O649" s="507" t="s">
        <v>748</v>
      </c>
      <c r="P649" s="534"/>
      <c r="Q649" s="534"/>
      <c r="R649" s="534"/>
      <c r="S649" s="535"/>
      <c r="T649" s="535"/>
      <c r="U649" s="535"/>
      <c r="V649" s="535"/>
      <c r="W649" s="535"/>
      <c r="X649" s="535"/>
      <c r="Y649" s="535"/>
      <c r="Z649" s="535"/>
    </row>
    <row r="650" spans="1:26" ht="13.5" customHeight="1">
      <c r="A650" s="143"/>
      <c r="B650" s="562"/>
      <c r="C650" s="87"/>
      <c r="D650" s="87"/>
      <c r="E650" s="87"/>
      <c r="F650" s="87"/>
      <c r="G650" s="87"/>
      <c r="H650" s="87"/>
      <c r="I650" s="454"/>
      <c r="J650" s="75"/>
      <c r="K650" s="75"/>
      <c r="L650" s="343"/>
      <c r="M650" s="87"/>
      <c r="N650" s="271"/>
      <c r="O650" s="87"/>
      <c r="P650" s="146"/>
      <c r="Q650" s="146"/>
      <c r="R650" s="146"/>
      <c r="S650" s="149"/>
      <c r="T650" s="149"/>
      <c r="U650" s="149"/>
      <c r="V650" s="149"/>
      <c r="W650" s="149"/>
      <c r="X650" s="149"/>
      <c r="Y650" s="149"/>
      <c r="Z650" s="149"/>
    </row>
    <row r="651" spans="1:26" ht="147" customHeight="1">
      <c r="A651" s="533" t="s">
        <v>736</v>
      </c>
      <c r="B651" s="560" t="s">
        <v>4990</v>
      </c>
      <c r="C651" s="506">
        <f t="shared" ref="C651:H651" si="136">(J651-0)/(96-0)</f>
        <v>1</v>
      </c>
      <c r="D651" s="506">
        <f t="shared" si="136"/>
        <v>0.15625</v>
      </c>
      <c r="E651" s="506">
        <f t="shared" si="136"/>
        <v>0.6875</v>
      </c>
      <c r="F651" s="506">
        <f t="shared" si="136"/>
        <v>0</v>
      </c>
      <c r="G651" s="506">
        <f t="shared" si="136"/>
        <v>5.2083333333333336E-2</v>
      </c>
      <c r="H651" s="506">
        <f t="shared" si="136"/>
        <v>4.1666666666666664E-2</v>
      </c>
      <c r="I651" s="454" t="s">
        <v>2038</v>
      </c>
      <c r="J651" s="551">
        <v>96</v>
      </c>
      <c r="K651" s="551">
        <v>15</v>
      </c>
      <c r="L651" s="551">
        <v>66</v>
      </c>
      <c r="M651" s="551">
        <v>0</v>
      </c>
      <c r="N651" s="551">
        <v>5</v>
      </c>
      <c r="O651" s="551">
        <v>4</v>
      </c>
      <c r="P651" s="534"/>
      <c r="Q651" s="534"/>
      <c r="R651" s="534"/>
      <c r="S651" s="535"/>
      <c r="T651" s="535"/>
      <c r="U651" s="535"/>
      <c r="V651" s="535"/>
      <c r="W651" s="535"/>
      <c r="X651" s="535"/>
      <c r="Y651" s="535"/>
      <c r="Z651" s="535"/>
    </row>
    <row r="652" spans="1:26" ht="13.5" customHeight="1">
      <c r="A652" s="143"/>
      <c r="B652" s="562"/>
      <c r="C652" s="87"/>
      <c r="D652" s="87"/>
      <c r="E652" s="87"/>
      <c r="F652" s="87"/>
      <c r="G652" s="87"/>
      <c r="H652" s="87"/>
      <c r="I652" s="454"/>
      <c r="J652" s="198"/>
      <c r="K652" s="198"/>
      <c r="L652" s="343"/>
      <c r="M652" s="87"/>
      <c r="N652" s="271"/>
      <c r="O652" s="87"/>
      <c r="P652" s="146"/>
      <c r="Q652" s="146"/>
      <c r="R652" s="146"/>
      <c r="S652" s="149"/>
      <c r="T652" s="149"/>
      <c r="U652" s="149"/>
      <c r="V652" s="149"/>
      <c r="W652" s="149"/>
      <c r="X652" s="149"/>
      <c r="Y652" s="149"/>
      <c r="Z652" s="149"/>
    </row>
    <row r="653" spans="1:26" ht="143.25" customHeight="1">
      <c r="A653" s="533" t="s">
        <v>736</v>
      </c>
      <c r="B653" s="560" t="s">
        <v>4991</v>
      </c>
      <c r="C653" s="506">
        <v>0</v>
      </c>
      <c r="D653" s="506">
        <v>0</v>
      </c>
      <c r="E653" s="506">
        <v>0</v>
      </c>
      <c r="F653" s="506">
        <v>0</v>
      </c>
      <c r="G653" s="506">
        <v>0</v>
      </c>
      <c r="H653" s="506">
        <v>0</v>
      </c>
      <c r="I653" s="454" t="s">
        <v>38</v>
      </c>
      <c r="J653" s="551" t="s">
        <v>748</v>
      </c>
      <c r="K653" s="551" t="s">
        <v>748</v>
      </c>
      <c r="L653" s="551" t="s">
        <v>748</v>
      </c>
      <c r="M653" s="551" t="s">
        <v>748</v>
      </c>
      <c r="N653" s="551" t="s">
        <v>748</v>
      </c>
      <c r="O653" s="551" t="s">
        <v>748</v>
      </c>
      <c r="P653" s="534"/>
      <c r="Q653" s="534"/>
      <c r="R653" s="534"/>
      <c r="S653" s="535"/>
      <c r="T653" s="535"/>
      <c r="U653" s="535"/>
      <c r="V653" s="535"/>
      <c r="W653" s="535"/>
      <c r="X653" s="535"/>
      <c r="Y653" s="535"/>
      <c r="Z653" s="535"/>
    </row>
    <row r="654" spans="1:26" ht="13.5" customHeight="1">
      <c r="A654" s="143"/>
      <c r="B654" s="562"/>
      <c r="C654" s="87"/>
      <c r="D654" s="87"/>
      <c r="E654" s="87"/>
      <c r="F654" s="87"/>
      <c r="G654" s="87"/>
      <c r="H654" s="87"/>
      <c r="I654" s="454"/>
      <c r="J654" s="75"/>
      <c r="K654" s="75"/>
      <c r="L654" s="75"/>
      <c r="M654" s="75"/>
      <c r="N654" s="75"/>
      <c r="O654" s="75"/>
      <c r="P654" s="146"/>
      <c r="Q654" s="146"/>
      <c r="R654" s="146"/>
      <c r="S654" s="149"/>
      <c r="T654" s="149"/>
      <c r="U654" s="149"/>
      <c r="V654" s="149"/>
      <c r="W654" s="149"/>
      <c r="X654" s="149"/>
      <c r="Y654" s="149"/>
      <c r="Z654" s="149"/>
    </row>
    <row r="655" spans="1:26" ht="133.5" customHeight="1">
      <c r="A655" s="533" t="s">
        <v>736</v>
      </c>
      <c r="B655" s="560" t="s">
        <v>4992</v>
      </c>
      <c r="C655" s="506">
        <v>0</v>
      </c>
      <c r="D655" s="506">
        <v>0</v>
      </c>
      <c r="E655" s="506">
        <v>0</v>
      </c>
      <c r="F655" s="506">
        <v>0</v>
      </c>
      <c r="G655" s="506">
        <v>0</v>
      </c>
      <c r="H655" s="506">
        <v>0</v>
      </c>
      <c r="I655" s="454" t="s">
        <v>38</v>
      </c>
      <c r="J655" s="551" t="s">
        <v>748</v>
      </c>
      <c r="K655" s="551" t="s">
        <v>748</v>
      </c>
      <c r="L655" s="551" t="s">
        <v>748</v>
      </c>
      <c r="M655" s="551" t="s">
        <v>748</v>
      </c>
      <c r="N655" s="551" t="s">
        <v>748</v>
      </c>
      <c r="O655" s="551" t="s">
        <v>748</v>
      </c>
      <c r="P655" s="534"/>
      <c r="Q655" s="534"/>
      <c r="R655" s="534"/>
      <c r="S655" s="535"/>
      <c r="T655" s="535"/>
      <c r="U655" s="535"/>
      <c r="V655" s="535"/>
      <c r="W655" s="535"/>
      <c r="X655" s="535"/>
      <c r="Y655" s="535"/>
      <c r="Z655" s="535"/>
    </row>
    <row r="656" spans="1:26" ht="13.5" customHeight="1">
      <c r="A656" s="143"/>
      <c r="B656" s="562"/>
      <c r="C656" s="87"/>
      <c r="D656" s="87"/>
      <c r="E656" s="87"/>
      <c r="F656" s="87"/>
      <c r="G656" s="87"/>
      <c r="H656" s="87"/>
      <c r="I656" s="454"/>
      <c r="J656" s="75"/>
      <c r="K656" s="953"/>
      <c r="L656" s="75"/>
      <c r="M656" s="75"/>
      <c r="N656" s="75"/>
      <c r="O656" s="75"/>
      <c r="P656" s="146"/>
      <c r="Q656" s="146"/>
      <c r="R656" s="146"/>
      <c r="S656" s="149"/>
      <c r="T656" s="149"/>
      <c r="U656" s="149"/>
      <c r="V656" s="149"/>
      <c r="W656" s="149"/>
      <c r="X656" s="149"/>
      <c r="Y656" s="149"/>
      <c r="Z656" s="149"/>
    </row>
    <row r="657" spans="1:26" ht="97.5" customHeight="1">
      <c r="A657" s="533" t="s">
        <v>736</v>
      </c>
      <c r="B657" s="560" t="s">
        <v>594</v>
      </c>
      <c r="C657" s="506">
        <v>0.5</v>
      </c>
      <c r="D657" s="506">
        <v>0</v>
      </c>
      <c r="E657" s="506">
        <v>0</v>
      </c>
      <c r="F657" s="506">
        <v>0</v>
      </c>
      <c r="G657" s="506">
        <v>0.5</v>
      </c>
      <c r="H657" s="506">
        <v>0</v>
      </c>
      <c r="I657" s="454" t="s">
        <v>3613</v>
      </c>
      <c r="J657" s="507" t="s">
        <v>2043</v>
      </c>
      <c r="K657" s="507" t="s">
        <v>748</v>
      </c>
      <c r="L657" s="551" t="s">
        <v>748</v>
      </c>
      <c r="M657" s="551" t="s">
        <v>748</v>
      </c>
      <c r="N657" s="507" t="s">
        <v>3822</v>
      </c>
      <c r="O657" s="507" t="s">
        <v>2425</v>
      </c>
      <c r="P657" s="534"/>
      <c r="Q657" s="534"/>
      <c r="R657" s="534"/>
      <c r="S657" s="535"/>
      <c r="T657" s="535"/>
      <c r="U657" s="535"/>
      <c r="V657" s="535"/>
      <c r="W657" s="535"/>
      <c r="X657" s="535"/>
      <c r="Y657" s="535"/>
      <c r="Z657" s="535"/>
    </row>
    <row r="658" spans="1:26" ht="13.5" customHeight="1">
      <c r="A658" s="143"/>
      <c r="B658" s="562"/>
      <c r="C658" s="87"/>
      <c r="D658" s="87"/>
      <c r="E658" s="87"/>
      <c r="F658" s="87"/>
      <c r="G658" s="87"/>
      <c r="H658" s="87"/>
      <c r="I658" s="454"/>
      <c r="J658" s="75"/>
      <c r="K658" s="75"/>
      <c r="L658" s="343"/>
      <c r="M658" s="75"/>
      <c r="N658" s="271"/>
      <c r="O658" s="87"/>
      <c r="P658" s="146"/>
      <c r="Q658" s="146"/>
      <c r="R658" s="146"/>
      <c r="S658" s="149"/>
      <c r="T658" s="149"/>
      <c r="U658" s="149"/>
      <c r="V658" s="149"/>
      <c r="W658" s="149"/>
      <c r="X658" s="149"/>
      <c r="Y658" s="149"/>
      <c r="Z658" s="149"/>
    </row>
    <row r="659" spans="1:26" ht="99" customHeight="1">
      <c r="A659" s="533" t="s">
        <v>736</v>
      </c>
      <c r="B659" s="560" t="s">
        <v>595</v>
      </c>
      <c r="C659" s="506">
        <v>0</v>
      </c>
      <c r="D659" s="506">
        <v>1</v>
      </c>
      <c r="E659" s="506">
        <v>0</v>
      </c>
      <c r="F659" s="506">
        <v>1</v>
      </c>
      <c r="G659" s="506">
        <v>1</v>
      </c>
      <c r="H659" s="506">
        <v>0</v>
      </c>
      <c r="I659" s="454" t="s">
        <v>38</v>
      </c>
      <c r="J659" s="507" t="s">
        <v>943</v>
      </c>
      <c r="K659" s="507" t="s">
        <v>811</v>
      </c>
      <c r="L659" s="551" t="s">
        <v>748</v>
      </c>
      <c r="M659" s="507" t="s">
        <v>811</v>
      </c>
      <c r="N659" s="507" t="s">
        <v>4993</v>
      </c>
      <c r="O659" s="507" t="s">
        <v>3823</v>
      </c>
      <c r="P659" s="534"/>
      <c r="Q659" s="534"/>
      <c r="R659" s="534"/>
      <c r="S659" s="535"/>
      <c r="T659" s="535"/>
      <c r="U659" s="535"/>
      <c r="V659" s="535"/>
      <c r="W659" s="535"/>
      <c r="X659" s="535"/>
      <c r="Y659" s="535"/>
      <c r="Z659" s="535"/>
    </row>
    <row r="660" spans="1:26" ht="13.5" customHeight="1">
      <c r="A660" s="143"/>
      <c r="B660" s="929"/>
      <c r="C660" s="87"/>
      <c r="D660" s="75"/>
      <c r="E660" s="343"/>
      <c r="F660" s="87"/>
      <c r="G660" s="271"/>
      <c r="H660" s="87"/>
      <c r="I660" s="454"/>
      <c r="J660" s="75"/>
      <c r="K660" s="953"/>
      <c r="L660" s="75"/>
      <c r="M660" s="75"/>
      <c r="N660" s="75"/>
      <c r="O660" s="75"/>
      <c r="P660" s="146"/>
      <c r="Q660" s="146"/>
      <c r="R660" s="146"/>
      <c r="S660" s="149"/>
      <c r="T660" s="149"/>
      <c r="U660" s="149"/>
      <c r="V660" s="149"/>
      <c r="W660" s="149"/>
      <c r="X660" s="149"/>
      <c r="Y660" s="149"/>
      <c r="Z660" s="149"/>
    </row>
    <row r="661" spans="1:26" ht="13.5" customHeight="1">
      <c r="A661" s="556" t="s">
        <v>2048</v>
      </c>
      <c r="B661" s="778" t="s">
        <v>602</v>
      </c>
      <c r="C661" s="506">
        <f t="shared" ref="C661:H661" si="137">AVERAGE(C662,C664,C666,C668,C670,C672,C674,C676,C678)</f>
        <v>0.88888888888888884</v>
      </c>
      <c r="D661" s="506">
        <f t="shared" si="137"/>
        <v>0.77777777777777779</v>
      </c>
      <c r="E661" s="506">
        <f t="shared" si="137"/>
        <v>0.77777777777777779</v>
      </c>
      <c r="F661" s="506">
        <f t="shared" si="137"/>
        <v>0.88888888888888884</v>
      </c>
      <c r="G661" s="506">
        <f t="shared" si="137"/>
        <v>0.66666666666666663</v>
      </c>
      <c r="H661" s="506">
        <f t="shared" si="137"/>
        <v>0.66666666666666663</v>
      </c>
      <c r="I661" s="454"/>
      <c r="J661" s="507"/>
      <c r="K661" s="559"/>
      <c r="L661" s="499"/>
      <c r="M661" s="499"/>
      <c r="N661" s="499"/>
      <c r="O661" s="499"/>
      <c r="P661" s="558"/>
      <c r="Q661" s="558"/>
      <c r="R661" s="558"/>
      <c r="S661" s="559"/>
      <c r="T661" s="559"/>
      <c r="U661" s="559"/>
      <c r="V661" s="559"/>
      <c r="W661" s="559"/>
      <c r="X661" s="559"/>
      <c r="Y661" s="559"/>
      <c r="Z661" s="559"/>
    </row>
    <row r="662" spans="1:26" ht="49.5" customHeight="1">
      <c r="A662" s="533" t="s">
        <v>736</v>
      </c>
      <c r="B662" s="560" t="s">
        <v>2049</v>
      </c>
      <c r="C662" s="553">
        <v>1</v>
      </c>
      <c r="D662" s="553">
        <v>1</v>
      </c>
      <c r="E662" s="506">
        <v>1</v>
      </c>
      <c r="F662" s="506">
        <v>1</v>
      </c>
      <c r="G662" s="506">
        <v>1</v>
      </c>
      <c r="H662" s="506">
        <v>1</v>
      </c>
      <c r="I662" s="454" t="s">
        <v>38</v>
      </c>
      <c r="J662" s="507" t="s">
        <v>811</v>
      </c>
      <c r="K662" s="507" t="s">
        <v>960</v>
      </c>
      <c r="L662" s="551" t="s">
        <v>960</v>
      </c>
      <c r="M662" s="551" t="s">
        <v>960</v>
      </c>
      <c r="N662" s="551" t="s">
        <v>960</v>
      </c>
      <c r="O662" s="551" t="s">
        <v>960</v>
      </c>
      <c r="P662" s="534"/>
      <c r="Q662" s="534"/>
      <c r="R662" s="534"/>
      <c r="S662" s="535"/>
      <c r="T662" s="535"/>
      <c r="U662" s="535"/>
      <c r="V662" s="535"/>
      <c r="W662" s="535"/>
      <c r="X662" s="535"/>
      <c r="Y662" s="535"/>
      <c r="Z662" s="535"/>
    </row>
    <row r="663" spans="1:26" ht="13.5" customHeight="1">
      <c r="A663" s="419"/>
      <c r="B663" s="562"/>
      <c r="C663" s="354"/>
      <c r="D663" s="354"/>
      <c r="E663" s="87"/>
      <c r="F663" s="87"/>
      <c r="G663" s="87"/>
      <c r="H663" s="87"/>
      <c r="I663" s="454"/>
      <c r="J663" s="354"/>
      <c r="K663" s="354"/>
      <c r="L663" s="87"/>
      <c r="M663" s="87"/>
      <c r="N663" s="87"/>
      <c r="O663" s="87"/>
      <c r="P663" s="146"/>
      <c r="Q663" s="146"/>
      <c r="R663" s="146"/>
      <c r="S663" s="149"/>
      <c r="T663" s="149"/>
      <c r="U663" s="149"/>
      <c r="V663" s="149"/>
      <c r="W663" s="149"/>
      <c r="X663" s="149"/>
      <c r="Y663" s="149"/>
      <c r="Z663" s="149"/>
    </row>
    <row r="664" spans="1:26" ht="49.5" customHeight="1">
      <c r="A664" s="533" t="s">
        <v>736</v>
      </c>
      <c r="B664" s="560" t="s">
        <v>2050</v>
      </c>
      <c r="C664" s="553">
        <v>1</v>
      </c>
      <c r="D664" s="553">
        <v>1</v>
      </c>
      <c r="E664" s="506">
        <v>1</v>
      </c>
      <c r="F664" s="506">
        <v>1</v>
      </c>
      <c r="G664" s="506">
        <v>1</v>
      </c>
      <c r="H664" s="506">
        <v>1</v>
      </c>
      <c r="I664" s="454" t="s">
        <v>38</v>
      </c>
      <c r="J664" s="507" t="s">
        <v>960</v>
      </c>
      <c r="K664" s="507" t="s">
        <v>960</v>
      </c>
      <c r="L664" s="551" t="s">
        <v>960</v>
      </c>
      <c r="M664" s="551" t="s">
        <v>960</v>
      </c>
      <c r="N664" s="551" t="s">
        <v>960</v>
      </c>
      <c r="O664" s="551" t="s">
        <v>960</v>
      </c>
      <c r="P664" s="534"/>
      <c r="Q664" s="534"/>
      <c r="R664" s="534"/>
      <c r="S664" s="535"/>
      <c r="T664" s="535"/>
      <c r="U664" s="535"/>
      <c r="V664" s="535"/>
      <c r="W664" s="535"/>
      <c r="X664" s="535"/>
      <c r="Y664" s="535"/>
      <c r="Z664" s="535"/>
    </row>
    <row r="665" spans="1:26" ht="13.5" customHeight="1">
      <c r="A665" s="143"/>
      <c r="B665" s="562"/>
      <c r="C665" s="354"/>
      <c r="D665" s="354"/>
      <c r="E665" s="87"/>
      <c r="F665" s="87"/>
      <c r="G665" s="87"/>
      <c r="H665" s="87"/>
      <c r="I665" s="454"/>
      <c r="J665" s="354"/>
      <c r="K665" s="354"/>
      <c r="L665" s="87"/>
      <c r="M665" s="87"/>
      <c r="N665" s="87"/>
      <c r="O665" s="87"/>
      <c r="P665" s="146"/>
      <c r="Q665" s="146"/>
      <c r="R665" s="146"/>
      <c r="S665" s="149"/>
      <c r="T665" s="149"/>
      <c r="U665" s="149"/>
      <c r="V665" s="149"/>
      <c r="W665" s="149"/>
      <c r="X665" s="149"/>
      <c r="Y665" s="149"/>
      <c r="Z665" s="149"/>
    </row>
    <row r="666" spans="1:26" ht="69" customHeight="1">
      <c r="A666" s="533" t="s">
        <v>736</v>
      </c>
      <c r="B666" s="560" t="s">
        <v>2051</v>
      </c>
      <c r="C666" s="553">
        <v>1</v>
      </c>
      <c r="D666" s="553">
        <v>1</v>
      </c>
      <c r="E666" s="506">
        <v>1</v>
      </c>
      <c r="F666" s="506">
        <v>1</v>
      </c>
      <c r="G666" s="506">
        <v>0</v>
      </c>
      <c r="H666" s="506">
        <v>0</v>
      </c>
      <c r="I666" s="454" t="s">
        <v>38</v>
      </c>
      <c r="J666" s="507" t="s">
        <v>960</v>
      </c>
      <c r="K666" s="507" t="s">
        <v>960</v>
      </c>
      <c r="L666" s="551" t="s">
        <v>960</v>
      </c>
      <c r="M666" s="551" t="s">
        <v>960</v>
      </c>
      <c r="N666" s="551" t="s">
        <v>1060</v>
      </c>
      <c r="O666" s="551" t="s">
        <v>1060</v>
      </c>
      <c r="P666" s="534"/>
      <c r="Q666" s="534"/>
      <c r="R666" s="534"/>
      <c r="S666" s="535"/>
      <c r="T666" s="535"/>
      <c r="U666" s="535"/>
      <c r="V666" s="535"/>
      <c r="W666" s="535"/>
      <c r="X666" s="535"/>
      <c r="Y666" s="535"/>
      <c r="Z666" s="535"/>
    </row>
    <row r="667" spans="1:26" ht="13.5" customHeight="1">
      <c r="A667" s="143"/>
      <c r="B667" s="562"/>
      <c r="C667" s="354"/>
      <c r="D667" s="354"/>
      <c r="E667" s="87"/>
      <c r="F667" s="87"/>
      <c r="G667" s="87"/>
      <c r="H667" s="87"/>
      <c r="I667" s="454"/>
      <c r="J667" s="354"/>
      <c r="K667" s="354"/>
      <c r="L667" s="87"/>
      <c r="M667" s="87"/>
      <c r="N667" s="87"/>
      <c r="O667" s="87"/>
      <c r="P667" s="146"/>
      <c r="Q667" s="146"/>
      <c r="R667" s="146"/>
      <c r="S667" s="149"/>
      <c r="T667" s="149"/>
      <c r="U667" s="149"/>
      <c r="V667" s="149"/>
      <c r="W667" s="149"/>
      <c r="X667" s="149"/>
      <c r="Y667" s="149"/>
      <c r="Z667" s="149"/>
    </row>
    <row r="668" spans="1:26" ht="49.5" customHeight="1">
      <c r="A668" s="533" t="s">
        <v>736</v>
      </c>
      <c r="B668" s="560" t="s">
        <v>2052</v>
      </c>
      <c r="C668" s="553">
        <v>1</v>
      </c>
      <c r="D668" s="553">
        <v>1</v>
      </c>
      <c r="E668" s="506">
        <v>1</v>
      </c>
      <c r="F668" s="506">
        <v>1</v>
      </c>
      <c r="G668" s="506">
        <v>1</v>
      </c>
      <c r="H668" s="506">
        <v>1</v>
      </c>
      <c r="I668" s="454" t="s">
        <v>38</v>
      </c>
      <c r="J668" s="507" t="s">
        <v>960</v>
      </c>
      <c r="K668" s="507" t="s">
        <v>960</v>
      </c>
      <c r="L668" s="551" t="s">
        <v>960</v>
      </c>
      <c r="M668" s="551" t="s">
        <v>960</v>
      </c>
      <c r="N668" s="551" t="s">
        <v>960</v>
      </c>
      <c r="O668" s="551" t="s">
        <v>960</v>
      </c>
      <c r="P668" s="534"/>
      <c r="Q668" s="534"/>
      <c r="R668" s="534"/>
      <c r="S668" s="535"/>
      <c r="T668" s="535"/>
      <c r="U668" s="535"/>
      <c r="V668" s="535"/>
      <c r="W668" s="535"/>
      <c r="X668" s="535"/>
      <c r="Y668" s="535"/>
      <c r="Z668" s="535"/>
    </row>
    <row r="669" spans="1:26" ht="13.5" customHeight="1">
      <c r="A669" s="143"/>
      <c r="B669" s="562"/>
      <c r="C669" s="354"/>
      <c r="D669" s="354"/>
      <c r="E669" s="87"/>
      <c r="F669" s="87"/>
      <c r="G669" s="87"/>
      <c r="H669" s="87"/>
      <c r="I669" s="454"/>
      <c r="J669" s="354"/>
      <c r="K669" s="354"/>
      <c r="L669" s="87"/>
      <c r="M669" s="87"/>
      <c r="N669" s="87"/>
      <c r="O669" s="87"/>
      <c r="P669" s="146"/>
      <c r="Q669" s="146"/>
      <c r="R669" s="146"/>
      <c r="S669" s="149"/>
      <c r="T669" s="149"/>
      <c r="U669" s="149"/>
      <c r="V669" s="149"/>
      <c r="W669" s="149"/>
      <c r="X669" s="149"/>
      <c r="Y669" s="149"/>
      <c r="Z669" s="149"/>
    </row>
    <row r="670" spans="1:26" ht="54.75" customHeight="1">
      <c r="A670" s="533" t="s">
        <v>736</v>
      </c>
      <c r="B670" s="560" t="s">
        <v>2053</v>
      </c>
      <c r="C670" s="553">
        <v>1</v>
      </c>
      <c r="D670" s="553">
        <v>1</v>
      </c>
      <c r="E670" s="506">
        <v>1</v>
      </c>
      <c r="F670" s="506">
        <v>1</v>
      </c>
      <c r="G670" s="506">
        <v>1</v>
      </c>
      <c r="H670" s="506">
        <v>1</v>
      </c>
      <c r="I670" s="454" t="s">
        <v>38</v>
      </c>
      <c r="J670" s="507" t="s">
        <v>960</v>
      </c>
      <c r="K670" s="507" t="s">
        <v>960</v>
      </c>
      <c r="L670" s="551" t="s">
        <v>960</v>
      </c>
      <c r="M670" s="551" t="s">
        <v>960</v>
      </c>
      <c r="N670" s="551" t="s">
        <v>960</v>
      </c>
      <c r="O670" s="551" t="s">
        <v>960</v>
      </c>
      <c r="P670" s="534"/>
      <c r="Q670" s="534"/>
      <c r="R670" s="534"/>
      <c r="S670" s="535"/>
      <c r="T670" s="535"/>
      <c r="U670" s="535"/>
      <c r="V670" s="535"/>
      <c r="W670" s="535"/>
      <c r="X670" s="535"/>
      <c r="Y670" s="535"/>
      <c r="Z670" s="535"/>
    </row>
    <row r="671" spans="1:26" ht="13.5" customHeight="1">
      <c r="A671" s="143"/>
      <c r="B671" s="562"/>
      <c r="C671" s="354"/>
      <c r="D671" s="354"/>
      <c r="E671" s="87"/>
      <c r="F671" s="87"/>
      <c r="G671" s="87"/>
      <c r="H671" s="87"/>
      <c r="I671" s="454"/>
      <c r="J671" s="354"/>
      <c r="K671" s="354"/>
      <c r="L671" s="87"/>
      <c r="M671" s="87"/>
      <c r="N671" s="87"/>
      <c r="O671" s="87"/>
      <c r="P671" s="146"/>
      <c r="Q671" s="146"/>
      <c r="R671" s="146"/>
      <c r="S671" s="149"/>
      <c r="T671" s="149"/>
      <c r="U671" s="149"/>
      <c r="V671" s="149"/>
      <c r="W671" s="149"/>
      <c r="X671" s="149"/>
      <c r="Y671" s="149"/>
      <c r="Z671" s="149"/>
    </row>
    <row r="672" spans="1:26" ht="55.5" customHeight="1">
      <c r="A672" s="533" t="s">
        <v>736</v>
      </c>
      <c r="B672" s="560" t="s">
        <v>3824</v>
      </c>
      <c r="C672" s="553">
        <v>1</v>
      </c>
      <c r="D672" s="553">
        <v>1</v>
      </c>
      <c r="E672" s="506">
        <v>1</v>
      </c>
      <c r="F672" s="506">
        <v>1</v>
      </c>
      <c r="G672" s="506">
        <v>1</v>
      </c>
      <c r="H672" s="506">
        <v>1</v>
      </c>
      <c r="I672" s="454" t="s">
        <v>38</v>
      </c>
      <c r="J672" s="507" t="s">
        <v>960</v>
      </c>
      <c r="K672" s="507" t="s">
        <v>960</v>
      </c>
      <c r="L672" s="551" t="s">
        <v>960</v>
      </c>
      <c r="M672" s="551" t="s">
        <v>960</v>
      </c>
      <c r="N672" s="551" t="s">
        <v>960</v>
      </c>
      <c r="O672" s="551" t="s">
        <v>960</v>
      </c>
      <c r="P672" s="534"/>
      <c r="Q672" s="534"/>
      <c r="R672" s="534"/>
      <c r="S672" s="535"/>
      <c r="T672" s="535"/>
      <c r="U672" s="535"/>
      <c r="V672" s="535"/>
      <c r="W672" s="535"/>
      <c r="X672" s="535"/>
      <c r="Y672" s="535"/>
      <c r="Z672" s="535"/>
    </row>
    <row r="673" spans="1:26" ht="13.5" customHeight="1">
      <c r="A673" s="143"/>
      <c r="B673" s="562"/>
      <c r="C673" s="354"/>
      <c r="D673" s="354"/>
      <c r="E673" s="87"/>
      <c r="F673" s="87"/>
      <c r="G673" s="87"/>
      <c r="H673" s="87"/>
      <c r="I673" s="454"/>
      <c r="J673" s="354"/>
      <c r="K673" s="354"/>
      <c r="L673" s="87"/>
      <c r="M673" s="87"/>
      <c r="N673" s="87"/>
      <c r="O673" s="87"/>
      <c r="P673" s="146"/>
      <c r="Q673" s="146"/>
      <c r="R673" s="146"/>
      <c r="S673" s="149"/>
      <c r="T673" s="149"/>
      <c r="U673" s="149"/>
      <c r="V673" s="149"/>
      <c r="W673" s="149"/>
      <c r="X673" s="149"/>
      <c r="Y673" s="149"/>
      <c r="Z673" s="149"/>
    </row>
    <row r="674" spans="1:26" ht="55.5" customHeight="1">
      <c r="A674" s="533" t="s">
        <v>736</v>
      </c>
      <c r="B674" s="560" t="s">
        <v>4994</v>
      </c>
      <c r="C674" s="553">
        <v>1</v>
      </c>
      <c r="D674" s="553">
        <v>0</v>
      </c>
      <c r="E674" s="506">
        <v>1</v>
      </c>
      <c r="F674" s="506">
        <v>0</v>
      </c>
      <c r="G674" s="506">
        <v>0</v>
      </c>
      <c r="H674" s="506">
        <v>1</v>
      </c>
      <c r="I674" s="454" t="s">
        <v>38</v>
      </c>
      <c r="J674" s="507" t="s">
        <v>960</v>
      </c>
      <c r="K674" s="507" t="s">
        <v>1060</v>
      </c>
      <c r="L674" s="551" t="s">
        <v>960</v>
      </c>
      <c r="M674" s="551" t="s">
        <v>1060</v>
      </c>
      <c r="N674" s="507" t="s">
        <v>763</v>
      </c>
      <c r="O674" s="1008" t="s">
        <v>811</v>
      </c>
      <c r="P674" s="534"/>
      <c r="Q674" s="534"/>
      <c r="R674" s="534"/>
      <c r="S674" s="535"/>
      <c r="T674" s="535"/>
      <c r="U674" s="535"/>
      <c r="V674" s="535"/>
      <c r="W674" s="535"/>
      <c r="X674" s="535"/>
      <c r="Y674" s="535"/>
      <c r="Z674" s="535"/>
    </row>
    <row r="675" spans="1:26" ht="34.5" customHeight="1">
      <c r="A675" s="143"/>
      <c r="B675" s="562"/>
      <c r="C675" s="87"/>
      <c r="D675" s="87"/>
      <c r="E675" s="87"/>
      <c r="F675" s="87"/>
      <c r="G675" s="87"/>
      <c r="H675" s="87"/>
      <c r="I675" s="454"/>
      <c r="J675" s="354"/>
      <c r="K675" s="75"/>
      <c r="L675" s="343"/>
      <c r="M675" s="87"/>
      <c r="N675" s="75"/>
      <c r="O675" s="198"/>
      <c r="P675" s="146"/>
      <c r="Q675" s="146"/>
      <c r="R675" s="146"/>
      <c r="S675" s="149"/>
      <c r="T675" s="149"/>
      <c r="U675" s="149"/>
      <c r="V675" s="149"/>
      <c r="W675" s="149"/>
      <c r="X675" s="149"/>
      <c r="Y675" s="149"/>
      <c r="Z675" s="149"/>
    </row>
    <row r="676" spans="1:26" ht="55.5" customHeight="1">
      <c r="A676" s="533" t="s">
        <v>736</v>
      </c>
      <c r="B676" s="560" t="s">
        <v>3826</v>
      </c>
      <c r="C676" s="553">
        <v>1</v>
      </c>
      <c r="D676" s="553">
        <v>1</v>
      </c>
      <c r="E676" s="506">
        <v>0</v>
      </c>
      <c r="F676" s="506">
        <v>1</v>
      </c>
      <c r="G676" s="506">
        <v>0</v>
      </c>
      <c r="H676" s="506">
        <v>0</v>
      </c>
      <c r="I676" s="454" t="s">
        <v>38</v>
      </c>
      <c r="J676" s="507" t="s">
        <v>3827</v>
      </c>
      <c r="K676" s="507" t="s">
        <v>3828</v>
      </c>
      <c r="L676" s="551" t="s">
        <v>748</v>
      </c>
      <c r="M676" s="507" t="s">
        <v>4995</v>
      </c>
      <c r="N676" s="507" t="s">
        <v>1060</v>
      </c>
      <c r="O676" s="507" t="s">
        <v>2425</v>
      </c>
      <c r="P676" s="534"/>
      <c r="Q676" s="534"/>
      <c r="R676" s="534"/>
      <c r="S676" s="535"/>
      <c r="T676" s="535"/>
      <c r="U676" s="535"/>
      <c r="V676" s="535"/>
      <c r="W676" s="535"/>
      <c r="X676" s="535"/>
      <c r="Y676" s="535"/>
      <c r="Z676" s="535"/>
    </row>
    <row r="677" spans="1:26" ht="13.5" customHeight="1">
      <c r="A677" s="143"/>
      <c r="B677" s="562"/>
      <c r="C677" s="354"/>
      <c r="D677" s="354"/>
      <c r="E677" s="87"/>
      <c r="F677" s="87"/>
      <c r="G677" s="87"/>
      <c r="H677" s="87"/>
      <c r="I677" s="454"/>
      <c r="J677" s="75"/>
      <c r="K677" s="75"/>
      <c r="L677" s="343"/>
      <c r="M677" s="87"/>
      <c r="N677" s="271"/>
      <c r="O677" s="87"/>
      <c r="P677" s="146"/>
      <c r="Q677" s="146"/>
      <c r="R677" s="146"/>
      <c r="S677" s="149"/>
      <c r="T677" s="149"/>
      <c r="U677" s="149"/>
      <c r="V677" s="149"/>
      <c r="W677" s="149"/>
      <c r="X677" s="149"/>
      <c r="Y677" s="149"/>
      <c r="Z677" s="149"/>
    </row>
    <row r="678" spans="1:26" ht="72" customHeight="1">
      <c r="A678" s="533" t="s">
        <v>736</v>
      </c>
      <c r="B678" s="560" t="s">
        <v>2058</v>
      </c>
      <c r="C678" s="553">
        <v>0</v>
      </c>
      <c r="D678" s="553">
        <v>0</v>
      </c>
      <c r="E678" s="506">
        <v>0</v>
      </c>
      <c r="F678" s="506">
        <v>1</v>
      </c>
      <c r="G678" s="506">
        <v>1</v>
      </c>
      <c r="H678" s="506">
        <v>0</v>
      </c>
      <c r="I678" s="454" t="s">
        <v>38</v>
      </c>
      <c r="J678" s="507" t="s">
        <v>943</v>
      </c>
      <c r="K678" s="507" t="s">
        <v>943</v>
      </c>
      <c r="L678" s="551" t="s">
        <v>748</v>
      </c>
      <c r="M678" s="507" t="s">
        <v>4996</v>
      </c>
      <c r="N678" s="507" t="s">
        <v>4997</v>
      </c>
      <c r="O678" s="507" t="s">
        <v>2425</v>
      </c>
      <c r="P678" s="534"/>
      <c r="Q678" s="534"/>
      <c r="R678" s="534"/>
      <c r="S678" s="535"/>
      <c r="T678" s="535"/>
      <c r="U678" s="535"/>
      <c r="V678" s="535"/>
      <c r="W678" s="535"/>
      <c r="X678" s="535"/>
      <c r="Y678" s="535"/>
      <c r="Z678" s="535"/>
    </row>
    <row r="679" spans="1:26" ht="13.5" customHeight="1">
      <c r="A679" s="143"/>
      <c r="B679" s="568"/>
      <c r="C679" s="354"/>
      <c r="D679" s="75"/>
      <c r="E679" s="343"/>
      <c r="F679" s="87"/>
      <c r="G679" s="271"/>
      <c r="H679" s="87"/>
      <c r="I679" s="454"/>
      <c r="J679" s="75"/>
      <c r="K679" s="953"/>
      <c r="L679" s="75"/>
      <c r="M679" s="75"/>
      <c r="N679" s="75"/>
      <c r="O679" s="75"/>
      <c r="P679" s="146"/>
      <c r="Q679" s="146"/>
      <c r="R679" s="146"/>
      <c r="S679" s="149"/>
      <c r="T679" s="149"/>
      <c r="U679" s="149"/>
      <c r="V679" s="149"/>
      <c r="W679" s="149"/>
      <c r="X679" s="149"/>
      <c r="Y679" s="149"/>
      <c r="Z679" s="149"/>
    </row>
    <row r="680" spans="1:26" ht="30" customHeight="1">
      <c r="A680" s="716" t="s">
        <v>440</v>
      </c>
      <c r="B680" s="517" t="s">
        <v>609</v>
      </c>
      <c r="C680" s="553">
        <f t="shared" ref="C680:H680" si="138">AVERAGE(C681,C683,C685,C687,C689,C691,C695,C697,C699)</f>
        <v>0.84276729559748431</v>
      </c>
      <c r="D680" s="553">
        <f t="shared" si="138"/>
        <v>0.96540880503144655</v>
      </c>
      <c r="E680" s="553">
        <f t="shared" si="138"/>
        <v>0.47091194968553463</v>
      </c>
      <c r="F680" s="553">
        <f t="shared" si="138"/>
        <v>0.625</v>
      </c>
      <c r="G680" s="553">
        <f t="shared" si="138"/>
        <v>0.67531446540880502</v>
      </c>
      <c r="H680" s="553">
        <f t="shared" si="138"/>
        <v>0.83018867924528306</v>
      </c>
      <c r="I680" s="454"/>
      <c r="J680" s="507"/>
      <c r="K680" s="559"/>
      <c r="L680" s="499"/>
      <c r="M680" s="499"/>
      <c r="N680" s="499"/>
      <c r="O680" s="499"/>
      <c r="P680" s="558"/>
      <c r="Q680" s="558"/>
      <c r="R680" s="558"/>
      <c r="S680" s="559"/>
      <c r="T680" s="559"/>
      <c r="U680" s="559"/>
      <c r="V680" s="559"/>
      <c r="W680" s="559"/>
      <c r="X680" s="559"/>
      <c r="Y680" s="559"/>
      <c r="Z680" s="559"/>
    </row>
    <row r="681" spans="1:26" ht="27.75" customHeight="1">
      <c r="A681" s="533" t="s">
        <v>736</v>
      </c>
      <c r="B681" s="560" t="s">
        <v>3830</v>
      </c>
      <c r="C681" s="998">
        <f t="shared" ref="C681:H681" si="139">(J681-159)/(0-159)</f>
        <v>0.74213836477987416</v>
      </c>
      <c r="D681" s="998">
        <f t="shared" si="139"/>
        <v>0.72327044025157228</v>
      </c>
      <c r="E681" s="998">
        <f t="shared" si="139"/>
        <v>0.76729559748427678</v>
      </c>
      <c r="F681" s="998">
        <f t="shared" si="139"/>
        <v>0</v>
      </c>
      <c r="G681" s="998">
        <f t="shared" si="139"/>
        <v>0.40251572327044027</v>
      </c>
      <c r="H681" s="998">
        <f t="shared" si="139"/>
        <v>0.64150943396226412</v>
      </c>
      <c r="I681" s="995" t="s">
        <v>611</v>
      </c>
      <c r="J681" s="507">
        <v>41</v>
      </c>
      <c r="K681" s="507">
        <v>44</v>
      </c>
      <c r="L681" s="551">
        <v>37</v>
      </c>
      <c r="M681" s="507">
        <v>159</v>
      </c>
      <c r="N681" s="507">
        <v>95</v>
      </c>
      <c r="O681" s="507">
        <v>57</v>
      </c>
      <c r="P681" s="534"/>
      <c r="Q681" s="534"/>
      <c r="R681" s="534"/>
      <c r="S681" s="535"/>
      <c r="T681" s="535"/>
      <c r="U681" s="535"/>
      <c r="V681" s="535"/>
      <c r="W681" s="535"/>
      <c r="X681" s="535"/>
      <c r="Y681" s="535"/>
      <c r="Z681" s="535"/>
    </row>
    <row r="682" spans="1:26" ht="13.5" customHeight="1">
      <c r="A682" s="143"/>
      <c r="B682" s="562"/>
      <c r="C682" s="354"/>
      <c r="D682" s="354"/>
      <c r="E682" s="87"/>
      <c r="F682" s="87"/>
      <c r="G682" s="87"/>
      <c r="H682" s="87"/>
      <c r="I682" s="454"/>
      <c r="J682" s="354"/>
      <c r="K682" s="75"/>
      <c r="L682" s="343"/>
      <c r="M682" s="87"/>
      <c r="N682" s="271"/>
      <c r="O682" s="75"/>
      <c r="P682" s="146"/>
      <c r="Q682" s="146"/>
      <c r="R682" s="146"/>
      <c r="S682" s="149"/>
      <c r="T682" s="149"/>
      <c r="U682" s="149"/>
      <c r="V682" s="149"/>
      <c r="W682" s="149"/>
      <c r="X682" s="149"/>
      <c r="Y682" s="149"/>
      <c r="Z682" s="149"/>
    </row>
    <row r="683" spans="1:26" ht="65.25" customHeight="1">
      <c r="A683" s="533" t="s">
        <v>736</v>
      </c>
      <c r="B683" s="560" t="s">
        <v>2062</v>
      </c>
      <c r="C683" s="553">
        <v>1</v>
      </c>
      <c r="D683" s="553">
        <v>1</v>
      </c>
      <c r="E683" s="506">
        <v>1</v>
      </c>
      <c r="F683" s="506">
        <v>1</v>
      </c>
      <c r="G683" s="506">
        <v>0</v>
      </c>
      <c r="H683" s="506">
        <v>1</v>
      </c>
      <c r="I683" s="995" t="s">
        <v>2063</v>
      </c>
      <c r="J683" s="507">
        <v>0</v>
      </c>
      <c r="K683" s="507">
        <v>0</v>
      </c>
      <c r="L683" s="551">
        <v>0</v>
      </c>
      <c r="M683" s="551">
        <v>0</v>
      </c>
      <c r="N683" s="789">
        <v>0</v>
      </c>
      <c r="O683" s="551">
        <v>0</v>
      </c>
      <c r="P683" s="534"/>
      <c r="Q683" s="534"/>
      <c r="R683" s="534"/>
      <c r="S683" s="535"/>
      <c r="T683" s="535"/>
      <c r="U683" s="535"/>
      <c r="V683" s="535"/>
      <c r="W683" s="535"/>
      <c r="X683" s="535"/>
      <c r="Y683" s="535"/>
      <c r="Z683" s="535"/>
    </row>
    <row r="684" spans="1:26" ht="13.5" customHeight="1">
      <c r="A684" s="143"/>
      <c r="B684" s="562"/>
      <c r="C684" s="354"/>
      <c r="D684" s="354"/>
      <c r="E684" s="87"/>
      <c r="F684" s="87"/>
      <c r="G684" s="87"/>
      <c r="H684" s="87"/>
      <c r="I684" s="454"/>
      <c r="J684" s="75"/>
      <c r="K684" s="75"/>
      <c r="L684" s="343"/>
      <c r="M684" s="75"/>
      <c r="N684" s="271"/>
      <c r="O684" s="87"/>
      <c r="P684" s="146"/>
      <c r="Q684" s="146"/>
      <c r="R684" s="146"/>
      <c r="S684" s="149"/>
      <c r="T684" s="149"/>
      <c r="U684" s="149"/>
      <c r="V684" s="149"/>
      <c r="W684" s="149"/>
      <c r="X684" s="149"/>
      <c r="Y684" s="149"/>
      <c r="Z684" s="149"/>
    </row>
    <row r="685" spans="1:26" ht="69.75" customHeight="1">
      <c r="A685" s="533" t="s">
        <v>736</v>
      </c>
      <c r="B685" s="560" t="s">
        <v>4998</v>
      </c>
      <c r="C685" s="553">
        <v>0</v>
      </c>
      <c r="D685" s="553">
        <v>1</v>
      </c>
      <c r="E685" s="506">
        <v>1</v>
      </c>
      <c r="F685" s="506">
        <v>1</v>
      </c>
      <c r="G685" s="506">
        <v>1</v>
      </c>
      <c r="H685" s="506">
        <v>1</v>
      </c>
      <c r="I685" s="454" t="s">
        <v>38</v>
      </c>
      <c r="J685" s="507" t="s">
        <v>748</v>
      </c>
      <c r="K685" s="507" t="s">
        <v>811</v>
      </c>
      <c r="L685" s="551" t="s">
        <v>811</v>
      </c>
      <c r="M685" s="507" t="s">
        <v>811</v>
      </c>
      <c r="N685" s="507" t="s">
        <v>960</v>
      </c>
      <c r="O685" s="507" t="s">
        <v>2065</v>
      </c>
      <c r="P685" s="534"/>
      <c r="Q685" s="534"/>
      <c r="R685" s="534"/>
      <c r="S685" s="535"/>
      <c r="T685" s="535"/>
      <c r="U685" s="535"/>
      <c r="V685" s="535"/>
      <c r="W685" s="535"/>
      <c r="X685" s="535"/>
      <c r="Y685" s="535"/>
      <c r="Z685" s="535"/>
    </row>
    <row r="686" spans="1:26" ht="13.5" customHeight="1">
      <c r="A686" s="143"/>
      <c r="B686" s="562"/>
      <c r="C686" s="354"/>
      <c r="D686" s="354"/>
      <c r="E686" s="87"/>
      <c r="F686" s="87"/>
      <c r="G686" s="87"/>
      <c r="H686" s="87"/>
      <c r="I686" s="454"/>
      <c r="J686" s="75"/>
      <c r="K686" s="953"/>
      <c r="L686" s="198"/>
      <c r="M686" s="75"/>
      <c r="N686" s="75"/>
      <c r="O686" s="75"/>
      <c r="P686" s="146"/>
      <c r="Q686" s="146"/>
      <c r="R686" s="146"/>
      <c r="S686" s="149"/>
      <c r="T686" s="149"/>
      <c r="U686" s="149"/>
      <c r="V686" s="149"/>
      <c r="W686" s="149"/>
      <c r="X686" s="149"/>
      <c r="Y686" s="149"/>
      <c r="Z686" s="149"/>
    </row>
    <row r="687" spans="1:26" ht="69.75" customHeight="1">
      <c r="A687" s="533" t="s">
        <v>736</v>
      </c>
      <c r="B687" s="560" t="s">
        <v>4999</v>
      </c>
      <c r="C687" s="553">
        <v>1</v>
      </c>
      <c r="D687" s="553">
        <v>1</v>
      </c>
      <c r="E687" s="506">
        <v>0</v>
      </c>
      <c r="F687" s="506">
        <v>1</v>
      </c>
      <c r="G687" s="506">
        <v>0</v>
      </c>
      <c r="H687" s="506">
        <v>0</v>
      </c>
      <c r="I687" s="454" t="s">
        <v>38</v>
      </c>
      <c r="J687" s="507" t="s">
        <v>2066</v>
      </c>
      <c r="K687" s="507" t="s">
        <v>3831</v>
      </c>
      <c r="L687" s="551" t="s">
        <v>748</v>
      </c>
      <c r="M687" s="507" t="s">
        <v>811</v>
      </c>
      <c r="N687" s="507" t="s">
        <v>5000</v>
      </c>
      <c r="O687" s="507" t="s">
        <v>5001</v>
      </c>
      <c r="P687" s="534"/>
      <c r="Q687" s="534"/>
      <c r="R687" s="534"/>
      <c r="S687" s="535"/>
      <c r="T687" s="535"/>
      <c r="U687" s="535"/>
      <c r="V687" s="535"/>
      <c r="W687" s="535"/>
      <c r="X687" s="535"/>
      <c r="Y687" s="535"/>
      <c r="Z687" s="535"/>
    </row>
    <row r="688" spans="1:26" ht="13.5" customHeight="1">
      <c r="A688" s="143"/>
      <c r="B688" s="562"/>
      <c r="C688" s="354"/>
      <c r="D688" s="354"/>
      <c r="E688" s="87"/>
      <c r="F688" s="87"/>
      <c r="G688" s="87"/>
      <c r="H688" s="87"/>
      <c r="I688" s="454"/>
      <c r="J688" s="354"/>
      <c r="K688" s="75"/>
      <c r="L688" s="343"/>
      <c r="M688" s="75"/>
      <c r="N688" s="271"/>
      <c r="O688" s="87"/>
      <c r="P688" s="146"/>
      <c r="Q688" s="146"/>
      <c r="R688" s="146"/>
      <c r="S688" s="149"/>
      <c r="T688" s="149"/>
      <c r="U688" s="149"/>
      <c r="V688" s="149"/>
      <c r="W688" s="149"/>
      <c r="X688" s="149"/>
      <c r="Y688" s="149"/>
      <c r="Z688" s="149"/>
    </row>
    <row r="689" spans="1:26" ht="69.75" customHeight="1">
      <c r="A689" s="533" t="s">
        <v>736</v>
      </c>
      <c r="B689" s="560" t="s">
        <v>2069</v>
      </c>
      <c r="C689" s="553">
        <v>1</v>
      </c>
      <c r="D689" s="553">
        <v>1</v>
      </c>
      <c r="E689" s="506">
        <v>0</v>
      </c>
      <c r="F689" s="506">
        <v>1</v>
      </c>
      <c r="G689" s="506">
        <v>1</v>
      </c>
      <c r="H689" s="506">
        <v>1</v>
      </c>
      <c r="I689" s="454" t="s">
        <v>38</v>
      </c>
      <c r="J689" s="507" t="s">
        <v>948</v>
      </c>
      <c r="K689" s="507" t="s">
        <v>811</v>
      </c>
      <c r="L689" s="551" t="s">
        <v>748</v>
      </c>
      <c r="M689" s="507" t="s">
        <v>811</v>
      </c>
      <c r="N689" s="507" t="s">
        <v>4392</v>
      </c>
      <c r="O689" s="507" t="s">
        <v>3834</v>
      </c>
      <c r="P689" s="534"/>
      <c r="Q689" s="534"/>
      <c r="R689" s="534"/>
      <c r="S689" s="535"/>
      <c r="T689" s="535"/>
      <c r="U689" s="535"/>
      <c r="V689" s="535"/>
      <c r="W689" s="535"/>
      <c r="X689" s="535"/>
      <c r="Y689" s="535"/>
      <c r="Z689" s="535"/>
    </row>
    <row r="690" spans="1:26" ht="13.5" customHeight="1">
      <c r="A690" s="143"/>
      <c r="B690" s="562"/>
      <c r="C690" s="354"/>
      <c r="D690" s="354"/>
      <c r="E690" s="87"/>
      <c r="F690" s="87"/>
      <c r="G690" s="87"/>
      <c r="H690" s="87"/>
      <c r="I690" s="454"/>
      <c r="J690" s="354"/>
      <c r="K690" s="75"/>
      <c r="L690" s="198"/>
      <c r="M690" s="87"/>
      <c r="N690" s="271"/>
      <c r="O690" s="87"/>
      <c r="P690" s="146"/>
      <c r="Q690" s="146"/>
      <c r="R690" s="146"/>
      <c r="S690" s="149"/>
      <c r="T690" s="149"/>
      <c r="U690" s="149"/>
      <c r="V690" s="149"/>
      <c r="W690" s="149"/>
      <c r="X690" s="149"/>
      <c r="Y690" s="149"/>
      <c r="Z690" s="149"/>
    </row>
    <row r="691" spans="1:26" ht="69.75" customHeight="1">
      <c r="A691" s="533" t="s">
        <v>736</v>
      </c>
      <c r="B691" s="560" t="s">
        <v>617</v>
      </c>
      <c r="C691" s="553"/>
      <c r="D691" s="553"/>
      <c r="E691" s="506"/>
      <c r="F691" s="506"/>
      <c r="G691" s="506"/>
      <c r="H691" s="506"/>
      <c r="I691" s="454"/>
      <c r="J691" s="507"/>
      <c r="K691" s="507" t="s">
        <v>1068</v>
      </c>
      <c r="L691" s="551"/>
      <c r="M691" s="507"/>
      <c r="N691" s="551"/>
      <c r="O691" s="507"/>
      <c r="P691" s="534"/>
      <c r="Q691" s="534"/>
      <c r="R691" s="534"/>
      <c r="S691" s="535"/>
      <c r="T691" s="535"/>
      <c r="U691" s="535"/>
      <c r="V691" s="535"/>
      <c r="W691" s="535"/>
      <c r="X691" s="535"/>
      <c r="Y691" s="535"/>
      <c r="Z691" s="535"/>
    </row>
    <row r="692" spans="1:26" ht="36" customHeight="1">
      <c r="A692" s="784"/>
      <c r="B692" s="574" t="s">
        <v>2071</v>
      </c>
      <c r="C692" s="553">
        <v>1</v>
      </c>
      <c r="D692" s="553">
        <v>1</v>
      </c>
      <c r="E692" s="506">
        <v>0</v>
      </c>
      <c r="F692" s="506">
        <v>1</v>
      </c>
      <c r="G692" s="506">
        <v>1</v>
      </c>
      <c r="H692" s="506">
        <v>0</v>
      </c>
      <c r="I692" s="454" t="s">
        <v>38</v>
      </c>
      <c r="J692" s="507" t="s">
        <v>948</v>
      </c>
      <c r="K692" s="507" t="s">
        <v>5002</v>
      </c>
      <c r="L692" s="551" t="s">
        <v>748</v>
      </c>
      <c r="M692" s="507" t="s">
        <v>811</v>
      </c>
      <c r="N692" s="608" t="s">
        <v>3836</v>
      </c>
      <c r="O692" s="507" t="s">
        <v>5003</v>
      </c>
      <c r="P692" s="534"/>
      <c r="Q692" s="534"/>
      <c r="R692" s="534"/>
      <c r="S692" s="535"/>
      <c r="T692" s="535"/>
      <c r="U692" s="535"/>
      <c r="V692" s="535"/>
      <c r="W692" s="535"/>
      <c r="X692" s="535"/>
      <c r="Y692" s="535"/>
      <c r="Z692" s="535"/>
    </row>
    <row r="693" spans="1:26" ht="42" customHeight="1">
      <c r="A693" s="784"/>
      <c r="B693" s="574" t="s">
        <v>2073</v>
      </c>
      <c r="C693" s="553">
        <v>1</v>
      </c>
      <c r="D693" s="553">
        <v>1</v>
      </c>
      <c r="E693" s="506">
        <v>0</v>
      </c>
      <c r="F693" s="506">
        <v>1</v>
      </c>
      <c r="G693" s="506">
        <v>1</v>
      </c>
      <c r="H693" s="506">
        <v>0</v>
      </c>
      <c r="I693" s="454" t="s">
        <v>38</v>
      </c>
      <c r="J693" s="507" t="s">
        <v>948</v>
      </c>
      <c r="K693" s="507" t="s">
        <v>5004</v>
      </c>
      <c r="L693" s="551" t="s">
        <v>748</v>
      </c>
      <c r="M693" s="507" t="s">
        <v>811</v>
      </c>
      <c r="N693" s="507" t="s">
        <v>960</v>
      </c>
      <c r="O693" s="507" t="s">
        <v>943</v>
      </c>
      <c r="P693" s="534"/>
      <c r="Q693" s="534"/>
      <c r="R693" s="534"/>
      <c r="S693" s="535"/>
      <c r="T693" s="535"/>
      <c r="U693" s="535"/>
      <c r="V693" s="535"/>
      <c r="W693" s="535"/>
      <c r="X693" s="535"/>
      <c r="Y693" s="535"/>
      <c r="Z693" s="535"/>
    </row>
    <row r="694" spans="1:26" ht="13.5" customHeight="1">
      <c r="A694" s="419"/>
      <c r="B694" s="586"/>
      <c r="C694" s="354"/>
      <c r="D694" s="75"/>
      <c r="E694" s="343"/>
      <c r="F694" s="87"/>
      <c r="G694" s="271"/>
      <c r="H694" s="87"/>
      <c r="I694" s="454"/>
      <c r="J694" s="75"/>
      <c r="K694" s="953"/>
      <c r="L694" s="75"/>
      <c r="M694" s="75"/>
      <c r="N694" s="75"/>
      <c r="O694" s="75"/>
      <c r="P694" s="146"/>
      <c r="Q694" s="146"/>
      <c r="R694" s="146"/>
      <c r="S694" s="149"/>
      <c r="T694" s="149"/>
      <c r="U694" s="149"/>
      <c r="V694" s="149"/>
      <c r="W694" s="149"/>
      <c r="X694" s="149"/>
      <c r="Y694" s="149"/>
      <c r="Z694" s="149"/>
    </row>
    <row r="695" spans="1:26" ht="84" customHeight="1">
      <c r="A695" s="533" t="s">
        <v>736</v>
      </c>
      <c r="B695" s="560" t="s">
        <v>2075</v>
      </c>
      <c r="C695" s="553">
        <v>1</v>
      </c>
      <c r="D695" s="553">
        <v>1</v>
      </c>
      <c r="E695" s="506">
        <v>1</v>
      </c>
      <c r="F695" s="506">
        <v>1</v>
      </c>
      <c r="G695" s="506">
        <v>1</v>
      </c>
      <c r="H695" s="506">
        <v>1</v>
      </c>
      <c r="I695" s="454" t="s">
        <v>38</v>
      </c>
      <c r="J695" s="507" t="s">
        <v>811</v>
      </c>
      <c r="K695" s="507" t="s">
        <v>811</v>
      </c>
      <c r="L695" s="551" t="s">
        <v>811</v>
      </c>
      <c r="M695" s="507" t="s">
        <v>811</v>
      </c>
      <c r="N695" s="608" t="s">
        <v>5005</v>
      </c>
      <c r="O695" s="507" t="s">
        <v>2076</v>
      </c>
      <c r="P695" s="534"/>
      <c r="Q695" s="534"/>
      <c r="R695" s="534"/>
      <c r="S695" s="535"/>
      <c r="T695" s="535"/>
      <c r="U695" s="535"/>
      <c r="V695" s="535"/>
      <c r="W695" s="535"/>
      <c r="X695" s="535"/>
      <c r="Y695" s="535"/>
      <c r="Z695" s="535"/>
    </row>
    <row r="696" spans="1:26" ht="13.5" customHeight="1">
      <c r="A696" s="143"/>
      <c r="B696" s="562"/>
      <c r="C696" s="354"/>
      <c r="D696" s="354"/>
      <c r="E696" s="87"/>
      <c r="F696" s="87"/>
      <c r="G696" s="87"/>
      <c r="H696" s="87"/>
      <c r="I696" s="454"/>
      <c r="J696" s="75"/>
      <c r="K696" s="75"/>
      <c r="L696" s="343"/>
      <c r="M696" s="75"/>
      <c r="N696" s="271"/>
      <c r="O696" s="87"/>
      <c r="P696" s="146"/>
      <c r="Q696" s="146"/>
      <c r="R696" s="146"/>
      <c r="S696" s="149"/>
      <c r="T696" s="149"/>
      <c r="U696" s="149"/>
      <c r="V696" s="149"/>
      <c r="W696" s="149"/>
      <c r="X696" s="149"/>
      <c r="Y696" s="149"/>
      <c r="Z696" s="149"/>
    </row>
    <row r="697" spans="1:26" ht="69.75" customHeight="1">
      <c r="A697" s="533" t="s">
        <v>736</v>
      </c>
      <c r="B697" s="504" t="s">
        <v>2077</v>
      </c>
      <c r="C697" s="553">
        <v>1</v>
      </c>
      <c r="D697" s="553">
        <v>1</v>
      </c>
      <c r="E697" s="506">
        <v>0</v>
      </c>
      <c r="F697" s="506">
        <v>0</v>
      </c>
      <c r="G697" s="506">
        <v>1</v>
      </c>
      <c r="H697" s="506">
        <v>1</v>
      </c>
      <c r="I697" s="454" t="s">
        <v>38</v>
      </c>
      <c r="J697" s="507" t="s">
        <v>5006</v>
      </c>
      <c r="K697" s="507" t="s">
        <v>811</v>
      </c>
      <c r="L697" s="551" t="s">
        <v>748</v>
      </c>
      <c r="M697" s="551" t="s">
        <v>748</v>
      </c>
      <c r="N697" s="507" t="s">
        <v>811</v>
      </c>
      <c r="O697" s="507" t="s">
        <v>2079</v>
      </c>
      <c r="P697" s="534"/>
      <c r="Q697" s="534"/>
      <c r="R697" s="534"/>
      <c r="S697" s="535"/>
      <c r="T697" s="535"/>
      <c r="U697" s="535"/>
      <c r="V697" s="535"/>
      <c r="W697" s="535"/>
      <c r="X697" s="535"/>
      <c r="Y697" s="535"/>
      <c r="Z697" s="535"/>
    </row>
    <row r="698" spans="1:26" ht="13.5" customHeight="1">
      <c r="A698" s="143"/>
      <c r="B698" s="562"/>
      <c r="C698" s="354"/>
      <c r="D698" s="354"/>
      <c r="E698" s="87"/>
      <c r="F698" s="87"/>
      <c r="G698" s="87"/>
      <c r="H698" s="87"/>
      <c r="I698" s="454"/>
      <c r="J698" s="75"/>
      <c r="K698" s="75"/>
      <c r="L698" s="343"/>
      <c r="M698" s="75"/>
      <c r="N698" s="271"/>
      <c r="O698" s="87"/>
      <c r="P698" s="146"/>
      <c r="Q698" s="146"/>
      <c r="R698" s="146"/>
      <c r="S698" s="149"/>
      <c r="T698" s="149"/>
      <c r="U698" s="149"/>
      <c r="V698" s="149"/>
      <c r="W698" s="149"/>
      <c r="X698" s="149"/>
      <c r="Y698" s="149"/>
      <c r="Z698" s="149"/>
    </row>
    <row r="699" spans="1:26" ht="148.5" customHeight="1">
      <c r="A699" s="533" t="s">
        <v>736</v>
      </c>
      <c r="B699" s="560" t="s">
        <v>5007</v>
      </c>
      <c r="C699" s="553">
        <v>1</v>
      </c>
      <c r="D699" s="553">
        <v>1</v>
      </c>
      <c r="E699" s="506">
        <v>0</v>
      </c>
      <c r="F699" s="506">
        <v>0</v>
      </c>
      <c r="G699" s="506">
        <v>1</v>
      </c>
      <c r="H699" s="506">
        <v>1</v>
      </c>
      <c r="I699" s="454" t="s">
        <v>38</v>
      </c>
      <c r="J699" s="507" t="s">
        <v>5006</v>
      </c>
      <c r="K699" s="507" t="s">
        <v>811</v>
      </c>
      <c r="L699" s="551" t="s">
        <v>748</v>
      </c>
      <c r="M699" s="551" t="s">
        <v>748</v>
      </c>
      <c r="N699" s="507" t="s">
        <v>811</v>
      </c>
      <c r="O699" s="507" t="s">
        <v>5008</v>
      </c>
      <c r="P699" s="534"/>
      <c r="Q699" s="534"/>
      <c r="R699" s="534"/>
      <c r="S699" s="535"/>
      <c r="T699" s="535"/>
      <c r="U699" s="535"/>
      <c r="V699" s="535"/>
      <c r="W699" s="535"/>
      <c r="X699" s="535"/>
      <c r="Y699" s="535"/>
      <c r="Z699" s="535"/>
    </row>
    <row r="700" spans="1:26" ht="28.5" customHeight="1">
      <c r="A700" s="419"/>
      <c r="B700" s="931"/>
      <c r="C700" s="87"/>
      <c r="D700" s="87"/>
      <c r="E700" s="87"/>
      <c r="F700" s="87"/>
      <c r="G700" s="578"/>
      <c r="H700" s="87"/>
      <c r="I700" s="454"/>
      <c r="J700" s="354"/>
      <c r="K700" s="75"/>
      <c r="L700" s="343"/>
      <c r="M700" s="75"/>
      <c r="N700" s="473"/>
      <c r="O700" s="75"/>
      <c r="P700" s="146"/>
      <c r="Q700" s="146"/>
      <c r="R700" s="146"/>
      <c r="S700" s="149"/>
      <c r="T700" s="149"/>
      <c r="U700" s="149"/>
      <c r="V700" s="149"/>
      <c r="W700" s="149"/>
      <c r="X700" s="149"/>
      <c r="Y700" s="149"/>
      <c r="Z700" s="149"/>
    </row>
    <row r="701" spans="1:26" ht="13.5" customHeight="1">
      <c r="A701" s="716" t="s">
        <v>2080</v>
      </c>
      <c r="B701" s="517" t="s">
        <v>623</v>
      </c>
      <c r="C701" s="553">
        <f t="shared" ref="C701:H701" si="140">AVERAGE(C702,C706,C708)</f>
        <v>0.5</v>
      </c>
      <c r="D701" s="553">
        <f t="shared" si="140"/>
        <v>0.83333333333333337</v>
      </c>
      <c r="E701" s="553">
        <f t="shared" si="140"/>
        <v>0.16666666666666666</v>
      </c>
      <c r="F701" s="553">
        <f t="shared" si="140"/>
        <v>0.83333333333333337</v>
      </c>
      <c r="G701" s="553">
        <f t="shared" si="140"/>
        <v>0.83333333333333337</v>
      </c>
      <c r="H701" s="553">
        <f t="shared" si="140"/>
        <v>0.16666666666666666</v>
      </c>
      <c r="I701" s="454"/>
      <c r="J701" s="507"/>
      <c r="K701" s="559"/>
      <c r="L701" s="499"/>
      <c r="M701" s="499"/>
      <c r="N701" s="499"/>
      <c r="O701" s="499"/>
      <c r="P701" s="558"/>
      <c r="Q701" s="558"/>
      <c r="R701" s="558"/>
      <c r="S701" s="559"/>
      <c r="T701" s="559"/>
      <c r="U701" s="559"/>
      <c r="V701" s="559"/>
      <c r="W701" s="559"/>
      <c r="X701" s="559"/>
      <c r="Y701" s="559"/>
      <c r="Z701" s="559"/>
    </row>
    <row r="702" spans="1:26" ht="27.75" customHeight="1">
      <c r="A702" s="533" t="s">
        <v>736</v>
      </c>
      <c r="B702" s="560" t="s">
        <v>624</v>
      </c>
      <c r="C702" s="506">
        <f t="shared" ref="C702:H702" si="141">AVERAGE(C703:C704)</f>
        <v>0.5</v>
      </c>
      <c r="D702" s="506">
        <f t="shared" si="141"/>
        <v>0.5</v>
      </c>
      <c r="E702" s="506">
        <f t="shared" si="141"/>
        <v>0.5</v>
      </c>
      <c r="F702" s="506">
        <f t="shared" si="141"/>
        <v>0.5</v>
      </c>
      <c r="G702" s="506">
        <f t="shared" si="141"/>
        <v>0.5</v>
      </c>
      <c r="H702" s="506">
        <f t="shared" si="141"/>
        <v>0.5</v>
      </c>
      <c r="I702" s="454" t="s">
        <v>625</v>
      </c>
      <c r="J702" s="553"/>
      <c r="K702" s="1009"/>
      <c r="L702" s="817"/>
      <c r="M702" s="730"/>
      <c r="N702" s="580"/>
      <c r="O702" s="506"/>
      <c r="P702" s="534"/>
      <c r="Q702" s="534"/>
      <c r="R702" s="534"/>
      <c r="S702" s="535"/>
      <c r="T702" s="535"/>
      <c r="U702" s="535"/>
      <c r="V702" s="535"/>
      <c r="W702" s="535"/>
      <c r="X702" s="535"/>
      <c r="Y702" s="535"/>
      <c r="Z702" s="535"/>
    </row>
    <row r="703" spans="1:26" ht="78.75" customHeight="1">
      <c r="A703" s="533"/>
      <c r="B703" s="574" t="s">
        <v>626</v>
      </c>
      <c r="C703" s="991">
        <v>0</v>
      </c>
      <c r="D703" s="991">
        <v>0</v>
      </c>
      <c r="E703" s="991">
        <v>0</v>
      </c>
      <c r="F703" s="991">
        <v>0</v>
      </c>
      <c r="G703" s="991">
        <v>0</v>
      </c>
      <c r="H703" s="991">
        <v>0</v>
      </c>
      <c r="I703" s="454"/>
      <c r="J703" s="507" t="s">
        <v>3840</v>
      </c>
      <c r="K703" s="507" t="s">
        <v>2082</v>
      </c>
      <c r="L703" s="507" t="s">
        <v>2083</v>
      </c>
      <c r="M703" s="507" t="s">
        <v>811</v>
      </c>
      <c r="N703" s="735" t="s">
        <v>3841</v>
      </c>
      <c r="O703" s="507" t="s">
        <v>3842</v>
      </c>
      <c r="P703" s="534"/>
      <c r="Q703" s="534"/>
      <c r="R703" s="534"/>
      <c r="S703" s="535"/>
      <c r="T703" s="535"/>
      <c r="U703" s="535"/>
      <c r="V703" s="535"/>
      <c r="W703" s="535"/>
      <c r="X703" s="535"/>
      <c r="Y703" s="535"/>
      <c r="Z703" s="535"/>
    </row>
    <row r="704" spans="1:26" ht="36" customHeight="1">
      <c r="A704" s="533"/>
      <c r="B704" s="574" t="s">
        <v>627</v>
      </c>
      <c r="C704" s="991">
        <v>1</v>
      </c>
      <c r="D704" s="991">
        <v>1</v>
      </c>
      <c r="E704" s="991">
        <v>1</v>
      </c>
      <c r="F704" s="991">
        <v>1</v>
      </c>
      <c r="G704" s="991">
        <v>1</v>
      </c>
      <c r="H704" s="991">
        <v>1</v>
      </c>
      <c r="I704" s="454"/>
      <c r="J704" s="507" t="s">
        <v>2086</v>
      </c>
      <c r="K704" s="507" t="s">
        <v>748</v>
      </c>
      <c r="L704" s="818" t="s">
        <v>3843</v>
      </c>
      <c r="M704" s="506" t="s">
        <v>748</v>
      </c>
      <c r="N704" s="580" t="s">
        <v>748</v>
      </c>
      <c r="O704" s="580" t="s">
        <v>748</v>
      </c>
      <c r="P704" s="534"/>
      <c r="Q704" s="534"/>
      <c r="R704" s="534"/>
      <c r="S704" s="535"/>
      <c r="T704" s="535"/>
      <c r="U704" s="535"/>
      <c r="V704" s="535"/>
      <c r="W704" s="535"/>
      <c r="X704" s="535"/>
      <c r="Y704" s="535"/>
      <c r="Z704" s="535"/>
    </row>
    <row r="705" spans="1:26" ht="13.5" customHeight="1">
      <c r="A705" s="143"/>
      <c r="B705" s="562"/>
      <c r="C705" s="87"/>
      <c r="D705" s="87"/>
      <c r="E705" s="87"/>
      <c r="F705" s="87"/>
      <c r="G705" s="87"/>
      <c r="H705" s="87"/>
      <c r="I705" s="454"/>
      <c r="J705" s="354"/>
      <c r="K705" s="75"/>
      <c r="L705" s="343"/>
      <c r="M705" s="87"/>
      <c r="N705" s="271"/>
      <c r="O705" s="75"/>
      <c r="P705" s="146"/>
      <c r="Q705" s="146"/>
      <c r="R705" s="146"/>
      <c r="S705" s="149"/>
      <c r="T705" s="149"/>
      <c r="U705" s="149"/>
      <c r="V705" s="149"/>
      <c r="W705" s="149"/>
      <c r="X705" s="149"/>
      <c r="Y705" s="149"/>
      <c r="Z705" s="149"/>
    </row>
    <row r="706" spans="1:26" ht="55.5" customHeight="1">
      <c r="A706" s="533" t="s">
        <v>736</v>
      </c>
      <c r="B706" s="560" t="s">
        <v>628</v>
      </c>
      <c r="C706" s="553">
        <v>0</v>
      </c>
      <c r="D706" s="553">
        <v>1</v>
      </c>
      <c r="E706" s="506">
        <v>0</v>
      </c>
      <c r="F706" s="506">
        <v>1</v>
      </c>
      <c r="G706" s="506">
        <v>1</v>
      </c>
      <c r="H706" s="506">
        <v>0</v>
      </c>
      <c r="I706" s="454" t="s">
        <v>38</v>
      </c>
      <c r="J706" s="507" t="s">
        <v>3844</v>
      </c>
      <c r="K706" s="507" t="s">
        <v>748</v>
      </c>
      <c r="L706" s="507" t="s">
        <v>811</v>
      </c>
      <c r="M706" s="507" t="s">
        <v>748</v>
      </c>
      <c r="N706" s="507" t="s">
        <v>1060</v>
      </c>
      <c r="O706" s="507" t="s">
        <v>3845</v>
      </c>
      <c r="P706" s="534"/>
      <c r="Q706" s="534"/>
      <c r="R706" s="534"/>
      <c r="S706" s="535"/>
      <c r="T706" s="535"/>
      <c r="U706" s="535"/>
      <c r="V706" s="535"/>
      <c r="W706" s="535"/>
      <c r="X706" s="535"/>
      <c r="Y706" s="535"/>
      <c r="Z706" s="535"/>
    </row>
    <row r="707" spans="1:26" ht="13.5" customHeight="1">
      <c r="A707" s="143"/>
      <c r="B707" s="562"/>
      <c r="C707" s="354"/>
      <c r="D707" s="354"/>
      <c r="E707" s="87"/>
      <c r="F707" s="87"/>
      <c r="G707" s="87"/>
      <c r="H707" s="87"/>
      <c r="I707" s="454"/>
      <c r="J707" s="75"/>
      <c r="K707" s="75"/>
      <c r="L707" s="343"/>
      <c r="M707" s="75"/>
      <c r="N707" s="271"/>
      <c r="O707" s="75"/>
      <c r="P707" s="146"/>
      <c r="Q707" s="146"/>
      <c r="R707" s="146"/>
      <c r="S707" s="149"/>
      <c r="T707" s="149"/>
      <c r="U707" s="149"/>
      <c r="V707" s="149"/>
      <c r="W707" s="149"/>
      <c r="X707" s="149"/>
      <c r="Y707" s="149"/>
      <c r="Z707" s="149"/>
    </row>
    <row r="708" spans="1:26" ht="48" customHeight="1">
      <c r="A708" s="533" t="s">
        <v>736</v>
      </c>
      <c r="B708" s="560" t="s">
        <v>629</v>
      </c>
      <c r="C708" s="553">
        <v>1</v>
      </c>
      <c r="D708" s="553">
        <v>1</v>
      </c>
      <c r="E708" s="506">
        <v>0</v>
      </c>
      <c r="F708" s="506">
        <v>1</v>
      </c>
      <c r="G708" s="506">
        <v>1</v>
      </c>
      <c r="H708" s="506">
        <v>0</v>
      </c>
      <c r="I708" s="454" t="s">
        <v>38</v>
      </c>
      <c r="J708" s="507" t="s">
        <v>943</v>
      </c>
      <c r="K708" s="507" t="s">
        <v>748</v>
      </c>
      <c r="L708" s="507" t="s">
        <v>811</v>
      </c>
      <c r="M708" s="507" t="s">
        <v>748</v>
      </c>
      <c r="N708" s="507" t="s">
        <v>1060</v>
      </c>
      <c r="O708" s="507" t="s">
        <v>3845</v>
      </c>
      <c r="P708" s="534"/>
      <c r="Q708" s="534"/>
      <c r="R708" s="534"/>
      <c r="S708" s="535"/>
      <c r="T708" s="535"/>
      <c r="U708" s="535"/>
      <c r="V708" s="535"/>
      <c r="W708" s="535"/>
      <c r="X708" s="535"/>
      <c r="Y708" s="535"/>
      <c r="Z708" s="535"/>
    </row>
    <row r="709" spans="1:26" ht="13.5" customHeight="1">
      <c r="A709" s="143"/>
      <c r="B709" s="568"/>
      <c r="C709" s="354"/>
      <c r="D709" s="75"/>
      <c r="E709" s="343"/>
      <c r="F709" s="87"/>
      <c r="G709" s="271"/>
      <c r="H709" s="87"/>
      <c r="I709" s="454"/>
      <c r="J709" s="75"/>
      <c r="K709" s="953"/>
      <c r="L709" s="75"/>
      <c r="M709" s="75"/>
      <c r="N709" s="75"/>
      <c r="O709" s="75"/>
      <c r="P709" s="146"/>
      <c r="Q709" s="146"/>
      <c r="R709" s="146"/>
      <c r="S709" s="149"/>
      <c r="T709" s="149"/>
      <c r="U709" s="149"/>
      <c r="V709" s="149"/>
      <c r="W709" s="149"/>
      <c r="X709" s="149"/>
      <c r="Y709" s="149"/>
      <c r="Z709" s="149"/>
    </row>
    <row r="710" spans="1:26" ht="13.5" customHeight="1">
      <c r="A710" s="716" t="s">
        <v>441</v>
      </c>
      <c r="B710" s="517" t="s">
        <v>630</v>
      </c>
      <c r="C710" s="553">
        <f t="shared" ref="C710:H710" si="142">AVERAGE(C711,C713,C715)</f>
        <v>0.66666666666666663</v>
      </c>
      <c r="D710" s="553">
        <f t="shared" si="142"/>
        <v>1</v>
      </c>
      <c r="E710" s="553">
        <f t="shared" si="142"/>
        <v>0.66666666666666663</v>
      </c>
      <c r="F710" s="553">
        <f t="shared" si="142"/>
        <v>1</v>
      </c>
      <c r="G710" s="553">
        <f t="shared" si="142"/>
        <v>1</v>
      </c>
      <c r="H710" s="553">
        <f t="shared" si="142"/>
        <v>1</v>
      </c>
      <c r="I710" s="454"/>
      <c r="J710" s="507"/>
      <c r="K710" s="559"/>
      <c r="L710" s="499"/>
      <c r="M710" s="499"/>
      <c r="N710" s="499"/>
      <c r="O710" s="499"/>
      <c r="P710" s="558"/>
      <c r="Q710" s="558"/>
      <c r="R710" s="558"/>
      <c r="S710" s="559"/>
      <c r="T710" s="559"/>
      <c r="U710" s="559"/>
      <c r="V710" s="559"/>
      <c r="W710" s="559"/>
      <c r="X710" s="559"/>
      <c r="Y710" s="559"/>
      <c r="Z710" s="559"/>
    </row>
    <row r="711" spans="1:26" ht="13.5" customHeight="1">
      <c r="A711" s="533" t="s">
        <v>736</v>
      </c>
      <c r="B711" s="560" t="s">
        <v>2091</v>
      </c>
      <c r="C711" s="553">
        <v>1</v>
      </c>
      <c r="D711" s="553">
        <v>1</v>
      </c>
      <c r="E711" s="506">
        <v>1</v>
      </c>
      <c r="F711" s="506">
        <v>1</v>
      </c>
      <c r="G711" s="506">
        <v>1</v>
      </c>
      <c r="H711" s="506">
        <v>1</v>
      </c>
      <c r="I711" s="454" t="s">
        <v>38</v>
      </c>
      <c r="J711" s="507" t="s">
        <v>811</v>
      </c>
      <c r="K711" s="507" t="s">
        <v>811</v>
      </c>
      <c r="L711" s="551" t="s">
        <v>811</v>
      </c>
      <c r="M711" s="551" t="s">
        <v>811</v>
      </c>
      <c r="N711" s="551" t="s">
        <v>811</v>
      </c>
      <c r="O711" s="551" t="s">
        <v>811</v>
      </c>
      <c r="P711" s="534"/>
      <c r="Q711" s="534"/>
      <c r="R711" s="534"/>
      <c r="S711" s="535"/>
      <c r="T711" s="535"/>
      <c r="U711" s="535"/>
      <c r="V711" s="535"/>
      <c r="W711" s="535"/>
      <c r="X711" s="535"/>
      <c r="Y711" s="535"/>
      <c r="Z711" s="535"/>
    </row>
    <row r="712" spans="1:26" ht="13.5" customHeight="1">
      <c r="A712" s="143"/>
      <c r="B712" s="562"/>
      <c r="C712" s="354"/>
      <c r="D712" s="354"/>
      <c r="E712" s="87"/>
      <c r="F712" s="87"/>
      <c r="G712" s="87"/>
      <c r="H712" s="87"/>
      <c r="I712" s="454"/>
      <c r="J712" s="75"/>
      <c r="K712" s="75"/>
      <c r="L712" s="198"/>
      <c r="M712" s="198"/>
      <c r="N712" s="198"/>
      <c r="O712" s="198"/>
      <c r="P712" s="146"/>
      <c r="Q712" s="146"/>
      <c r="R712" s="146"/>
      <c r="S712" s="149"/>
      <c r="T712" s="149"/>
      <c r="U712" s="149"/>
      <c r="V712" s="149"/>
      <c r="W712" s="149"/>
      <c r="X712" s="149"/>
      <c r="Y712" s="149"/>
      <c r="Z712" s="149"/>
    </row>
    <row r="713" spans="1:26" ht="27.75" customHeight="1">
      <c r="A713" s="533" t="s">
        <v>736</v>
      </c>
      <c r="B713" s="560" t="s">
        <v>2092</v>
      </c>
      <c r="C713" s="553">
        <v>1</v>
      </c>
      <c r="D713" s="553">
        <v>1</v>
      </c>
      <c r="E713" s="506">
        <v>1</v>
      </c>
      <c r="F713" s="506">
        <v>1</v>
      </c>
      <c r="G713" s="506">
        <v>1</v>
      </c>
      <c r="H713" s="506">
        <v>1</v>
      </c>
      <c r="I713" s="454" t="s">
        <v>38</v>
      </c>
      <c r="J713" s="507" t="s">
        <v>811</v>
      </c>
      <c r="K713" s="507" t="s">
        <v>811</v>
      </c>
      <c r="L713" s="551" t="s">
        <v>811</v>
      </c>
      <c r="M713" s="551" t="s">
        <v>811</v>
      </c>
      <c r="N713" s="551" t="s">
        <v>811</v>
      </c>
      <c r="O713" s="551" t="s">
        <v>811</v>
      </c>
      <c r="P713" s="534"/>
      <c r="Q713" s="534"/>
      <c r="R713" s="534"/>
      <c r="S713" s="535"/>
      <c r="T713" s="535"/>
      <c r="U713" s="535"/>
      <c r="V713" s="535"/>
      <c r="W713" s="535"/>
      <c r="X713" s="535"/>
      <c r="Y713" s="535"/>
      <c r="Z713" s="535"/>
    </row>
    <row r="714" spans="1:26" ht="13.5" customHeight="1">
      <c r="A714" s="143"/>
      <c r="B714" s="562"/>
      <c r="C714" s="354"/>
      <c r="D714" s="354"/>
      <c r="E714" s="87"/>
      <c r="F714" s="87"/>
      <c r="G714" s="87"/>
      <c r="H714" s="87"/>
      <c r="I714" s="454"/>
      <c r="J714" s="75"/>
      <c r="K714" s="953"/>
      <c r="L714" s="198"/>
      <c r="M714" s="198"/>
      <c r="N714" s="198"/>
      <c r="O714" s="198"/>
      <c r="P714" s="146"/>
      <c r="Q714" s="146"/>
      <c r="R714" s="146"/>
      <c r="S714" s="149"/>
      <c r="T714" s="149"/>
      <c r="U714" s="149"/>
      <c r="V714" s="149"/>
      <c r="W714" s="149"/>
      <c r="X714" s="149"/>
      <c r="Y714" s="149"/>
      <c r="Z714" s="149"/>
    </row>
    <row r="715" spans="1:26" ht="27.75" customHeight="1">
      <c r="A715" s="533" t="s">
        <v>736</v>
      </c>
      <c r="B715" s="560" t="s">
        <v>631</v>
      </c>
      <c r="C715" s="553">
        <v>0</v>
      </c>
      <c r="D715" s="553">
        <v>1</v>
      </c>
      <c r="E715" s="506">
        <v>0</v>
      </c>
      <c r="F715" s="506">
        <v>1</v>
      </c>
      <c r="G715" s="506">
        <v>1</v>
      </c>
      <c r="H715" s="506">
        <v>1</v>
      </c>
      <c r="I715" s="454" t="s">
        <v>632</v>
      </c>
      <c r="J715" s="507" t="s">
        <v>3847</v>
      </c>
      <c r="K715" s="507" t="s">
        <v>748</v>
      </c>
      <c r="L715" s="507" t="s">
        <v>3847</v>
      </c>
      <c r="M715" s="551" t="s">
        <v>748</v>
      </c>
      <c r="N715" s="551" t="s">
        <v>748</v>
      </c>
      <c r="O715" s="551" t="s">
        <v>748</v>
      </c>
      <c r="P715" s="534"/>
      <c r="Q715" s="534"/>
      <c r="R715" s="534"/>
      <c r="S715" s="535"/>
      <c r="T715" s="535"/>
      <c r="U715" s="535"/>
      <c r="V715" s="535"/>
      <c r="W715" s="535"/>
      <c r="X715" s="535"/>
      <c r="Y715" s="535"/>
      <c r="Z715" s="535"/>
    </row>
    <row r="716" spans="1:26" ht="13.5" customHeight="1">
      <c r="A716" s="143"/>
      <c r="B716" s="568"/>
      <c r="C716" s="354"/>
      <c r="D716" s="75"/>
      <c r="E716" s="343"/>
      <c r="F716" s="87"/>
      <c r="G716" s="271"/>
      <c r="H716" s="87"/>
      <c r="I716" s="454"/>
      <c r="J716" s="198"/>
      <c r="K716" s="198"/>
      <c r="L716" s="198"/>
      <c r="M716" s="75"/>
      <c r="N716" s="75"/>
      <c r="O716" s="75"/>
      <c r="P716" s="146"/>
      <c r="Q716" s="146"/>
      <c r="R716" s="146"/>
      <c r="S716" s="149"/>
      <c r="T716" s="149"/>
      <c r="U716" s="149"/>
      <c r="V716" s="149"/>
      <c r="W716" s="149"/>
      <c r="X716" s="149"/>
      <c r="Y716" s="149"/>
      <c r="Z716" s="149"/>
    </row>
    <row r="717" spans="1:26" ht="111.75" customHeight="1">
      <c r="A717" s="716" t="s">
        <v>2095</v>
      </c>
      <c r="B717" s="517" t="s">
        <v>2096</v>
      </c>
      <c r="C717" s="553">
        <f t="shared" ref="C717:H717" si="143">AVERAGE(C718,C720,C722,C724)</f>
        <v>0.57499999999999996</v>
      </c>
      <c r="D717" s="553">
        <f t="shared" si="143"/>
        <v>0.85000000000000009</v>
      </c>
      <c r="E717" s="553">
        <f t="shared" si="143"/>
        <v>0.5</v>
      </c>
      <c r="F717" s="553">
        <f t="shared" si="143"/>
        <v>1</v>
      </c>
      <c r="G717" s="553">
        <f t="shared" si="143"/>
        <v>0.48750000000000004</v>
      </c>
      <c r="H717" s="553">
        <f t="shared" si="143"/>
        <v>0.5</v>
      </c>
      <c r="I717" s="454"/>
      <c r="J717" s="507"/>
      <c r="K717" s="535"/>
      <c r="L717" s="507"/>
      <c r="M717" s="507"/>
      <c r="N717" s="507"/>
      <c r="O717" s="507"/>
      <c r="P717" s="534"/>
      <c r="Q717" s="534"/>
      <c r="R717" s="534"/>
      <c r="S717" s="535"/>
      <c r="T717" s="535"/>
      <c r="U717" s="535"/>
      <c r="V717" s="535"/>
      <c r="W717" s="535"/>
      <c r="X717" s="535"/>
      <c r="Y717" s="535"/>
      <c r="Z717" s="535"/>
    </row>
    <row r="718" spans="1:26" ht="36" customHeight="1">
      <c r="A718" s="533" t="s">
        <v>736</v>
      </c>
      <c r="B718" s="560" t="s">
        <v>5009</v>
      </c>
      <c r="C718" s="553">
        <v>1</v>
      </c>
      <c r="D718" s="553">
        <v>1</v>
      </c>
      <c r="E718" s="506">
        <v>1</v>
      </c>
      <c r="F718" s="506">
        <v>1</v>
      </c>
      <c r="G718" s="506">
        <v>1</v>
      </c>
      <c r="H718" s="506">
        <v>1</v>
      </c>
      <c r="I718" s="454" t="s">
        <v>38</v>
      </c>
      <c r="J718" s="507" t="s">
        <v>5010</v>
      </c>
      <c r="K718" s="507" t="s">
        <v>811</v>
      </c>
      <c r="L718" s="507" t="s">
        <v>5011</v>
      </c>
      <c r="M718" s="507" t="s">
        <v>811</v>
      </c>
      <c r="N718" s="507" t="s">
        <v>5012</v>
      </c>
      <c r="O718" s="507" t="s">
        <v>3849</v>
      </c>
      <c r="P718" s="534"/>
      <c r="Q718" s="534"/>
      <c r="R718" s="534"/>
      <c r="S718" s="535"/>
      <c r="T718" s="535"/>
      <c r="U718" s="535"/>
      <c r="V718" s="535"/>
      <c r="W718" s="535"/>
      <c r="X718" s="535"/>
      <c r="Y718" s="535"/>
      <c r="Z718" s="535"/>
    </row>
    <row r="719" spans="1:26" ht="13.5" customHeight="1">
      <c r="A719" s="143"/>
      <c r="B719" s="562"/>
      <c r="C719" s="354"/>
      <c r="D719" s="354"/>
      <c r="E719" s="87"/>
      <c r="F719" s="87"/>
      <c r="G719" s="87"/>
      <c r="H719" s="87"/>
      <c r="I719" s="454"/>
      <c r="J719" s="354"/>
      <c r="K719" s="75"/>
      <c r="L719" s="343"/>
      <c r="M719" s="75"/>
      <c r="N719" s="75"/>
      <c r="O719" s="75"/>
      <c r="P719" s="146"/>
      <c r="Q719" s="146"/>
      <c r="R719" s="146"/>
      <c r="S719" s="149"/>
      <c r="T719" s="149"/>
      <c r="U719" s="149"/>
      <c r="V719" s="149"/>
      <c r="W719" s="149"/>
      <c r="X719" s="149"/>
      <c r="Y719" s="149"/>
      <c r="Z719" s="149"/>
    </row>
    <row r="720" spans="1:26" ht="42" customHeight="1">
      <c r="A720" s="533" t="s">
        <v>736</v>
      </c>
      <c r="B720" s="560" t="s">
        <v>2099</v>
      </c>
      <c r="C720" s="553">
        <f>(6-0)/(20-0)</f>
        <v>0.3</v>
      </c>
      <c r="D720" s="553">
        <f>(12-0)/(20-0)</f>
        <v>0.6</v>
      </c>
      <c r="E720" s="506" t="s">
        <v>877</v>
      </c>
      <c r="F720" s="506">
        <v>1</v>
      </c>
      <c r="G720" s="506">
        <f>(1-0)/(20-0)</f>
        <v>0.05</v>
      </c>
      <c r="H720" s="506">
        <v>0</v>
      </c>
      <c r="I720" s="454" t="s">
        <v>2038</v>
      </c>
      <c r="J720" s="507">
        <v>6</v>
      </c>
      <c r="K720" s="507" t="s">
        <v>5013</v>
      </c>
      <c r="L720" s="507" t="s">
        <v>5014</v>
      </c>
      <c r="M720" s="507">
        <v>20</v>
      </c>
      <c r="N720" s="507">
        <v>1</v>
      </c>
      <c r="O720" s="507" t="s">
        <v>3851</v>
      </c>
      <c r="P720" s="534"/>
      <c r="Q720" s="534"/>
      <c r="R720" s="534"/>
      <c r="S720" s="535"/>
      <c r="T720" s="535"/>
      <c r="U720" s="535"/>
      <c r="V720" s="535"/>
      <c r="W720" s="535"/>
      <c r="X720" s="535"/>
      <c r="Y720" s="535"/>
      <c r="Z720" s="535"/>
    </row>
    <row r="721" spans="1:26" ht="13.5" customHeight="1">
      <c r="A721" s="143"/>
      <c r="B721" s="562"/>
      <c r="C721" s="354"/>
      <c r="D721" s="354"/>
      <c r="E721" s="87"/>
      <c r="F721" s="87"/>
      <c r="G721" s="87"/>
      <c r="H721" s="87"/>
      <c r="I721" s="454"/>
      <c r="J721" s="75"/>
      <c r="K721" s="75"/>
      <c r="L721" s="343"/>
      <c r="M721" s="87"/>
      <c r="N721" s="271"/>
      <c r="O721" s="75"/>
      <c r="P721" s="146"/>
      <c r="Q721" s="146"/>
      <c r="R721" s="146"/>
      <c r="S721" s="149"/>
      <c r="T721" s="149"/>
      <c r="U721" s="149"/>
      <c r="V721" s="149"/>
      <c r="W721" s="149"/>
      <c r="X721" s="149"/>
      <c r="Y721" s="149"/>
      <c r="Z721" s="149"/>
    </row>
    <row r="722" spans="1:26" ht="42" customHeight="1">
      <c r="A722" s="533" t="s">
        <v>736</v>
      </c>
      <c r="B722" s="560" t="s">
        <v>2103</v>
      </c>
      <c r="C722" s="553">
        <v>0</v>
      </c>
      <c r="D722" s="553">
        <f>(10-2)/10</f>
        <v>0.8</v>
      </c>
      <c r="E722" s="506" t="s">
        <v>3550</v>
      </c>
      <c r="F722" s="506">
        <v>1</v>
      </c>
      <c r="G722" s="506">
        <v>0.9</v>
      </c>
      <c r="H722" s="506">
        <v>1</v>
      </c>
      <c r="I722" s="454" t="s">
        <v>2038</v>
      </c>
      <c r="J722" s="507">
        <v>10</v>
      </c>
      <c r="K722" s="507" t="s">
        <v>3852</v>
      </c>
      <c r="L722" s="507" t="s">
        <v>5014</v>
      </c>
      <c r="M722" s="507" t="s">
        <v>748</v>
      </c>
      <c r="N722" s="507">
        <v>1</v>
      </c>
      <c r="O722" s="507">
        <v>0</v>
      </c>
      <c r="P722" s="534"/>
      <c r="Q722" s="534"/>
      <c r="R722" s="534"/>
      <c r="S722" s="535"/>
      <c r="T722" s="535"/>
      <c r="U722" s="535"/>
      <c r="V722" s="535"/>
      <c r="W722" s="535"/>
      <c r="X722" s="535"/>
      <c r="Y722" s="535"/>
      <c r="Z722" s="535"/>
    </row>
    <row r="723" spans="1:26" ht="13.5" customHeight="1">
      <c r="A723" s="143"/>
      <c r="B723" s="562"/>
      <c r="C723" s="354"/>
      <c r="D723" s="354"/>
      <c r="E723" s="87"/>
      <c r="F723" s="87"/>
      <c r="G723" s="87"/>
      <c r="H723" s="87"/>
      <c r="I723" s="454"/>
      <c r="J723" s="75"/>
      <c r="K723" s="953"/>
      <c r="L723" s="75"/>
      <c r="M723" s="75"/>
      <c r="N723" s="75"/>
      <c r="O723" s="75"/>
      <c r="P723" s="146"/>
      <c r="Q723" s="146"/>
      <c r="R723" s="146"/>
      <c r="S723" s="149"/>
      <c r="T723" s="149"/>
      <c r="U723" s="149"/>
      <c r="V723" s="149"/>
      <c r="W723" s="149"/>
      <c r="X723" s="149"/>
      <c r="Y723" s="149"/>
      <c r="Z723" s="149"/>
    </row>
    <row r="724" spans="1:26" ht="42" customHeight="1">
      <c r="A724" s="533" t="s">
        <v>736</v>
      </c>
      <c r="B724" s="560" t="s">
        <v>5015</v>
      </c>
      <c r="C724" s="553">
        <v>1</v>
      </c>
      <c r="D724" s="553">
        <v>1</v>
      </c>
      <c r="E724" s="506">
        <v>0</v>
      </c>
      <c r="F724" s="506">
        <v>1</v>
      </c>
      <c r="G724" s="506">
        <v>0</v>
      </c>
      <c r="H724" s="506">
        <v>0</v>
      </c>
      <c r="I724" s="454" t="s">
        <v>38</v>
      </c>
      <c r="J724" s="507" t="s">
        <v>5016</v>
      </c>
      <c r="K724" s="507" t="s">
        <v>811</v>
      </c>
      <c r="L724" s="507" t="s">
        <v>748</v>
      </c>
      <c r="M724" s="507" t="s">
        <v>811</v>
      </c>
      <c r="N724" s="507" t="s">
        <v>1060</v>
      </c>
      <c r="O724" s="507" t="s">
        <v>2425</v>
      </c>
      <c r="P724" s="534"/>
      <c r="Q724" s="534"/>
      <c r="R724" s="534"/>
      <c r="S724" s="535"/>
      <c r="T724" s="535"/>
      <c r="U724" s="535"/>
      <c r="V724" s="535"/>
      <c r="W724" s="535"/>
      <c r="X724" s="535"/>
      <c r="Y724" s="535"/>
      <c r="Z724" s="535"/>
    </row>
    <row r="725" spans="1:26" ht="13.5" customHeight="1">
      <c r="A725" s="419"/>
      <c r="B725" s="931"/>
      <c r="C725" s="354"/>
      <c r="D725" s="75"/>
      <c r="E725" s="343"/>
      <c r="F725" s="87"/>
      <c r="G725" s="271"/>
      <c r="H725" s="87"/>
      <c r="I725" s="454"/>
      <c r="J725" s="75"/>
      <c r="K725" s="953"/>
      <c r="L725" s="75"/>
      <c r="M725" s="75"/>
      <c r="N725" s="75"/>
      <c r="O725" s="75"/>
      <c r="P725" s="146"/>
      <c r="Q725" s="146"/>
      <c r="R725" s="146"/>
      <c r="S725" s="149"/>
      <c r="T725" s="149"/>
      <c r="U725" s="149"/>
      <c r="V725" s="149"/>
      <c r="W725" s="149"/>
      <c r="X725" s="149"/>
      <c r="Y725" s="149"/>
      <c r="Z725" s="149"/>
    </row>
    <row r="726" spans="1:26" ht="13.5" customHeight="1">
      <c r="A726" s="716" t="s">
        <v>2109</v>
      </c>
      <c r="B726" s="517" t="s">
        <v>639</v>
      </c>
      <c r="C726" s="553">
        <f t="shared" ref="C726:H726" si="144">AVERAGE(C727,C729,C731,C733,C735)</f>
        <v>0.6</v>
      </c>
      <c r="D726" s="553">
        <f t="shared" si="144"/>
        <v>0.4</v>
      </c>
      <c r="E726" s="553">
        <f t="shared" si="144"/>
        <v>0.1</v>
      </c>
      <c r="F726" s="553">
        <f t="shared" si="144"/>
        <v>0.9</v>
      </c>
      <c r="G726" s="553">
        <f t="shared" si="144"/>
        <v>0.2</v>
      </c>
      <c r="H726" s="553">
        <f t="shared" si="144"/>
        <v>0</v>
      </c>
      <c r="I726" s="454"/>
      <c r="J726" s="507"/>
      <c r="K726" s="559"/>
      <c r="L726" s="499"/>
      <c r="M726" s="499"/>
      <c r="N726" s="499"/>
      <c r="O726" s="499"/>
      <c r="P726" s="558"/>
      <c r="Q726" s="558"/>
      <c r="R726" s="558"/>
      <c r="S726" s="559"/>
      <c r="T726" s="559"/>
      <c r="U726" s="559"/>
      <c r="V726" s="559"/>
      <c r="W726" s="559"/>
      <c r="X726" s="559"/>
      <c r="Y726" s="559"/>
      <c r="Z726" s="559"/>
    </row>
    <row r="727" spans="1:26" ht="84" customHeight="1">
      <c r="A727" s="533" t="s">
        <v>736</v>
      </c>
      <c r="B727" s="560" t="s">
        <v>5017</v>
      </c>
      <c r="C727" s="553">
        <v>1</v>
      </c>
      <c r="D727" s="553">
        <v>1</v>
      </c>
      <c r="E727" s="506">
        <v>0</v>
      </c>
      <c r="F727" s="506">
        <v>1</v>
      </c>
      <c r="G727" s="506">
        <v>1</v>
      </c>
      <c r="H727" s="506">
        <v>0</v>
      </c>
      <c r="I727" s="454" t="s">
        <v>38</v>
      </c>
      <c r="J727" s="507" t="s">
        <v>948</v>
      </c>
      <c r="K727" s="507" t="s">
        <v>3853</v>
      </c>
      <c r="L727" s="551" t="s">
        <v>748</v>
      </c>
      <c r="M727" s="507" t="s">
        <v>811</v>
      </c>
      <c r="N727" s="507" t="s">
        <v>960</v>
      </c>
      <c r="O727" s="507" t="s">
        <v>3855</v>
      </c>
      <c r="P727" s="534"/>
      <c r="Q727" s="534"/>
      <c r="R727" s="534"/>
      <c r="S727" s="535"/>
      <c r="T727" s="535"/>
      <c r="U727" s="535"/>
      <c r="V727" s="535"/>
      <c r="W727" s="535"/>
      <c r="X727" s="535"/>
      <c r="Y727" s="535"/>
      <c r="Z727" s="535"/>
    </row>
    <row r="728" spans="1:26" ht="13.5" customHeight="1">
      <c r="A728" s="143"/>
      <c r="B728" s="562"/>
      <c r="C728" s="354"/>
      <c r="D728" s="354"/>
      <c r="E728" s="87"/>
      <c r="F728" s="87"/>
      <c r="G728" s="87"/>
      <c r="H728" s="87"/>
      <c r="I728" s="454"/>
      <c r="J728" s="75"/>
      <c r="K728" s="75"/>
      <c r="L728" s="343"/>
      <c r="M728" s="75"/>
      <c r="N728" s="271"/>
      <c r="O728" s="87"/>
      <c r="P728" s="146"/>
      <c r="Q728" s="146"/>
      <c r="R728" s="146"/>
      <c r="S728" s="149"/>
      <c r="T728" s="149"/>
      <c r="U728" s="149"/>
      <c r="V728" s="149"/>
      <c r="W728" s="149"/>
      <c r="X728" s="149"/>
      <c r="Y728" s="149"/>
      <c r="Z728" s="149"/>
    </row>
    <row r="729" spans="1:26" ht="69.75" customHeight="1">
      <c r="A729" s="533" t="s">
        <v>736</v>
      </c>
      <c r="B729" s="560" t="s">
        <v>5018</v>
      </c>
      <c r="C729" s="553">
        <v>0</v>
      </c>
      <c r="D729" s="553">
        <v>1</v>
      </c>
      <c r="E729" s="506">
        <v>0</v>
      </c>
      <c r="F729" s="506">
        <v>1</v>
      </c>
      <c r="G729" s="506">
        <v>0</v>
      </c>
      <c r="H729" s="506">
        <v>0</v>
      </c>
      <c r="I729" s="454" t="s">
        <v>38</v>
      </c>
      <c r="J729" s="507" t="s">
        <v>943</v>
      </c>
      <c r="K729" s="507" t="s">
        <v>811</v>
      </c>
      <c r="L729" s="551" t="s">
        <v>748</v>
      </c>
      <c r="M729" s="507" t="s">
        <v>811</v>
      </c>
      <c r="N729" s="507" t="s">
        <v>1060</v>
      </c>
      <c r="O729" s="507" t="s">
        <v>2425</v>
      </c>
      <c r="P729" s="534"/>
      <c r="Q729" s="534"/>
      <c r="R729" s="534"/>
      <c r="S729" s="535"/>
      <c r="T729" s="535"/>
      <c r="U729" s="535"/>
      <c r="V729" s="535"/>
      <c r="W729" s="535"/>
      <c r="X729" s="535"/>
      <c r="Y729" s="535"/>
      <c r="Z729" s="535"/>
    </row>
    <row r="730" spans="1:26" ht="13.5" customHeight="1">
      <c r="A730" s="143"/>
      <c r="B730" s="562"/>
      <c r="C730" s="354"/>
      <c r="D730" s="354"/>
      <c r="E730" s="87"/>
      <c r="F730" s="87"/>
      <c r="G730" s="87"/>
      <c r="H730" s="87"/>
      <c r="I730" s="454"/>
      <c r="J730" s="75"/>
      <c r="K730" s="75"/>
      <c r="L730" s="343"/>
      <c r="M730" s="75"/>
      <c r="N730" s="198"/>
      <c r="O730" s="87"/>
      <c r="P730" s="146"/>
      <c r="Q730" s="146"/>
      <c r="R730" s="146"/>
      <c r="S730" s="149"/>
      <c r="T730" s="149"/>
      <c r="U730" s="149"/>
      <c r="V730" s="149"/>
      <c r="W730" s="149"/>
      <c r="X730" s="149"/>
      <c r="Y730" s="149"/>
      <c r="Z730" s="149"/>
    </row>
    <row r="731" spans="1:26" ht="72" customHeight="1">
      <c r="A731" s="533" t="s">
        <v>736</v>
      </c>
      <c r="B731" s="560" t="s">
        <v>5019</v>
      </c>
      <c r="C731" s="553">
        <v>1</v>
      </c>
      <c r="D731" s="553">
        <v>0</v>
      </c>
      <c r="E731" s="506">
        <v>0.5</v>
      </c>
      <c r="F731" s="506">
        <v>1</v>
      </c>
      <c r="G731" s="506">
        <v>0</v>
      </c>
      <c r="H731" s="506">
        <v>0</v>
      </c>
      <c r="I731" s="454" t="s">
        <v>3857</v>
      </c>
      <c r="J731" s="507" t="s">
        <v>811</v>
      </c>
      <c r="K731" s="507" t="s">
        <v>748</v>
      </c>
      <c r="L731" s="551" t="s">
        <v>2115</v>
      </c>
      <c r="M731" s="507" t="s">
        <v>811</v>
      </c>
      <c r="N731" s="507" t="s">
        <v>1060</v>
      </c>
      <c r="O731" s="507" t="s">
        <v>5020</v>
      </c>
      <c r="P731" s="534"/>
      <c r="Q731" s="534"/>
      <c r="R731" s="534"/>
      <c r="S731" s="535"/>
      <c r="T731" s="535"/>
      <c r="U731" s="535"/>
      <c r="V731" s="535"/>
      <c r="W731" s="535"/>
      <c r="X731" s="535"/>
      <c r="Y731" s="535"/>
      <c r="Z731" s="535"/>
    </row>
    <row r="732" spans="1:26" ht="13.5" customHeight="1">
      <c r="A732" s="143"/>
      <c r="B732" s="562"/>
      <c r="C732" s="354"/>
      <c r="D732" s="354"/>
      <c r="E732" s="87"/>
      <c r="F732" s="87"/>
      <c r="G732" s="87"/>
      <c r="H732" s="87"/>
      <c r="I732" s="454"/>
      <c r="J732" s="75"/>
      <c r="K732" s="75" t="s">
        <v>748</v>
      </c>
      <c r="L732" s="343"/>
      <c r="M732" s="75"/>
      <c r="N732" s="271"/>
      <c r="O732" s="87"/>
      <c r="P732" s="146"/>
      <c r="Q732" s="146"/>
      <c r="R732" s="146"/>
      <c r="S732" s="149"/>
      <c r="T732" s="149"/>
      <c r="U732" s="149"/>
      <c r="V732" s="149"/>
      <c r="W732" s="149"/>
      <c r="X732" s="149"/>
      <c r="Y732" s="149"/>
      <c r="Z732" s="149"/>
    </row>
    <row r="733" spans="1:26" ht="55.5" customHeight="1">
      <c r="A733" s="533" t="s">
        <v>736</v>
      </c>
      <c r="B733" s="560" t="s">
        <v>5021</v>
      </c>
      <c r="C733" s="553">
        <v>0</v>
      </c>
      <c r="D733" s="553">
        <v>0</v>
      </c>
      <c r="E733" s="506">
        <v>0</v>
      </c>
      <c r="F733" s="506">
        <v>1</v>
      </c>
      <c r="G733" s="506">
        <v>0</v>
      </c>
      <c r="H733" s="506">
        <v>0</v>
      </c>
      <c r="I733" s="454" t="s">
        <v>38</v>
      </c>
      <c r="J733" s="507" t="s">
        <v>943</v>
      </c>
      <c r="K733" s="507" t="s">
        <v>748</v>
      </c>
      <c r="L733" s="551" t="s">
        <v>748</v>
      </c>
      <c r="M733" s="507" t="s">
        <v>811</v>
      </c>
      <c r="N733" s="551" t="s">
        <v>748</v>
      </c>
      <c r="O733" s="551" t="s">
        <v>748</v>
      </c>
      <c r="P733" s="534"/>
      <c r="Q733" s="534"/>
      <c r="R733" s="534"/>
      <c r="S733" s="535"/>
      <c r="T733" s="535"/>
      <c r="U733" s="535"/>
      <c r="V733" s="535"/>
      <c r="W733" s="535"/>
      <c r="X733" s="535"/>
      <c r="Y733" s="535"/>
      <c r="Z733" s="535"/>
    </row>
    <row r="734" spans="1:26" ht="13.5" customHeight="1">
      <c r="A734" s="143"/>
      <c r="B734" s="562"/>
      <c r="C734" s="354"/>
      <c r="D734" s="354"/>
      <c r="E734" s="87"/>
      <c r="F734" s="87"/>
      <c r="G734" s="87"/>
      <c r="H734" s="87"/>
      <c r="I734" s="454"/>
      <c r="J734" s="354"/>
      <c r="K734" s="75"/>
      <c r="L734" s="87"/>
      <c r="M734" s="87"/>
      <c r="N734" s="87"/>
      <c r="O734" s="87"/>
      <c r="P734" s="146"/>
      <c r="Q734" s="146"/>
      <c r="R734" s="146"/>
      <c r="S734" s="149"/>
      <c r="T734" s="149"/>
      <c r="U734" s="149"/>
      <c r="V734" s="149"/>
      <c r="W734" s="149"/>
      <c r="X734" s="149"/>
      <c r="Y734" s="149"/>
      <c r="Z734" s="149"/>
    </row>
    <row r="735" spans="1:26" ht="42" customHeight="1">
      <c r="A735" s="533" t="s">
        <v>736</v>
      </c>
      <c r="B735" s="560" t="s">
        <v>5022</v>
      </c>
      <c r="C735" s="553">
        <v>1</v>
      </c>
      <c r="D735" s="553">
        <v>0</v>
      </c>
      <c r="E735" s="506">
        <v>0</v>
      </c>
      <c r="F735" s="506">
        <v>0.5</v>
      </c>
      <c r="G735" s="506">
        <v>0</v>
      </c>
      <c r="H735" s="506">
        <v>0</v>
      </c>
      <c r="I735" s="454" t="s">
        <v>3857</v>
      </c>
      <c r="J735" s="507" t="s">
        <v>948</v>
      </c>
      <c r="K735" s="507" t="s">
        <v>748</v>
      </c>
      <c r="L735" s="551" t="s">
        <v>748</v>
      </c>
      <c r="M735" s="507" t="s">
        <v>5023</v>
      </c>
      <c r="N735" s="507" t="s">
        <v>1060</v>
      </c>
      <c r="O735" s="507" t="s">
        <v>2425</v>
      </c>
      <c r="P735" s="534"/>
      <c r="Q735" s="534"/>
      <c r="R735" s="534"/>
      <c r="S735" s="535"/>
      <c r="T735" s="535"/>
      <c r="U735" s="535"/>
      <c r="V735" s="535"/>
      <c r="W735" s="535"/>
      <c r="X735" s="535"/>
      <c r="Y735" s="535"/>
      <c r="Z735" s="535"/>
    </row>
    <row r="736" spans="1:26" ht="13.5" customHeight="1">
      <c r="A736" s="143"/>
      <c r="B736" s="929"/>
      <c r="C736" s="911"/>
      <c r="D736" s="911"/>
      <c r="E736" s="87"/>
      <c r="F736" s="87"/>
      <c r="G736" s="87"/>
      <c r="H736" s="87"/>
      <c r="I736" s="454"/>
      <c r="J736" s="291"/>
      <c r="K736" s="953"/>
      <c r="L736" s="953"/>
      <c r="M736" s="291"/>
      <c r="N736" s="953"/>
      <c r="O736" s="953"/>
      <c r="P736" s="149"/>
      <c r="Q736" s="149"/>
      <c r="R736" s="149"/>
      <c r="S736" s="149"/>
      <c r="T736" s="149"/>
      <c r="U736" s="149"/>
      <c r="V736" s="149"/>
      <c r="W736" s="149"/>
      <c r="X736" s="149"/>
      <c r="Y736" s="149"/>
      <c r="Z736" s="149"/>
    </row>
    <row r="737" spans="1:26" ht="18.75" customHeight="1">
      <c r="A737" s="478">
        <v>3</v>
      </c>
      <c r="B737" s="2608" t="s">
        <v>2120</v>
      </c>
      <c r="C737" s="2600"/>
      <c r="D737" s="2600"/>
      <c r="E737" s="2600"/>
      <c r="F737" s="2600"/>
      <c r="G737" s="2600"/>
      <c r="H737" s="2600"/>
      <c r="I737" s="801"/>
      <c r="J737" s="2610"/>
      <c r="K737" s="2600"/>
      <c r="L737" s="2600"/>
      <c r="M737" s="2600"/>
      <c r="N737" s="2600"/>
      <c r="O737" s="2600"/>
      <c r="P737" s="480"/>
      <c r="Q737" s="480"/>
      <c r="R737" s="480"/>
      <c r="S737" s="479"/>
      <c r="T737" s="479"/>
      <c r="U737" s="479"/>
      <c r="V737" s="479"/>
      <c r="W737" s="479"/>
      <c r="X737" s="479"/>
      <c r="Y737" s="479"/>
      <c r="Z737" s="479"/>
    </row>
    <row r="738" spans="1:26" ht="35.25" customHeight="1">
      <c r="A738" s="591"/>
      <c r="B738" s="592" t="s">
        <v>2121</v>
      </c>
      <c r="C738" s="593" t="e">
        <f t="shared" ref="C738:H738" si="145">AVERAGE(#REF!,#REF!,#REF!,C880,#REF!)</f>
        <v>#REF!</v>
      </c>
      <c r="D738" s="593" t="e">
        <f t="shared" si="145"/>
        <v>#REF!</v>
      </c>
      <c r="E738" s="593" t="e">
        <f t="shared" si="145"/>
        <v>#REF!</v>
      </c>
      <c r="F738" s="593" t="e">
        <f t="shared" si="145"/>
        <v>#REF!</v>
      </c>
      <c r="G738" s="593" t="e">
        <f t="shared" si="145"/>
        <v>#REF!</v>
      </c>
      <c r="H738" s="593" t="e">
        <f t="shared" si="145"/>
        <v>#REF!</v>
      </c>
      <c r="I738" s="161"/>
      <c r="J738" s="594"/>
      <c r="K738" s="594"/>
      <c r="L738" s="594"/>
      <c r="M738" s="594"/>
      <c r="N738" s="594"/>
      <c r="O738" s="594"/>
      <c r="P738" s="595"/>
      <c r="Q738" s="595"/>
      <c r="R738" s="595"/>
      <c r="S738" s="482"/>
      <c r="T738" s="482"/>
      <c r="U738" s="482"/>
      <c r="V738" s="482"/>
      <c r="W738" s="482"/>
      <c r="X738" s="482"/>
      <c r="Y738" s="482"/>
      <c r="Z738" s="482"/>
    </row>
    <row r="739" spans="1:26" ht="35.25" customHeight="1">
      <c r="A739" s="556"/>
      <c r="B739" s="802" t="s">
        <v>2121</v>
      </c>
      <c r="C739" s="819">
        <f>AVERAGE(C740,C799,C847,C881,C967)</f>
        <v>0.54830385128698533</v>
      </c>
      <c r="D739" s="819">
        <f>AVERAGE(D740,D799,D847,D880,D967)</f>
        <v>0.63683234490648966</v>
      </c>
      <c r="E739" s="819">
        <f>AVERAGE(E740,E799,E847,E880,E967)</f>
        <v>0.3132542974357338</v>
      </c>
      <c r="F739" s="819">
        <f>AVERAGE(F740,F799,F847,F880,F967)</f>
        <v>0.54700967416497714</v>
      </c>
      <c r="G739" s="819">
        <f>AVERAGE(G740,G799,G847,G880,G967)</f>
        <v>0.59995889193748586</v>
      </c>
      <c r="H739" s="819">
        <f>AVERAGE(H740,H799,H847,H880,H967)</f>
        <v>0.51522765129307679</v>
      </c>
      <c r="I739" s="161"/>
      <c r="J739" s="820"/>
      <c r="K739" s="820"/>
      <c r="L739" s="820"/>
      <c r="M739" s="820"/>
      <c r="N739" s="820"/>
      <c r="O739" s="820"/>
      <c r="P739" s="558"/>
      <c r="Q739" s="558"/>
      <c r="R739" s="558"/>
      <c r="S739" s="559"/>
      <c r="T739" s="559"/>
      <c r="U739" s="559"/>
      <c r="V739" s="559"/>
      <c r="W739" s="559"/>
      <c r="X739" s="559"/>
      <c r="Y739" s="559"/>
      <c r="Z739" s="559"/>
    </row>
    <row r="740" spans="1:26" ht="29.25" customHeight="1">
      <c r="A740" s="596" t="s">
        <v>2122</v>
      </c>
      <c r="B740" s="123" t="s">
        <v>648</v>
      </c>
      <c r="C740" s="350">
        <f t="shared" ref="C740:H740" si="146">AVERAGE(C741,C754,C769,C778)</f>
        <v>0.79036952931461602</v>
      </c>
      <c r="D740" s="350">
        <f t="shared" si="146"/>
        <v>0.97499999999999998</v>
      </c>
      <c r="E740" s="350">
        <f t="shared" si="146"/>
        <v>0.33250000000000002</v>
      </c>
      <c r="F740" s="350">
        <f t="shared" si="146"/>
        <v>0.71338081475364712</v>
      </c>
      <c r="G740" s="350">
        <f t="shared" si="146"/>
        <v>0.52916666666666667</v>
      </c>
      <c r="H740" s="350">
        <f t="shared" si="146"/>
        <v>0.53426334984861001</v>
      </c>
      <c r="I740" s="161"/>
      <c r="J740" s="163"/>
      <c r="K740" s="163"/>
      <c r="L740" s="163"/>
      <c r="M740" s="163"/>
      <c r="N740" s="163"/>
      <c r="O740" s="163"/>
      <c r="P740" s="165"/>
      <c r="Q740" s="165"/>
      <c r="R740" s="165"/>
      <c r="S740" s="161"/>
      <c r="T740" s="161"/>
      <c r="U740" s="161"/>
      <c r="V740" s="161"/>
      <c r="W740" s="161"/>
      <c r="X740" s="161"/>
      <c r="Y740" s="161"/>
      <c r="Z740" s="161"/>
    </row>
    <row r="741" spans="1:26" ht="13.5" customHeight="1">
      <c r="A741" s="821" t="s">
        <v>2123</v>
      </c>
      <c r="B741" s="822" t="s">
        <v>3859</v>
      </c>
      <c r="C741" s="498">
        <f t="shared" ref="C741:H741" si="147">AVERAGE(C742,C746,C748,C750,C752)</f>
        <v>0.4</v>
      </c>
      <c r="D741" s="498">
        <f t="shared" si="147"/>
        <v>1</v>
      </c>
      <c r="E741" s="498">
        <f t="shared" si="147"/>
        <v>0.1</v>
      </c>
      <c r="F741" s="498">
        <f t="shared" si="147"/>
        <v>0.8</v>
      </c>
      <c r="G741" s="498">
        <f t="shared" si="147"/>
        <v>0.2</v>
      </c>
      <c r="H741" s="498">
        <f t="shared" si="147"/>
        <v>0</v>
      </c>
      <c r="I741" s="454"/>
      <c r="J741" s="507"/>
      <c r="K741" s="507"/>
      <c r="L741" s="507"/>
      <c r="M741" s="507"/>
      <c r="N741" s="507"/>
      <c r="O741" s="507"/>
      <c r="P741" s="534"/>
      <c r="Q741" s="534"/>
      <c r="R741" s="534"/>
      <c r="S741" s="535"/>
      <c r="T741" s="535"/>
      <c r="U741" s="535"/>
      <c r="V741" s="535"/>
      <c r="W741" s="535"/>
      <c r="X741" s="535"/>
      <c r="Y741" s="535"/>
      <c r="Z741" s="535"/>
    </row>
    <row r="742" spans="1:26" ht="54" customHeight="1">
      <c r="A742" s="533" t="s">
        <v>736</v>
      </c>
      <c r="B742" s="822" t="s">
        <v>3860</v>
      </c>
      <c r="C742" s="506">
        <f t="shared" ref="C742:H742" si="148">AVERAGE(C743:C744)</f>
        <v>1</v>
      </c>
      <c r="D742" s="506">
        <f t="shared" si="148"/>
        <v>1</v>
      </c>
      <c r="E742" s="506">
        <f t="shared" si="148"/>
        <v>0</v>
      </c>
      <c r="F742" s="506">
        <f t="shared" si="148"/>
        <v>0</v>
      </c>
      <c r="G742" s="506">
        <f t="shared" si="148"/>
        <v>0</v>
      </c>
      <c r="H742" s="506">
        <f t="shared" si="148"/>
        <v>0</v>
      </c>
      <c r="I742" s="454"/>
      <c r="J742" s="823"/>
      <c r="K742" s="1009"/>
      <c r="L742" s="1009"/>
      <c r="M742" s="823"/>
      <c r="N742" s="1009"/>
      <c r="O742" s="1009"/>
      <c r="P742" s="534"/>
      <c r="Q742" s="534"/>
      <c r="R742" s="534"/>
      <c r="S742" s="535"/>
      <c r="T742" s="535"/>
      <c r="U742" s="535"/>
      <c r="V742" s="535"/>
      <c r="W742" s="535"/>
      <c r="X742" s="535"/>
      <c r="Y742" s="535"/>
      <c r="Z742" s="535"/>
    </row>
    <row r="743" spans="1:26" ht="13.5" customHeight="1">
      <c r="A743" s="533"/>
      <c r="B743" s="993" t="s">
        <v>652</v>
      </c>
      <c r="C743" s="506">
        <v>1</v>
      </c>
      <c r="D743" s="506">
        <v>1</v>
      </c>
      <c r="E743" s="506">
        <v>0</v>
      </c>
      <c r="F743" s="506">
        <v>0</v>
      </c>
      <c r="G743" s="506">
        <v>0</v>
      </c>
      <c r="H743" s="506">
        <v>0</v>
      </c>
      <c r="I743" s="454"/>
      <c r="J743" s="507" t="s">
        <v>811</v>
      </c>
      <c r="K743" s="507" t="s">
        <v>811</v>
      </c>
      <c r="L743" s="555" t="s">
        <v>748</v>
      </c>
      <c r="M743" s="507" t="s">
        <v>811</v>
      </c>
      <c r="N743" s="507" t="s">
        <v>748</v>
      </c>
      <c r="O743" s="507" t="s">
        <v>748</v>
      </c>
      <c r="P743" s="534"/>
      <c r="Q743" s="534"/>
      <c r="R743" s="534"/>
      <c r="S743" s="535"/>
      <c r="T743" s="535"/>
      <c r="U743" s="535"/>
      <c r="V743" s="535"/>
      <c r="W743" s="535"/>
      <c r="X743" s="535"/>
      <c r="Y743" s="535"/>
      <c r="Z743" s="535"/>
    </row>
    <row r="744" spans="1:26" ht="130.5" customHeight="1">
      <c r="A744" s="533" t="s">
        <v>736</v>
      </c>
      <c r="B744" s="993" t="s">
        <v>653</v>
      </c>
      <c r="C744" s="506">
        <v>1</v>
      </c>
      <c r="D744" s="506">
        <v>1</v>
      </c>
      <c r="E744" s="506">
        <v>0</v>
      </c>
      <c r="F744" s="506" t="s">
        <v>877</v>
      </c>
      <c r="G744" s="506" t="s">
        <v>877</v>
      </c>
      <c r="H744" s="506" t="s">
        <v>877</v>
      </c>
      <c r="I744" s="454"/>
      <c r="J744" s="507" t="s">
        <v>811</v>
      </c>
      <c r="K744" s="507" t="s">
        <v>811</v>
      </c>
      <c r="L744" s="555" t="s">
        <v>748</v>
      </c>
      <c r="M744" s="625" t="s">
        <v>811</v>
      </c>
      <c r="N744" s="507" t="s">
        <v>877</v>
      </c>
      <c r="O744" s="507" t="s">
        <v>877</v>
      </c>
      <c r="P744" s="534"/>
      <c r="Q744" s="534"/>
      <c r="R744" s="534"/>
      <c r="S744" s="535"/>
      <c r="T744" s="535"/>
      <c r="U744" s="535"/>
      <c r="V744" s="535"/>
      <c r="W744" s="535"/>
      <c r="X744" s="535"/>
      <c r="Y744" s="535"/>
      <c r="Z744" s="535"/>
    </row>
    <row r="745" spans="1:26" ht="13.5" customHeight="1">
      <c r="A745" s="143"/>
      <c r="B745" s="144"/>
      <c r="C745" s="87"/>
      <c r="D745" s="87"/>
      <c r="E745" s="609"/>
      <c r="F745" s="610"/>
      <c r="G745" s="87"/>
      <c r="H745" s="75"/>
      <c r="I745" s="454"/>
      <c r="J745" s="75"/>
      <c r="K745" s="75"/>
      <c r="L745" s="75"/>
      <c r="M745" s="75"/>
      <c r="N745" s="75"/>
      <c r="O745" s="75"/>
      <c r="P745" s="146"/>
      <c r="Q745" s="146"/>
      <c r="R745" s="146"/>
      <c r="S745" s="149"/>
      <c r="T745" s="149"/>
      <c r="U745" s="149"/>
      <c r="V745" s="149"/>
      <c r="W745" s="149"/>
      <c r="X745" s="149"/>
      <c r="Y745" s="149"/>
      <c r="Z745" s="149"/>
    </row>
    <row r="746" spans="1:26" ht="60.75" customHeight="1">
      <c r="A746" s="533" t="s">
        <v>736</v>
      </c>
      <c r="B746" s="517" t="s">
        <v>654</v>
      </c>
      <c r="C746" s="506">
        <v>1</v>
      </c>
      <c r="D746" s="506">
        <v>1</v>
      </c>
      <c r="E746" s="991">
        <v>0</v>
      </c>
      <c r="F746" s="991">
        <v>1</v>
      </c>
      <c r="G746" s="991">
        <v>0.5</v>
      </c>
      <c r="H746" s="991">
        <v>0</v>
      </c>
      <c r="I746" s="454"/>
      <c r="J746" s="507" t="s">
        <v>3861</v>
      </c>
      <c r="K746" s="507" t="s">
        <v>811</v>
      </c>
      <c r="L746" s="625" t="s">
        <v>3862</v>
      </c>
      <c r="M746" s="824" t="s">
        <v>3867</v>
      </c>
      <c r="N746" s="507" t="s">
        <v>3864</v>
      </c>
      <c r="O746" s="507" t="s">
        <v>811</v>
      </c>
      <c r="P746" s="534"/>
      <c r="Q746" s="534"/>
      <c r="R746" s="534"/>
      <c r="S746" s="535"/>
      <c r="T746" s="535"/>
      <c r="U746" s="535"/>
      <c r="V746" s="535"/>
      <c r="W746" s="535"/>
      <c r="X746" s="535"/>
      <c r="Y746" s="535"/>
      <c r="Z746" s="535"/>
    </row>
    <row r="747" spans="1:26" ht="36" customHeight="1">
      <c r="A747" s="143"/>
      <c r="B747" s="144"/>
      <c r="C747" s="75"/>
      <c r="D747" s="87"/>
      <c r="E747" s="609"/>
      <c r="F747" s="610"/>
      <c r="G747" s="87"/>
      <c r="H747" s="75"/>
      <c r="I747" s="454"/>
      <c r="J747" s="75"/>
      <c r="K747" s="507" t="s">
        <v>3865</v>
      </c>
      <c r="L747" s="507" t="s">
        <v>3866</v>
      </c>
      <c r="M747" s="824" t="s">
        <v>3867</v>
      </c>
      <c r="N747" s="75"/>
      <c r="O747" s="75"/>
      <c r="P747" s="146"/>
      <c r="Q747" s="146"/>
      <c r="R747" s="146"/>
      <c r="S747" s="149"/>
      <c r="T747" s="149"/>
      <c r="U747" s="149"/>
      <c r="V747" s="149"/>
      <c r="W747" s="149"/>
      <c r="X747" s="149"/>
      <c r="Y747" s="149"/>
      <c r="Z747" s="149"/>
    </row>
    <row r="748" spans="1:26" ht="62.25" customHeight="1">
      <c r="A748" s="533" t="s">
        <v>736</v>
      </c>
      <c r="B748" s="517" t="s">
        <v>2131</v>
      </c>
      <c r="C748" s="506">
        <v>0</v>
      </c>
      <c r="D748" s="506">
        <v>1</v>
      </c>
      <c r="E748" s="506">
        <v>0</v>
      </c>
      <c r="F748" s="991">
        <v>1</v>
      </c>
      <c r="G748" s="506">
        <v>0</v>
      </c>
      <c r="H748" s="506">
        <v>0</v>
      </c>
      <c r="I748" s="454"/>
      <c r="J748" s="507" t="s">
        <v>748</v>
      </c>
      <c r="K748" s="507" t="s">
        <v>811</v>
      </c>
      <c r="L748" s="555" t="s">
        <v>748</v>
      </c>
      <c r="M748" s="825" t="s">
        <v>3868</v>
      </c>
      <c r="N748" s="555" t="s">
        <v>748</v>
      </c>
      <c r="O748" s="507" t="s">
        <v>3869</v>
      </c>
      <c r="P748" s="534"/>
      <c r="Q748" s="534"/>
      <c r="R748" s="534"/>
      <c r="S748" s="535"/>
      <c r="T748" s="535"/>
      <c r="U748" s="535"/>
      <c r="V748" s="535"/>
      <c r="W748" s="535"/>
      <c r="X748" s="535"/>
      <c r="Y748" s="535"/>
      <c r="Z748" s="535"/>
    </row>
    <row r="749" spans="1:26" ht="14.25" customHeight="1">
      <c r="A749" s="143"/>
      <c r="B749" s="144"/>
      <c r="C749" s="87"/>
      <c r="D749" s="87"/>
      <c r="E749" s="87"/>
      <c r="F749" s="87"/>
      <c r="G749" s="87"/>
      <c r="H749" s="87"/>
      <c r="I749" s="454"/>
      <c r="J749" s="75"/>
      <c r="K749" s="75"/>
      <c r="L749" s="609"/>
      <c r="M749" s="610"/>
      <c r="N749" s="609"/>
      <c r="O749" s="75"/>
      <c r="P749" s="146"/>
      <c r="Q749" s="146"/>
      <c r="R749" s="146"/>
      <c r="S749" s="149"/>
      <c r="T749" s="149"/>
      <c r="U749" s="149"/>
      <c r="V749" s="149"/>
      <c r="W749" s="149"/>
      <c r="X749" s="149"/>
      <c r="Y749" s="149"/>
      <c r="Z749" s="149"/>
    </row>
    <row r="750" spans="1:26" ht="160.5" customHeight="1">
      <c r="A750" s="533" t="s">
        <v>736</v>
      </c>
      <c r="B750" s="517" t="s">
        <v>656</v>
      </c>
      <c r="C750" s="991">
        <v>0</v>
      </c>
      <c r="D750" s="506">
        <v>1</v>
      </c>
      <c r="E750" s="506">
        <v>0</v>
      </c>
      <c r="F750" s="506">
        <v>1</v>
      </c>
      <c r="G750" s="991">
        <v>0.5</v>
      </c>
      <c r="H750" s="506">
        <v>0</v>
      </c>
      <c r="I750" s="454"/>
      <c r="J750" s="507" t="s">
        <v>748</v>
      </c>
      <c r="K750" s="507" t="s">
        <v>811</v>
      </c>
      <c r="L750" s="555" t="s">
        <v>748</v>
      </c>
      <c r="M750" s="507" t="s">
        <v>811</v>
      </c>
      <c r="N750" s="507" t="s">
        <v>5024</v>
      </c>
      <c r="O750" s="625" t="s">
        <v>748</v>
      </c>
      <c r="P750" s="534"/>
      <c r="Q750" s="534"/>
      <c r="R750" s="534"/>
      <c r="S750" s="535"/>
      <c r="T750" s="535"/>
      <c r="U750" s="535"/>
      <c r="V750" s="535"/>
      <c r="W750" s="535"/>
      <c r="X750" s="535"/>
      <c r="Y750" s="535"/>
      <c r="Z750" s="535"/>
    </row>
    <row r="751" spans="1:26" ht="27" customHeight="1">
      <c r="A751" s="143"/>
      <c r="B751" s="144"/>
      <c r="C751" s="87"/>
      <c r="D751" s="87"/>
      <c r="E751" s="609"/>
      <c r="F751" s="610"/>
      <c r="G751" s="354"/>
      <c r="H751" s="75"/>
      <c r="I751" s="454"/>
      <c r="J751" s="75"/>
      <c r="K751" s="75"/>
      <c r="L751" s="609"/>
      <c r="M751" s="75"/>
      <c r="N751" s="75"/>
      <c r="O751" s="521"/>
      <c r="P751" s="146"/>
      <c r="Q751" s="146"/>
      <c r="R751" s="146"/>
      <c r="S751" s="149"/>
      <c r="T751" s="149"/>
      <c r="U751" s="149"/>
      <c r="V751" s="149"/>
      <c r="W751" s="149"/>
      <c r="X751" s="149"/>
      <c r="Y751" s="149"/>
      <c r="Z751" s="149"/>
    </row>
    <row r="752" spans="1:26" ht="154.5" customHeight="1">
      <c r="A752" s="533" t="s">
        <v>736</v>
      </c>
      <c r="B752" s="517" t="s">
        <v>657</v>
      </c>
      <c r="C752" s="506">
        <v>0</v>
      </c>
      <c r="D752" s="506">
        <v>1</v>
      </c>
      <c r="E752" s="506">
        <v>0.5</v>
      </c>
      <c r="F752" s="506">
        <v>1</v>
      </c>
      <c r="G752" s="506">
        <v>0</v>
      </c>
      <c r="H752" s="991">
        <v>0</v>
      </c>
      <c r="I752" s="454"/>
      <c r="J752" s="507" t="s">
        <v>3874</v>
      </c>
      <c r="K752" s="507" t="s">
        <v>5025</v>
      </c>
      <c r="L752" s="507" t="s">
        <v>5026</v>
      </c>
      <c r="M752" s="507" t="s">
        <v>3876</v>
      </c>
      <c r="N752" s="555" t="s">
        <v>748</v>
      </c>
      <c r="O752" s="507" t="s">
        <v>943</v>
      </c>
      <c r="P752" s="534"/>
      <c r="Q752" s="534"/>
      <c r="R752" s="534"/>
      <c r="S752" s="535"/>
      <c r="T752" s="535"/>
      <c r="U752" s="535"/>
      <c r="V752" s="535"/>
      <c r="W752" s="535"/>
      <c r="X752" s="535"/>
      <c r="Y752" s="535"/>
      <c r="Z752" s="535"/>
    </row>
    <row r="753" spans="1:26" ht="29.25" customHeight="1">
      <c r="A753" s="143"/>
      <c r="B753" s="931"/>
      <c r="C753" s="87"/>
      <c r="D753" s="87"/>
      <c r="E753" s="609"/>
      <c r="F753" s="610"/>
      <c r="G753" s="87"/>
      <c r="H753" s="75"/>
      <c r="I753" s="454"/>
      <c r="J753" s="75"/>
      <c r="K753" s="75"/>
      <c r="L753" s="75"/>
      <c r="M753" s="75"/>
      <c r="N753" s="609"/>
      <c r="O753" s="75"/>
      <c r="P753" s="146"/>
      <c r="Q753" s="146"/>
      <c r="R753" s="146"/>
      <c r="S753" s="149"/>
      <c r="T753" s="149"/>
      <c r="U753" s="149"/>
      <c r="V753" s="149"/>
      <c r="W753" s="149"/>
      <c r="X753" s="149"/>
      <c r="Y753" s="149"/>
      <c r="Z753" s="149"/>
    </row>
    <row r="754" spans="1:26" ht="27.75" customHeight="1">
      <c r="A754" s="816" t="s">
        <v>2143</v>
      </c>
      <c r="B754" s="822" t="s">
        <v>658</v>
      </c>
      <c r="C754" s="498">
        <f t="shared" ref="C754:H754" si="149">AVERAGE(C755,C757,C759,C761,C765,C767)</f>
        <v>1</v>
      </c>
      <c r="D754" s="498">
        <f t="shared" si="149"/>
        <v>1</v>
      </c>
      <c r="E754" s="498">
        <f t="shared" si="149"/>
        <v>0.75</v>
      </c>
      <c r="F754" s="498">
        <f t="shared" si="149"/>
        <v>0.33333333333333331</v>
      </c>
      <c r="G754" s="498">
        <f t="shared" si="149"/>
        <v>0.66666666666666663</v>
      </c>
      <c r="H754" s="498">
        <f t="shared" si="149"/>
        <v>0.83333333333333337</v>
      </c>
      <c r="I754" s="454"/>
      <c r="J754" s="507"/>
      <c r="K754" s="507"/>
      <c r="L754" s="507"/>
      <c r="M754" s="507"/>
      <c r="N754" s="507"/>
      <c r="O754" s="507"/>
      <c r="P754" s="534"/>
      <c r="Q754" s="534"/>
      <c r="R754" s="534"/>
      <c r="S754" s="535"/>
      <c r="T754" s="535"/>
      <c r="U754" s="535"/>
      <c r="V754" s="535"/>
      <c r="W754" s="535"/>
      <c r="X754" s="535"/>
      <c r="Y754" s="535"/>
      <c r="Z754" s="535"/>
    </row>
    <row r="755" spans="1:26" ht="91.5" customHeight="1">
      <c r="A755" s="533" t="s">
        <v>736</v>
      </c>
      <c r="B755" s="517" t="s">
        <v>5027</v>
      </c>
      <c r="C755" s="506">
        <v>1</v>
      </c>
      <c r="D755" s="506">
        <v>1</v>
      </c>
      <c r="E755" s="506">
        <v>0.5</v>
      </c>
      <c r="F755" s="506">
        <v>0</v>
      </c>
      <c r="G755" s="506">
        <v>1</v>
      </c>
      <c r="H755" s="506">
        <v>1</v>
      </c>
      <c r="I755" s="454" t="s">
        <v>38</v>
      </c>
      <c r="J755" s="507" t="s">
        <v>3883</v>
      </c>
      <c r="K755" s="507" t="s">
        <v>3884</v>
      </c>
      <c r="L755" s="507" t="s">
        <v>3880</v>
      </c>
      <c r="M755" s="551" t="s">
        <v>748</v>
      </c>
      <c r="N755" s="507" t="s">
        <v>2146</v>
      </c>
      <c r="O755" s="507" t="s">
        <v>3885</v>
      </c>
      <c r="P755" s="534"/>
      <c r="Q755" s="534"/>
      <c r="R755" s="534"/>
      <c r="S755" s="535"/>
      <c r="T755" s="535"/>
      <c r="U755" s="535"/>
      <c r="V755" s="535"/>
      <c r="W755" s="535"/>
      <c r="X755" s="535"/>
      <c r="Y755" s="535"/>
      <c r="Z755" s="535"/>
    </row>
    <row r="756" spans="1:26" ht="22.5" customHeight="1">
      <c r="A756" s="143"/>
      <c r="B756" s="931"/>
      <c r="C756" s="87"/>
      <c r="D756" s="87"/>
      <c r="E756" s="826"/>
      <c r="F756" s="610"/>
      <c r="G756" s="87"/>
      <c r="H756" s="75"/>
      <c r="I756" s="454"/>
      <c r="J756" s="507" t="s">
        <v>3883</v>
      </c>
      <c r="K756" s="507" t="s">
        <v>3884</v>
      </c>
      <c r="L756" s="507" t="s">
        <v>3880</v>
      </c>
      <c r="M756" s="551" t="s">
        <v>2425</v>
      </c>
      <c r="N756" s="507" t="s">
        <v>2146</v>
      </c>
      <c r="O756" s="507" t="s">
        <v>3885</v>
      </c>
      <c r="P756" s="146"/>
      <c r="Q756" s="146"/>
      <c r="R756" s="146"/>
      <c r="S756" s="149"/>
      <c r="T756" s="149"/>
      <c r="U756" s="149"/>
      <c r="V756" s="149"/>
      <c r="W756" s="149"/>
      <c r="X756" s="149"/>
      <c r="Y756" s="149"/>
      <c r="Z756" s="149"/>
    </row>
    <row r="757" spans="1:26" ht="70.5" customHeight="1">
      <c r="A757" s="533" t="s">
        <v>736</v>
      </c>
      <c r="B757" s="517" t="s">
        <v>5028</v>
      </c>
      <c r="C757" s="506">
        <v>1</v>
      </c>
      <c r="D757" s="506">
        <v>1</v>
      </c>
      <c r="E757" s="506">
        <v>1</v>
      </c>
      <c r="F757" s="506">
        <v>0</v>
      </c>
      <c r="G757" s="506">
        <v>1</v>
      </c>
      <c r="H757" s="506">
        <v>0.5</v>
      </c>
      <c r="I757" s="454" t="s">
        <v>38</v>
      </c>
      <c r="J757" s="507" t="s">
        <v>3887</v>
      </c>
      <c r="K757" s="507" t="s">
        <v>3888</v>
      </c>
      <c r="L757" s="507" t="s">
        <v>3889</v>
      </c>
      <c r="M757" s="551" t="s">
        <v>748</v>
      </c>
      <c r="N757" s="507" t="s">
        <v>3891</v>
      </c>
      <c r="O757" s="507" t="s">
        <v>5029</v>
      </c>
      <c r="P757" s="534"/>
      <c r="Q757" s="534"/>
      <c r="R757" s="534"/>
      <c r="S757" s="535"/>
      <c r="T757" s="535"/>
      <c r="U757" s="535"/>
      <c r="V757" s="535"/>
      <c r="W757" s="535"/>
      <c r="X757" s="535"/>
      <c r="Y757" s="535"/>
      <c r="Z757" s="535"/>
    </row>
    <row r="758" spans="1:26" ht="13.5" customHeight="1">
      <c r="A758" s="143"/>
      <c r="B758" s="144"/>
      <c r="C758" s="87"/>
      <c r="D758" s="87"/>
      <c r="E758" s="609"/>
      <c r="F758" s="827"/>
      <c r="G758" s="87"/>
      <c r="H758" s="75"/>
      <c r="I758" s="454"/>
      <c r="J758" s="75"/>
      <c r="K758" s="75"/>
      <c r="L758" s="75"/>
      <c r="M758" s="198"/>
      <c r="N758" s="75"/>
      <c r="O758" s="75"/>
      <c r="P758" s="146"/>
      <c r="Q758" s="146"/>
      <c r="R758" s="146"/>
      <c r="S758" s="149"/>
      <c r="T758" s="149"/>
      <c r="U758" s="149"/>
      <c r="V758" s="149"/>
      <c r="W758" s="149"/>
      <c r="X758" s="149"/>
      <c r="Y758" s="149"/>
      <c r="Z758" s="149"/>
    </row>
    <row r="759" spans="1:26" ht="70.5" customHeight="1">
      <c r="A759" s="533" t="s">
        <v>736</v>
      </c>
      <c r="B759" s="517" t="s">
        <v>662</v>
      </c>
      <c r="C759" s="506">
        <v>1</v>
      </c>
      <c r="D759" s="506">
        <v>1</v>
      </c>
      <c r="E759" s="506">
        <v>1</v>
      </c>
      <c r="F759" s="506">
        <v>1</v>
      </c>
      <c r="G759" s="506">
        <v>1</v>
      </c>
      <c r="H759" s="506">
        <v>1</v>
      </c>
      <c r="I759" s="454" t="s">
        <v>38</v>
      </c>
      <c r="J759" s="507" t="s">
        <v>3893</v>
      </c>
      <c r="K759" s="507" t="s">
        <v>3896</v>
      </c>
      <c r="L759" s="507" t="s">
        <v>3894</v>
      </c>
      <c r="M759" s="507" t="s">
        <v>3897</v>
      </c>
      <c r="N759" s="507" t="s">
        <v>2154</v>
      </c>
      <c r="O759" s="507" t="s">
        <v>811</v>
      </c>
      <c r="P759" s="534"/>
      <c r="Q759" s="534"/>
      <c r="R759" s="534"/>
      <c r="S759" s="535"/>
      <c r="T759" s="535"/>
      <c r="U759" s="535"/>
      <c r="V759" s="535"/>
      <c r="W759" s="535"/>
      <c r="X759" s="535"/>
      <c r="Y759" s="535"/>
      <c r="Z759" s="535"/>
    </row>
    <row r="760" spans="1:26" ht="30" customHeight="1">
      <c r="A760" s="143"/>
      <c r="B760" s="931"/>
      <c r="C760" s="87"/>
      <c r="D760" s="87"/>
      <c r="E760" s="609"/>
      <c r="F760" s="610"/>
      <c r="G760" s="87"/>
      <c r="H760" s="75"/>
      <c r="I760" s="454"/>
      <c r="J760" s="507" t="s">
        <v>3893</v>
      </c>
      <c r="K760" s="507" t="s">
        <v>3896</v>
      </c>
      <c r="L760" s="507" t="s">
        <v>3894</v>
      </c>
      <c r="M760" s="507" t="s">
        <v>3897</v>
      </c>
      <c r="N760" s="507" t="s">
        <v>2154</v>
      </c>
      <c r="O760" s="75"/>
      <c r="P760" s="146"/>
      <c r="Q760" s="146"/>
      <c r="R760" s="146"/>
      <c r="S760" s="149"/>
      <c r="T760" s="149"/>
      <c r="U760" s="149"/>
      <c r="V760" s="149"/>
      <c r="W760" s="149"/>
      <c r="X760" s="149"/>
      <c r="Y760" s="149"/>
      <c r="Z760" s="149"/>
    </row>
    <row r="761" spans="1:26" ht="27.75" customHeight="1">
      <c r="A761" s="533" t="s">
        <v>736</v>
      </c>
      <c r="B761" s="517" t="s">
        <v>663</v>
      </c>
      <c r="C761" s="1010">
        <f t="shared" ref="C761:H761" si="150">AVERAGE(C762:C763)</f>
        <v>1</v>
      </c>
      <c r="D761" s="1010">
        <f t="shared" si="150"/>
        <v>1</v>
      </c>
      <c r="E761" s="1010">
        <f t="shared" si="150"/>
        <v>1</v>
      </c>
      <c r="F761" s="1010">
        <f t="shared" si="150"/>
        <v>1</v>
      </c>
      <c r="G761" s="1010">
        <f t="shared" si="150"/>
        <v>1</v>
      </c>
      <c r="H761" s="1010">
        <f t="shared" si="150"/>
        <v>1</v>
      </c>
      <c r="I761" s="454"/>
      <c r="J761" s="507"/>
      <c r="K761" s="507"/>
      <c r="L761" s="507"/>
      <c r="M761" s="507"/>
      <c r="N761" s="507"/>
      <c r="O761" s="507"/>
      <c r="P761" s="534"/>
      <c r="Q761" s="534"/>
      <c r="R761" s="534"/>
      <c r="S761" s="535"/>
      <c r="T761" s="535"/>
      <c r="U761" s="535"/>
      <c r="V761" s="535"/>
      <c r="W761" s="535"/>
      <c r="X761" s="535"/>
      <c r="Y761" s="535"/>
      <c r="Z761" s="535"/>
    </row>
    <row r="762" spans="1:26" ht="50.25" customHeight="1">
      <c r="A762" s="533"/>
      <c r="B762" s="993" t="s">
        <v>664</v>
      </c>
      <c r="C762" s="506">
        <v>1</v>
      </c>
      <c r="D762" s="506">
        <v>1</v>
      </c>
      <c r="E762" s="506">
        <v>1</v>
      </c>
      <c r="F762" s="506">
        <v>1</v>
      </c>
      <c r="G762" s="506">
        <v>1</v>
      </c>
      <c r="H762" s="506">
        <v>1</v>
      </c>
      <c r="I762" s="454" t="s">
        <v>38</v>
      </c>
      <c r="J762" s="507" t="s">
        <v>3898</v>
      </c>
      <c r="K762" s="507" t="s">
        <v>811</v>
      </c>
      <c r="L762" s="507" t="s">
        <v>3899</v>
      </c>
      <c r="M762" s="507" t="s">
        <v>5030</v>
      </c>
      <c r="N762" s="507" t="s">
        <v>2157</v>
      </c>
      <c r="O762" s="507" t="s">
        <v>3900</v>
      </c>
      <c r="P762" s="534"/>
      <c r="Q762" s="534"/>
      <c r="R762" s="534"/>
      <c r="S762" s="535"/>
      <c r="T762" s="535"/>
      <c r="U762" s="535"/>
      <c r="V762" s="535"/>
      <c r="W762" s="535"/>
      <c r="X762" s="535"/>
      <c r="Y762" s="535"/>
      <c r="Z762" s="535"/>
    </row>
    <row r="763" spans="1:26" ht="46.5" customHeight="1">
      <c r="A763" s="533"/>
      <c r="B763" s="993" t="s">
        <v>665</v>
      </c>
      <c r="C763" s="506">
        <v>1</v>
      </c>
      <c r="D763" s="506">
        <v>1</v>
      </c>
      <c r="E763" s="506">
        <v>1</v>
      </c>
      <c r="F763" s="506">
        <v>1</v>
      </c>
      <c r="G763" s="506">
        <v>1</v>
      </c>
      <c r="H763" s="506">
        <v>1</v>
      </c>
      <c r="I763" s="454" t="s">
        <v>38</v>
      </c>
      <c r="J763" s="507" t="s">
        <v>3893</v>
      </c>
      <c r="K763" s="507" t="s">
        <v>811</v>
      </c>
      <c r="L763" s="507" t="s">
        <v>3901</v>
      </c>
      <c r="M763" s="507" t="s">
        <v>5031</v>
      </c>
      <c r="N763" s="507" t="s">
        <v>2159</v>
      </c>
      <c r="O763" s="507" t="s">
        <v>811</v>
      </c>
      <c r="P763" s="534"/>
      <c r="Q763" s="534"/>
      <c r="R763" s="534"/>
      <c r="S763" s="535"/>
      <c r="T763" s="535"/>
      <c r="U763" s="535"/>
      <c r="V763" s="535"/>
      <c r="W763" s="535"/>
      <c r="X763" s="535"/>
      <c r="Y763" s="535"/>
      <c r="Z763" s="535"/>
    </row>
    <row r="764" spans="1:26" ht="20.25" customHeight="1">
      <c r="A764" s="143"/>
      <c r="B764" s="930"/>
      <c r="C764" s="87"/>
      <c r="D764" s="87"/>
      <c r="E764" s="609"/>
      <c r="F764" s="610"/>
      <c r="G764" s="87"/>
      <c r="H764" s="75"/>
      <c r="I764" s="454"/>
      <c r="J764" s="75"/>
      <c r="K764" s="75"/>
      <c r="L764" s="75"/>
      <c r="M764" s="75"/>
      <c r="N764" s="75"/>
      <c r="O764" s="75"/>
      <c r="P764" s="146"/>
      <c r="Q764" s="146"/>
      <c r="R764" s="146"/>
      <c r="S764" s="149"/>
      <c r="T764" s="149"/>
      <c r="U764" s="149"/>
      <c r="V764" s="149"/>
      <c r="W764" s="149"/>
      <c r="X764" s="149"/>
      <c r="Y764" s="149"/>
      <c r="Z764" s="149"/>
    </row>
    <row r="765" spans="1:26" ht="57.75" customHeight="1">
      <c r="A765" s="533"/>
      <c r="B765" s="517" t="s">
        <v>666</v>
      </c>
      <c r="C765" s="506">
        <v>1</v>
      </c>
      <c r="D765" s="506">
        <v>1</v>
      </c>
      <c r="E765" s="506">
        <v>0.5</v>
      </c>
      <c r="F765" s="506">
        <v>0</v>
      </c>
      <c r="G765" s="506">
        <v>0</v>
      </c>
      <c r="H765" s="991">
        <v>0.5</v>
      </c>
      <c r="I765" s="454"/>
      <c r="J765" s="507" t="s">
        <v>5032</v>
      </c>
      <c r="K765" s="507" t="s">
        <v>5033</v>
      </c>
      <c r="L765" s="507" t="s">
        <v>5034</v>
      </c>
      <c r="M765" s="507" t="s">
        <v>5035</v>
      </c>
      <c r="N765" s="507" t="s">
        <v>5036</v>
      </c>
      <c r="O765" s="507" t="s">
        <v>3906</v>
      </c>
      <c r="P765" s="534"/>
      <c r="Q765" s="534"/>
      <c r="R765" s="534"/>
      <c r="S765" s="535"/>
      <c r="T765" s="535"/>
      <c r="U765" s="535"/>
      <c r="V765" s="535"/>
      <c r="W765" s="535"/>
      <c r="X765" s="535"/>
      <c r="Y765" s="535"/>
      <c r="Z765" s="535"/>
    </row>
    <row r="766" spans="1:26" ht="22.5" customHeight="1">
      <c r="A766" s="143"/>
      <c r="B766" s="144"/>
      <c r="C766" s="87"/>
      <c r="D766" s="87"/>
      <c r="E766" s="87"/>
      <c r="F766" s="87"/>
      <c r="G766" s="87"/>
      <c r="H766" s="578"/>
      <c r="I766" s="454"/>
      <c r="J766" s="75"/>
      <c r="K766" s="75"/>
      <c r="L766" s="75"/>
      <c r="M766" s="75"/>
      <c r="N766" s="75"/>
      <c r="O766" s="75"/>
      <c r="P766" s="146"/>
      <c r="Q766" s="146"/>
      <c r="R766" s="146"/>
      <c r="S766" s="149"/>
      <c r="T766" s="149"/>
      <c r="U766" s="149"/>
      <c r="V766" s="149"/>
      <c r="W766" s="149"/>
      <c r="X766" s="149"/>
      <c r="Y766" s="149"/>
      <c r="Z766" s="149"/>
    </row>
    <row r="767" spans="1:26" ht="48.75" customHeight="1">
      <c r="A767" s="533" t="s">
        <v>736</v>
      </c>
      <c r="B767" s="517" t="s">
        <v>3907</v>
      </c>
      <c r="C767" s="506">
        <v>1</v>
      </c>
      <c r="D767" s="506">
        <v>1</v>
      </c>
      <c r="E767" s="506">
        <v>0.5</v>
      </c>
      <c r="F767" s="991">
        <v>0</v>
      </c>
      <c r="G767" s="506">
        <v>0</v>
      </c>
      <c r="H767" s="991">
        <v>1</v>
      </c>
      <c r="I767" s="454"/>
      <c r="J767" s="507" t="s">
        <v>811</v>
      </c>
      <c r="K767" s="507" t="s">
        <v>811</v>
      </c>
      <c r="L767" s="555" t="s">
        <v>3908</v>
      </c>
      <c r="M767" s="555" t="s">
        <v>748</v>
      </c>
      <c r="N767" s="555" t="s">
        <v>748</v>
      </c>
      <c r="O767" s="507" t="s">
        <v>3910</v>
      </c>
      <c r="P767" s="534"/>
      <c r="Q767" s="534"/>
      <c r="R767" s="534"/>
      <c r="S767" s="535"/>
      <c r="T767" s="535"/>
      <c r="U767" s="535"/>
      <c r="V767" s="535"/>
      <c r="W767" s="535"/>
      <c r="X767" s="535"/>
      <c r="Y767" s="535"/>
      <c r="Z767" s="535"/>
    </row>
    <row r="768" spans="1:26" ht="13.5" customHeight="1">
      <c r="A768" s="143"/>
      <c r="B768" s="931"/>
      <c r="C768" s="87"/>
      <c r="D768" s="87"/>
      <c r="E768" s="609"/>
      <c r="F768" s="610"/>
      <c r="G768" s="87"/>
      <c r="H768" s="75"/>
      <c r="I768" s="454"/>
      <c r="J768" s="75"/>
      <c r="K768" s="75"/>
      <c r="L768" s="609"/>
      <c r="M768" s="75"/>
      <c r="N768" s="609"/>
      <c r="O768" s="75"/>
      <c r="P768" s="146"/>
      <c r="Q768" s="146"/>
      <c r="R768" s="146"/>
      <c r="S768" s="149"/>
      <c r="T768" s="149"/>
      <c r="U768" s="149"/>
      <c r="V768" s="149"/>
      <c r="W768" s="149"/>
      <c r="X768" s="149"/>
      <c r="Y768" s="149"/>
      <c r="Z768" s="149"/>
    </row>
    <row r="769" spans="1:26" ht="13.5" customHeight="1">
      <c r="A769" s="816" t="s">
        <v>2168</v>
      </c>
      <c r="B769" s="517" t="s">
        <v>669</v>
      </c>
      <c r="C769" s="498">
        <f>AVERAGE(C770,C772,C774,C776)</f>
        <v>0.86147811725846413</v>
      </c>
      <c r="D769" s="498">
        <f>AVERAGE(D770,D772,D774,D776)</f>
        <v>1</v>
      </c>
      <c r="E769" s="498">
        <f>AVERAGE(E770,E772,E774,E776)</f>
        <v>0</v>
      </c>
      <c r="F769" s="498">
        <f>AVERAGE(F770,F772,F774,F776)</f>
        <v>0.82018992568125515</v>
      </c>
      <c r="G769" s="498">
        <f>AVERAGE(G770,G772,G774,0)</f>
        <v>0.5</v>
      </c>
      <c r="H769" s="498">
        <f>AVERAGE(H770,H772,H774,H776)</f>
        <v>0.67372006606110657</v>
      </c>
      <c r="I769" s="454"/>
      <c r="J769" s="507"/>
      <c r="K769" s="507"/>
      <c r="L769" s="507"/>
      <c r="M769" s="507"/>
      <c r="N769" s="507"/>
      <c r="O769" s="507"/>
      <c r="P769" s="534"/>
      <c r="Q769" s="534"/>
      <c r="R769" s="534"/>
      <c r="S769" s="535"/>
      <c r="T769" s="535"/>
      <c r="U769" s="535"/>
      <c r="V769" s="535"/>
      <c r="W769" s="535"/>
      <c r="X769" s="535"/>
      <c r="Y769" s="535"/>
      <c r="Z769" s="535"/>
    </row>
    <row r="770" spans="1:26" ht="94.5" customHeight="1">
      <c r="A770" s="533" t="s">
        <v>736</v>
      </c>
      <c r="B770" s="517" t="s">
        <v>670</v>
      </c>
      <c r="C770" s="506">
        <v>1</v>
      </c>
      <c r="D770" s="506">
        <v>1</v>
      </c>
      <c r="E770" s="506">
        <v>0</v>
      </c>
      <c r="F770" s="506">
        <v>1</v>
      </c>
      <c r="G770" s="506">
        <v>1</v>
      </c>
      <c r="H770" s="506">
        <v>0.5</v>
      </c>
      <c r="I770" s="454" t="s">
        <v>38</v>
      </c>
      <c r="J770" s="769" t="s">
        <v>811</v>
      </c>
      <c r="K770" s="507" t="s">
        <v>811</v>
      </c>
      <c r="L770" s="507" t="s">
        <v>4429</v>
      </c>
      <c r="M770" s="507" t="s">
        <v>5037</v>
      </c>
      <c r="N770" s="507" t="s">
        <v>5038</v>
      </c>
      <c r="O770" s="507" t="s">
        <v>3913</v>
      </c>
      <c r="P770" s="534"/>
      <c r="Q770" s="534"/>
      <c r="R770" s="534"/>
      <c r="S770" s="535"/>
      <c r="T770" s="535"/>
      <c r="U770" s="535"/>
      <c r="V770" s="535"/>
      <c r="W770" s="535"/>
      <c r="X770" s="535"/>
      <c r="Y770" s="535"/>
      <c r="Z770" s="535"/>
    </row>
    <row r="771" spans="1:26" ht="16.5" customHeight="1">
      <c r="A771" s="143"/>
      <c r="B771" s="144"/>
      <c r="C771" s="87"/>
      <c r="D771" s="87"/>
      <c r="E771" s="609"/>
      <c r="F771" s="610"/>
      <c r="G771" s="87"/>
      <c r="H771" s="75"/>
      <c r="I771" s="454"/>
      <c r="J771" s="828"/>
      <c r="K771" s="75"/>
      <c r="L771" s="75"/>
      <c r="M771" s="75"/>
      <c r="N771" s="75"/>
      <c r="O771" s="75"/>
      <c r="P771" s="146"/>
      <c r="Q771" s="146"/>
      <c r="R771" s="146"/>
      <c r="S771" s="149"/>
      <c r="T771" s="149"/>
      <c r="U771" s="149"/>
      <c r="V771" s="149"/>
      <c r="W771" s="149"/>
      <c r="X771" s="149"/>
      <c r="Y771" s="149"/>
      <c r="Z771" s="149"/>
    </row>
    <row r="772" spans="1:26" ht="72.75" customHeight="1">
      <c r="A772" s="533" t="s">
        <v>736</v>
      </c>
      <c r="B772" s="517" t="s">
        <v>671</v>
      </c>
      <c r="C772" s="506">
        <v>1</v>
      </c>
      <c r="D772" s="506">
        <v>1</v>
      </c>
      <c r="E772" s="506">
        <v>0</v>
      </c>
      <c r="F772" s="506">
        <v>1</v>
      </c>
      <c r="G772" s="506">
        <v>1</v>
      </c>
      <c r="H772" s="506">
        <v>1</v>
      </c>
      <c r="I772" s="454" t="s">
        <v>38</v>
      </c>
      <c r="J772" s="507" t="s">
        <v>5039</v>
      </c>
      <c r="K772" s="507" t="s">
        <v>811</v>
      </c>
      <c r="L772" s="507" t="s">
        <v>748</v>
      </c>
      <c r="M772" s="507" t="s">
        <v>5040</v>
      </c>
      <c r="N772" s="507" t="s">
        <v>3915</v>
      </c>
      <c r="O772" s="507" t="s">
        <v>3916</v>
      </c>
      <c r="P772" s="534"/>
      <c r="Q772" s="534"/>
      <c r="R772" s="534"/>
      <c r="S772" s="535"/>
      <c r="T772" s="535"/>
      <c r="U772" s="535"/>
      <c r="V772" s="535"/>
      <c r="W772" s="535"/>
      <c r="X772" s="535"/>
      <c r="Y772" s="535"/>
      <c r="Z772" s="535"/>
    </row>
    <row r="773" spans="1:26" ht="15.75" customHeight="1">
      <c r="A773" s="143"/>
      <c r="B773" s="144"/>
      <c r="C773" s="87"/>
      <c r="D773" s="87"/>
      <c r="E773" s="87"/>
      <c r="F773" s="87"/>
      <c r="G773" s="87"/>
      <c r="H773" s="87"/>
      <c r="I773" s="454"/>
      <c r="J773" s="75"/>
      <c r="K773" s="75"/>
      <c r="L773" s="75"/>
      <c r="M773" s="75"/>
      <c r="N773" s="75"/>
      <c r="O773" s="75"/>
      <c r="P773" s="146"/>
      <c r="Q773" s="146"/>
      <c r="R773" s="146"/>
      <c r="S773" s="149"/>
      <c r="T773" s="149"/>
      <c r="U773" s="149"/>
      <c r="V773" s="149"/>
      <c r="W773" s="149"/>
      <c r="X773" s="149"/>
      <c r="Y773" s="149"/>
      <c r="Z773" s="149"/>
    </row>
    <row r="774" spans="1:26" ht="84" customHeight="1">
      <c r="A774" s="533" t="s">
        <v>736</v>
      </c>
      <c r="B774" s="517" t="s">
        <v>672</v>
      </c>
      <c r="C774" s="506">
        <v>1</v>
      </c>
      <c r="D774" s="506">
        <v>1</v>
      </c>
      <c r="E774" s="506">
        <v>0</v>
      </c>
      <c r="F774" s="506">
        <v>1</v>
      </c>
      <c r="G774" s="506">
        <v>0</v>
      </c>
      <c r="H774" s="506">
        <v>1</v>
      </c>
      <c r="I774" s="454" t="s">
        <v>38</v>
      </c>
      <c r="J774" s="507" t="s">
        <v>5041</v>
      </c>
      <c r="K774" s="507" t="s">
        <v>811</v>
      </c>
      <c r="L774" s="507" t="s">
        <v>748</v>
      </c>
      <c r="M774" s="507" t="s">
        <v>5042</v>
      </c>
      <c r="N774" s="507" t="s">
        <v>748</v>
      </c>
      <c r="O774" s="507" t="s">
        <v>5043</v>
      </c>
      <c r="P774" s="534"/>
      <c r="Q774" s="534"/>
      <c r="R774" s="534"/>
      <c r="S774" s="535"/>
      <c r="T774" s="535"/>
      <c r="U774" s="535"/>
      <c r="V774" s="535"/>
      <c r="W774" s="535"/>
      <c r="X774" s="535"/>
      <c r="Y774" s="535"/>
      <c r="Z774" s="535"/>
    </row>
    <row r="775" spans="1:26" ht="19.5" customHeight="1">
      <c r="A775" s="143"/>
      <c r="B775" s="144"/>
      <c r="C775" s="87"/>
      <c r="D775" s="87"/>
      <c r="E775" s="87"/>
      <c r="F775" s="87"/>
      <c r="G775" s="87"/>
      <c r="H775" s="87"/>
      <c r="I775" s="454"/>
      <c r="J775" s="75"/>
      <c r="K775" s="75"/>
      <c r="L775" s="75"/>
      <c r="M775" s="75"/>
      <c r="N775" s="75"/>
      <c r="O775" s="75"/>
      <c r="P775" s="146"/>
      <c r="Q775" s="146"/>
      <c r="R775" s="146"/>
      <c r="S775" s="149"/>
      <c r="T775" s="149"/>
      <c r="U775" s="149"/>
      <c r="V775" s="149"/>
      <c r="W775" s="149"/>
      <c r="X775" s="149"/>
      <c r="Y775" s="149"/>
      <c r="Z775" s="149"/>
    </row>
    <row r="776" spans="1:26" ht="60.75" customHeight="1">
      <c r="A776" s="533" t="s">
        <v>736</v>
      </c>
      <c r="B776" s="517" t="s">
        <v>5044</v>
      </c>
      <c r="C776" s="506">
        <f>(27-0)/(60.55-0)</f>
        <v>0.44591246903385634</v>
      </c>
      <c r="D776" s="506">
        <f>(60.55-0)/(60.55-0)</f>
        <v>1</v>
      </c>
      <c r="E776" s="506">
        <v>0</v>
      </c>
      <c r="F776" s="506">
        <f>(17-0)/(60.55-0)</f>
        <v>0.28075970272502065</v>
      </c>
      <c r="G776" s="991" t="s">
        <v>877</v>
      </c>
      <c r="H776" s="506">
        <f>(11.8-0)/(60.55-0)</f>
        <v>0.19488026424442612</v>
      </c>
      <c r="I776" s="454" t="s">
        <v>5045</v>
      </c>
      <c r="J776" s="507" t="s">
        <v>3919</v>
      </c>
      <c r="K776" s="507" t="s">
        <v>5046</v>
      </c>
      <c r="L776" s="507" t="s">
        <v>5047</v>
      </c>
      <c r="M776" s="507" t="s">
        <v>5048</v>
      </c>
      <c r="N776" s="507" t="s">
        <v>877</v>
      </c>
      <c r="O776" s="507" t="s">
        <v>3923</v>
      </c>
      <c r="P776" s="534"/>
      <c r="Q776" s="534"/>
      <c r="R776" s="534"/>
      <c r="S776" s="535"/>
      <c r="T776" s="535"/>
      <c r="U776" s="535"/>
      <c r="V776" s="535"/>
      <c r="W776" s="535"/>
      <c r="X776" s="535"/>
      <c r="Y776" s="535"/>
      <c r="Z776" s="535"/>
    </row>
    <row r="777" spans="1:26" ht="22.5" customHeight="1">
      <c r="A777" s="143"/>
      <c r="B777" s="144"/>
      <c r="C777" s="87"/>
      <c r="D777" s="87"/>
      <c r="E777" s="609"/>
      <c r="F777" s="610"/>
      <c r="G777" s="578"/>
      <c r="H777" s="75"/>
      <c r="I777" s="454"/>
      <c r="J777" s="75"/>
      <c r="K777" s="75"/>
      <c r="L777" s="75"/>
      <c r="M777" s="75"/>
      <c r="N777" s="75"/>
      <c r="O777" s="75"/>
      <c r="P777" s="146"/>
      <c r="Q777" s="146"/>
      <c r="R777" s="146"/>
      <c r="S777" s="149"/>
      <c r="T777" s="149"/>
      <c r="U777" s="149"/>
      <c r="V777" s="149"/>
      <c r="W777" s="149"/>
      <c r="X777" s="149"/>
      <c r="Y777" s="149"/>
      <c r="Z777" s="149"/>
    </row>
    <row r="778" spans="1:26" ht="27.75" customHeight="1">
      <c r="A778" s="556" t="s">
        <v>2182</v>
      </c>
      <c r="B778" s="517" t="s">
        <v>3924</v>
      </c>
      <c r="C778" s="498">
        <f t="shared" ref="C778:H778" si="151">AVERAGE(C779,C781,C783,C785,C787,C789,C791,C793,C795,C797)</f>
        <v>0.9</v>
      </c>
      <c r="D778" s="498">
        <f t="shared" si="151"/>
        <v>0.9</v>
      </c>
      <c r="E778" s="498">
        <f t="shared" si="151"/>
        <v>0.48</v>
      </c>
      <c r="F778" s="498">
        <f t="shared" si="151"/>
        <v>0.9</v>
      </c>
      <c r="G778" s="498">
        <f t="shared" si="151"/>
        <v>0.75</v>
      </c>
      <c r="H778" s="498">
        <f t="shared" si="151"/>
        <v>0.63</v>
      </c>
      <c r="I778" s="454"/>
      <c r="J778" s="507"/>
      <c r="K778" s="507"/>
      <c r="L778" s="507"/>
      <c r="M778" s="507"/>
      <c r="N778" s="507"/>
      <c r="O778" s="507"/>
      <c r="P778" s="534"/>
      <c r="Q778" s="534"/>
      <c r="R778" s="534"/>
      <c r="S778" s="535"/>
      <c r="T778" s="535"/>
      <c r="U778" s="535"/>
      <c r="V778" s="535"/>
      <c r="W778" s="535"/>
      <c r="X778" s="535"/>
      <c r="Y778" s="535"/>
      <c r="Z778" s="535"/>
    </row>
    <row r="779" spans="1:26" ht="62.25" customHeight="1">
      <c r="A779" s="533" t="s">
        <v>736</v>
      </c>
      <c r="B779" s="517" t="s">
        <v>677</v>
      </c>
      <c r="C779" s="506">
        <v>1</v>
      </c>
      <c r="D779" s="506">
        <v>1</v>
      </c>
      <c r="E779" s="506">
        <v>1</v>
      </c>
      <c r="F779" s="506">
        <v>1</v>
      </c>
      <c r="G779" s="506">
        <v>1</v>
      </c>
      <c r="H779" s="506">
        <v>1</v>
      </c>
      <c r="I779" s="454" t="s">
        <v>38</v>
      </c>
      <c r="J779" s="507" t="s">
        <v>3925</v>
      </c>
      <c r="K779" s="507" t="s">
        <v>811</v>
      </c>
      <c r="L779" s="507" t="s">
        <v>5049</v>
      </c>
      <c r="M779" s="507" t="s">
        <v>3927</v>
      </c>
      <c r="N779" s="507" t="s">
        <v>3928</v>
      </c>
      <c r="O779" s="507" t="s">
        <v>3929</v>
      </c>
      <c r="P779" s="534"/>
      <c r="Q779" s="534"/>
      <c r="R779" s="534"/>
      <c r="S779" s="535"/>
      <c r="T779" s="535"/>
      <c r="U779" s="535"/>
      <c r="V779" s="535"/>
      <c r="W779" s="535"/>
      <c r="X779" s="535"/>
      <c r="Y779" s="535"/>
      <c r="Z779" s="535"/>
    </row>
    <row r="780" spans="1:26" ht="18.75" customHeight="1">
      <c r="A780" s="143"/>
      <c r="B780" s="144"/>
      <c r="C780" s="87"/>
      <c r="D780" s="87"/>
      <c r="E780" s="87"/>
      <c r="F780" s="87"/>
      <c r="G780" s="87"/>
      <c r="H780" s="87"/>
      <c r="I780" s="454"/>
      <c r="J780" s="75"/>
      <c r="K780" s="75"/>
      <c r="L780" s="75"/>
      <c r="M780" s="75"/>
      <c r="N780" s="75"/>
      <c r="O780" s="75"/>
      <c r="P780" s="146"/>
      <c r="Q780" s="146"/>
      <c r="R780" s="146"/>
      <c r="S780" s="149"/>
      <c r="T780" s="149"/>
      <c r="U780" s="149"/>
      <c r="V780" s="149"/>
      <c r="W780" s="149"/>
      <c r="X780" s="149"/>
      <c r="Y780" s="149"/>
      <c r="Z780" s="149"/>
    </row>
    <row r="781" spans="1:26" ht="68.25" customHeight="1">
      <c r="A781" s="533" t="s">
        <v>736</v>
      </c>
      <c r="B781" s="517" t="s">
        <v>5050</v>
      </c>
      <c r="C781" s="506">
        <v>1</v>
      </c>
      <c r="D781" s="506">
        <v>1</v>
      </c>
      <c r="E781" s="506">
        <v>1</v>
      </c>
      <c r="F781" s="506">
        <v>1</v>
      </c>
      <c r="G781" s="506">
        <v>1</v>
      </c>
      <c r="H781" s="506">
        <v>1</v>
      </c>
      <c r="I781" s="454" t="s">
        <v>38</v>
      </c>
      <c r="J781" s="507" t="s">
        <v>811</v>
      </c>
      <c r="K781" s="507" t="s">
        <v>811</v>
      </c>
      <c r="L781" s="507" t="s">
        <v>5051</v>
      </c>
      <c r="M781" s="507" t="s">
        <v>3930</v>
      </c>
      <c r="N781" s="507" t="s">
        <v>811</v>
      </c>
      <c r="O781" s="507" t="s">
        <v>3931</v>
      </c>
      <c r="P781" s="534"/>
      <c r="Q781" s="534"/>
      <c r="R781" s="534"/>
      <c r="S781" s="535"/>
      <c r="T781" s="535"/>
      <c r="U781" s="535"/>
      <c r="V781" s="535"/>
      <c r="W781" s="535"/>
      <c r="X781" s="535"/>
      <c r="Y781" s="535"/>
      <c r="Z781" s="535"/>
    </row>
    <row r="782" spans="1:26" ht="24" customHeight="1">
      <c r="A782" s="143"/>
      <c r="B782" s="144"/>
      <c r="C782" s="87"/>
      <c r="D782" s="87"/>
      <c r="E782" s="87"/>
      <c r="F782" s="87"/>
      <c r="G782" s="87"/>
      <c r="H782" s="87"/>
      <c r="I782" s="454"/>
      <c r="J782" s="75"/>
      <c r="K782" s="75"/>
      <c r="L782" s="75"/>
      <c r="M782" s="75"/>
      <c r="N782" s="75"/>
      <c r="O782" s="75"/>
      <c r="P782" s="146"/>
      <c r="Q782" s="146"/>
      <c r="R782" s="146"/>
      <c r="S782" s="149"/>
      <c r="T782" s="149"/>
      <c r="U782" s="149"/>
      <c r="V782" s="149"/>
      <c r="W782" s="149"/>
      <c r="X782" s="149"/>
      <c r="Y782" s="149"/>
      <c r="Z782" s="149"/>
    </row>
    <row r="783" spans="1:26" ht="144.75" customHeight="1">
      <c r="A783" s="533" t="s">
        <v>736</v>
      </c>
      <c r="B783" s="517" t="s">
        <v>5052</v>
      </c>
      <c r="C783" s="506">
        <v>1</v>
      </c>
      <c r="D783" s="506">
        <v>1</v>
      </c>
      <c r="E783" s="506">
        <v>0</v>
      </c>
      <c r="F783" s="506">
        <v>1</v>
      </c>
      <c r="G783" s="506">
        <v>0</v>
      </c>
      <c r="H783" s="506">
        <v>0</v>
      </c>
      <c r="I783" s="454" t="s">
        <v>38</v>
      </c>
      <c r="J783" s="507" t="s">
        <v>811</v>
      </c>
      <c r="K783" s="507" t="s">
        <v>5053</v>
      </c>
      <c r="L783" s="507" t="s">
        <v>748</v>
      </c>
      <c r="M783" s="507" t="s">
        <v>3934</v>
      </c>
      <c r="N783" s="507" t="s">
        <v>5054</v>
      </c>
      <c r="O783" s="829" t="s">
        <v>3935</v>
      </c>
      <c r="P783" s="534"/>
      <c r="Q783" s="534"/>
      <c r="R783" s="534"/>
      <c r="S783" s="535"/>
      <c r="T783" s="535"/>
      <c r="U783" s="535"/>
      <c r="V783" s="535"/>
      <c r="W783" s="535"/>
      <c r="X783" s="535"/>
      <c r="Y783" s="535"/>
      <c r="Z783" s="535"/>
    </row>
    <row r="784" spans="1:26" ht="21" customHeight="1">
      <c r="A784" s="143"/>
      <c r="B784" s="931"/>
      <c r="C784" s="87"/>
      <c r="D784" s="87"/>
      <c r="E784" s="609"/>
      <c r="F784" s="610"/>
      <c r="G784" s="87"/>
      <c r="H784" s="75"/>
      <c r="I784" s="454"/>
      <c r="J784" s="75"/>
      <c r="K784" s="75"/>
      <c r="L784" s="75"/>
      <c r="M784" s="75"/>
      <c r="N784" s="75"/>
      <c r="O784" s="75"/>
      <c r="P784" s="146"/>
      <c r="Q784" s="146"/>
      <c r="R784" s="146"/>
      <c r="S784" s="149"/>
      <c r="T784" s="149"/>
      <c r="U784" s="149"/>
      <c r="V784" s="149"/>
      <c r="W784" s="149"/>
      <c r="X784" s="149"/>
      <c r="Y784" s="149"/>
      <c r="Z784" s="149"/>
    </row>
    <row r="785" spans="1:26" ht="72.75" customHeight="1">
      <c r="A785" s="533" t="s">
        <v>736</v>
      </c>
      <c r="B785" s="517" t="s">
        <v>5055</v>
      </c>
      <c r="C785" s="506">
        <v>1</v>
      </c>
      <c r="D785" s="506">
        <v>1</v>
      </c>
      <c r="E785" s="506">
        <v>0.5</v>
      </c>
      <c r="F785" s="506">
        <v>1</v>
      </c>
      <c r="G785" s="506">
        <v>1</v>
      </c>
      <c r="H785" s="506">
        <v>0.5</v>
      </c>
      <c r="I785" s="454" t="s">
        <v>3857</v>
      </c>
      <c r="J785" s="507" t="s">
        <v>811</v>
      </c>
      <c r="K785" s="507" t="s">
        <v>811</v>
      </c>
      <c r="L785" s="507" t="s">
        <v>3936</v>
      </c>
      <c r="M785" s="507" t="s">
        <v>5056</v>
      </c>
      <c r="N785" s="507" t="s">
        <v>5057</v>
      </c>
      <c r="O785" s="507" t="s">
        <v>3939</v>
      </c>
      <c r="P785" s="534"/>
      <c r="Q785" s="534"/>
      <c r="R785" s="534"/>
      <c r="S785" s="535"/>
      <c r="T785" s="535"/>
      <c r="U785" s="535"/>
      <c r="V785" s="535"/>
      <c r="W785" s="535"/>
      <c r="X785" s="535"/>
      <c r="Y785" s="535"/>
      <c r="Z785" s="535"/>
    </row>
    <row r="786" spans="1:26" ht="11.25" customHeight="1">
      <c r="A786" s="143"/>
      <c r="B786" s="931"/>
      <c r="C786" s="87"/>
      <c r="D786" s="87"/>
      <c r="E786" s="609"/>
      <c r="F786" s="610"/>
      <c r="G786" s="271"/>
      <c r="H786" s="75"/>
      <c r="I786" s="454"/>
      <c r="J786" s="75"/>
      <c r="K786" s="75"/>
      <c r="L786" s="75"/>
      <c r="M786" s="75"/>
      <c r="N786" s="75"/>
      <c r="O786" s="75"/>
      <c r="P786" s="146"/>
      <c r="Q786" s="146"/>
      <c r="R786" s="146"/>
      <c r="S786" s="149"/>
      <c r="T786" s="149"/>
      <c r="U786" s="149"/>
      <c r="V786" s="149"/>
      <c r="W786" s="149"/>
      <c r="X786" s="149"/>
      <c r="Y786" s="149"/>
      <c r="Z786" s="149"/>
    </row>
    <row r="787" spans="1:26" ht="84" customHeight="1">
      <c r="A787" s="533" t="s">
        <v>736</v>
      </c>
      <c r="B787" s="517" t="s">
        <v>681</v>
      </c>
      <c r="C787" s="506">
        <v>1</v>
      </c>
      <c r="D787" s="506">
        <v>1</v>
      </c>
      <c r="E787" s="506">
        <v>0</v>
      </c>
      <c r="F787" s="506">
        <v>1</v>
      </c>
      <c r="G787" s="506">
        <v>1</v>
      </c>
      <c r="H787" s="506">
        <v>0</v>
      </c>
      <c r="I787" s="454" t="s">
        <v>38</v>
      </c>
      <c r="J787" s="507" t="s">
        <v>3942</v>
      </c>
      <c r="K787" s="830" t="s">
        <v>811</v>
      </c>
      <c r="L787" s="507" t="s">
        <v>748</v>
      </c>
      <c r="M787" s="507" t="s">
        <v>3940</v>
      </c>
      <c r="N787" s="507" t="s">
        <v>3941</v>
      </c>
      <c r="O787" s="507" t="s">
        <v>748</v>
      </c>
      <c r="P787" s="534"/>
      <c r="Q787" s="534"/>
      <c r="R787" s="534"/>
      <c r="S787" s="535"/>
      <c r="T787" s="535"/>
      <c r="U787" s="535"/>
      <c r="V787" s="535"/>
      <c r="W787" s="535"/>
      <c r="X787" s="535"/>
      <c r="Y787" s="535"/>
      <c r="Z787" s="535"/>
    </row>
    <row r="788" spans="1:26" ht="35.25" customHeight="1">
      <c r="A788" s="143"/>
      <c r="B788" s="144"/>
      <c r="C788" s="87"/>
      <c r="D788" s="87"/>
      <c r="E788" s="609"/>
      <c r="F788" s="610"/>
      <c r="G788" s="87"/>
      <c r="H788" s="75"/>
      <c r="I788" s="454"/>
      <c r="J788" s="507" t="s">
        <v>3942</v>
      </c>
      <c r="K788" s="75"/>
      <c r="L788" s="75"/>
      <c r="M788" s="75"/>
      <c r="N788" s="75"/>
      <c r="O788" s="75"/>
      <c r="P788" s="146"/>
      <c r="Q788" s="146"/>
      <c r="R788" s="146"/>
      <c r="S788" s="149"/>
      <c r="T788" s="149"/>
      <c r="U788" s="149"/>
      <c r="V788" s="149"/>
      <c r="W788" s="149"/>
      <c r="X788" s="149"/>
      <c r="Y788" s="149"/>
      <c r="Z788" s="149"/>
    </row>
    <row r="789" spans="1:26" ht="85.5" customHeight="1">
      <c r="A789" s="533" t="s">
        <v>736</v>
      </c>
      <c r="B789" s="517" t="s">
        <v>682</v>
      </c>
      <c r="C789" s="506">
        <v>1</v>
      </c>
      <c r="D789" s="506">
        <v>1</v>
      </c>
      <c r="E789" s="506">
        <v>0</v>
      </c>
      <c r="F789" s="506">
        <v>1</v>
      </c>
      <c r="G789" s="506">
        <v>1</v>
      </c>
      <c r="H789" s="506">
        <v>1</v>
      </c>
      <c r="I789" s="454" t="s">
        <v>38</v>
      </c>
      <c r="J789" s="507" t="s">
        <v>3943</v>
      </c>
      <c r="K789" s="507" t="s">
        <v>811</v>
      </c>
      <c r="L789" s="507" t="s">
        <v>3944</v>
      </c>
      <c r="M789" s="507" t="s">
        <v>3945</v>
      </c>
      <c r="N789" s="507" t="s">
        <v>3946</v>
      </c>
      <c r="O789" s="507" t="s">
        <v>3947</v>
      </c>
      <c r="P789" s="534"/>
      <c r="Q789" s="534"/>
      <c r="R789" s="534"/>
      <c r="S789" s="535"/>
      <c r="T789" s="535"/>
      <c r="U789" s="535"/>
      <c r="V789" s="535"/>
      <c r="W789" s="535"/>
      <c r="X789" s="535"/>
      <c r="Y789" s="535"/>
      <c r="Z789" s="535"/>
    </row>
    <row r="790" spans="1:26" ht="13.5" customHeight="1">
      <c r="A790" s="143"/>
      <c r="B790" s="931"/>
      <c r="C790" s="87"/>
      <c r="D790" s="87"/>
      <c r="E790" s="87"/>
      <c r="F790" s="87"/>
      <c r="G790" s="87"/>
      <c r="H790" s="87"/>
      <c r="I790" s="454"/>
      <c r="J790" s="75"/>
      <c r="K790" s="75"/>
      <c r="L790" s="75"/>
      <c r="M790" s="75"/>
      <c r="N790" s="75"/>
      <c r="O790" s="75"/>
      <c r="P790" s="146"/>
      <c r="Q790" s="146"/>
      <c r="R790" s="146"/>
      <c r="S790" s="149"/>
      <c r="T790" s="149"/>
      <c r="U790" s="149"/>
      <c r="V790" s="149"/>
      <c r="W790" s="149"/>
      <c r="X790" s="149"/>
      <c r="Y790" s="149"/>
      <c r="Z790" s="149"/>
    </row>
    <row r="791" spans="1:26" ht="48.75" customHeight="1">
      <c r="A791" s="533" t="s">
        <v>736</v>
      </c>
      <c r="B791" s="517" t="s">
        <v>683</v>
      </c>
      <c r="C791" s="506">
        <v>1</v>
      </c>
      <c r="D791" s="506">
        <v>1</v>
      </c>
      <c r="E791" s="506">
        <v>1</v>
      </c>
      <c r="F791" s="506">
        <v>1</v>
      </c>
      <c r="G791" s="506">
        <v>1</v>
      </c>
      <c r="H791" s="506">
        <v>1</v>
      </c>
      <c r="I791" s="454" t="s">
        <v>38</v>
      </c>
      <c r="J791" s="507" t="s">
        <v>3948</v>
      </c>
      <c r="K791" s="507" t="s">
        <v>5058</v>
      </c>
      <c r="L791" s="507" t="s">
        <v>3949</v>
      </c>
      <c r="M791" s="507" t="s">
        <v>3950</v>
      </c>
      <c r="N791" s="507" t="s">
        <v>5059</v>
      </c>
      <c r="O791" s="507" t="s">
        <v>3952</v>
      </c>
      <c r="P791" s="534"/>
      <c r="Q791" s="534"/>
      <c r="R791" s="534"/>
      <c r="S791" s="535"/>
      <c r="T791" s="535"/>
      <c r="U791" s="535"/>
      <c r="V791" s="535"/>
      <c r="W791" s="535"/>
      <c r="X791" s="535"/>
      <c r="Y791" s="535"/>
      <c r="Z791" s="535"/>
    </row>
    <row r="792" spans="1:26" ht="32.25" customHeight="1">
      <c r="A792" s="143"/>
      <c r="B792" s="931"/>
      <c r="C792" s="87"/>
      <c r="D792" s="87"/>
      <c r="E792" s="87"/>
      <c r="F792" s="87"/>
      <c r="G792" s="87"/>
      <c r="H792" s="87"/>
      <c r="I792" s="454"/>
      <c r="J792" s="75"/>
      <c r="K792" s="75"/>
      <c r="L792" s="75"/>
      <c r="M792" s="75"/>
      <c r="N792" s="75"/>
      <c r="O792" s="75"/>
      <c r="P792" s="146"/>
      <c r="Q792" s="146"/>
      <c r="R792" s="146"/>
      <c r="S792" s="149"/>
      <c r="T792" s="149"/>
      <c r="U792" s="149"/>
      <c r="V792" s="149"/>
      <c r="W792" s="149"/>
      <c r="X792" s="149"/>
      <c r="Y792" s="149"/>
      <c r="Z792" s="149"/>
    </row>
    <row r="793" spans="1:26" ht="57" customHeight="1">
      <c r="A793" s="533" t="s">
        <v>736</v>
      </c>
      <c r="B793" s="588" t="s">
        <v>684</v>
      </c>
      <c r="C793" s="506">
        <v>0.5</v>
      </c>
      <c r="D793" s="506">
        <v>1</v>
      </c>
      <c r="E793" s="506">
        <v>1</v>
      </c>
      <c r="F793" s="506">
        <v>1</v>
      </c>
      <c r="G793" s="506">
        <v>0</v>
      </c>
      <c r="H793" s="506">
        <v>0.5</v>
      </c>
      <c r="I793" s="454" t="s">
        <v>3953</v>
      </c>
      <c r="J793" s="507" t="s">
        <v>5060</v>
      </c>
      <c r="K793" s="507" t="s">
        <v>3955</v>
      </c>
      <c r="L793" s="507" t="s">
        <v>5061</v>
      </c>
      <c r="M793" s="507" t="s">
        <v>2208</v>
      </c>
      <c r="N793" s="507" t="s">
        <v>5062</v>
      </c>
      <c r="O793" s="507" t="s">
        <v>3958</v>
      </c>
      <c r="P793" s="534"/>
      <c r="Q793" s="534"/>
      <c r="R793" s="534"/>
      <c r="S793" s="535"/>
      <c r="T793" s="535"/>
      <c r="U793" s="535"/>
      <c r="V793" s="535"/>
      <c r="W793" s="535"/>
      <c r="X793" s="535"/>
      <c r="Y793" s="535"/>
      <c r="Z793" s="535"/>
    </row>
    <row r="794" spans="1:26" ht="42" customHeight="1">
      <c r="A794" s="143"/>
      <c r="B794" s="79"/>
      <c r="C794" s="87"/>
      <c r="D794" s="87"/>
      <c r="E794" s="87"/>
      <c r="F794" s="87"/>
      <c r="G794" s="87"/>
      <c r="H794" s="87"/>
      <c r="I794" s="454"/>
      <c r="J794" s="75"/>
      <c r="K794" s="75"/>
      <c r="L794" s="75"/>
      <c r="M794" s="75"/>
      <c r="N794" s="75"/>
      <c r="O794" s="75"/>
      <c r="P794" s="146"/>
      <c r="Q794" s="146"/>
      <c r="R794" s="146"/>
      <c r="S794" s="149"/>
      <c r="T794" s="149"/>
      <c r="U794" s="149"/>
      <c r="V794" s="149"/>
      <c r="W794" s="149"/>
      <c r="X794" s="149"/>
      <c r="Y794" s="149"/>
      <c r="Z794" s="149"/>
    </row>
    <row r="795" spans="1:26" ht="69.75" customHeight="1">
      <c r="A795" s="533" t="s">
        <v>736</v>
      </c>
      <c r="B795" s="588" t="s">
        <v>5063</v>
      </c>
      <c r="C795" s="506">
        <v>0.5</v>
      </c>
      <c r="D795" s="506">
        <v>1</v>
      </c>
      <c r="E795" s="506">
        <v>0.3</v>
      </c>
      <c r="F795" s="506">
        <v>1</v>
      </c>
      <c r="G795" s="506">
        <v>0.5</v>
      </c>
      <c r="H795" s="506">
        <v>0.3</v>
      </c>
      <c r="I795" s="600" t="s">
        <v>3960</v>
      </c>
      <c r="J795" s="507">
        <v>2</v>
      </c>
      <c r="K795" s="507">
        <v>1</v>
      </c>
      <c r="L795" s="507" t="s">
        <v>3964</v>
      </c>
      <c r="M795" s="521" t="s">
        <v>3963</v>
      </c>
      <c r="N795" s="507">
        <v>2</v>
      </c>
      <c r="O795" s="507" t="s">
        <v>3964</v>
      </c>
      <c r="P795" s="534"/>
      <c r="Q795" s="534"/>
      <c r="R795" s="534"/>
      <c r="S795" s="535"/>
      <c r="T795" s="535"/>
      <c r="U795" s="535"/>
      <c r="V795" s="535"/>
      <c r="W795" s="535"/>
      <c r="X795" s="535"/>
      <c r="Y795" s="535"/>
      <c r="Z795" s="535"/>
    </row>
    <row r="796" spans="1:26" ht="22.5" customHeight="1">
      <c r="A796" s="961"/>
      <c r="B796" s="931"/>
      <c r="C796" s="908"/>
      <c r="D796" s="908"/>
      <c r="E796" s="908"/>
      <c r="F796" s="908"/>
      <c r="G796" s="908"/>
      <c r="H796" s="908"/>
      <c r="I796" s="995"/>
      <c r="J796" s="75"/>
      <c r="K796" s="75"/>
      <c r="L796" s="75"/>
      <c r="M796" s="75"/>
      <c r="N796" s="75"/>
      <c r="O796" s="75"/>
      <c r="P796" s="484"/>
      <c r="Q796" s="484"/>
      <c r="R796" s="484"/>
      <c r="S796" s="929"/>
      <c r="T796" s="929"/>
      <c r="U796" s="929"/>
      <c r="V796" s="929"/>
      <c r="W796" s="929"/>
      <c r="X796" s="929"/>
      <c r="Y796" s="929"/>
      <c r="Z796" s="929"/>
    </row>
    <row r="797" spans="1:26" ht="63" customHeight="1">
      <c r="A797" s="533" t="s">
        <v>736</v>
      </c>
      <c r="B797" s="517" t="s">
        <v>687</v>
      </c>
      <c r="C797" s="991">
        <v>1</v>
      </c>
      <c r="D797" s="991">
        <v>0</v>
      </c>
      <c r="E797" s="991">
        <v>0</v>
      </c>
      <c r="F797" s="991">
        <v>0</v>
      </c>
      <c r="G797" s="991">
        <v>1</v>
      </c>
      <c r="H797" s="991">
        <v>1</v>
      </c>
      <c r="I797" s="454" t="s">
        <v>38</v>
      </c>
      <c r="J797" s="507" t="s">
        <v>3965</v>
      </c>
      <c r="K797" s="507" t="s">
        <v>3966</v>
      </c>
      <c r="L797" s="507" t="s">
        <v>3967</v>
      </c>
      <c r="M797" s="507" t="s">
        <v>5064</v>
      </c>
      <c r="N797" s="507" t="s">
        <v>5065</v>
      </c>
      <c r="O797" s="507" t="s">
        <v>3970</v>
      </c>
      <c r="P797" s="534"/>
      <c r="Q797" s="534"/>
      <c r="R797" s="534"/>
      <c r="S797" s="535"/>
      <c r="T797" s="535"/>
      <c r="U797" s="535"/>
      <c r="V797" s="535"/>
      <c r="W797" s="535"/>
      <c r="X797" s="535"/>
      <c r="Y797" s="535"/>
      <c r="Z797" s="535"/>
    </row>
    <row r="798" spans="1:26" ht="25.5" customHeight="1">
      <c r="A798" s="143"/>
      <c r="B798" s="144"/>
      <c r="C798" s="908"/>
      <c r="D798" s="908"/>
      <c r="E798" s="75"/>
      <c r="F798" s="908"/>
      <c r="G798" s="617"/>
      <c r="H798" s="908"/>
      <c r="I798" s="454"/>
      <c r="J798" s="75"/>
      <c r="K798" s="75"/>
      <c r="L798" s="75"/>
      <c r="M798" s="619"/>
      <c r="N798" s="75"/>
      <c r="O798" s="75"/>
      <c r="P798" s="146"/>
      <c r="Q798" s="146"/>
      <c r="R798" s="146"/>
      <c r="S798" s="149"/>
      <c r="T798" s="149"/>
      <c r="U798" s="149"/>
      <c r="V798" s="149"/>
      <c r="W798" s="149"/>
      <c r="X798" s="149"/>
      <c r="Y798" s="149"/>
      <c r="Z798" s="149"/>
    </row>
    <row r="799" spans="1:26" ht="27.75" customHeight="1">
      <c r="A799" s="573" t="s">
        <v>2218</v>
      </c>
      <c r="B799" s="158" t="s">
        <v>688</v>
      </c>
      <c r="C799" s="350">
        <f t="shared" ref="C799:H799" si="152">AVERAGE(C800,C815,C832,C842)</f>
        <v>0.35836141748366013</v>
      </c>
      <c r="D799" s="350">
        <f t="shared" si="152"/>
        <v>0.55195312500000004</v>
      </c>
      <c r="E799" s="350">
        <f t="shared" si="152"/>
        <v>0.17008782679738563</v>
      </c>
      <c r="F799" s="350">
        <f t="shared" si="152"/>
        <v>0.38352992238562089</v>
      </c>
      <c r="G799" s="350">
        <f t="shared" si="152"/>
        <v>0.49376787173202613</v>
      </c>
      <c r="H799" s="350">
        <f t="shared" si="152"/>
        <v>0.23959099264705883</v>
      </c>
      <c r="I799" s="454"/>
      <c r="J799" s="575"/>
      <c r="K799" s="575"/>
      <c r="L799" s="575"/>
      <c r="M799" s="575"/>
      <c r="N799" s="575"/>
      <c r="O799" s="575"/>
      <c r="P799" s="451"/>
      <c r="Q799" s="454"/>
      <c r="R799" s="454"/>
      <c r="S799" s="454"/>
      <c r="T799" s="454"/>
      <c r="U799" s="454"/>
      <c r="V799" s="454"/>
      <c r="W799" s="454"/>
      <c r="X799" s="454"/>
      <c r="Y799" s="454"/>
      <c r="Z799" s="454"/>
    </row>
    <row r="800" spans="1:26" ht="13.5" customHeight="1">
      <c r="A800" s="533" t="s">
        <v>2219</v>
      </c>
      <c r="B800" s="517" t="s">
        <v>2220</v>
      </c>
      <c r="C800" s="506">
        <f t="shared" ref="C800:H800" si="153">AVERAGE(C801,C803)</f>
        <v>0.578125</v>
      </c>
      <c r="D800" s="506">
        <f t="shared" si="153"/>
        <v>0.57499999999999996</v>
      </c>
      <c r="E800" s="506">
        <f t="shared" si="153"/>
        <v>0</v>
      </c>
      <c r="F800" s="506">
        <f t="shared" si="153"/>
        <v>0.26874999999999999</v>
      </c>
      <c r="G800" s="506">
        <f t="shared" si="153"/>
        <v>0.31562499999999999</v>
      </c>
      <c r="H800" s="506">
        <f t="shared" si="153"/>
        <v>7.1874999999999994E-2</v>
      </c>
      <c r="I800" s="161"/>
      <c r="J800" s="559"/>
      <c r="K800" s="559"/>
      <c r="L800" s="559"/>
      <c r="M800" s="559"/>
      <c r="N800" s="559"/>
      <c r="O800" s="559"/>
      <c r="P800" s="831"/>
      <c r="Q800" s="559"/>
      <c r="R800" s="559"/>
      <c r="S800" s="559"/>
      <c r="T800" s="559"/>
      <c r="U800" s="559"/>
      <c r="V800" s="559"/>
      <c r="W800" s="559"/>
      <c r="X800" s="559"/>
      <c r="Y800" s="559"/>
      <c r="Z800" s="559"/>
    </row>
    <row r="801" spans="1:26" ht="44.25" customHeight="1">
      <c r="A801" s="533" t="s">
        <v>736</v>
      </c>
      <c r="B801" s="517" t="s">
        <v>2221</v>
      </c>
      <c r="C801" s="506">
        <v>1</v>
      </c>
      <c r="D801" s="506">
        <v>1</v>
      </c>
      <c r="E801" s="506">
        <v>0</v>
      </c>
      <c r="F801" s="506">
        <v>0.5</v>
      </c>
      <c r="G801" s="506">
        <v>0.5</v>
      </c>
      <c r="H801" s="506">
        <v>0</v>
      </c>
      <c r="I801" s="454"/>
      <c r="J801" s="507" t="s">
        <v>3971</v>
      </c>
      <c r="K801" s="507" t="s">
        <v>3972</v>
      </c>
      <c r="L801" s="507" t="s">
        <v>748</v>
      </c>
      <c r="M801" s="507" t="s">
        <v>5066</v>
      </c>
      <c r="N801" s="1011" t="str">
        <f>HYPERLINK("http://www.energy-community.org/pls/portal/docs/1068177.PDF","Оn 17 May 2010 Armenia officially submeted application for granting observer status. Observer status aproved by the ministerial concul on in 2011")</f>
        <v>Оn 17 May 2010 Armenia officially submeted application for granting observer status. Observer status aproved by the ministerial concul on in 2011</v>
      </c>
      <c r="O801" s="507" t="s">
        <v>748</v>
      </c>
      <c r="P801" s="832"/>
      <c r="Q801" s="535"/>
      <c r="R801" s="535"/>
      <c r="S801" s="535"/>
      <c r="T801" s="535"/>
      <c r="U801" s="535"/>
      <c r="V801" s="535"/>
      <c r="W801" s="535"/>
      <c r="X801" s="535"/>
      <c r="Y801" s="535"/>
      <c r="Z801" s="535"/>
    </row>
    <row r="802" spans="1:26" ht="20.25" customHeight="1">
      <c r="A802" s="143"/>
      <c r="B802" s="144"/>
      <c r="C802" s="87"/>
      <c r="D802" s="87"/>
      <c r="E802" s="87"/>
      <c r="F802" s="87"/>
      <c r="G802" s="87"/>
      <c r="H802" s="87"/>
      <c r="I802" s="454"/>
      <c r="J802" s="75"/>
      <c r="K802" s="75"/>
      <c r="L802" s="75"/>
      <c r="M802" s="75"/>
      <c r="N802" s="75"/>
      <c r="O802" s="291"/>
      <c r="P802" s="623"/>
      <c r="Q802" s="149"/>
      <c r="R802" s="149"/>
      <c r="S802" s="149"/>
      <c r="T802" s="149"/>
      <c r="U802" s="149"/>
      <c r="V802" s="149"/>
      <c r="W802" s="149"/>
      <c r="X802" s="149"/>
      <c r="Y802" s="149"/>
      <c r="Z802" s="149"/>
    </row>
    <row r="803" spans="1:26" ht="13.5" customHeight="1">
      <c r="A803" s="533" t="s">
        <v>736</v>
      </c>
      <c r="B803" s="517" t="s">
        <v>2227</v>
      </c>
      <c r="C803" s="506">
        <f t="shared" ref="C803:H803" si="154">AVERAGE(C804,C805,C806,C809,C810,C811,C812,C813)</f>
        <v>0.15625</v>
      </c>
      <c r="D803" s="506">
        <f t="shared" si="154"/>
        <v>0.15000000000000002</v>
      </c>
      <c r="E803" s="506">
        <f t="shared" si="154"/>
        <v>0</v>
      </c>
      <c r="F803" s="506">
        <f t="shared" si="154"/>
        <v>3.7500000000000006E-2</v>
      </c>
      <c r="G803" s="506">
        <f t="shared" si="154"/>
        <v>0.13125000000000001</v>
      </c>
      <c r="H803" s="506">
        <f t="shared" si="154"/>
        <v>0.14374999999999999</v>
      </c>
      <c r="I803" s="454"/>
      <c r="J803" s="507"/>
      <c r="K803" s="534"/>
      <c r="L803" s="507"/>
      <c r="M803" s="507"/>
      <c r="N803" s="507"/>
      <c r="O803" s="535"/>
      <c r="P803" s="832"/>
      <c r="Q803" s="535"/>
      <c r="R803" s="535"/>
      <c r="S803" s="535"/>
      <c r="T803" s="535"/>
      <c r="U803" s="535"/>
      <c r="V803" s="535"/>
      <c r="W803" s="535"/>
      <c r="X803" s="535"/>
      <c r="Y803" s="535"/>
      <c r="Z803" s="535"/>
    </row>
    <row r="804" spans="1:26" ht="218.25" customHeight="1">
      <c r="A804" s="533">
        <v>1</v>
      </c>
      <c r="B804" s="517" t="s">
        <v>2228</v>
      </c>
      <c r="C804" s="506">
        <v>0.75</v>
      </c>
      <c r="D804" s="506">
        <v>0.75</v>
      </c>
      <c r="E804" s="506">
        <v>0</v>
      </c>
      <c r="F804" s="506">
        <v>0.1</v>
      </c>
      <c r="G804" s="506">
        <v>0</v>
      </c>
      <c r="H804" s="506">
        <v>0.1</v>
      </c>
      <c r="I804" s="454" t="s">
        <v>4160</v>
      </c>
      <c r="J804" s="507" t="s">
        <v>5067</v>
      </c>
      <c r="K804" s="507" t="s">
        <v>5068</v>
      </c>
      <c r="L804" s="507" t="s">
        <v>748</v>
      </c>
      <c r="M804" s="507" t="s">
        <v>5069</v>
      </c>
      <c r="N804" s="507" t="s">
        <v>748</v>
      </c>
      <c r="O804" s="625" t="s">
        <v>3977</v>
      </c>
      <c r="P804" s="832"/>
      <c r="Q804" s="535"/>
      <c r="R804" s="535"/>
      <c r="S804" s="535"/>
      <c r="T804" s="535"/>
      <c r="U804" s="535"/>
      <c r="V804" s="535"/>
      <c r="W804" s="535"/>
      <c r="X804" s="535"/>
      <c r="Y804" s="535"/>
      <c r="Z804" s="535"/>
    </row>
    <row r="805" spans="1:26" ht="262.5" customHeight="1">
      <c r="A805" s="533">
        <v>2</v>
      </c>
      <c r="B805" s="517" t="s">
        <v>2233</v>
      </c>
      <c r="C805" s="506">
        <v>0</v>
      </c>
      <c r="D805" s="506">
        <v>0.25</v>
      </c>
      <c r="E805" s="506">
        <v>0</v>
      </c>
      <c r="F805" s="506">
        <v>0.1</v>
      </c>
      <c r="G805" s="506">
        <v>0.1</v>
      </c>
      <c r="H805" s="506">
        <v>0.1</v>
      </c>
      <c r="I805" s="454" t="s">
        <v>4160</v>
      </c>
      <c r="J805" s="507" t="s">
        <v>5070</v>
      </c>
      <c r="K805" s="507" t="s">
        <v>5071</v>
      </c>
      <c r="L805" s="507" t="s">
        <v>748</v>
      </c>
      <c r="M805" s="507" t="s">
        <v>5072</v>
      </c>
      <c r="N805" s="507" t="s">
        <v>5073</v>
      </c>
      <c r="O805" s="507" t="s">
        <v>748</v>
      </c>
      <c r="P805" s="832"/>
      <c r="Q805" s="535"/>
      <c r="R805" s="535"/>
      <c r="S805" s="535"/>
      <c r="T805" s="535"/>
      <c r="U805" s="535"/>
      <c r="V805" s="535"/>
      <c r="W805" s="535"/>
      <c r="X805" s="535"/>
      <c r="Y805" s="535"/>
      <c r="Z805" s="535"/>
    </row>
    <row r="806" spans="1:26" ht="15.75" customHeight="1">
      <c r="A806" s="533">
        <v>3</v>
      </c>
      <c r="B806" s="504" t="s">
        <v>2239</v>
      </c>
      <c r="C806" s="506">
        <f t="shared" ref="C806:H806" si="155">AVERAGE(C807:C808)</f>
        <v>0</v>
      </c>
      <c r="D806" s="506">
        <f t="shared" si="155"/>
        <v>0</v>
      </c>
      <c r="E806" s="506">
        <f t="shared" si="155"/>
        <v>0</v>
      </c>
      <c r="F806" s="506">
        <f t="shared" si="155"/>
        <v>0</v>
      </c>
      <c r="G806" s="506">
        <f t="shared" si="155"/>
        <v>0</v>
      </c>
      <c r="H806" s="506">
        <f t="shared" si="155"/>
        <v>0</v>
      </c>
      <c r="I806" s="454"/>
      <c r="J806" s="507"/>
      <c r="K806" s="534"/>
      <c r="L806" s="507"/>
      <c r="M806" s="507"/>
      <c r="N806" s="507"/>
      <c r="O806" s="535"/>
      <c r="P806" s="832"/>
      <c r="Q806" s="535"/>
      <c r="R806" s="535"/>
      <c r="S806" s="535"/>
      <c r="T806" s="535"/>
      <c r="U806" s="535"/>
      <c r="V806" s="535"/>
      <c r="W806" s="535"/>
      <c r="X806" s="535"/>
      <c r="Y806" s="535"/>
      <c r="Z806" s="535"/>
    </row>
    <row r="807" spans="1:26" ht="156" customHeight="1">
      <c r="A807" s="533"/>
      <c r="B807" s="993" t="s">
        <v>2240</v>
      </c>
      <c r="C807" s="506">
        <v>0</v>
      </c>
      <c r="D807" s="506">
        <v>0</v>
      </c>
      <c r="E807" s="506">
        <v>0</v>
      </c>
      <c r="F807" s="506">
        <v>0</v>
      </c>
      <c r="G807" s="506">
        <v>0</v>
      </c>
      <c r="H807" s="506">
        <v>0</v>
      </c>
      <c r="I807" s="454" t="s">
        <v>38</v>
      </c>
      <c r="J807" s="507" t="s">
        <v>5074</v>
      </c>
      <c r="K807" s="507" t="s">
        <v>748</v>
      </c>
      <c r="L807" s="507" t="s">
        <v>748</v>
      </c>
      <c r="M807" s="507" t="s">
        <v>748</v>
      </c>
      <c r="N807" s="507" t="s">
        <v>748</v>
      </c>
      <c r="O807" s="507" t="s">
        <v>748</v>
      </c>
      <c r="P807" s="832"/>
      <c r="Q807" s="535"/>
      <c r="R807" s="535"/>
      <c r="S807" s="535"/>
      <c r="T807" s="535"/>
      <c r="U807" s="535"/>
      <c r="V807" s="535"/>
      <c r="W807" s="535"/>
      <c r="X807" s="535"/>
      <c r="Y807" s="535"/>
      <c r="Z807" s="535"/>
    </row>
    <row r="808" spans="1:26" ht="147.75" customHeight="1">
      <c r="A808" s="533"/>
      <c r="B808" s="993" t="s">
        <v>2243</v>
      </c>
      <c r="C808" s="506">
        <v>0</v>
      </c>
      <c r="D808" s="506">
        <v>0</v>
      </c>
      <c r="E808" s="506">
        <v>0</v>
      </c>
      <c r="F808" s="506">
        <v>0</v>
      </c>
      <c r="G808" s="506">
        <v>0</v>
      </c>
      <c r="H808" s="506">
        <v>0</v>
      </c>
      <c r="I808" s="454" t="s">
        <v>38</v>
      </c>
      <c r="J808" s="507" t="s">
        <v>5074</v>
      </c>
      <c r="K808" s="507" t="s">
        <v>748</v>
      </c>
      <c r="L808" s="507" t="s">
        <v>748</v>
      </c>
      <c r="M808" s="507" t="s">
        <v>748</v>
      </c>
      <c r="N808" s="507" t="s">
        <v>748</v>
      </c>
      <c r="O808" s="507" t="s">
        <v>748</v>
      </c>
      <c r="P808" s="832"/>
      <c r="Q808" s="535"/>
      <c r="R808" s="535"/>
      <c r="S808" s="535"/>
      <c r="T808" s="535"/>
      <c r="U808" s="535"/>
      <c r="V808" s="535"/>
      <c r="W808" s="535"/>
      <c r="X808" s="535"/>
      <c r="Y808" s="535"/>
      <c r="Z808" s="535"/>
    </row>
    <row r="809" spans="1:26" ht="147" customHeight="1">
      <c r="A809" s="533">
        <v>4</v>
      </c>
      <c r="B809" s="504" t="s">
        <v>2246</v>
      </c>
      <c r="C809" s="506">
        <v>0.1</v>
      </c>
      <c r="D809" s="506">
        <v>0.1</v>
      </c>
      <c r="E809" s="506">
        <v>0</v>
      </c>
      <c r="F809" s="506">
        <v>0</v>
      </c>
      <c r="G809" s="506">
        <v>0.1</v>
      </c>
      <c r="H809" s="506">
        <v>0.1</v>
      </c>
      <c r="I809" s="454" t="s">
        <v>4160</v>
      </c>
      <c r="J809" s="507" t="s">
        <v>5075</v>
      </c>
      <c r="K809" s="507" t="s">
        <v>5076</v>
      </c>
      <c r="L809" s="507" t="s">
        <v>748</v>
      </c>
      <c r="M809" s="507" t="s">
        <v>5077</v>
      </c>
      <c r="N809" s="507" t="s">
        <v>2454</v>
      </c>
      <c r="O809" s="507" t="s">
        <v>2454</v>
      </c>
      <c r="P809" s="832"/>
      <c r="Q809" s="535"/>
      <c r="R809" s="535"/>
      <c r="S809" s="535"/>
      <c r="T809" s="535"/>
      <c r="U809" s="535"/>
      <c r="V809" s="535"/>
      <c r="W809" s="535"/>
      <c r="X809" s="535"/>
      <c r="Y809" s="535"/>
      <c r="Z809" s="535"/>
    </row>
    <row r="810" spans="1:26" ht="115.5" customHeight="1">
      <c r="A810" s="533">
        <v>5</v>
      </c>
      <c r="B810" s="504" t="s">
        <v>2252</v>
      </c>
      <c r="C810" s="506">
        <v>0</v>
      </c>
      <c r="D810" s="506">
        <v>0.1</v>
      </c>
      <c r="E810" s="506">
        <v>0</v>
      </c>
      <c r="F810" s="506">
        <v>0</v>
      </c>
      <c r="G810" s="506">
        <v>0.1</v>
      </c>
      <c r="H810" s="506">
        <v>0</v>
      </c>
      <c r="I810" s="454" t="s">
        <v>4160</v>
      </c>
      <c r="J810" s="507" t="s">
        <v>5078</v>
      </c>
      <c r="K810" s="507" t="s">
        <v>5079</v>
      </c>
      <c r="L810" s="507" t="s">
        <v>748</v>
      </c>
      <c r="M810" s="507" t="s">
        <v>5080</v>
      </c>
      <c r="N810" s="507" t="s">
        <v>2454</v>
      </c>
      <c r="O810" s="75" t="s">
        <v>748</v>
      </c>
      <c r="P810" s="832"/>
      <c r="Q810" s="535"/>
      <c r="R810" s="535"/>
      <c r="S810" s="535"/>
      <c r="T810" s="535"/>
      <c r="U810" s="535"/>
      <c r="V810" s="535"/>
      <c r="W810" s="535"/>
      <c r="X810" s="535"/>
      <c r="Y810" s="535"/>
      <c r="Z810" s="535"/>
    </row>
    <row r="811" spans="1:26" ht="221.25" customHeight="1">
      <c r="A811" s="533">
        <v>6</v>
      </c>
      <c r="B811" s="504" t="s">
        <v>2258</v>
      </c>
      <c r="C811" s="506">
        <v>0.3</v>
      </c>
      <c r="D811" s="506">
        <v>0</v>
      </c>
      <c r="E811" s="506">
        <v>0</v>
      </c>
      <c r="F811" s="506">
        <v>0</v>
      </c>
      <c r="G811" s="506">
        <v>0</v>
      </c>
      <c r="H811" s="506">
        <v>0.1</v>
      </c>
      <c r="I811" s="454" t="s">
        <v>4160</v>
      </c>
      <c r="J811" s="507" t="s">
        <v>5081</v>
      </c>
      <c r="K811" s="507" t="s">
        <v>748</v>
      </c>
      <c r="L811" s="507" t="s">
        <v>748</v>
      </c>
      <c r="M811" s="507" t="s">
        <v>5082</v>
      </c>
      <c r="N811" s="507" t="s">
        <v>748</v>
      </c>
      <c r="O811" s="507" t="s">
        <v>5083</v>
      </c>
      <c r="P811" s="832"/>
      <c r="Q811" s="535"/>
      <c r="R811" s="535"/>
      <c r="S811" s="535"/>
      <c r="T811" s="535"/>
      <c r="U811" s="535"/>
      <c r="V811" s="535"/>
      <c r="W811" s="535"/>
      <c r="X811" s="535"/>
      <c r="Y811" s="535"/>
      <c r="Z811" s="535"/>
    </row>
    <row r="812" spans="1:26" ht="56.25" customHeight="1">
      <c r="A812" s="533">
        <v>7</v>
      </c>
      <c r="B812" s="504" t="s">
        <v>2263</v>
      </c>
      <c r="C812" s="506">
        <v>0</v>
      </c>
      <c r="D812" s="506">
        <v>0</v>
      </c>
      <c r="E812" s="506">
        <v>0</v>
      </c>
      <c r="F812" s="506">
        <v>0</v>
      </c>
      <c r="G812" s="506">
        <v>0</v>
      </c>
      <c r="H812" s="506">
        <v>0</v>
      </c>
      <c r="I812" s="454"/>
      <c r="J812" s="582" t="s">
        <v>3996</v>
      </c>
      <c r="K812" s="507" t="s">
        <v>3997</v>
      </c>
      <c r="L812" s="507" t="s">
        <v>748</v>
      </c>
      <c r="M812" s="625" t="s">
        <v>3998</v>
      </c>
      <c r="N812" s="507" t="s">
        <v>748</v>
      </c>
      <c r="O812" s="507" t="s">
        <v>3999</v>
      </c>
      <c r="P812" s="832"/>
      <c r="Q812" s="535"/>
      <c r="R812" s="535"/>
      <c r="S812" s="535"/>
      <c r="T812" s="535"/>
      <c r="U812" s="535"/>
      <c r="V812" s="535"/>
      <c r="W812" s="535"/>
      <c r="X812" s="535"/>
      <c r="Y812" s="535"/>
      <c r="Z812" s="535"/>
    </row>
    <row r="813" spans="1:26" ht="115.5" customHeight="1">
      <c r="A813" s="533">
        <v>8</v>
      </c>
      <c r="B813" s="504" t="s">
        <v>2267</v>
      </c>
      <c r="C813" s="506">
        <v>0.1</v>
      </c>
      <c r="D813" s="506">
        <v>0</v>
      </c>
      <c r="E813" s="506">
        <v>0</v>
      </c>
      <c r="F813" s="506">
        <v>0.1</v>
      </c>
      <c r="G813" s="506">
        <v>0.75</v>
      </c>
      <c r="H813" s="506">
        <v>0.75</v>
      </c>
      <c r="I813" s="454"/>
      <c r="J813" s="582" t="s">
        <v>4000</v>
      </c>
      <c r="K813" s="507" t="s">
        <v>748</v>
      </c>
      <c r="L813" s="507" t="s">
        <v>748</v>
      </c>
      <c r="M813" s="507" t="s">
        <v>5084</v>
      </c>
      <c r="N813" s="507" t="s">
        <v>811</v>
      </c>
      <c r="O813" s="507" t="s">
        <v>4002</v>
      </c>
      <c r="P813" s="832"/>
      <c r="Q813" s="535"/>
      <c r="R813" s="535"/>
      <c r="S813" s="535"/>
      <c r="T813" s="535"/>
      <c r="U813" s="535"/>
      <c r="V813" s="535"/>
      <c r="W813" s="535"/>
      <c r="X813" s="535"/>
      <c r="Y813" s="535"/>
      <c r="Z813" s="535"/>
    </row>
    <row r="814" spans="1:26" ht="13.5" customHeight="1">
      <c r="A814" s="143"/>
      <c r="B814" s="144"/>
      <c r="C814" s="87"/>
      <c r="D814" s="87"/>
      <c r="E814" s="87"/>
      <c r="F814" s="87"/>
      <c r="G814" s="87"/>
      <c r="H814" s="87"/>
      <c r="I814" s="454"/>
      <c r="J814" s="291"/>
      <c r="K814" s="456"/>
      <c r="L814" s="343"/>
      <c r="M814" s="291"/>
      <c r="N814" s="291"/>
      <c r="O814" s="456"/>
      <c r="P814" s="623"/>
      <c r="Q814" s="149"/>
      <c r="R814" s="149"/>
      <c r="S814" s="149"/>
      <c r="T814" s="149"/>
      <c r="U814" s="149"/>
      <c r="V814" s="149"/>
      <c r="W814" s="149"/>
      <c r="X814" s="149"/>
      <c r="Y814" s="149"/>
      <c r="Z814" s="149"/>
    </row>
    <row r="815" spans="1:26" ht="27.75" customHeight="1">
      <c r="A815" s="533" t="s">
        <v>2272</v>
      </c>
      <c r="B815" s="517" t="s">
        <v>4003</v>
      </c>
      <c r="C815" s="506">
        <f t="shared" ref="C815:H815" si="156">AVERAGE(C816,C818,C820,C822,C824,C826,C828,C830)</f>
        <v>0.3</v>
      </c>
      <c r="D815" s="506">
        <f t="shared" si="156"/>
        <v>0.28125</v>
      </c>
      <c r="E815" s="506">
        <f t="shared" si="156"/>
        <v>0</v>
      </c>
      <c r="F815" s="506">
        <f t="shared" si="156"/>
        <v>0</v>
      </c>
      <c r="G815" s="506">
        <f t="shared" si="156"/>
        <v>6.25E-2</v>
      </c>
      <c r="H815" s="506">
        <f t="shared" si="156"/>
        <v>0</v>
      </c>
      <c r="I815" s="454"/>
      <c r="J815" s="823"/>
      <c r="K815" s="833"/>
      <c r="L815" s="818"/>
      <c r="M815" s="823"/>
      <c r="N815" s="823"/>
      <c r="O815" s="833"/>
      <c r="P815" s="832"/>
      <c r="Q815" s="535"/>
      <c r="R815" s="535"/>
      <c r="S815" s="535"/>
      <c r="T815" s="535"/>
      <c r="U815" s="535"/>
      <c r="V815" s="535"/>
      <c r="W815" s="535"/>
      <c r="X815" s="535"/>
      <c r="Y815" s="535"/>
      <c r="Z815" s="535"/>
    </row>
    <row r="816" spans="1:26" ht="93" customHeight="1">
      <c r="A816" s="533">
        <v>2</v>
      </c>
      <c r="B816" s="993" t="s">
        <v>2274</v>
      </c>
      <c r="C816" s="506">
        <v>0</v>
      </c>
      <c r="D816" s="506">
        <v>0</v>
      </c>
      <c r="E816" s="506">
        <v>0</v>
      </c>
      <c r="F816" s="506">
        <v>0</v>
      </c>
      <c r="G816" s="506">
        <v>0</v>
      </c>
      <c r="H816" s="506">
        <v>0</v>
      </c>
      <c r="I816" s="454" t="s">
        <v>123</v>
      </c>
      <c r="J816" s="507" t="s">
        <v>5085</v>
      </c>
      <c r="K816" s="507" t="s">
        <v>748</v>
      </c>
      <c r="L816" s="507" t="s">
        <v>5086</v>
      </c>
      <c r="M816" s="507" t="s">
        <v>748</v>
      </c>
      <c r="N816" s="507" t="s">
        <v>748</v>
      </c>
      <c r="O816" s="507" t="s">
        <v>748</v>
      </c>
      <c r="P816" s="534"/>
      <c r="Q816" s="534"/>
      <c r="R816" s="534"/>
      <c r="S816" s="535"/>
      <c r="T816" s="535"/>
      <c r="U816" s="535"/>
      <c r="V816" s="535"/>
      <c r="W816" s="535"/>
      <c r="X816" s="535"/>
      <c r="Y816" s="535"/>
      <c r="Z816" s="535"/>
    </row>
    <row r="817" spans="1:26" ht="13.5" customHeight="1">
      <c r="A817" s="143"/>
      <c r="B817" s="930"/>
      <c r="C817" s="87"/>
      <c r="D817" s="87"/>
      <c r="E817" s="87"/>
      <c r="F817" s="87"/>
      <c r="G817" s="87"/>
      <c r="H817" s="87"/>
      <c r="I817" s="454"/>
      <c r="J817" s="75"/>
      <c r="K817" s="75"/>
      <c r="L817" s="75"/>
      <c r="M817" s="75"/>
      <c r="N817" s="75"/>
      <c r="O817" s="75"/>
      <c r="P817" s="623"/>
      <c r="Q817" s="149"/>
      <c r="R817" s="149"/>
      <c r="S817" s="149"/>
      <c r="T817" s="149"/>
      <c r="U817" s="149"/>
      <c r="V817" s="149"/>
      <c r="W817" s="149"/>
      <c r="X817" s="149"/>
      <c r="Y817" s="149"/>
      <c r="Z817" s="149"/>
    </row>
    <row r="818" spans="1:26" ht="93.75" customHeight="1">
      <c r="A818" s="533">
        <v>3</v>
      </c>
      <c r="B818" s="993" t="s">
        <v>2277</v>
      </c>
      <c r="C818" s="506">
        <v>0.5</v>
      </c>
      <c r="D818" s="506">
        <v>0.75</v>
      </c>
      <c r="E818" s="506">
        <v>0</v>
      </c>
      <c r="F818" s="506">
        <v>0</v>
      </c>
      <c r="G818" s="506">
        <v>0</v>
      </c>
      <c r="H818" s="506">
        <v>0</v>
      </c>
      <c r="I818" s="454" t="s">
        <v>38</v>
      </c>
      <c r="J818" s="507" t="s">
        <v>5087</v>
      </c>
      <c r="K818" s="507" t="s">
        <v>5088</v>
      </c>
      <c r="L818" s="507" t="s">
        <v>4008</v>
      </c>
      <c r="M818" s="507" t="s">
        <v>748</v>
      </c>
      <c r="N818" s="507" t="s">
        <v>748</v>
      </c>
      <c r="O818" s="507" t="s">
        <v>748</v>
      </c>
      <c r="P818" s="534"/>
      <c r="Q818" s="534"/>
      <c r="R818" s="534"/>
      <c r="S818" s="535"/>
      <c r="T818" s="535"/>
      <c r="U818" s="535"/>
      <c r="V818" s="535"/>
      <c r="W818" s="535"/>
      <c r="X818" s="535"/>
      <c r="Y818" s="535"/>
      <c r="Z818" s="535"/>
    </row>
    <row r="819" spans="1:26" ht="13.5" customHeight="1">
      <c r="A819" s="143"/>
      <c r="B819" s="79"/>
      <c r="C819" s="87"/>
      <c r="D819" s="87"/>
      <c r="E819" s="87"/>
      <c r="F819" s="87"/>
      <c r="G819" s="87"/>
      <c r="H819" s="87"/>
      <c r="I819" s="454"/>
      <c r="J819" s="637"/>
      <c r="K819" s="637"/>
      <c r="L819" s="75"/>
      <c r="M819" s="75"/>
      <c r="N819" s="75"/>
      <c r="O819" s="75"/>
      <c r="P819" s="623"/>
      <c r="Q819" s="149"/>
      <c r="R819" s="149"/>
      <c r="S819" s="149"/>
      <c r="T819" s="149"/>
      <c r="U819" s="149"/>
      <c r="V819" s="149"/>
      <c r="W819" s="149"/>
      <c r="X819" s="149"/>
      <c r="Y819" s="149"/>
      <c r="Z819" s="149"/>
    </row>
    <row r="820" spans="1:26" ht="84" customHeight="1">
      <c r="A820" s="533">
        <v>4</v>
      </c>
      <c r="B820" s="993" t="s">
        <v>2281</v>
      </c>
      <c r="C820" s="506">
        <v>0</v>
      </c>
      <c r="D820" s="506">
        <v>0</v>
      </c>
      <c r="E820" s="506">
        <v>0</v>
      </c>
      <c r="F820" s="506">
        <v>0</v>
      </c>
      <c r="G820" s="506">
        <v>0</v>
      </c>
      <c r="H820" s="506">
        <v>0</v>
      </c>
      <c r="I820" s="454" t="s">
        <v>38</v>
      </c>
      <c r="J820" s="507" t="s">
        <v>748</v>
      </c>
      <c r="K820" s="507" t="s">
        <v>748</v>
      </c>
      <c r="L820" s="507" t="s">
        <v>748</v>
      </c>
      <c r="M820" s="507" t="s">
        <v>748</v>
      </c>
      <c r="N820" s="507" t="s">
        <v>748</v>
      </c>
      <c r="O820" s="507" t="s">
        <v>748</v>
      </c>
      <c r="P820" s="534"/>
      <c r="Q820" s="534"/>
      <c r="R820" s="534"/>
      <c r="S820" s="535"/>
      <c r="T820" s="535"/>
      <c r="U820" s="535"/>
      <c r="V820" s="535"/>
      <c r="W820" s="535"/>
      <c r="X820" s="535"/>
      <c r="Y820" s="535"/>
      <c r="Z820" s="535"/>
    </row>
    <row r="821" spans="1:26" ht="13.5" customHeight="1">
      <c r="A821" s="143"/>
      <c r="B821" s="79"/>
      <c r="C821" s="87"/>
      <c r="D821" s="87"/>
      <c r="E821" s="87"/>
      <c r="F821" s="87"/>
      <c r="G821" s="87"/>
      <c r="H821" s="87"/>
      <c r="I821" s="454"/>
      <c r="J821" s="75"/>
      <c r="K821" s="75"/>
      <c r="L821" s="75"/>
      <c r="M821" s="75"/>
      <c r="N821" s="75"/>
      <c r="O821" s="75"/>
      <c r="P821" s="623"/>
      <c r="Q821" s="149"/>
      <c r="R821" s="149"/>
      <c r="S821" s="149"/>
      <c r="T821" s="149"/>
      <c r="U821" s="149"/>
      <c r="V821" s="149"/>
      <c r="W821" s="149"/>
      <c r="X821" s="149"/>
      <c r="Y821" s="149"/>
      <c r="Z821" s="149"/>
    </row>
    <row r="822" spans="1:26" ht="84" customHeight="1">
      <c r="A822" s="533">
        <v>5</v>
      </c>
      <c r="B822" s="993" t="s">
        <v>2286</v>
      </c>
      <c r="C822" s="506">
        <v>0</v>
      </c>
      <c r="D822" s="506">
        <v>0</v>
      </c>
      <c r="E822" s="506">
        <v>0</v>
      </c>
      <c r="F822" s="506">
        <v>0</v>
      </c>
      <c r="G822" s="506">
        <v>0</v>
      </c>
      <c r="H822" s="506">
        <v>0</v>
      </c>
      <c r="I822" s="454" t="s">
        <v>38</v>
      </c>
      <c r="J822" s="507" t="s">
        <v>748</v>
      </c>
      <c r="K822" s="507" t="s">
        <v>748</v>
      </c>
      <c r="L822" s="507" t="s">
        <v>748</v>
      </c>
      <c r="M822" s="507" t="s">
        <v>748</v>
      </c>
      <c r="N822" s="507" t="s">
        <v>748</v>
      </c>
      <c r="O822" s="507" t="s">
        <v>748</v>
      </c>
      <c r="P822" s="534"/>
      <c r="Q822" s="534"/>
      <c r="R822" s="534"/>
      <c r="S822" s="535"/>
      <c r="T822" s="535"/>
      <c r="U822" s="535"/>
      <c r="V822" s="535"/>
      <c r="W822" s="535"/>
      <c r="X822" s="535"/>
      <c r="Y822" s="535"/>
      <c r="Z822" s="535"/>
    </row>
    <row r="823" spans="1:26" ht="13.5" customHeight="1">
      <c r="A823" s="143"/>
      <c r="B823" s="79"/>
      <c r="C823" s="87"/>
      <c r="D823" s="87"/>
      <c r="E823" s="87"/>
      <c r="F823" s="87"/>
      <c r="G823" s="87"/>
      <c r="H823" s="87"/>
      <c r="I823" s="454"/>
      <c r="J823" s="75"/>
      <c r="K823" s="75"/>
      <c r="L823" s="75"/>
      <c r="M823" s="75"/>
      <c r="N823" s="75"/>
      <c r="O823" s="75"/>
      <c r="P823" s="623"/>
      <c r="Q823" s="149"/>
      <c r="R823" s="149"/>
      <c r="S823" s="149"/>
      <c r="T823" s="149"/>
      <c r="U823" s="149"/>
      <c r="V823" s="149"/>
      <c r="W823" s="149"/>
      <c r="X823" s="149"/>
      <c r="Y823" s="149"/>
      <c r="Z823" s="149"/>
    </row>
    <row r="824" spans="1:26" ht="137.25" customHeight="1">
      <c r="A824" s="533">
        <v>6</v>
      </c>
      <c r="B824" s="993" t="s">
        <v>2287</v>
      </c>
      <c r="C824" s="506">
        <v>0</v>
      </c>
      <c r="D824" s="506">
        <v>0</v>
      </c>
      <c r="E824" s="506">
        <v>0</v>
      </c>
      <c r="F824" s="506">
        <v>0</v>
      </c>
      <c r="G824" s="506">
        <v>0</v>
      </c>
      <c r="H824" s="506">
        <v>0</v>
      </c>
      <c r="I824" s="454" t="s">
        <v>38</v>
      </c>
      <c r="J824" s="507" t="s">
        <v>748</v>
      </c>
      <c r="K824" s="507" t="s">
        <v>748</v>
      </c>
      <c r="L824" s="507" t="s">
        <v>748</v>
      </c>
      <c r="M824" s="507" t="s">
        <v>5089</v>
      </c>
      <c r="N824" s="507" t="s">
        <v>748</v>
      </c>
      <c r="O824" s="507" t="s">
        <v>748</v>
      </c>
      <c r="P824" s="534"/>
      <c r="Q824" s="534"/>
      <c r="R824" s="534"/>
      <c r="S824" s="535"/>
      <c r="T824" s="535"/>
      <c r="U824" s="535"/>
      <c r="V824" s="535"/>
      <c r="W824" s="535"/>
      <c r="X824" s="535"/>
      <c r="Y824" s="535"/>
      <c r="Z824" s="535"/>
    </row>
    <row r="825" spans="1:26" ht="13.5" customHeight="1">
      <c r="A825" s="143"/>
      <c r="B825" s="79"/>
      <c r="C825" s="87"/>
      <c r="D825" s="87"/>
      <c r="E825" s="87"/>
      <c r="F825" s="87"/>
      <c r="G825" s="87"/>
      <c r="H825" s="87"/>
      <c r="I825" s="454"/>
      <c r="J825" s="291"/>
      <c r="K825" s="291"/>
      <c r="L825" s="291"/>
      <c r="M825" s="291"/>
      <c r="N825" s="291"/>
      <c r="O825" s="291"/>
      <c r="P825" s="623"/>
      <c r="Q825" s="149"/>
      <c r="R825" s="149"/>
      <c r="S825" s="149"/>
      <c r="T825" s="149"/>
      <c r="U825" s="149"/>
      <c r="V825" s="149"/>
      <c r="W825" s="149"/>
      <c r="X825" s="149"/>
      <c r="Y825" s="149"/>
      <c r="Z825" s="149"/>
    </row>
    <row r="826" spans="1:26" ht="115.5" customHeight="1">
      <c r="A826" s="533">
        <v>1</v>
      </c>
      <c r="B826" s="993" t="s">
        <v>5090</v>
      </c>
      <c r="C826" s="506">
        <v>1</v>
      </c>
      <c r="D826" s="506">
        <v>1</v>
      </c>
      <c r="E826" s="506">
        <v>0</v>
      </c>
      <c r="F826" s="506">
        <v>0</v>
      </c>
      <c r="G826" s="506">
        <v>0.3</v>
      </c>
      <c r="H826" s="506">
        <v>0</v>
      </c>
      <c r="I826" s="454" t="s">
        <v>38</v>
      </c>
      <c r="J826" s="507" t="s">
        <v>5091</v>
      </c>
      <c r="K826" s="507" t="s">
        <v>5092</v>
      </c>
      <c r="L826" s="507" t="s">
        <v>748</v>
      </c>
      <c r="M826" s="507" t="s">
        <v>4013</v>
      </c>
      <c r="N826" s="507" t="s">
        <v>4014</v>
      </c>
      <c r="O826" s="507" t="s">
        <v>748</v>
      </c>
      <c r="P826" s="534"/>
      <c r="Q826" s="534"/>
      <c r="R826" s="534"/>
      <c r="S826" s="535"/>
      <c r="T826" s="535"/>
      <c r="U826" s="535"/>
      <c r="V826" s="535"/>
      <c r="W826" s="535"/>
      <c r="X826" s="535"/>
      <c r="Y826" s="535"/>
      <c r="Z826" s="535"/>
    </row>
    <row r="827" spans="1:26" ht="13.5" customHeight="1">
      <c r="A827" s="143"/>
      <c r="B827" s="79"/>
      <c r="C827" s="87"/>
      <c r="D827" s="87"/>
      <c r="E827" s="87"/>
      <c r="F827" s="87"/>
      <c r="G827" s="87"/>
      <c r="H827" s="87"/>
      <c r="I827" s="454"/>
      <c r="J827" s="291"/>
      <c r="K827" s="834"/>
      <c r="L827" s="291"/>
      <c r="M827" s="291"/>
      <c r="N827" s="291"/>
      <c r="O827" s="291"/>
      <c r="P827" s="623"/>
      <c r="Q827" s="149"/>
      <c r="R827" s="149"/>
      <c r="S827" s="149"/>
      <c r="T827" s="149"/>
      <c r="U827" s="149"/>
      <c r="V827" s="149"/>
      <c r="W827" s="149"/>
      <c r="X827" s="149"/>
      <c r="Y827" s="149"/>
      <c r="Z827" s="149"/>
    </row>
    <row r="828" spans="1:26" ht="99.75" customHeight="1">
      <c r="A828" s="533" t="s">
        <v>736</v>
      </c>
      <c r="B828" s="504" t="s">
        <v>2295</v>
      </c>
      <c r="C828" s="506">
        <v>0.9</v>
      </c>
      <c r="D828" s="506">
        <v>0.5</v>
      </c>
      <c r="E828" s="506">
        <v>0</v>
      </c>
      <c r="F828" s="506">
        <v>0</v>
      </c>
      <c r="G828" s="506">
        <v>0.1</v>
      </c>
      <c r="H828" s="506">
        <v>0</v>
      </c>
      <c r="I828" s="454" t="s">
        <v>3857</v>
      </c>
      <c r="J828" s="507" t="s">
        <v>5093</v>
      </c>
      <c r="K828" s="507" t="s">
        <v>5094</v>
      </c>
      <c r="L828" s="507" t="s">
        <v>748</v>
      </c>
      <c r="M828" s="507" t="s">
        <v>5095</v>
      </c>
      <c r="N828" s="507" t="s">
        <v>4017</v>
      </c>
      <c r="O828" s="507" t="s">
        <v>748</v>
      </c>
      <c r="P828" s="832"/>
      <c r="Q828" s="535"/>
      <c r="R828" s="535"/>
      <c r="S828" s="535"/>
      <c r="T828" s="535"/>
      <c r="U828" s="535"/>
      <c r="V828" s="535"/>
      <c r="W828" s="535"/>
      <c r="X828" s="535"/>
      <c r="Y828" s="535"/>
      <c r="Z828" s="535"/>
    </row>
    <row r="829" spans="1:26" ht="18" customHeight="1">
      <c r="A829" s="143"/>
      <c r="B829" s="930"/>
      <c r="C829" s="149"/>
      <c r="D829" s="149"/>
      <c r="E829" s="149"/>
      <c r="F829" s="149"/>
      <c r="G829" s="149"/>
      <c r="H829" s="149"/>
      <c r="I829" s="454"/>
      <c r="J829" s="291"/>
      <c r="K829" s="834"/>
      <c r="L829" s="291"/>
      <c r="M829" s="291"/>
      <c r="N829" s="291"/>
      <c r="O829" s="291"/>
      <c r="P829" s="623"/>
      <c r="Q829" s="149"/>
      <c r="R829" s="149"/>
      <c r="S829" s="149"/>
      <c r="T829" s="149"/>
      <c r="U829" s="149"/>
      <c r="V829" s="149"/>
      <c r="W829" s="149"/>
      <c r="X829" s="149"/>
      <c r="Y829" s="149"/>
      <c r="Z829" s="149"/>
    </row>
    <row r="830" spans="1:26" ht="142.5" customHeight="1">
      <c r="A830" s="533" t="s">
        <v>736</v>
      </c>
      <c r="B830" s="504" t="s">
        <v>2301</v>
      </c>
      <c r="C830" s="506">
        <v>0</v>
      </c>
      <c r="D830" s="506">
        <v>0</v>
      </c>
      <c r="E830" s="506">
        <v>0</v>
      </c>
      <c r="F830" s="506">
        <v>0</v>
      </c>
      <c r="G830" s="506">
        <v>0.1</v>
      </c>
      <c r="H830" s="506">
        <v>0</v>
      </c>
      <c r="I830" s="454" t="s">
        <v>38</v>
      </c>
      <c r="J830" s="507" t="s">
        <v>5096</v>
      </c>
      <c r="K830" s="507" t="s">
        <v>748</v>
      </c>
      <c r="L830" s="507" t="s">
        <v>748</v>
      </c>
      <c r="M830" s="507" t="s">
        <v>5097</v>
      </c>
      <c r="N830" s="507" t="s">
        <v>4020</v>
      </c>
      <c r="O830" s="507" t="s">
        <v>748</v>
      </c>
      <c r="P830" s="832"/>
      <c r="Q830" s="535"/>
      <c r="R830" s="535"/>
      <c r="S830" s="535"/>
      <c r="T830" s="535"/>
      <c r="U830" s="535"/>
      <c r="V830" s="535"/>
      <c r="W830" s="535"/>
      <c r="X830" s="535"/>
      <c r="Y830" s="535"/>
      <c r="Z830" s="535"/>
    </row>
    <row r="831" spans="1:26" ht="13.5" customHeight="1">
      <c r="A831" s="143"/>
      <c r="B831" s="931"/>
      <c r="C831" s="149"/>
      <c r="D831" s="149"/>
      <c r="E831" s="149"/>
      <c r="F831" s="149"/>
      <c r="G831" s="149"/>
      <c r="H831" s="149"/>
      <c r="I831" s="454"/>
      <c r="J831" s="291"/>
      <c r="K831" s="149"/>
      <c r="L831" s="291"/>
      <c r="M831" s="291"/>
      <c r="N831" s="291"/>
      <c r="O831" s="149"/>
      <c r="P831" s="623"/>
      <c r="Q831" s="149"/>
      <c r="R831" s="149"/>
      <c r="S831" s="149"/>
      <c r="T831" s="149"/>
      <c r="U831" s="149"/>
      <c r="V831" s="149"/>
      <c r="W831" s="149"/>
      <c r="X831" s="149"/>
      <c r="Y831" s="149"/>
      <c r="Z831" s="149"/>
    </row>
    <row r="832" spans="1:26" ht="27.75" customHeight="1">
      <c r="A832" s="533" t="s">
        <v>668</v>
      </c>
      <c r="B832" s="517" t="s">
        <v>690</v>
      </c>
      <c r="C832" s="506">
        <f t="shared" ref="C832:H832" si="157">AVERAGE(C833,C837)</f>
        <v>9.9999999999999992E-2</v>
      </c>
      <c r="D832" s="506">
        <f t="shared" si="157"/>
        <v>0.66666666666666663</v>
      </c>
      <c r="E832" s="506">
        <f t="shared" si="157"/>
        <v>0</v>
      </c>
      <c r="F832" s="506">
        <f t="shared" si="157"/>
        <v>0.41666666666666663</v>
      </c>
      <c r="G832" s="506">
        <f t="shared" si="157"/>
        <v>0.66666666666666663</v>
      </c>
      <c r="H832" s="506">
        <f t="shared" si="157"/>
        <v>0</v>
      </c>
      <c r="I832" s="454"/>
      <c r="J832" s="823"/>
      <c r="K832" s="833"/>
      <c r="L832" s="823"/>
      <c r="M832" s="823"/>
      <c r="N832" s="823"/>
      <c r="O832" s="833"/>
      <c r="P832" s="832"/>
      <c r="Q832" s="535"/>
      <c r="R832" s="535"/>
      <c r="S832" s="535"/>
      <c r="T832" s="535"/>
      <c r="U832" s="535"/>
      <c r="V832" s="535"/>
      <c r="W832" s="535"/>
      <c r="X832" s="535"/>
      <c r="Y832" s="535"/>
      <c r="Z832" s="535"/>
    </row>
    <row r="833" spans="1:26" ht="47.25" customHeight="1">
      <c r="A833" s="533" t="s">
        <v>736</v>
      </c>
      <c r="B833" s="517" t="s">
        <v>691</v>
      </c>
      <c r="C833" s="506">
        <f>AVERAGE(C834:C835)</f>
        <v>0</v>
      </c>
      <c r="D833" s="506">
        <f>AVERAGE(D834:D835)</f>
        <v>1</v>
      </c>
      <c r="E833" s="506">
        <f>AVERAGE(E834:E835)</f>
        <v>0</v>
      </c>
      <c r="F833" s="506">
        <v>0.5</v>
      </c>
      <c r="G833" s="506">
        <f>AVERAGE(G834:G835)</f>
        <v>1</v>
      </c>
      <c r="H833" s="506">
        <f>AVERAGE(H834:H835)</f>
        <v>0</v>
      </c>
      <c r="I833" s="454"/>
      <c r="J833" s="507"/>
      <c r="K833" s="507"/>
      <c r="L833" s="507"/>
      <c r="M833" s="507"/>
      <c r="N833" s="507"/>
      <c r="O833" s="507"/>
      <c r="P833" s="534"/>
      <c r="Q833" s="534"/>
      <c r="R833" s="534"/>
      <c r="S833" s="535"/>
      <c r="T833" s="535"/>
      <c r="U833" s="535"/>
      <c r="V833" s="535"/>
      <c r="W833" s="535"/>
      <c r="X833" s="535"/>
      <c r="Y833" s="535"/>
      <c r="Z833" s="535"/>
    </row>
    <row r="834" spans="1:26" ht="47.25" customHeight="1">
      <c r="A834" s="533">
        <v>1</v>
      </c>
      <c r="B834" s="993" t="s">
        <v>692</v>
      </c>
      <c r="C834" s="506">
        <v>0</v>
      </c>
      <c r="D834" s="506">
        <v>1</v>
      </c>
      <c r="E834" s="506">
        <v>0</v>
      </c>
      <c r="F834" s="506">
        <v>0.5</v>
      </c>
      <c r="G834" s="506">
        <v>1</v>
      </c>
      <c r="H834" s="506">
        <v>0</v>
      </c>
      <c r="I834" s="454" t="s">
        <v>3857</v>
      </c>
      <c r="J834" s="507" t="s">
        <v>5098</v>
      </c>
      <c r="K834" s="507" t="s">
        <v>5099</v>
      </c>
      <c r="L834" s="507" t="s">
        <v>748</v>
      </c>
      <c r="M834" s="507" t="s">
        <v>5100</v>
      </c>
      <c r="N834" s="507" t="s">
        <v>5101</v>
      </c>
      <c r="O834" s="507" t="s">
        <v>748</v>
      </c>
      <c r="P834" s="534"/>
      <c r="Q834" s="534"/>
      <c r="R834" s="534"/>
      <c r="S834" s="535"/>
      <c r="T834" s="535"/>
      <c r="U834" s="535"/>
      <c r="V834" s="535"/>
      <c r="W834" s="535"/>
      <c r="X834" s="535"/>
      <c r="Y834" s="535"/>
      <c r="Z834" s="535"/>
    </row>
    <row r="835" spans="1:26" ht="47.25" customHeight="1">
      <c r="A835" s="533">
        <v>2</v>
      </c>
      <c r="B835" s="993" t="s">
        <v>693</v>
      </c>
      <c r="C835" s="506">
        <v>0</v>
      </c>
      <c r="D835" s="506">
        <v>1</v>
      </c>
      <c r="E835" s="506">
        <v>0</v>
      </c>
      <c r="F835" s="506">
        <v>0.5</v>
      </c>
      <c r="G835" s="506">
        <v>1</v>
      </c>
      <c r="H835" s="506">
        <v>0</v>
      </c>
      <c r="I835" s="454" t="s">
        <v>3857</v>
      </c>
      <c r="J835" s="507" t="s">
        <v>5102</v>
      </c>
      <c r="K835" s="507" t="s">
        <v>811</v>
      </c>
      <c r="L835" s="507" t="s">
        <v>748</v>
      </c>
      <c r="M835" s="507" t="s">
        <v>5103</v>
      </c>
      <c r="N835" s="507" t="s">
        <v>5104</v>
      </c>
      <c r="O835" s="507" t="s">
        <v>748</v>
      </c>
      <c r="P835" s="534"/>
      <c r="Q835" s="534"/>
      <c r="R835" s="534"/>
      <c r="S835" s="535"/>
      <c r="T835" s="535"/>
      <c r="U835" s="535"/>
      <c r="V835" s="535"/>
      <c r="W835" s="535"/>
      <c r="X835" s="535"/>
      <c r="Y835" s="535"/>
      <c r="Z835" s="535"/>
    </row>
    <row r="836" spans="1:26" ht="13.5" customHeight="1">
      <c r="A836" s="143"/>
      <c r="B836" s="931"/>
      <c r="C836" s="87"/>
      <c r="D836" s="87"/>
      <c r="E836" s="87"/>
      <c r="F836" s="87"/>
      <c r="G836" s="87"/>
      <c r="H836" s="87"/>
      <c r="I836" s="454"/>
      <c r="J836" s="291"/>
      <c r="K836" s="291"/>
      <c r="L836" s="291"/>
      <c r="M836" s="291"/>
      <c r="N836" s="291"/>
      <c r="O836" s="149"/>
      <c r="P836" s="149"/>
      <c r="Q836" s="149"/>
      <c r="R836" s="149"/>
      <c r="S836" s="149"/>
      <c r="T836" s="149"/>
      <c r="U836" s="149"/>
      <c r="V836" s="149"/>
      <c r="W836" s="149"/>
      <c r="X836" s="149"/>
      <c r="Y836" s="149"/>
      <c r="Z836" s="149"/>
    </row>
    <row r="837" spans="1:26" ht="27.75" customHeight="1">
      <c r="A837" s="533" t="s">
        <v>736</v>
      </c>
      <c r="B837" s="517" t="s">
        <v>695</v>
      </c>
      <c r="C837" s="506">
        <f t="shared" ref="C837:H837" si="158">AVERAGE(C838:C840)</f>
        <v>0.19999999999999998</v>
      </c>
      <c r="D837" s="506">
        <f t="shared" si="158"/>
        <v>0.33333333333333331</v>
      </c>
      <c r="E837" s="506">
        <f t="shared" si="158"/>
        <v>0</v>
      </c>
      <c r="F837" s="506">
        <f t="shared" si="158"/>
        <v>0.33333333333333331</v>
      </c>
      <c r="G837" s="506">
        <f t="shared" si="158"/>
        <v>0.33333333333333331</v>
      </c>
      <c r="H837" s="506">
        <f t="shared" si="158"/>
        <v>0</v>
      </c>
      <c r="I837" s="454"/>
      <c r="J837" s="507"/>
      <c r="K837" s="507"/>
      <c r="L837" s="507"/>
      <c r="M837" s="507"/>
      <c r="N837" s="507"/>
      <c r="O837" s="507"/>
      <c r="P837" s="534"/>
      <c r="Q837" s="534"/>
      <c r="R837" s="534"/>
      <c r="S837" s="535"/>
      <c r="T837" s="535"/>
      <c r="U837" s="535"/>
      <c r="V837" s="535"/>
      <c r="W837" s="535"/>
      <c r="X837" s="535"/>
      <c r="Y837" s="535"/>
      <c r="Z837" s="535"/>
    </row>
    <row r="838" spans="1:26" ht="145.5" customHeight="1">
      <c r="A838" s="533">
        <v>1</v>
      </c>
      <c r="B838" s="993" t="s">
        <v>696</v>
      </c>
      <c r="C838" s="506">
        <v>0</v>
      </c>
      <c r="D838" s="506">
        <v>0.5</v>
      </c>
      <c r="E838" s="506">
        <v>0</v>
      </c>
      <c r="F838" s="506">
        <v>0</v>
      </c>
      <c r="G838" s="506">
        <v>1</v>
      </c>
      <c r="H838" s="506">
        <v>0</v>
      </c>
      <c r="I838" s="454" t="s">
        <v>3857</v>
      </c>
      <c r="J838" s="507" t="s">
        <v>5105</v>
      </c>
      <c r="K838" s="507" t="s">
        <v>5106</v>
      </c>
      <c r="L838" s="507" t="s">
        <v>4026</v>
      </c>
      <c r="M838" s="507" t="s">
        <v>748</v>
      </c>
      <c r="N838" s="507" t="s">
        <v>5107</v>
      </c>
      <c r="O838" s="507" t="s">
        <v>748</v>
      </c>
      <c r="P838" s="534"/>
      <c r="Q838" s="534"/>
      <c r="R838" s="534"/>
      <c r="S838" s="535"/>
      <c r="T838" s="535"/>
      <c r="U838" s="535"/>
      <c r="V838" s="535"/>
      <c r="W838" s="535"/>
      <c r="X838" s="535"/>
      <c r="Y838" s="535"/>
      <c r="Z838" s="535"/>
    </row>
    <row r="839" spans="1:26" ht="132" customHeight="1">
      <c r="A839" s="533">
        <v>2</v>
      </c>
      <c r="B839" s="993" t="s">
        <v>5108</v>
      </c>
      <c r="C839" s="506">
        <v>0.3</v>
      </c>
      <c r="D839" s="506">
        <v>0</v>
      </c>
      <c r="E839" s="506">
        <v>0</v>
      </c>
      <c r="F839" s="506">
        <v>0</v>
      </c>
      <c r="G839" s="506">
        <v>0</v>
      </c>
      <c r="H839" s="506">
        <v>0</v>
      </c>
      <c r="I839" s="454" t="s">
        <v>38</v>
      </c>
      <c r="J839" s="835" t="s">
        <v>4029</v>
      </c>
      <c r="K839" s="507" t="s">
        <v>748</v>
      </c>
      <c r="L839" s="507" t="s">
        <v>748</v>
      </c>
      <c r="M839" s="507" t="s">
        <v>5109</v>
      </c>
      <c r="N839" s="507" t="s">
        <v>748</v>
      </c>
      <c r="O839" s="507" t="s">
        <v>748</v>
      </c>
      <c r="P839" s="534"/>
      <c r="Q839" s="534"/>
      <c r="R839" s="534"/>
      <c r="S839" s="535"/>
      <c r="T839" s="535"/>
      <c r="U839" s="535"/>
      <c r="V839" s="535"/>
      <c r="W839" s="535"/>
      <c r="X839" s="535"/>
      <c r="Y839" s="535"/>
      <c r="Z839" s="535"/>
    </row>
    <row r="840" spans="1:26" ht="177" customHeight="1">
      <c r="A840" s="533">
        <v>3</v>
      </c>
      <c r="B840" s="993" t="s">
        <v>698</v>
      </c>
      <c r="C840" s="506">
        <v>0.3</v>
      </c>
      <c r="D840" s="506">
        <v>0.5</v>
      </c>
      <c r="E840" s="506">
        <v>0</v>
      </c>
      <c r="F840" s="506">
        <v>1</v>
      </c>
      <c r="G840" s="506">
        <v>0</v>
      </c>
      <c r="H840" s="506">
        <v>0</v>
      </c>
      <c r="I840" s="454" t="s">
        <v>3857</v>
      </c>
      <c r="J840" s="835" t="s">
        <v>4031</v>
      </c>
      <c r="K840" s="507" t="s">
        <v>2320</v>
      </c>
      <c r="L840" s="507" t="s">
        <v>748</v>
      </c>
      <c r="M840" s="507" t="s">
        <v>5110</v>
      </c>
      <c r="N840" s="507" t="s">
        <v>748</v>
      </c>
      <c r="O840" s="507" t="s">
        <v>748</v>
      </c>
      <c r="P840" s="534"/>
      <c r="Q840" s="534"/>
      <c r="R840" s="534"/>
      <c r="S840" s="535"/>
      <c r="T840" s="535"/>
      <c r="U840" s="535"/>
      <c r="V840" s="535"/>
      <c r="W840" s="535"/>
      <c r="X840" s="535"/>
      <c r="Y840" s="535"/>
      <c r="Z840" s="535"/>
    </row>
    <row r="841" spans="1:26" ht="13.5" customHeight="1">
      <c r="A841" s="143"/>
      <c r="B841" s="931"/>
      <c r="C841" s="87"/>
      <c r="D841" s="87"/>
      <c r="E841" s="87"/>
      <c r="F841" s="87"/>
      <c r="G841" s="87"/>
      <c r="H841" s="87"/>
      <c r="I841" s="454"/>
      <c r="J841" s="291"/>
      <c r="K841" s="291"/>
      <c r="L841" s="291"/>
      <c r="M841" s="291"/>
      <c r="N841" s="291"/>
      <c r="O841" s="291"/>
      <c r="P841" s="149"/>
      <c r="Q841" s="149"/>
      <c r="R841" s="149"/>
      <c r="S841" s="149"/>
      <c r="T841" s="149"/>
      <c r="U841" s="149"/>
      <c r="V841" s="149"/>
      <c r="W841" s="149"/>
      <c r="X841" s="149"/>
      <c r="Y841" s="149"/>
      <c r="Z841" s="149"/>
    </row>
    <row r="842" spans="1:26" ht="14.25" customHeight="1">
      <c r="A842" s="533" t="s">
        <v>2321</v>
      </c>
      <c r="B842" s="517" t="s">
        <v>703</v>
      </c>
      <c r="C842" s="506">
        <f t="shared" ref="C842:H842" si="159">AVERAGE(C843,C845)</f>
        <v>0.45532066993464054</v>
      </c>
      <c r="D842" s="506">
        <f t="shared" si="159"/>
        <v>0.68489583333333337</v>
      </c>
      <c r="E842" s="506">
        <f t="shared" si="159"/>
        <v>0.68035130718954251</v>
      </c>
      <c r="F842" s="506">
        <f t="shared" si="159"/>
        <v>0.848703022875817</v>
      </c>
      <c r="G842" s="506">
        <f t="shared" si="159"/>
        <v>0.93027982026143796</v>
      </c>
      <c r="H842" s="506">
        <f t="shared" si="159"/>
        <v>0.88648897058823528</v>
      </c>
      <c r="I842" s="454"/>
      <c r="J842" s="823"/>
      <c r="K842" s="823"/>
      <c r="L842" s="823"/>
      <c r="M842" s="823"/>
      <c r="N842" s="823"/>
      <c r="O842" s="823"/>
      <c r="P842" s="535"/>
      <c r="Q842" s="535"/>
      <c r="R842" s="535"/>
      <c r="S842" s="535"/>
      <c r="T842" s="535"/>
      <c r="U842" s="535"/>
      <c r="V842" s="535"/>
      <c r="W842" s="535"/>
      <c r="X842" s="535"/>
      <c r="Y842" s="535"/>
      <c r="Z842" s="535"/>
    </row>
    <row r="843" spans="1:26" ht="55.5" customHeight="1">
      <c r="A843" s="533" t="s">
        <v>736</v>
      </c>
      <c r="B843" s="517" t="s">
        <v>5111</v>
      </c>
      <c r="C843" s="506">
        <f>1-(0.44-0.09)/(0.73-0.09)</f>
        <v>0.453125</v>
      </c>
      <c r="D843" s="506">
        <f>1-(0.28-0.09)/(0.73-0.09)</f>
        <v>0.703125</v>
      </c>
      <c r="E843" s="506">
        <f>1-(0.29-0.09)/(0.73-0.09)</f>
        <v>0.6875</v>
      </c>
      <c r="F843" s="506">
        <f>1-(0.2-0.09)/(0.73-0.09)</f>
        <v>0.828125</v>
      </c>
      <c r="G843" s="506">
        <f>1-(0.16-0.09)/(0.73-0.09)</f>
        <v>0.890625</v>
      </c>
      <c r="H843" s="506">
        <f>1-(0.16-0.09)/(0.73-0.09)</f>
        <v>0.890625</v>
      </c>
      <c r="I843" s="454" t="s">
        <v>5112</v>
      </c>
      <c r="J843" s="507">
        <v>0.44</v>
      </c>
      <c r="K843" s="507" t="s">
        <v>5113</v>
      </c>
      <c r="L843" s="507">
        <v>0.28999999999999998</v>
      </c>
      <c r="M843" s="507">
        <v>0.2</v>
      </c>
      <c r="N843" s="769">
        <v>0.158</v>
      </c>
      <c r="O843" s="507">
        <v>0.16</v>
      </c>
      <c r="P843" s="534"/>
      <c r="Q843" s="534"/>
      <c r="R843" s="534"/>
      <c r="S843" s="535"/>
      <c r="T843" s="535"/>
      <c r="U843" s="535"/>
      <c r="V843" s="535"/>
      <c r="W843" s="535"/>
      <c r="X843" s="535"/>
      <c r="Y843" s="535"/>
      <c r="Z843" s="535"/>
    </row>
    <row r="844" spans="1:26" ht="13.5" customHeight="1">
      <c r="A844" s="143"/>
      <c r="B844" s="931"/>
      <c r="C844" s="87"/>
      <c r="D844" s="87"/>
      <c r="E844" s="87"/>
      <c r="F844" s="87"/>
      <c r="G844" s="87"/>
      <c r="H844" s="87"/>
      <c r="I844" s="454"/>
      <c r="J844" s="291"/>
      <c r="K844" s="291"/>
      <c r="L844" s="291"/>
      <c r="M844" s="291"/>
      <c r="N844" s="291"/>
      <c r="O844" s="291"/>
      <c r="P844" s="149"/>
      <c r="Q844" s="149"/>
      <c r="R844" s="149"/>
      <c r="S844" s="149"/>
      <c r="T844" s="149"/>
      <c r="U844" s="149"/>
      <c r="V844" s="149"/>
      <c r="W844" s="149"/>
      <c r="X844" s="149"/>
      <c r="Y844" s="149"/>
      <c r="Z844" s="149"/>
    </row>
    <row r="845" spans="1:26" ht="51" customHeight="1">
      <c r="A845" s="533" t="s">
        <v>736</v>
      </c>
      <c r="B845" s="517" t="s">
        <v>5114</v>
      </c>
      <c r="C845" s="506">
        <f t="shared" ref="C845:H845" si="160">1-(J845-0.15)/(1.69-0.16)</f>
        <v>0.45751633986928109</v>
      </c>
      <c r="D845" s="506">
        <f t="shared" si="160"/>
        <v>0.66666666666666674</v>
      </c>
      <c r="E845" s="506">
        <f t="shared" si="160"/>
        <v>0.67320261437908502</v>
      </c>
      <c r="F845" s="506">
        <f t="shared" si="160"/>
        <v>0.86928104575163401</v>
      </c>
      <c r="G845" s="506">
        <f t="shared" si="160"/>
        <v>0.96993464052287581</v>
      </c>
      <c r="H845" s="506">
        <f t="shared" si="160"/>
        <v>0.88235294117647056</v>
      </c>
      <c r="I845" s="454" t="s">
        <v>4041</v>
      </c>
      <c r="J845" s="507">
        <v>0.98</v>
      </c>
      <c r="K845" s="507">
        <v>0.66</v>
      </c>
      <c r="L845" s="507">
        <v>0.65</v>
      </c>
      <c r="M845" s="507">
        <v>0.35</v>
      </c>
      <c r="N845" s="769">
        <v>0.19600000000000001</v>
      </c>
      <c r="O845" s="507">
        <v>0.33</v>
      </c>
      <c r="P845" s="534"/>
      <c r="Q845" s="534"/>
      <c r="R845" s="534"/>
      <c r="S845" s="535"/>
      <c r="T845" s="535"/>
      <c r="U845" s="535"/>
      <c r="V845" s="535"/>
      <c r="W845" s="535"/>
      <c r="X845" s="535"/>
      <c r="Y845" s="535"/>
      <c r="Z845" s="535"/>
    </row>
    <row r="846" spans="1:26" ht="16.5" customHeight="1">
      <c r="A846" s="143"/>
      <c r="B846" s="144"/>
      <c r="C846" s="87"/>
      <c r="D846" s="87"/>
      <c r="E846" s="87"/>
      <c r="F846" s="87"/>
      <c r="G846" s="87"/>
      <c r="H846" s="87"/>
      <c r="I846" s="454"/>
      <c r="J846" s="291"/>
      <c r="K846" s="291"/>
      <c r="L846" s="291"/>
      <c r="M846" s="291"/>
      <c r="N846" s="291"/>
      <c r="O846" s="291"/>
      <c r="P846" s="149"/>
      <c r="Q846" s="149"/>
      <c r="R846" s="149"/>
      <c r="S846" s="149"/>
      <c r="T846" s="149"/>
      <c r="U846" s="149"/>
      <c r="V846" s="149"/>
      <c r="W846" s="149"/>
      <c r="X846" s="149"/>
      <c r="Y846" s="149"/>
      <c r="Z846" s="149"/>
    </row>
    <row r="847" spans="1:26" ht="13.5" customHeight="1">
      <c r="A847" s="546" t="s">
        <v>2329</v>
      </c>
      <c r="B847" s="546" t="s">
        <v>706</v>
      </c>
      <c r="C847" s="545">
        <f t="shared" ref="C847:H847" si="161">AVERAGE(C848,C854,C860,C866,C872,C878)</f>
        <v>0.48528830963665087</v>
      </c>
      <c r="D847" s="545">
        <f t="shared" si="161"/>
        <v>0.50167851500789895</v>
      </c>
      <c r="E847" s="545">
        <f t="shared" si="161"/>
        <v>0.14955239599789361</v>
      </c>
      <c r="F847" s="545">
        <f t="shared" si="161"/>
        <v>0.5625</v>
      </c>
      <c r="G847" s="545">
        <f t="shared" si="161"/>
        <v>0.65567403896787779</v>
      </c>
      <c r="H847" s="545">
        <f t="shared" si="161"/>
        <v>0.60416666666666663</v>
      </c>
      <c r="I847" s="546"/>
      <c r="J847" s="163"/>
      <c r="K847" s="163"/>
      <c r="L847" s="163"/>
      <c r="M847" s="163"/>
      <c r="N847" s="163"/>
      <c r="O847" s="163"/>
      <c r="P847" s="549"/>
      <c r="Q847" s="549"/>
      <c r="R847" s="549"/>
      <c r="S847" s="546"/>
      <c r="T847" s="546"/>
      <c r="U847" s="546"/>
      <c r="V847" s="546"/>
      <c r="W847" s="546"/>
      <c r="X847" s="546"/>
      <c r="Y847" s="546"/>
      <c r="Z847" s="546"/>
    </row>
    <row r="848" spans="1:26" ht="54" customHeight="1">
      <c r="A848" s="836" t="s">
        <v>736</v>
      </c>
      <c r="B848" s="517" t="s">
        <v>707</v>
      </c>
      <c r="C848" s="837">
        <f>SUM(C849:C852)/4</f>
        <v>0.25</v>
      </c>
      <c r="D848" s="837">
        <f>SUM(D849:D852)/4</f>
        <v>0.625</v>
      </c>
      <c r="E848" s="837">
        <f>SUM(E849:E852)/3</f>
        <v>0</v>
      </c>
      <c r="F848" s="837">
        <f>SUM(F849:F852)/4</f>
        <v>0.875</v>
      </c>
      <c r="G848" s="837">
        <f>SUM(G849:G852)/3</f>
        <v>1</v>
      </c>
      <c r="H848" s="837">
        <f>SUM(H849:H852)/4</f>
        <v>0.5</v>
      </c>
      <c r="I848" s="607" t="s">
        <v>4042</v>
      </c>
      <c r="J848" s="507"/>
      <c r="K848" s="507"/>
      <c r="L848" s="507"/>
      <c r="M848" s="507"/>
      <c r="N848" s="507"/>
      <c r="O848" s="507"/>
      <c r="P848" s="534"/>
      <c r="Q848" s="534"/>
      <c r="R848" s="534"/>
      <c r="S848" s="535"/>
      <c r="T848" s="535"/>
      <c r="U848" s="535"/>
      <c r="V848" s="535"/>
      <c r="W848" s="535"/>
      <c r="X848" s="535"/>
      <c r="Y848" s="535"/>
      <c r="Z848" s="535"/>
    </row>
    <row r="849" spans="1:26" ht="54" customHeight="1">
      <c r="A849" s="838"/>
      <c r="B849" s="793" t="s">
        <v>709</v>
      </c>
      <c r="C849" s="837">
        <v>0.5</v>
      </c>
      <c r="D849" s="837">
        <v>0.5</v>
      </c>
      <c r="E849" s="837">
        <v>0</v>
      </c>
      <c r="F849" s="837">
        <v>0.5</v>
      </c>
      <c r="G849" s="837">
        <v>1</v>
      </c>
      <c r="H849" s="837">
        <v>0</v>
      </c>
      <c r="I849" s="607"/>
      <c r="J849" s="839" t="s">
        <v>4043</v>
      </c>
      <c r="K849" s="839" t="s">
        <v>4044</v>
      </c>
      <c r="L849" s="839" t="s">
        <v>2332</v>
      </c>
      <c r="M849" s="839" t="s">
        <v>5115</v>
      </c>
      <c r="N849" s="839" t="s">
        <v>5116</v>
      </c>
      <c r="O849" s="839" t="s">
        <v>2332</v>
      </c>
      <c r="P849" s="534"/>
      <c r="Q849" s="534"/>
      <c r="R849" s="534"/>
      <c r="S849" s="535"/>
      <c r="T849" s="535"/>
      <c r="U849" s="535"/>
      <c r="V849" s="535"/>
      <c r="W849" s="535"/>
      <c r="X849" s="535"/>
      <c r="Y849" s="535"/>
      <c r="Z849" s="535"/>
    </row>
    <row r="850" spans="1:26" ht="54" customHeight="1">
      <c r="A850" s="838"/>
      <c r="B850" s="793" t="s">
        <v>569</v>
      </c>
      <c r="C850" s="837">
        <v>0</v>
      </c>
      <c r="D850" s="837">
        <v>1</v>
      </c>
      <c r="E850" s="837">
        <v>0</v>
      </c>
      <c r="F850" s="837">
        <v>1</v>
      </c>
      <c r="G850" s="837">
        <v>1</v>
      </c>
      <c r="H850" s="837">
        <v>1</v>
      </c>
      <c r="I850" s="607" t="s">
        <v>710</v>
      </c>
      <c r="J850" s="839" t="s">
        <v>4047</v>
      </c>
      <c r="K850" s="839" t="s">
        <v>2339</v>
      </c>
      <c r="L850" s="839" t="s">
        <v>4048</v>
      </c>
      <c r="M850" s="839" t="s">
        <v>2339</v>
      </c>
      <c r="N850" s="839" t="s">
        <v>2339</v>
      </c>
      <c r="O850" s="839" t="s">
        <v>2339</v>
      </c>
      <c r="P850" s="534"/>
      <c r="Q850" s="534"/>
      <c r="R850" s="534"/>
      <c r="S850" s="535"/>
      <c r="T850" s="535"/>
      <c r="U850" s="535"/>
      <c r="V850" s="535"/>
      <c r="W850" s="535"/>
      <c r="X850" s="535"/>
      <c r="Y850" s="535"/>
      <c r="Z850" s="535"/>
    </row>
    <row r="851" spans="1:26" ht="54" customHeight="1">
      <c r="A851" s="838"/>
      <c r="B851" s="793" t="s">
        <v>711</v>
      </c>
      <c r="C851" s="837">
        <v>0</v>
      </c>
      <c r="D851" s="837">
        <v>1</v>
      </c>
      <c r="E851" s="837" t="s">
        <v>1073</v>
      </c>
      <c r="F851" s="837">
        <v>1</v>
      </c>
      <c r="G851" s="837" t="s">
        <v>1073</v>
      </c>
      <c r="H851" s="837">
        <v>1</v>
      </c>
      <c r="I851" s="607"/>
      <c r="J851" s="839" t="s">
        <v>5117</v>
      </c>
      <c r="K851" s="839" t="s">
        <v>2341</v>
      </c>
      <c r="L851" s="839" t="s">
        <v>2342</v>
      </c>
      <c r="M851" s="839" t="s">
        <v>2341</v>
      </c>
      <c r="N851" s="839" t="s">
        <v>2342</v>
      </c>
      <c r="O851" s="839" t="s">
        <v>2341</v>
      </c>
      <c r="P851" s="534"/>
      <c r="Q851" s="534"/>
      <c r="R851" s="534"/>
      <c r="S851" s="535"/>
      <c r="T851" s="535"/>
      <c r="U851" s="535"/>
      <c r="V851" s="535"/>
      <c r="W851" s="535"/>
      <c r="X851" s="535"/>
      <c r="Y851" s="535"/>
      <c r="Z851" s="535"/>
    </row>
    <row r="852" spans="1:26" ht="32.25" customHeight="1">
      <c r="A852" s="838"/>
      <c r="B852" s="793" t="s">
        <v>712</v>
      </c>
      <c r="C852" s="837">
        <v>0.5</v>
      </c>
      <c r="D852" s="837">
        <v>0</v>
      </c>
      <c r="E852" s="837">
        <v>0</v>
      </c>
      <c r="F852" s="837">
        <v>1</v>
      </c>
      <c r="G852" s="837">
        <v>1</v>
      </c>
      <c r="H852" s="837">
        <v>0</v>
      </c>
      <c r="I852" s="607"/>
      <c r="J852" s="839" t="s">
        <v>2343</v>
      </c>
      <c r="K852" s="839" t="s">
        <v>2345</v>
      </c>
      <c r="L852" s="839" t="s">
        <v>2345</v>
      </c>
      <c r="M852" s="839" t="s">
        <v>2346</v>
      </c>
      <c r="N852" s="839" t="s">
        <v>2344</v>
      </c>
      <c r="O852" s="839" t="s">
        <v>2345</v>
      </c>
      <c r="P852" s="534"/>
      <c r="Q852" s="534"/>
      <c r="R852" s="534"/>
      <c r="S852" s="535"/>
      <c r="T852" s="535"/>
      <c r="U852" s="535"/>
      <c r="V852" s="535"/>
      <c r="W852" s="535"/>
      <c r="X852" s="535"/>
      <c r="Y852" s="535"/>
      <c r="Z852" s="535"/>
    </row>
    <row r="853" spans="1:26" ht="13.5" customHeight="1">
      <c r="A853" s="662"/>
      <c r="B853" s="662"/>
      <c r="C853" s="87"/>
      <c r="D853" s="87"/>
      <c r="E853" s="87"/>
      <c r="F853" s="87"/>
      <c r="G853" s="87"/>
      <c r="H853" s="87"/>
      <c r="I853" s="607"/>
      <c r="J853" s="75"/>
      <c r="K853" s="75"/>
      <c r="L853" s="75"/>
      <c r="M853" s="75"/>
      <c r="N853" s="75"/>
      <c r="O853" s="75"/>
      <c r="P853" s="146"/>
      <c r="Q853" s="146"/>
      <c r="R853" s="146"/>
      <c r="S853" s="149"/>
      <c r="T853" s="149"/>
      <c r="U853" s="149"/>
      <c r="V853" s="149"/>
      <c r="W853" s="149"/>
      <c r="X853" s="149"/>
      <c r="Y853" s="149"/>
      <c r="Z853" s="149"/>
    </row>
    <row r="854" spans="1:26" ht="49.5" customHeight="1">
      <c r="A854" s="836" t="s">
        <v>736</v>
      </c>
      <c r="B854" s="517" t="s">
        <v>713</v>
      </c>
      <c r="C854" s="837">
        <f>SUM(C855:C858)/4</f>
        <v>0.75</v>
      </c>
      <c r="D854" s="837">
        <f>SUM(D855:D858)/4</f>
        <v>0.75</v>
      </c>
      <c r="E854" s="837">
        <f>SUM(E855:E858)/3</f>
        <v>0</v>
      </c>
      <c r="F854" s="837">
        <f>SUM(F855:F858)/4</f>
        <v>1</v>
      </c>
      <c r="G854" s="837">
        <f>SUM(G855:G858)/3</f>
        <v>0.83333333333333337</v>
      </c>
      <c r="H854" s="837">
        <f>SUM(H855:H858)/4</f>
        <v>0.625</v>
      </c>
      <c r="I854" s="607" t="s">
        <v>714</v>
      </c>
      <c r="J854" s="508"/>
      <c r="K854" s="508"/>
      <c r="L854" s="508"/>
      <c r="M854" s="508"/>
      <c r="N854" s="508"/>
      <c r="O854" s="508"/>
      <c r="P854" s="534"/>
      <c r="Q854" s="534"/>
      <c r="R854" s="534"/>
      <c r="S854" s="535"/>
      <c r="T854" s="535"/>
      <c r="U854" s="535"/>
      <c r="V854" s="535"/>
      <c r="W854" s="535"/>
      <c r="X854" s="535"/>
      <c r="Y854" s="535"/>
      <c r="Z854" s="535"/>
    </row>
    <row r="855" spans="1:26" ht="49.5" customHeight="1">
      <c r="A855" s="838"/>
      <c r="B855" s="793" t="s">
        <v>709</v>
      </c>
      <c r="C855" s="837">
        <v>0.5</v>
      </c>
      <c r="D855" s="837">
        <v>0</v>
      </c>
      <c r="E855" s="837">
        <v>0</v>
      </c>
      <c r="F855" s="837">
        <v>1</v>
      </c>
      <c r="G855" s="837">
        <v>0.5</v>
      </c>
      <c r="H855" s="837">
        <v>0.5</v>
      </c>
      <c r="I855" s="607"/>
      <c r="J855" s="839" t="s">
        <v>2348</v>
      </c>
      <c r="K855" s="839" t="s">
        <v>2350</v>
      </c>
      <c r="L855" s="839" t="s">
        <v>2350</v>
      </c>
      <c r="M855" s="839" t="s">
        <v>2352</v>
      </c>
      <c r="N855" s="839" t="s">
        <v>2348</v>
      </c>
      <c r="O855" s="839" t="s">
        <v>2348</v>
      </c>
      <c r="P855" s="534"/>
      <c r="Q855" s="534"/>
      <c r="R855" s="534"/>
      <c r="S855" s="535"/>
      <c r="T855" s="535"/>
      <c r="U855" s="535"/>
      <c r="V855" s="535"/>
      <c r="W855" s="535"/>
      <c r="X855" s="535"/>
      <c r="Y855" s="535"/>
      <c r="Z855" s="535"/>
    </row>
    <row r="856" spans="1:26" ht="49.5" customHeight="1">
      <c r="A856" s="838"/>
      <c r="B856" s="793" t="s">
        <v>715</v>
      </c>
      <c r="C856" s="837">
        <v>0.5</v>
      </c>
      <c r="D856" s="837">
        <v>1</v>
      </c>
      <c r="E856" s="837">
        <v>0</v>
      </c>
      <c r="F856" s="837">
        <v>1</v>
      </c>
      <c r="G856" s="837">
        <v>1</v>
      </c>
      <c r="H856" s="837">
        <v>1</v>
      </c>
      <c r="I856" s="607" t="s">
        <v>716</v>
      </c>
      <c r="J856" s="839" t="s">
        <v>4049</v>
      </c>
      <c r="K856" s="839" t="s">
        <v>2354</v>
      </c>
      <c r="L856" s="839" t="s">
        <v>4050</v>
      </c>
      <c r="M856" s="839" t="s">
        <v>2356</v>
      </c>
      <c r="N856" s="839" t="s">
        <v>2356</v>
      </c>
      <c r="O856" s="839" t="s">
        <v>2356</v>
      </c>
      <c r="P856" s="534"/>
      <c r="Q856" s="534"/>
      <c r="R856" s="534"/>
      <c r="S856" s="535"/>
      <c r="T856" s="535"/>
      <c r="U856" s="535"/>
      <c r="V856" s="535"/>
      <c r="W856" s="535"/>
      <c r="X856" s="535"/>
      <c r="Y856" s="535"/>
      <c r="Z856" s="535"/>
    </row>
    <row r="857" spans="1:26" ht="49.5" customHeight="1">
      <c r="A857" s="838"/>
      <c r="B857" s="793" t="s">
        <v>711</v>
      </c>
      <c r="C857" s="837">
        <v>1</v>
      </c>
      <c r="D857" s="837">
        <v>1</v>
      </c>
      <c r="E857" s="837" t="s">
        <v>1073</v>
      </c>
      <c r="F857" s="837">
        <v>1</v>
      </c>
      <c r="G857" s="837" t="s">
        <v>1073</v>
      </c>
      <c r="H857" s="837">
        <v>0</v>
      </c>
      <c r="I857" s="607"/>
      <c r="J857" s="839" t="s">
        <v>2357</v>
      </c>
      <c r="K857" s="839" t="s">
        <v>2357</v>
      </c>
      <c r="L857" s="839" t="s">
        <v>2342</v>
      </c>
      <c r="M857" s="839" t="s">
        <v>2357</v>
      </c>
      <c r="N857" s="839" t="s">
        <v>2342</v>
      </c>
      <c r="O857" s="839" t="s">
        <v>5118</v>
      </c>
      <c r="P857" s="534"/>
      <c r="Q857" s="534"/>
      <c r="R857" s="534"/>
      <c r="S857" s="535"/>
      <c r="T857" s="535"/>
      <c r="U857" s="535"/>
      <c r="V857" s="535"/>
      <c r="W857" s="535"/>
      <c r="X857" s="535"/>
      <c r="Y857" s="535"/>
      <c r="Z857" s="535"/>
    </row>
    <row r="858" spans="1:26" ht="27" customHeight="1">
      <c r="A858" s="838"/>
      <c r="B858" s="793" t="s">
        <v>712</v>
      </c>
      <c r="C858" s="837">
        <v>1</v>
      </c>
      <c r="D858" s="837">
        <v>1</v>
      </c>
      <c r="E858" s="837">
        <v>0</v>
      </c>
      <c r="F858" s="837">
        <v>1</v>
      </c>
      <c r="G858" s="837">
        <v>1</v>
      </c>
      <c r="H858" s="837">
        <v>1</v>
      </c>
      <c r="I858" s="607"/>
      <c r="J858" s="839" t="s">
        <v>2359</v>
      </c>
      <c r="K858" s="839" t="s">
        <v>2359</v>
      </c>
      <c r="L858" s="839" t="s">
        <v>2360</v>
      </c>
      <c r="M858" s="839" t="s">
        <v>2359</v>
      </c>
      <c r="N858" s="839" t="s">
        <v>2359</v>
      </c>
      <c r="O858" s="839" t="s">
        <v>2359</v>
      </c>
      <c r="P858" s="534"/>
      <c r="Q858" s="534"/>
      <c r="R858" s="534"/>
      <c r="S858" s="535"/>
      <c r="T858" s="535"/>
      <c r="U858" s="535"/>
      <c r="V858" s="535"/>
      <c r="W858" s="535"/>
      <c r="X858" s="535"/>
      <c r="Y858" s="535"/>
      <c r="Z858" s="535"/>
    </row>
    <row r="859" spans="1:26" ht="13.5" customHeight="1">
      <c r="A859" s="662"/>
      <c r="B859" s="662"/>
      <c r="C859" s="87"/>
      <c r="D859" s="87"/>
      <c r="E859" s="87"/>
      <c r="F859" s="87"/>
      <c r="G859" s="87"/>
      <c r="H859" s="87"/>
      <c r="I859" s="607"/>
      <c r="J859" s="840"/>
      <c r="K859" s="840"/>
      <c r="L859" s="840"/>
      <c r="M859" s="840"/>
      <c r="N859" s="840"/>
      <c r="O859" s="840"/>
      <c r="P859" s="146"/>
      <c r="Q859" s="146"/>
      <c r="R859" s="146"/>
      <c r="S859" s="149"/>
      <c r="T859" s="149"/>
      <c r="U859" s="149"/>
      <c r="V859" s="149"/>
      <c r="W859" s="149"/>
      <c r="X859" s="149"/>
      <c r="Y859" s="149"/>
      <c r="Z859" s="149"/>
    </row>
    <row r="860" spans="1:26" ht="46.5" customHeight="1">
      <c r="A860" s="836" t="s">
        <v>736</v>
      </c>
      <c r="B860" s="517" t="s">
        <v>717</v>
      </c>
      <c r="C860" s="837">
        <f>SUM(C861:C864)/4</f>
        <v>0.625</v>
      </c>
      <c r="D860" s="837">
        <f>SUM(D861:D864)/4</f>
        <v>0.875</v>
      </c>
      <c r="E860" s="837">
        <f>SUM(E861:E864)/3</f>
        <v>0</v>
      </c>
      <c r="F860" s="837">
        <f>SUM(F861:F864)/4</f>
        <v>1</v>
      </c>
      <c r="G860" s="837">
        <f>SUM(G861:G864)/3</f>
        <v>0.66666666666666663</v>
      </c>
      <c r="H860" s="837">
        <f>SUM(H861:H864)/4</f>
        <v>0.625</v>
      </c>
      <c r="I860" s="607" t="s">
        <v>718</v>
      </c>
      <c r="J860" s="508"/>
      <c r="K860" s="508"/>
      <c r="L860" s="508"/>
      <c r="M860" s="508"/>
      <c r="N860" s="508"/>
      <c r="O860" s="508"/>
      <c r="P860" s="534"/>
      <c r="Q860" s="534"/>
      <c r="R860" s="534"/>
      <c r="S860" s="535"/>
      <c r="T860" s="535"/>
      <c r="U860" s="535"/>
      <c r="V860" s="535"/>
      <c r="W860" s="535"/>
      <c r="X860" s="535"/>
      <c r="Y860" s="535"/>
      <c r="Z860" s="535"/>
    </row>
    <row r="861" spans="1:26" ht="46.5" customHeight="1">
      <c r="A861" s="838"/>
      <c r="B861" s="793" t="s">
        <v>709</v>
      </c>
      <c r="C861" s="837">
        <v>0</v>
      </c>
      <c r="D861" s="837">
        <v>0.5</v>
      </c>
      <c r="E861" s="837">
        <v>0</v>
      </c>
      <c r="F861" s="837">
        <v>1</v>
      </c>
      <c r="G861" s="837">
        <v>0.5</v>
      </c>
      <c r="H861" s="837">
        <v>0.5</v>
      </c>
      <c r="I861" s="607"/>
      <c r="J861" s="839" t="s">
        <v>5119</v>
      </c>
      <c r="K861" s="839" t="s">
        <v>2362</v>
      </c>
      <c r="L861" s="839" t="s">
        <v>2363</v>
      </c>
      <c r="M861" s="839" t="s">
        <v>4051</v>
      </c>
      <c r="N861" s="839" t="s">
        <v>2365</v>
      </c>
      <c r="O861" s="839" t="s">
        <v>4052</v>
      </c>
      <c r="P861" s="534"/>
      <c r="Q861" s="534"/>
      <c r="R861" s="534"/>
      <c r="S861" s="535"/>
      <c r="T861" s="535"/>
      <c r="U861" s="535"/>
      <c r="V861" s="535"/>
      <c r="W861" s="535"/>
      <c r="X861" s="535"/>
      <c r="Y861" s="535"/>
      <c r="Z861" s="535"/>
    </row>
    <row r="862" spans="1:26" ht="46.5" customHeight="1">
      <c r="A862" s="838"/>
      <c r="B862" s="793" t="s">
        <v>569</v>
      </c>
      <c r="C862" s="837">
        <v>0.5</v>
      </c>
      <c r="D862" s="837">
        <v>1</v>
      </c>
      <c r="E862" s="837">
        <v>0</v>
      </c>
      <c r="F862" s="837">
        <v>1</v>
      </c>
      <c r="G862" s="837">
        <v>0.5</v>
      </c>
      <c r="H862" s="837">
        <v>1</v>
      </c>
      <c r="I862" s="607" t="s">
        <v>719</v>
      </c>
      <c r="J862" s="839" t="s">
        <v>2366</v>
      </c>
      <c r="K862" s="839" t="s">
        <v>2367</v>
      </c>
      <c r="L862" s="839" t="s">
        <v>2368</v>
      </c>
      <c r="M862" s="839" t="s">
        <v>2369</v>
      </c>
      <c r="N862" s="839" t="s">
        <v>2368</v>
      </c>
      <c r="O862" s="839" t="s">
        <v>2367</v>
      </c>
      <c r="P862" s="534"/>
      <c r="Q862" s="534"/>
      <c r="R862" s="534"/>
      <c r="S862" s="535"/>
      <c r="T862" s="535"/>
      <c r="U862" s="535"/>
      <c r="V862" s="535"/>
      <c r="W862" s="535"/>
      <c r="X862" s="535"/>
      <c r="Y862" s="535"/>
      <c r="Z862" s="535"/>
    </row>
    <row r="863" spans="1:26" ht="46.5" customHeight="1">
      <c r="A863" s="838"/>
      <c r="B863" s="793" t="s">
        <v>711</v>
      </c>
      <c r="C863" s="837">
        <v>1</v>
      </c>
      <c r="D863" s="837">
        <v>1</v>
      </c>
      <c r="E863" s="837" t="s">
        <v>1073</v>
      </c>
      <c r="F863" s="837">
        <v>1</v>
      </c>
      <c r="G863" s="837" t="s">
        <v>1073</v>
      </c>
      <c r="H863" s="837">
        <v>0</v>
      </c>
      <c r="I863" s="607"/>
      <c r="J863" s="839" t="s">
        <v>2371</v>
      </c>
      <c r="K863" s="839" t="s">
        <v>2371</v>
      </c>
      <c r="L863" s="839" t="s">
        <v>2342</v>
      </c>
      <c r="M863" s="839" t="s">
        <v>2371</v>
      </c>
      <c r="N863" s="839" t="s">
        <v>2342</v>
      </c>
      <c r="O863" s="839" t="s">
        <v>2372</v>
      </c>
      <c r="P863" s="534"/>
      <c r="Q863" s="534"/>
      <c r="R863" s="534"/>
      <c r="S863" s="535"/>
      <c r="T863" s="535"/>
      <c r="U863" s="535"/>
      <c r="V863" s="535"/>
      <c r="W863" s="535"/>
      <c r="X863" s="535"/>
      <c r="Y863" s="535"/>
      <c r="Z863" s="535"/>
    </row>
    <row r="864" spans="1:26" ht="46.5" customHeight="1">
      <c r="A864" s="838"/>
      <c r="B864" s="793" t="s">
        <v>712</v>
      </c>
      <c r="C864" s="837">
        <v>1</v>
      </c>
      <c r="D864" s="837">
        <v>1</v>
      </c>
      <c r="E864" s="837">
        <v>0</v>
      </c>
      <c r="F864" s="837">
        <v>1</v>
      </c>
      <c r="G864" s="837">
        <v>1</v>
      </c>
      <c r="H864" s="837">
        <v>1</v>
      </c>
      <c r="I864" s="607"/>
      <c r="J864" s="839" t="s">
        <v>2373</v>
      </c>
      <c r="K864" s="839" t="s">
        <v>2373</v>
      </c>
      <c r="L864" s="839" t="s">
        <v>2374</v>
      </c>
      <c r="M864" s="839" t="s">
        <v>2373</v>
      </c>
      <c r="N864" s="839" t="s">
        <v>2373</v>
      </c>
      <c r="O864" s="839" t="s">
        <v>2373</v>
      </c>
      <c r="P864" s="534"/>
      <c r="Q864" s="534"/>
      <c r="R864" s="534"/>
      <c r="S864" s="535"/>
      <c r="T864" s="535"/>
      <c r="U864" s="535"/>
      <c r="V864" s="535"/>
      <c r="W864" s="535"/>
      <c r="X864" s="535"/>
      <c r="Y864" s="535"/>
      <c r="Z864" s="535"/>
    </row>
    <row r="865" spans="1:26" ht="13.5" customHeight="1">
      <c r="A865" s="662"/>
      <c r="B865" s="662"/>
      <c r="C865" s="87"/>
      <c r="D865" s="87"/>
      <c r="E865" s="87"/>
      <c r="F865" s="87"/>
      <c r="G865" s="87"/>
      <c r="H865" s="87"/>
      <c r="I865" s="607"/>
      <c r="J865" s="840"/>
      <c r="K865" s="840"/>
      <c r="L865" s="840"/>
      <c r="M865" s="840"/>
      <c r="N865" s="840"/>
      <c r="O865" s="840"/>
      <c r="P865" s="146"/>
      <c r="Q865" s="146"/>
      <c r="R865" s="146"/>
      <c r="S865" s="149"/>
      <c r="T865" s="149"/>
      <c r="U865" s="149"/>
      <c r="V865" s="149"/>
      <c r="W865" s="149"/>
      <c r="X865" s="149"/>
      <c r="Y865" s="149"/>
      <c r="Z865" s="149"/>
    </row>
    <row r="866" spans="1:26" ht="47.25" customHeight="1">
      <c r="A866" s="836" t="s">
        <v>736</v>
      </c>
      <c r="B866" s="517" t="s">
        <v>720</v>
      </c>
      <c r="C866" s="837">
        <f>SUM(C867:C870)/4</f>
        <v>0.125</v>
      </c>
      <c r="D866" s="837">
        <f>SUM(D867:D870)/4</f>
        <v>0.125</v>
      </c>
      <c r="E866" s="837">
        <f>SUM(E867:E870)/3</f>
        <v>0</v>
      </c>
      <c r="F866" s="837">
        <f>SUM(F867:F870)/4</f>
        <v>0</v>
      </c>
      <c r="G866" s="837">
        <f>SUM(G867:G870)/3</f>
        <v>0.33333333333333331</v>
      </c>
      <c r="H866" s="837">
        <f>SUM(H867:H870)/4</f>
        <v>0.5</v>
      </c>
      <c r="I866" s="607" t="s">
        <v>721</v>
      </c>
      <c r="J866" s="507"/>
      <c r="K866" s="507"/>
      <c r="L866" s="507"/>
      <c r="M866" s="507"/>
      <c r="N866" s="507"/>
      <c r="O866" s="507"/>
      <c r="P866" s="534"/>
      <c r="Q866" s="534"/>
      <c r="R866" s="534"/>
      <c r="S866" s="535"/>
      <c r="T866" s="535"/>
      <c r="U866" s="535"/>
      <c r="V866" s="535"/>
      <c r="W866" s="535"/>
      <c r="X866" s="535"/>
      <c r="Y866" s="535"/>
      <c r="Z866" s="535"/>
    </row>
    <row r="867" spans="1:26" ht="47.25" customHeight="1">
      <c r="A867" s="838"/>
      <c r="B867" s="793" t="s">
        <v>709</v>
      </c>
      <c r="C867" s="837">
        <v>0</v>
      </c>
      <c r="D867" s="837">
        <v>0</v>
      </c>
      <c r="E867" s="837">
        <v>0</v>
      </c>
      <c r="F867" s="837">
        <v>0</v>
      </c>
      <c r="G867" s="837">
        <v>0</v>
      </c>
      <c r="H867" s="837">
        <v>0</v>
      </c>
      <c r="I867" s="607" t="s">
        <v>38</v>
      </c>
      <c r="J867" s="839" t="s">
        <v>2375</v>
      </c>
      <c r="K867" s="839" t="s">
        <v>2375</v>
      </c>
      <c r="L867" s="839" t="s">
        <v>2375</v>
      </c>
      <c r="M867" s="839" t="s">
        <v>2375</v>
      </c>
      <c r="N867" s="839" t="s">
        <v>2375</v>
      </c>
      <c r="O867" s="839" t="s">
        <v>2375</v>
      </c>
      <c r="P867" s="534"/>
      <c r="Q867" s="534"/>
      <c r="R867" s="534"/>
      <c r="S867" s="535"/>
      <c r="T867" s="535"/>
      <c r="U867" s="535"/>
      <c r="V867" s="535"/>
      <c r="W867" s="535"/>
      <c r="X867" s="535"/>
      <c r="Y867" s="535"/>
      <c r="Z867" s="535"/>
    </row>
    <row r="868" spans="1:26" ht="47.25" customHeight="1">
      <c r="A868" s="838"/>
      <c r="B868" s="793" t="s">
        <v>569</v>
      </c>
      <c r="C868" s="837">
        <v>0</v>
      </c>
      <c r="D868" s="837">
        <v>0.5</v>
      </c>
      <c r="E868" s="837">
        <v>0</v>
      </c>
      <c r="F868" s="837">
        <v>0</v>
      </c>
      <c r="G868" s="837">
        <v>0</v>
      </c>
      <c r="H868" s="837">
        <v>0</v>
      </c>
      <c r="I868" s="607" t="s">
        <v>722</v>
      </c>
      <c r="J868" s="839" t="s">
        <v>2375</v>
      </c>
      <c r="K868" s="839" t="s">
        <v>2376</v>
      </c>
      <c r="L868" s="839" t="s">
        <v>2375</v>
      </c>
      <c r="M868" s="839" t="s">
        <v>2375</v>
      </c>
      <c r="N868" s="839" t="s">
        <v>2375</v>
      </c>
      <c r="O868" s="839" t="s">
        <v>2375</v>
      </c>
      <c r="P868" s="534"/>
      <c r="Q868" s="534"/>
      <c r="R868" s="534"/>
      <c r="S868" s="535"/>
      <c r="T868" s="535"/>
      <c r="U868" s="535"/>
      <c r="V868" s="535"/>
      <c r="W868" s="535"/>
      <c r="X868" s="535"/>
      <c r="Y868" s="535"/>
      <c r="Z868" s="535"/>
    </row>
    <row r="869" spans="1:26" ht="47.25" customHeight="1">
      <c r="A869" s="838"/>
      <c r="B869" s="793" t="s">
        <v>711</v>
      </c>
      <c r="C869" s="837">
        <v>0</v>
      </c>
      <c r="D869" s="837">
        <v>0</v>
      </c>
      <c r="E869" s="837" t="s">
        <v>1073</v>
      </c>
      <c r="F869" s="837">
        <v>0</v>
      </c>
      <c r="G869" s="837" t="s">
        <v>1073</v>
      </c>
      <c r="H869" s="837">
        <v>1</v>
      </c>
      <c r="I869" s="607" t="s">
        <v>38</v>
      </c>
      <c r="J869" s="839" t="s">
        <v>2375</v>
      </c>
      <c r="K869" s="839" t="s">
        <v>2375</v>
      </c>
      <c r="L869" s="839" t="s">
        <v>2342</v>
      </c>
      <c r="M869" s="839" t="s">
        <v>2375</v>
      </c>
      <c r="N869" s="839" t="s">
        <v>2342</v>
      </c>
      <c r="O869" s="839" t="s">
        <v>2379</v>
      </c>
      <c r="P869" s="534"/>
      <c r="Q869" s="534"/>
      <c r="R869" s="534"/>
      <c r="S869" s="535"/>
      <c r="T869" s="535"/>
      <c r="U869" s="535"/>
      <c r="V869" s="535"/>
      <c r="W869" s="535"/>
      <c r="X869" s="535"/>
      <c r="Y869" s="535"/>
      <c r="Z869" s="535"/>
    </row>
    <row r="870" spans="1:26" ht="47.25" customHeight="1">
      <c r="A870" s="838"/>
      <c r="B870" s="793" t="s">
        <v>712</v>
      </c>
      <c r="C870" s="837">
        <v>0.5</v>
      </c>
      <c r="D870" s="837">
        <v>0</v>
      </c>
      <c r="E870" s="837">
        <v>0</v>
      </c>
      <c r="F870" s="837">
        <v>0</v>
      </c>
      <c r="G870" s="837">
        <v>1</v>
      </c>
      <c r="H870" s="837">
        <v>1</v>
      </c>
      <c r="I870" s="607" t="s">
        <v>722</v>
      </c>
      <c r="J870" s="839" t="s">
        <v>4053</v>
      </c>
      <c r="K870" s="839" t="s">
        <v>2375</v>
      </c>
      <c r="L870" s="839" t="s">
        <v>2375</v>
      </c>
      <c r="M870" s="839" t="s">
        <v>2375</v>
      </c>
      <c r="N870" s="839" t="s">
        <v>2379</v>
      </c>
      <c r="O870" s="839" t="s">
        <v>2380</v>
      </c>
      <c r="P870" s="534"/>
      <c r="Q870" s="534"/>
      <c r="R870" s="534"/>
      <c r="S870" s="535"/>
      <c r="T870" s="535"/>
      <c r="U870" s="535"/>
      <c r="V870" s="535"/>
      <c r="W870" s="535"/>
      <c r="X870" s="535"/>
      <c r="Y870" s="535"/>
      <c r="Z870" s="535"/>
    </row>
    <row r="871" spans="1:26" ht="13.5" customHeight="1">
      <c r="A871" s="662"/>
      <c r="B871" s="662"/>
      <c r="C871" s="87"/>
      <c r="D871" s="87"/>
      <c r="E871" s="87"/>
      <c r="F871" s="87"/>
      <c r="G871" s="87"/>
      <c r="H871" s="87"/>
      <c r="I871" s="607"/>
      <c r="J871" s="840"/>
      <c r="K871" s="840"/>
      <c r="L871" s="840"/>
      <c r="M871" s="840"/>
      <c r="N871" s="840"/>
      <c r="O871" s="840"/>
      <c r="P871" s="146"/>
      <c r="Q871" s="146"/>
      <c r="R871" s="146"/>
      <c r="S871" s="149"/>
      <c r="T871" s="149"/>
      <c r="U871" s="149"/>
      <c r="V871" s="149"/>
      <c r="W871" s="149"/>
      <c r="X871" s="149"/>
      <c r="Y871" s="149"/>
      <c r="Z871" s="149"/>
    </row>
    <row r="872" spans="1:26" ht="56.25" customHeight="1">
      <c r="A872" s="836" t="s">
        <v>736</v>
      </c>
      <c r="B872" s="517" t="s">
        <v>723</v>
      </c>
      <c r="C872" s="837">
        <f>SUM(C873:C876)/4</f>
        <v>0.625</v>
      </c>
      <c r="D872" s="837">
        <f>SUM(D873:D876)/4</f>
        <v>0.25</v>
      </c>
      <c r="E872" s="837">
        <f>SUM(E873:E876)/3</f>
        <v>0.33333333333333331</v>
      </c>
      <c r="F872" s="837">
        <f>SUM(F873:F876)/4</f>
        <v>0.5</v>
      </c>
      <c r="G872" s="837">
        <f>SUM(G873:G876)/3</f>
        <v>0.5</v>
      </c>
      <c r="H872" s="837">
        <f>SUM(H873:H876)/4</f>
        <v>0.375</v>
      </c>
      <c r="I872" s="607" t="s">
        <v>724</v>
      </c>
      <c r="J872" s="507"/>
      <c r="K872" s="507"/>
      <c r="L872" s="507"/>
      <c r="M872" s="507"/>
      <c r="N872" s="507"/>
      <c r="O872" s="507"/>
      <c r="P872" s="534"/>
      <c r="Q872" s="534"/>
      <c r="R872" s="534"/>
      <c r="S872" s="535"/>
      <c r="T872" s="535"/>
      <c r="U872" s="535"/>
      <c r="V872" s="535"/>
      <c r="W872" s="535"/>
      <c r="X872" s="535"/>
      <c r="Y872" s="535"/>
      <c r="Z872" s="535"/>
    </row>
    <row r="873" spans="1:26" ht="56.25" customHeight="1">
      <c r="A873" s="836"/>
      <c r="B873" s="793" t="s">
        <v>709</v>
      </c>
      <c r="C873" s="837">
        <v>0</v>
      </c>
      <c r="D873" s="837">
        <v>0</v>
      </c>
      <c r="E873" s="837">
        <v>0</v>
      </c>
      <c r="F873" s="837">
        <v>0</v>
      </c>
      <c r="G873" s="837">
        <v>0</v>
      </c>
      <c r="H873" s="837">
        <v>0</v>
      </c>
      <c r="I873" s="607" t="s">
        <v>38</v>
      </c>
      <c r="J873" s="839" t="s">
        <v>2382</v>
      </c>
      <c r="K873" s="839" t="s">
        <v>2382</v>
      </c>
      <c r="L873" s="839" t="s">
        <v>2382</v>
      </c>
      <c r="M873" s="839" t="s">
        <v>2382</v>
      </c>
      <c r="N873" s="839" t="s">
        <v>2382</v>
      </c>
      <c r="O873" s="839" t="s">
        <v>2382</v>
      </c>
      <c r="P873" s="534"/>
      <c r="Q873" s="534"/>
      <c r="R873" s="534"/>
      <c r="S873" s="535"/>
      <c r="T873" s="535"/>
      <c r="U873" s="535"/>
      <c r="V873" s="535"/>
      <c r="W873" s="535"/>
      <c r="X873" s="535"/>
      <c r="Y873" s="535"/>
      <c r="Z873" s="535"/>
    </row>
    <row r="874" spans="1:26" ht="56.25" customHeight="1">
      <c r="A874" s="836"/>
      <c r="B874" s="793" t="s">
        <v>569</v>
      </c>
      <c r="C874" s="837">
        <v>1</v>
      </c>
      <c r="D874" s="837">
        <v>1</v>
      </c>
      <c r="E874" s="837">
        <v>1</v>
      </c>
      <c r="F874" s="837">
        <v>1</v>
      </c>
      <c r="G874" s="837">
        <v>1</v>
      </c>
      <c r="H874" s="837">
        <v>1</v>
      </c>
      <c r="I874" s="607" t="s">
        <v>722</v>
      </c>
      <c r="J874" s="839" t="s">
        <v>2383</v>
      </c>
      <c r="K874" s="839" t="s">
        <v>2383</v>
      </c>
      <c r="L874" s="839" t="s">
        <v>2383</v>
      </c>
      <c r="M874" s="839" t="s">
        <v>2383</v>
      </c>
      <c r="N874" s="839" t="s">
        <v>2383</v>
      </c>
      <c r="O874" s="839" t="s">
        <v>2383</v>
      </c>
      <c r="P874" s="534"/>
      <c r="Q874" s="534"/>
      <c r="R874" s="534"/>
      <c r="S874" s="535"/>
      <c r="T874" s="535"/>
      <c r="U874" s="535"/>
      <c r="V874" s="535"/>
      <c r="W874" s="535"/>
      <c r="X874" s="535"/>
      <c r="Y874" s="535"/>
      <c r="Z874" s="535"/>
    </row>
    <row r="875" spans="1:26" ht="56.25" customHeight="1">
      <c r="A875" s="836"/>
      <c r="B875" s="793" t="s">
        <v>711</v>
      </c>
      <c r="C875" s="837">
        <v>0.5</v>
      </c>
      <c r="D875" s="837">
        <v>0</v>
      </c>
      <c r="E875" s="837" t="s">
        <v>1073</v>
      </c>
      <c r="F875" s="837">
        <v>0.5</v>
      </c>
      <c r="G875" s="837" t="s">
        <v>1073</v>
      </c>
      <c r="H875" s="837">
        <v>0</v>
      </c>
      <c r="I875" s="607" t="s">
        <v>38</v>
      </c>
      <c r="J875" s="839" t="s">
        <v>5120</v>
      </c>
      <c r="K875" s="839" t="s">
        <v>2385</v>
      </c>
      <c r="L875" s="839" t="s">
        <v>2342</v>
      </c>
      <c r="M875" s="839" t="s">
        <v>5120</v>
      </c>
      <c r="N875" s="839" t="s">
        <v>2342</v>
      </c>
      <c r="O875" s="839" t="s">
        <v>2385</v>
      </c>
      <c r="P875" s="534"/>
      <c r="Q875" s="534"/>
      <c r="R875" s="534"/>
      <c r="S875" s="535"/>
      <c r="T875" s="535"/>
      <c r="U875" s="535"/>
      <c r="V875" s="535"/>
      <c r="W875" s="535"/>
      <c r="X875" s="535"/>
      <c r="Y875" s="535"/>
      <c r="Z875" s="535"/>
    </row>
    <row r="876" spans="1:26" ht="56.25" customHeight="1">
      <c r="A876" s="836"/>
      <c r="B876" s="793" t="s">
        <v>712</v>
      </c>
      <c r="C876" s="837">
        <v>1</v>
      </c>
      <c r="D876" s="837">
        <v>0</v>
      </c>
      <c r="E876" s="837">
        <v>0</v>
      </c>
      <c r="F876" s="837">
        <v>0.5</v>
      </c>
      <c r="G876" s="837">
        <v>0.5</v>
      </c>
      <c r="H876" s="837">
        <v>0.5</v>
      </c>
      <c r="I876" s="607" t="s">
        <v>38</v>
      </c>
      <c r="J876" s="839" t="s">
        <v>2388</v>
      </c>
      <c r="K876" s="839" t="s">
        <v>2390</v>
      </c>
      <c r="L876" s="839" t="s">
        <v>2390</v>
      </c>
      <c r="M876" s="839" t="s">
        <v>5121</v>
      </c>
      <c r="N876" s="839" t="s">
        <v>2392</v>
      </c>
      <c r="O876" s="839" t="s">
        <v>2393</v>
      </c>
      <c r="P876" s="534"/>
      <c r="Q876" s="534"/>
      <c r="R876" s="534"/>
      <c r="S876" s="535"/>
      <c r="T876" s="535"/>
      <c r="U876" s="535"/>
      <c r="V876" s="535"/>
      <c r="W876" s="535"/>
      <c r="X876" s="535"/>
      <c r="Y876" s="535"/>
      <c r="Z876" s="535"/>
    </row>
    <row r="877" spans="1:26" ht="13.5" customHeight="1">
      <c r="A877" s="658"/>
      <c r="B877" s="662"/>
      <c r="C877" s="87"/>
      <c r="D877" s="87"/>
      <c r="E877" s="87"/>
      <c r="F877" s="87"/>
      <c r="G877" s="87"/>
      <c r="H877" s="87"/>
      <c r="I877" s="607"/>
      <c r="J877" s="75"/>
      <c r="K877" s="75"/>
      <c r="L877" s="75"/>
      <c r="M877" s="75"/>
      <c r="N877" s="75"/>
      <c r="O877" s="75"/>
      <c r="P877" s="146"/>
      <c r="Q877" s="146"/>
      <c r="R877" s="146"/>
      <c r="S877" s="149"/>
      <c r="T877" s="149"/>
      <c r="U877" s="149"/>
      <c r="V877" s="149"/>
      <c r="W877" s="149"/>
      <c r="X877" s="149"/>
      <c r="Y877" s="149"/>
      <c r="Z877" s="149"/>
    </row>
    <row r="878" spans="1:26" ht="77.25" customHeight="1">
      <c r="A878" s="836" t="s">
        <v>736</v>
      </c>
      <c r="B878" s="517" t="s">
        <v>725</v>
      </c>
      <c r="C878" s="837">
        <f t="shared" ref="C878:H878" si="162">1-(301-J878)/(301-1145)</f>
        <v>0.53672985781990523</v>
      </c>
      <c r="D878" s="837">
        <f t="shared" si="162"/>
        <v>0.38507109004739337</v>
      </c>
      <c r="E878" s="837">
        <f t="shared" si="162"/>
        <v>0.56398104265402837</v>
      </c>
      <c r="F878" s="837">
        <f t="shared" si="162"/>
        <v>0</v>
      </c>
      <c r="G878" s="837">
        <f t="shared" si="162"/>
        <v>0.60071090047393372</v>
      </c>
      <c r="H878" s="837">
        <f t="shared" si="162"/>
        <v>1</v>
      </c>
      <c r="I878" s="607" t="s">
        <v>726</v>
      </c>
      <c r="J878" s="841">
        <v>692</v>
      </c>
      <c r="K878" s="841">
        <v>820</v>
      </c>
      <c r="L878" s="841">
        <v>669</v>
      </c>
      <c r="M878" s="841">
        <v>1145</v>
      </c>
      <c r="N878" s="841">
        <v>638</v>
      </c>
      <c r="O878" s="841">
        <v>301</v>
      </c>
      <c r="P878" s="534"/>
      <c r="Q878" s="534"/>
      <c r="R878" s="534"/>
      <c r="S878" s="535"/>
      <c r="T878" s="535"/>
      <c r="U878" s="535"/>
      <c r="V878" s="535"/>
      <c r="W878" s="535"/>
      <c r="X878" s="535"/>
      <c r="Y878" s="535"/>
      <c r="Z878" s="535"/>
    </row>
    <row r="879" spans="1:26" ht="13.5" customHeight="1">
      <c r="A879" s="658"/>
      <c r="B879" s="144"/>
      <c r="C879" s="87"/>
      <c r="D879" s="87"/>
      <c r="E879" s="87"/>
      <c r="F879" s="87"/>
      <c r="G879" s="87"/>
      <c r="H879" s="87"/>
      <c r="I879" s="607"/>
      <c r="J879" s="681"/>
      <c r="K879" s="681"/>
      <c r="L879" s="681"/>
      <c r="M879" s="681"/>
      <c r="N879" s="681"/>
      <c r="O879" s="681"/>
      <c r="P879" s="146"/>
      <c r="Q879" s="146"/>
      <c r="R879" s="146"/>
      <c r="S879" s="149"/>
      <c r="T879" s="149"/>
      <c r="U879" s="149"/>
      <c r="V879" s="149"/>
      <c r="W879" s="149"/>
      <c r="X879" s="149"/>
      <c r="Y879" s="149"/>
      <c r="Z879" s="149"/>
    </row>
    <row r="880" spans="1:26" ht="27.75" customHeight="1">
      <c r="A880" s="27" t="s">
        <v>2394</v>
      </c>
      <c r="B880" s="683" t="s">
        <v>2395</v>
      </c>
      <c r="C880" s="687">
        <f>(C887+C889+C891+C893+C896+C898+C900+C902+C904+C908+C910+C912+C916+C918+C920+C925+C927+C929+C931+C933+C935+C941+C943+C945+C947+C951+C953+C955+C957+C959+C961+C963+C965)/33</f>
        <v>0.5921612906349254</v>
      </c>
      <c r="D880" s="687">
        <f>(D887+D889+D891+D893+D896+D898+D900+D902+D904+D908+D910+D912+D916+D918+D920+D925+D927+D929+D931+D933+D935+D941+D943+D945+D947+D951+D953+D955+D957+D959+D961+D963+D965)/33</f>
        <v>0.66164119563566048</v>
      </c>
      <c r="E880" s="687">
        <f>(E887+E889+E891+E893+E896+E898+E900+E902+E904+E908+E910+E912+E916+E918+E920+E925+E927+E929+E931+E933+E935+E941+E943+E945+E947+E951+E953+E955+E957+E959+E961+E963+E965)/33</f>
        <v>0.6501034866056119</v>
      </c>
      <c r="F880" s="687">
        <f>(F887+F889+F891+F893+F898+F900+F902+F904+F908+F910+F912+F916+F918+F920+F925+F927+F929+F931+F933+F935+F941+F943+F945+F947+F951+F953+F955+F957+F959+F961+F963+F965)/32</f>
        <v>0.59508207813006198</v>
      </c>
      <c r="G880" s="687">
        <f>(G887+G889+G891+G893+G896+G898+G900+G902+G904+G908+G910+G912+G916+G918+G920+G925+G927+G929+G931+G933+G935+G941+G943+G945+G947+G951+G953+G955+G957+G959+G961+G963+G965)/33</f>
        <v>0.62326921565419191</v>
      </c>
      <c r="H880" s="687">
        <f>(H887+H889+H891+H893+H896+H898+H900+H902+H904+H908+H910+H912+H916+H918+H920+H925+H927+H929+H931+H933+H935+H941+H943+H945+H947+H951+H953+H955+H957+H959+H961+H963+H965)/33</f>
        <v>0.5357561361919374</v>
      </c>
      <c r="I880" s="66"/>
      <c r="J880" s="203"/>
      <c r="K880" s="203"/>
      <c r="L880" s="203"/>
      <c r="M880" s="203"/>
      <c r="N880" s="203"/>
      <c r="O880" s="203"/>
      <c r="P880" s="693"/>
      <c r="Q880" s="693"/>
      <c r="R880" s="693"/>
      <c r="S880" s="34"/>
      <c r="T880" s="34"/>
      <c r="U880" s="34"/>
      <c r="V880" s="34"/>
      <c r="W880" s="34"/>
      <c r="X880" s="34"/>
      <c r="Y880" s="34"/>
      <c r="Z880" s="34"/>
    </row>
    <row r="881" spans="1:26" ht="13.5" customHeight="1">
      <c r="A881" s="486"/>
      <c r="B881" s="695">
        <v>2012</v>
      </c>
      <c r="C881" s="696">
        <v>0.47</v>
      </c>
      <c r="D881" s="696">
        <v>0.66</v>
      </c>
      <c r="E881" s="696">
        <v>0.64</v>
      </c>
      <c r="F881" s="696">
        <v>0.56999999999999995</v>
      </c>
      <c r="G881" s="696">
        <v>0.56000000000000005</v>
      </c>
      <c r="H881" s="696">
        <v>0.51</v>
      </c>
      <c r="I881" s="66"/>
      <c r="J881" s="499"/>
      <c r="K881" s="499"/>
      <c r="L881" s="499"/>
      <c r="M881" s="499"/>
      <c r="N881" s="499"/>
      <c r="O881" s="499"/>
      <c r="P881" s="501"/>
      <c r="Q881" s="501"/>
      <c r="R881" s="501"/>
      <c r="S881" s="490"/>
      <c r="T881" s="490"/>
      <c r="U881" s="490"/>
      <c r="V881" s="490"/>
      <c r="W881" s="490"/>
      <c r="X881" s="490"/>
      <c r="Y881" s="490"/>
      <c r="Z881" s="490"/>
    </row>
    <row r="882" spans="1:26" ht="13.5" customHeight="1">
      <c r="A882" s="2606" t="s">
        <v>2396</v>
      </c>
      <c r="B882" s="2607"/>
      <c r="C882" s="700">
        <f>AVERAGE(C887,C889,C891,C893,C896,C898,C900,C902,C904,C908,C910,C912,C916,C918,C920,C925,C927,C929,C933,C935)</f>
        <v>0.66499999999999992</v>
      </c>
      <c r="D882" s="700">
        <f>AVERAGE(D887,D889,D891,D893,D896,D898,D900,D902,D904,D908,D910,D912,D916,D918,D920,D925,D927,D929,D933,D935)</f>
        <v>0.73</v>
      </c>
      <c r="E882" s="700">
        <f>AVERAGE(E887,E889,E891,E893,E896,E898,E900,E902,E904,E908,E910,E912,E916,E918,E920,E925,E927,E929,E933,E935)</f>
        <v>0.61599999999999999</v>
      </c>
      <c r="F882" s="700">
        <f>AVERAGE(F887,F889,F891,F893,F898,F900,F902,F904,F908,F910,F912,F916,F918,F920,F925,F927,F929,F933,F935)</f>
        <v>0.61052631578947381</v>
      </c>
      <c r="G882" s="700">
        <f>AVERAGE(G887,G889,G891,G893,G896,G898,G900,G902,G904,G908,G910,G912,G916,G918,G920,G925,G927,G929,G933,G935)</f>
        <v>0.64</v>
      </c>
      <c r="H882" s="700">
        <f>AVERAGE(H887,H889,H891,H893,H896,H898,H900,H902,H904,H908,H910,H912,H916,H918,H920,H925,H927,H929,H933,H935)</f>
        <v>0.51999999999999991</v>
      </c>
      <c r="I882" s="66"/>
      <c r="J882" s="203"/>
      <c r="K882" s="203"/>
      <c r="L882" s="203"/>
      <c r="M882" s="203"/>
      <c r="N882" s="203"/>
      <c r="O882" s="203"/>
      <c r="P882" s="693"/>
      <c r="Q882" s="693"/>
      <c r="R882" s="693"/>
      <c r="S882" s="34"/>
      <c r="T882" s="34"/>
      <c r="U882" s="34"/>
      <c r="V882" s="34"/>
      <c r="W882" s="34"/>
      <c r="X882" s="34"/>
      <c r="Y882" s="34"/>
      <c r="Z882" s="34"/>
    </row>
    <row r="883" spans="1:26" ht="13.5" customHeight="1">
      <c r="A883" s="486"/>
      <c r="B883" s="695">
        <v>2012</v>
      </c>
      <c r="C883" s="706">
        <v>0.61</v>
      </c>
      <c r="D883" s="706">
        <v>0.76</v>
      </c>
      <c r="E883" s="706">
        <v>0.53</v>
      </c>
      <c r="F883" s="706">
        <v>0.56000000000000005</v>
      </c>
      <c r="G883" s="706">
        <v>0.61</v>
      </c>
      <c r="H883" s="706">
        <v>0.53</v>
      </c>
      <c r="I883" s="66"/>
      <c r="J883" s="499"/>
      <c r="K883" s="499"/>
      <c r="L883" s="499"/>
      <c r="M883" s="499"/>
      <c r="N883" s="499"/>
      <c r="O883" s="499"/>
      <c r="P883" s="501"/>
      <c r="Q883" s="501"/>
      <c r="R883" s="501"/>
      <c r="S883" s="490"/>
      <c r="T883" s="490"/>
      <c r="U883" s="490"/>
      <c r="V883" s="490"/>
      <c r="W883" s="490"/>
      <c r="X883" s="490"/>
      <c r="Y883" s="490"/>
      <c r="Z883" s="490"/>
    </row>
    <row r="884" spans="1:26" ht="13.5" customHeight="1">
      <c r="A884" s="27" t="s">
        <v>2397</v>
      </c>
      <c r="B884" s="70" t="s">
        <v>491</v>
      </c>
      <c r="C884" s="687"/>
      <c r="D884" s="687"/>
      <c r="E884" s="687"/>
      <c r="F884" s="687"/>
      <c r="G884" s="687"/>
      <c r="H884" s="687"/>
      <c r="I884" s="842"/>
      <c r="J884" s="74"/>
      <c r="K884" s="74"/>
      <c r="L884" s="74"/>
      <c r="M884" s="74"/>
      <c r="N884" s="74"/>
      <c r="O884" s="74"/>
      <c r="P884" s="76"/>
      <c r="Q884" s="76"/>
      <c r="R884" s="76"/>
      <c r="S884" s="23"/>
      <c r="T884" s="23"/>
      <c r="U884" s="23"/>
      <c r="V884" s="23"/>
      <c r="W884" s="23"/>
      <c r="X884" s="23"/>
      <c r="Y884" s="23"/>
      <c r="Z884" s="23"/>
    </row>
    <row r="885" spans="1:26" ht="13.5" customHeight="1">
      <c r="A885" s="714"/>
      <c r="B885" s="3"/>
      <c r="C885" s="8"/>
      <c r="D885" s="8"/>
      <c r="E885" s="8"/>
      <c r="F885" s="8"/>
      <c r="G885" s="8"/>
      <c r="H885" s="8"/>
      <c r="I885" s="842"/>
      <c r="J885" s="75"/>
      <c r="K885" s="75"/>
      <c r="L885" s="75"/>
      <c r="M885" s="75"/>
      <c r="N885" s="75"/>
      <c r="O885" s="75"/>
      <c r="P885" s="77"/>
      <c r="Q885" s="77"/>
      <c r="R885" s="77"/>
      <c r="S885" s="15"/>
      <c r="T885" s="15"/>
      <c r="U885" s="15"/>
      <c r="V885" s="15"/>
      <c r="W885" s="15"/>
      <c r="X885" s="15"/>
      <c r="Y885" s="15"/>
      <c r="Z885" s="15"/>
    </row>
    <row r="886" spans="1:26" ht="82.5" customHeight="1">
      <c r="A886" s="343" t="s">
        <v>736</v>
      </c>
      <c r="B886" s="144" t="s">
        <v>2398</v>
      </c>
      <c r="C886" s="971">
        <v>1</v>
      </c>
      <c r="D886" s="971">
        <v>0.7</v>
      </c>
      <c r="E886" s="971">
        <v>0.5</v>
      </c>
      <c r="F886" s="1012">
        <v>0</v>
      </c>
      <c r="G886" s="996">
        <v>0.8</v>
      </c>
      <c r="H886" s="971">
        <v>0.1</v>
      </c>
      <c r="I886" s="842" t="s">
        <v>5122</v>
      </c>
      <c r="J886" s="972" t="s">
        <v>5123</v>
      </c>
      <c r="K886" s="972" t="s">
        <v>5124</v>
      </c>
      <c r="L886" s="972" t="s">
        <v>5125</v>
      </c>
      <c r="M886" s="972" t="s">
        <v>5126</v>
      </c>
      <c r="N886" s="972" t="s">
        <v>5127</v>
      </c>
      <c r="O886" s="972" t="s">
        <v>5128</v>
      </c>
      <c r="P886" s="77"/>
      <c r="Q886" s="77"/>
      <c r="R886" s="77"/>
      <c r="S886" s="15"/>
      <c r="T886" s="15"/>
      <c r="U886" s="15"/>
      <c r="V886" s="15"/>
      <c r="W886" s="15"/>
      <c r="X886" s="15"/>
      <c r="Y886" s="15"/>
      <c r="Z886" s="15"/>
    </row>
    <row r="887" spans="1:26" ht="18.75" customHeight="1">
      <c r="A887" s="843"/>
      <c r="B887" s="773"/>
      <c r="C887" s="1013">
        <v>1</v>
      </c>
      <c r="D887" s="1013">
        <v>0.7</v>
      </c>
      <c r="E887" s="1013">
        <v>0.5</v>
      </c>
      <c r="F887" s="1013">
        <v>1</v>
      </c>
      <c r="G887" s="1014">
        <v>1</v>
      </c>
      <c r="H887" s="1015">
        <v>0.5</v>
      </c>
      <c r="I887" s="842"/>
      <c r="J887" s="1016" t="s">
        <v>4056</v>
      </c>
      <c r="K887" s="1016" t="s">
        <v>4057</v>
      </c>
      <c r="L887" s="1017" t="s">
        <v>4058</v>
      </c>
      <c r="M887" s="1016" t="s">
        <v>4059</v>
      </c>
      <c r="N887" s="1016" t="s">
        <v>4060</v>
      </c>
      <c r="O887" s="1017" t="s">
        <v>4061</v>
      </c>
      <c r="P887" s="77"/>
      <c r="Q887" s="77"/>
      <c r="R887" s="77"/>
      <c r="S887" s="15"/>
      <c r="T887" s="15"/>
      <c r="U887" s="15"/>
      <c r="V887" s="15"/>
      <c r="W887" s="15"/>
      <c r="X887" s="15"/>
      <c r="Y887" s="15"/>
      <c r="Z887" s="15"/>
    </row>
    <row r="888" spans="1:26" ht="59.25" customHeight="1">
      <c r="A888" s="343" t="s">
        <v>736</v>
      </c>
      <c r="B888" s="144" t="s">
        <v>503</v>
      </c>
      <c r="C888" s="971">
        <v>1</v>
      </c>
      <c r="D888" s="971">
        <v>0.7</v>
      </c>
      <c r="E888" s="971">
        <v>0</v>
      </c>
      <c r="F888" s="971">
        <v>0.8</v>
      </c>
      <c r="G888" s="996">
        <v>0.9</v>
      </c>
      <c r="H888" s="971">
        <v>0.5</v>
      </c>
      <c r="I888" s="842" t="s">
        <v>5129</v>
      </c>
      <c r="J888" s="844" t="s">
        <v>5130</v>
      </c>
      <c r="K888" s="972" t="s">
        <v>5131</v>
      </c>
      <c r="L888" s="972" t="s">
        <v>5132</v>
      </c>
      <c r="M888" s="972" t="s">
        <v>5133</v>
      </c>
      <c r="N888" s="972" t="s">
        <v>5134</v>
      </c>
      <c r="O888" s="972" t="s">
        <v>5135</v>
      </c>
      <c r="P888" s="77"/>
      <c r="Q888" s="77"/>
      <c r="R888" s="77"/>
      <c r="S888" s="15"/>
      <c r="T888" s="15"/>
      <c r="U888" s="15"/>
      <c r="V888" s="15"/>
      <c r="W888" s="15"/>
      <c r="X888" s="15"/>
      <c r="Y888" s="15"/>
      <c r="Z888" s="15"/>
    </row>
    <row r="889" spans="1:26" ht="18.75" customHeight="1">
      <c r="A889" s="843"/>
      <c r="B889" s="773"/>
      <c r="C889" s="1018">
        <v>1</v>
      </c>
      <c r="D889" s="1013">
        <v>0.7</v>
      </c>
      <c r="E889" s="1013">
        <v>0</v>
      </c>
      <c r="F889" s="1013">
        <v>0.8</v>
      </c>
      <c r="G889" s="1014">
        <v>0.9</v>
      </c>
      <c r="H889" s="1019">
        <v>0.6</v>
      </c>
      <c r="I889" s="842"/>
      <c r="J889" s="845" t="s">
        <v>4062</v>
      </c>
      <c r="K889" s="1016" t="s">
        <v>2406</v>
      </c>
      <c r="L889" s="1017" t="s">
        <v>4063</v>
      </c>
      <c r="M889" s="1016" t="s">
        <v>4064</v>
      </c>
      <c r="N889" s="1016" t="s">
        <v>4065</v>
      </c>
      <c r="O889" s="1017" t="s">
        <v>4066</v>
      </c>
      <c r="P889" s="77"/>
      <c r="Q889" s="77"/>
      <c r="R889" s="77"/>
      <c r="S889" s="15"/>
      <c r="T889" s="15"/>
      <c r="U889" s="15"/>
      <c r="V889" s="15"/>
      <c r="W889" s="15"/>
      <c r="X889" s="15"/>
      <c r="Y889" s="15"/>
      <c r="Z889" s="15"/>
    </row>
    <row r="890" spans="1:26" ht="75.75" customHeight="1">
      <c r="A890" s="343" t="s">
        <v>736</v>
      </c>
      <c r="B890" s="144" t="s">
        <v>4067</v>
      </c>
      <c r="C890" s="971">
        <v>0.7</v>
      </c>
      <c r="D890" s="971">
        <v>0.1</v>
      </c>
      <c r="E890" s="971">
        <v>0.5</v>
      </c>
      <c r="F890" s="1012">
        <v>0.5</v>
      </c>
      <c r="G890" s="996">
        <v>0.8</v>
      </c>
      <c r="H890" s="846">
        <v>0</v>
      </c>
      <c r="I890" s="842" t="s">
        <v>5136</v>
      </c>
      <c r="J890" s="844" t="s">
        <v>5137</v>
      </c>
      <c r="K890" s="972" t="s">
        <v>5138</v>
      </c>
      <c r="L890" s="972" t="s">
        <v>5139</v>
      </c>
      <c r="M890" s="972" t="s">
        <v>5140</v>
      </c>
      <c r="N890" s="972" t="s">
        <v>4071</v>
      </c>
      <c r="O890" s="972" t="s">
        <v>763</v>
      </c>
      <c r="P890" s="77"/>
      <c r="Q890" s="77"/>
      <c r="R890" s="77"/>
      <c r="S890" s="15"/>
      <c r="T890" s="15"/>
      <c r="U890" s="15"/>
      <c r="V890" s="15"/>
      <c r="W890" s="15"/>
      <c r="X890" s="15"/>
      <c r="Y890" s="15"/>
      <c r="Z890" s="15"/>
    </row>
    <row r="891" spans="1:26" ht="24.75" customHeight="1">
      <c r="A891" s="843"/>
      <c r="B891" s="773"/>
      <c r="C891" s="1013">
        <v>0.7</v>
      </c>
      <c r="D891" s="1020">
        <v>0.5</v>
      </c>
      <c r="E891" s="1013">
        <v>0.5</v>
      </c>
      <c r="F891" s="1013">
        <v>0.8</v>
      </c>
      <c r="G891" s="1021">
        <v>0.5</v>
      </c>
      <c r="H891" s="847">
        <v>0.5</v>
      </c>
      <c r="I891" s="842"/>
      <c r="J891" s="848" t="s">
        <v>4068</v>
      </c>
      <c r="K891" s="1016" t="s">
        <v>2411</v>
      </c>
      <c r="L891" s="1017" t="s">
        <v>4069</v>
      </c>
      <c r="M891" s="1016" t="s">
        <v>4070</v>
      </c>
      <c r="N891" s="1016" t="s">
        <v>4071</v>
      </c>
      <c r="O891" s="1017" t="s">
        <v>4072</v>
      </c>
      <c r="P891" s="77"/>
      <c r="Q891" s="77"/>
      <c r="R891" s="77"/>
      <c r="S891" s="15"/>
      <c r="T891" s="15"/>
      <c r="U891" s="15"/>
      <c r="V891" s="15"/>
      <c r="W891" s="15"/>
      <c r="X891" s="15"/>
      <c r="Y891" s="15"/>
      <c r="Z891" s="15"/>
    </row>
    <row r="892" spans="1:26" ht="106.5" customHeight="1">
      <c r="A892" s="343" t="s">
        <v>736</v>
      </c>
      <c r="B892" s="849" t="s">
        <v>511</v>
      </c>
      <c r="C892" s="971">
        <v>0.9</v>
      </c>
      <c r="D892" s="971">
        <v>0.8</v>
      </c>
      <c r="E892" s="971">
        <v>0.68</v>
      </c>
      <c r="F892" s="971">
        <v>0.6</v>
      </c>
      <c r="G892" s="971">
        <v>0.7</v>
      </c>
      <c r="H892" s="971">
        <v>0.6</v>
      </c>
      <c r="I892" s="842" t="s">
        <v>5141</v>
      </c>
      <c r="J892" s="844"/>
      <c r="K892" s="972"/>
      <c r="L892" s="972"/>
      <c r="M892" s="972"/>
      <c r="N892" s="850"/>
      <c r="O892" s="972"/>
      <c r="P892" s="77"/>
      <c r="Q892" s="77"/>
      <c r="R892" s="77"/>
      <c r="S892" s="725"/>
      <c r="T892" s="15"/>
      <c r="U892" s="15"/>
      <c r="V892" s="15"/>
      <c r="W892" s="15"/>
      <c r="X892" s="15"/>
      <c r="Y892" s="15"/>
      <c r="Z892" s="15"/>
    </row>
    <row r="893" spans="1:26" ht="23.25" customHeight="1">
      <c r="A893" s="843"/>
      <c r="B893" s="851"/>
      <c r="C893" s="1013">
        <v>0.9</v>
      </c>
      <c r="D893" s="1013">
        <v>0.8</v>
      </c>
      <c r="E893" s="1022">
        <v>0.72</v>
      </c>
      <c r="F893" s="1013">
        <v>0.6</v>
      </c>
      <c r="G893" s="1020">
        <v>0.7</v>
      </c>
      <c r="H893" s="1020">
        <v>0.6</v>
      </c>
      <c r="I893" s="842"/>
      <c r="J893" s="845" t="s">
        <v>4073</v>
      </c>
      <c r="K893" s="1016" t="s">
        <v>4074</v>
      </c>
      <c r="L893" s="852" t="s">
        <v>4075</v>
      </c>
      <c r="M893" s="1016" t="s">
        <v>4076</v>
      </c>
      <c r="N893" s="1023" t="s">
        <v>4077</v>
      </c>
      <c r="O893" s="1023" t="s">
        <v>4078</v>
      </c>
      <c r="P893" s="77"/>
      <c r="Q893" s="77"/>
      <c r="R893" s="77"/>
      <c r="S893" s="725"/>
      <c r="T893" s="15"/>
      <c r="U893" s="15"/>
      <c r="V893" s="15"/>
      <c r="W893" s="15"/>
      <c r="X893" s="15"/>
      <c r="Y893" s="15"/>
      <c r="Z893" s="15"/>
    </row>
    <row r="894" spans="1:26" ht="77.25" customHeight="1">
      <c r="A894" s="343" t="s">
        <v>736</v>
      </c>
      <c r="B894" s="849" t="s">
        <v>4079</v>
      </c>
      <c r="C894" s="971"/>
      <c r="D894" s="971"/>
      <c r="E894" s="971"/>
      <c r="F894" s="971"/>
      <c r="G894" s="971"/>
      <c r="H894" s="971"/>
      <c r="I894" s="842"/>
      <c r="J894" s="75"/>
      <c r="K894" s="75"/>
      <c r="L894" s="75"/>
      <c r="M894" s="75"/>
      <c r="N894" s="75"/>
      <c r="O894" s="75"/>
      <c r="P894" s="77"/>
      <c r="Q894" s="77"/>
      <c r="R894" s="77"/>
      <c r="S894" s="15"/>
      <c r="T894" s="15"/>
      <c r="U894" s="15"/>
      <c r="V894" s="15"/>
      <c r="W894" s="15"/>
      <c r="X894" s="15"/>
      <c r="Y894" s="15"/>
      <c r="Z894" s="15"/>
    </row>
    <row r="895" spans="1:26" ht="27" customHeight="1">
      <c r="A895" s="343"/>
      <c r="B895" s="930" t="s">
        <v>2420</v>
      </c>
      <c r="C895" s="971">
        <v>0</v>
      </c>
      <c r="D895" s="1020">
        <v>1</v>
      </c>
      <c r="E895" s="971">
        <v>0.5</v>
      </c>
      <c r="F895" s="971" t="s">
        <v>1073</v>
      </c>
      <c r="G895" s="971">
        <v>0</v>
      </c>
      <c r="H895" s="971">
        <v>1</v>
      </c>
      <c r="I895" s="842" t="s">
        <v>5142</v>
      </c>
      <c r="J895" s="972" t="s">
        <v>5143</v>
      </c>
      <c r="K895" s="853" t="s">
        <v>1060</v>
      </c>
      <c r="L895" s="972" t="s">
        <v>4080</v>
      </c>
      <c r="M895" s="972" t="s">
        <v>1073</v>
      </c>
      <c r="N895" s="850" t="s">
        <v>960</v>
      </c>
      <c r="O895" s="972" t="s">
        <v>1060</v>
      </c>
      <c r="P895" s="77"/>
      <c r="Q895" s="77"/>
      <c r="R895" s="77"/>
      <c r="S895" s="15"/>
      <c r="T895" s="15"/>
      <c r="U895" s="15"/>
      <c r="V895" s="15"/>
      <c r="W895" s="15"/>
      <c r="X895" s="15"/>
      <c r="Y895" s="15"/>
      <c r="Z895" s="15"/>
    </row>
    <row r="896" spans="1:26" ht="26.25" customHeight="1">
      <c r="A896" s="843"/>
      <c r="B896" s="1024"/>
      <c r="C896" s="1013">
        <v>0</v>
      </c>
      <c r="D896" s="1020">
        <v>1</v>
      </c>
      <c r="E896" s="1013">
        <v>0.5</v>
      </c>
      <c r="F896" s="1013" t="s">
        <v>1073</v>
      </c>
      <c r="G896" s="1022">
        <v>0.5</v>
      </c>
      <c r="H896" s="1022">
        <v>0.5</v>
      </c>
      <c r="I896" s="842"/>
      <c r="J896" s="1025" t="s">
        <v>960</v>
      </c>
      <c r="K896" s="854" t="s">
        <v>1060</v>
      </c>
      <c r="L896" s="1017" t="s">
        <v>4080</v>
      </c>
      <c r="M896" s="1025" t="s">
        <v>1073</v>
      </c>
      <c r="N896" s="1016" t="s">
        <v>960</v>
      </c>
      <c r="O896" s="1025" t="s">
        <v>1060</v>
      </c>
      <c r="P896" s="77"/>
      <c r="Q896" s="77"/>
      <c r="R896" s="77"/>
      <c r="S896" s="15"/>
      <c r="T896" s="15"/>
      <c r="U896" s="15"/>
      <c r="V896" s="15"/>
      <c r="W896" s="15"/>
      <c r="X896" s="15"/>
      <c r="Y896" s="15"/>
      <c r="Z896" s="15"/>
    </row>
    <row r="897" spans="1:26" ht="20.25" customHeight="1">
      <c r="A897" s="343"/>
      <c r="B897" s="930" t="s">
        <v>2423</v>
      </c>
      <c r="C897" s="971">
        <v>0</v>
      </c>
      <c r="D897" s="971">
        <v>1</v>
      </c>
      <c r="E897" s="971">
        <v>0</v>
      </c>
      <c r="F897" s="971">
        <v>1</v>
      </c>
      <c r="G897" s="971">
        <v>0</v>
      </c>
      <c r="H897" s="971">
        <v>1</v>
      </c>
      <c r="I897" s="842" t="s">
        <v>5142</v>
      </c>
      <c r="J897" s="972" t="s">
        <v>5144</v>
      </c>
      <c r="K897" s="972" t="s">
        <v>1060</v>
      </c>
      <c r="L897" s="972" t="s">
        <v>960</v>
      </c>
      <c r="M897" s="972" t="s">
        <v>1060</v>
      </c>
      <c r="N897" s="850" t="s">
        <v>960</v>
      </c>
      <c r="O897" s="972" t="s">
        <v>1060</v>
      </c>
      <c r="P897" s="77"/>
      <c r="Q897" s="77"/>
      <c r="R897" s="77"/>
      <c r="S897" s="15"/>
      <c r="T897" s="15"/>
      <c r="U897" s="15"/>
      <c r="V897" s="15"/>
      <c r="W897" s="15"/>
      <c r="X897" s="15"/>
      <c r="Y897" s="15"/>
      <c r="Z897" s="15"/>
    </row>
    <row r="898" spans="1:26" ht="24.75" customHeight="1">
      <c r="A898" s="843"/>
      <c r="B898" s="1024"/>
      <c r="C898" s="1013">
        <v>0</v>
      </c>
      <c r="D898" s="1013">
        <v>1</v>
      </c>
      <c r="E898" s="1013">
        <v>0</v>
      </c>
      <c r="F898" s="1013">
        <v>1</v>
      </c>
      <c r="G898" s="1013">
        <v>0</v>
      </c>
      <c r="H898" s="1013">
        <v>1</v>
      </c>
      <c r="I898" s="842"/>
      <c r="J898" s="1025" t="s">
        <v>960</v>
      </c>
      <c r="K898" s="855" t="s">
        <v>1060</v>
      </c>
      <c r="L898" s="856" t="s">
        <v>960</v>
      </c>
      <c r="M898" s="1025" t="s">
        <v>1060</v>
      </c>
      <c r="N898" s="855" t="s">
        <v>960</v>
      </c>
      <c r="O898" s="1025" t="s">
        <v>1060</v>
      </c>
      <c r="P898" s="77"/>
      <c r="Q898" s="77"/>
      <c r="R898" s="77"/>
      <c r="S898" s="15"/>
      <c r="T898" s="15"/>
      <c r="U898" s="15"/>
      <c r="V898" s="15"/>
      <c r="W898" s="15"/>
      <c r="X898" s="15"/>
      <c r="Y898" s="15"/>
      <c r="Z898" s="15"/>
    </row>
    <row r="899" spans="1:26" ht="24.75" customHeight="1">
      <c r="A899" s="343"/>
      <c r="B899" s="930" t="s">
        <v>2426</v>
      </c>
      <c r="C899" s="971">
        <v>0.5</v>
      </c>
      <c r="D899" s="971">
        <v>1</v>
      </c>
      <c r="E899" s="971">
        <v>1</v>
      </c>
      <c r="F899" s="971">
        <v>1</v>
      </c>
      <c r="G899" s="971">
        <v>1</v>
      </c>
      <c r="H899" s="971">
        <v>1</v>
      </c>
      <c r="I899" s="842" t="s">
        <v>5142</v>
      </c>
      <c r="J899" s="972" t="s">
        <v>5145</v>
      </c>
      <c r="K899" s="972" t="s">
        <v>1060</v>
      </c>
      <c r="L899" s="972" t="s">
        <v>1060</v>
      </c>
      <c r="M899" s="972" t="s">
        <v>1060</v>
      </c>
      <c r="N899" s="850" t="s">
        <v>1060</v>
      </c>
      <c r="O899" s="972" t="s">
        <v>1060</v>
      </c>
      <c r="P899" s="77"/>
      <c r="Q899" s="77"/>
      <c r="R899" s="77"/>
      <c r="S899" s="15"/>
      <c r="T899" s="15"/>
      <c r="U899" s="15"/>
      <c r="V899" s="15"/>
      <c r="W899" s="15"/>
      <c r="X899" s="15"/>
      <c r="Y899" s="15"/>
      <c r="Z899" s="15"/>
    </row>
    <row r="900" spans="1:26" ht="27" customHeight="1">
      <c r="A900" s="843"/>
      <c r="B900" s="1024"/>
      <c r="C900" s="1013">
        <v>0.5</v>
      </c>
      <c r="D900" s="1013">
        <v>1</v>
      </c>
      <c r="E900" s="1013">
        <v>1</v>
      </c>
      <c r="F900" s="1013">
        <v>1</v>
      </c>
      <c r="G900" s="1013">
        <v>1</v>
      </c>
      <c r="H900" s="1013">
        <v>1</v>
      </c>
      <c r="I900" s="842"/>
      <c r="J900" s="1025" t="s">
        <v>4081</v>
      </c>
      <c r="K900" s="855" t="s">
        <v>1060</v>
      </c>
      <c r="L900" s="857" t="s">
        <v>4082</v>
      </c>
      <c r="M900" s="1025" t="s">
        <v>1060</v>
      </c>
      <c r="N900" s="858" t="s">
        <v>1060</v>
      </c>
      <c r="O900" s="1025" t="s">
        <v>1060</v>
      </c>
      <c r="P900" s="77"/>
      <c r="Q900" s="77"/>
      <c r="R900" s="77"/>
      <c r="S900" s="15"/>
      <c r="T900" s="15"/>
      <c r="U900" s="15"/>
      <c r="V900" s="15"/>
      <c r="W900" s="15"/>
      <c r="X900" s="15"/>
      <c r="Y900" s="15"/>
      <c r="Z900" s="15"/>
    </row>
    <row r="901" spans="1:26" ht="78" customHeight="1">
      <c r="A901" s="343" t="s">
        <v>736</v>
      </c>
      <c r="B901" s="144" t="s">
        <v>4083</v>
      </c>
      <c r="C901" s="271">
        <v>0.5</v>
      </c>
      <c r="D901" s="271">
        <v>1</v>
      </c>
      <c r="E901" s="271">
        <v>0.7</v>
      </c>
      <c r="F901" s="271">
        <v>0.7</v>
      </c>
      <c r="G901" s="271">
        <v>1</v>
      </c>
      <c r="H901" s="271">
        <v>0</v>
      </c>
      <c r="I901" s="842" t="s">
        <v>5146</v>
      </c>
      <c r="J901" s="271"/>
      <c r="K901" s="271"/>
      <c r="L901" s="271"/>
      <c r="M901" s="271"/>
      <c r="N901" s="271"/>
      <c r="O901" s="271"/>
      <c r="P901" s="77"/>
      <c r="Q901" s="77"/>
      <c r="R901" s="77"/>
      <c r="S901" s="15"/>
      <c r="T901" s="15"/>
      <c r="U901" s="15"/>
      <c r="V901" s="15"/>
      <c r="W901" s="15"/>
      <c r="X901" s="15"/>
      <c r="Y901" s="15"/>
      <c r="Z901" s="15"/>
    </row>
    <row r="902" spans="1:26" ht="27.75" customHeight="1">
      <c r="A902" s="843"/>
      <c r="B902" s="773"/>
      <c r="C902" s="774">
        <v>0.5</v>
      </c>
      <c r="D902" s="1013">
        <v>1</v>
      </c>
      <c r="E902" s="774">
        <v>0.7</v>
      </c>
      <c r="F902" s="774">
        <v>0.7</v>
      </c>
      <c r="G902" s="1014">
        <v>1</v>
      </c>
      <c r="H902" s="774">
        <v>0</v>
      </c>
      <c r="I902" s="842"/>
      <c r="J902" s="1016"/>
      <c r="K902" s="774" t="s">
        <v>960</v>
      </c>
      <c r="L902" s="1016"/>
      <c r="M902" s="859" t="s">
        <v>4084</v>
      </c>
      <c r="N902" s="860">
        <v>1</v>
      </c>
      <c r="O902" s="1016"/>
      <c r="P902" s="77"/>
      <c r="Q902" s="77"/>
      <c r="R902" s="77"/>
      <c r="S902" s="15"/>
      <c r="T902" s="15"/>
      <c r="U902" s="15"/>
      <c r="V902" s="15"/>
      <c r="W902" s="15"/>
      <c r="X902" s="15"/>
      <c r="Y902" s="15"/>
      <c r="Z902" s="15"/>
    </row>
    <row r="903" spans="1:26" ht="35.25" customHeight="1">
      <c r="A903" s="343" t="s">
        <v>736</v>
      </c>
      <c r="B903" s="861" t="s">
        <v>513</v>
      </c>
      <c r="C903" s="971"/>
      <c r="D903" s="971"/>
      <c r="E903" s="971"/>
      <c r="F903" s="971"/>
      <c r="G903" s="971"/>
      <c r="H903" s="971"/>
      <c r="I903" s="842" t="s">
        <v>5147</v>
      </c>
      <c r="J903" s="75"/>
      <c r="K903" s="75"/>
      <c r="L903" s="75"/>
      <c r="M903" s="75"/>
      <c r="N903" s="75"/>
      <c r="O903" s="75"/>
      <c r="P903" s="77"/>
      <c r="Q903" s="77"/>
      <c r="R903" s="77"/>
      <c r="S903" s="15"/>
      <c r="T903" s="15"/>
      <c r="U903" s="15"/>
      <c r="V903" s="15"/>
      <c r="W903" s="15"/>
      <c r="X903" s="15"/>
      <c r="Y903" s="15"/>
      <c r="Z903" s="15"/>
    </row>
    <row r="904" spans="1:26" ht="24.75" customHeight="1">
      <c r="A904" s="843"/>
      <c r="B904" s="773"/>
      <c r="C904" s="774">
        <v>0.5</v>
      </c>
      <c r="D904" s="1022">
        <v>0.7</v>
      </c>
      <c r="E904" s="1013">
        <v>1</v>
      </c>
      <c r="F904" s="774">
        <v>0.7</v>
      </c>
      <c r="G904" s="1013">
        <v>1</v>
      </c>
      <c r="H904" s="1022">
        <v>0.1</v>
      </c>
      <c r="I904" s="842"/>
      <c r="J904" s="844" t="s">
        <v>4085</v>
      </c>
      <c r="K904" s="972" t="s">
        <v>4086</v>
      </c>
      <c r="L904" s="855" t="s">
        <v>4087</v>
      </c>
      <c r="M904" s="1016" t="s">
        <v>4088</v>
      </c>
      <c r="N904" s="855" t="s">
        <v>4087</v>
      </c>
      <c r="O904" s="972" t="s">
        <v>4089</v>
      </c>
      <c r="P904" s="77"/>
      <c r="Q904" s="77"/>
      <c r="R904" s="77"/>
      <c r="S904" s="15"/>
      <c r="T904" s="15"/>
      <c r="U904" s="15"/>
      <c r="V904" s="15"/>
      <c r="W904" s="15"/>
      <c r="X904" s="15"/>
      <c r="Y904" s="15"/>
      <c r="Z904" s="15"/>
    </row>
    <row r="905" spans="1:26" ht="24.75" customHeight="1">
      <c r="A905" s="343"/>
      <c r="B905" s="144"/>
      <c r="C905" s="271"/>
      <c r="D905" s="971"/>
      <c r="E905" s="971"/>
      <c r="F905" s="271"/>
      <c r="G905" s="971"/>
      <c r="H905" s="971"/>
      <c r="I905" s="842"/>
      <c r="J905" s="844"/>
      <c r="K905" s="972"/>
      <c r="L905" s="75"/>
      <c r="M905" s="911"/>
      <c r="N905" s="75"/>
      <c r="O905" s="972"/>
      <c r="P905" s="77"/>
      <c r="Q905" s="77"/>
      <c r="R905" s="77"/>
      <c r="S905" s="15"/>
      <c r="T905" s="15"/>
      <c r="U905" s="15"/>
      <c r="V905" s="15"/>
      <c r="W905" s="15"/>
      <c r="X905" s="15"/>
      <c r="Y905" s="15"/>
      <c r="Z905" s="15"/>
    </row>
    <row r="906" spans="1:26" ht="27" customHeight="1">
      <c r="A906" s="736" t="s">
        <v>2436</v>
      </c>
      <c r="B906" s="70" t="s">
        <v>514</v>
      </c>
      <c r="C906" s="687"/>
      <c r="D906" s="687"/>
      <c r="E906" s="687"/>
      <c r="F906" s="687"/>
      <c r="G906" s="687"/>
      <c r="H906" s="687"/>
      <c r="I906" s="842"/>
      <c r="J906" s="74"/>
      <c r="K906" s="74"/>
      <c r="L906" s="74"/>
      <c r="M906" s="74"/>
      <c r="N906" s="74"/>
      <c r="O906" s="74"/>
      <c r="P906" s="76"/>
      <c r="Q906" s="76"/>
      <c r="R906" s="76"/>
      <c r="S906" s="23"/>
      <c r="T906" s="23"/>
      <c r="U906" s="23"/>
      <c r="V906" s="23"/>
      <c r="W906" s="23"/>
      <c r="X906" s="23"/>
      <c r="Y906" s="23"/>
      <c r="Z906" s="23"/>
    </row>
    <row r="907" spans="1:26" ht="63" customHeight="1">
      <c r="A907" s="343" t="s">
        <v>736</v>
      </c>
      <c r="B907" s="144" t="s">
        <v>4090</v>
      </c>
      <c r="C907" s="971">
        <v>0</v>
      </c>
      <c r="D907" s="971">
        <v>0.7</v>
      </c>
      <c r="E907" s="971">
        <v>0</v>
      </c>
      <c r="F907" s="971">
        <v>0</v>
      </c>
      <c r="G907" s="971">
        <v>0.5</v>
      </c>
      <c r="H907" s="971">
        <v>0.5</v>
      </c>
      <c r="I907" s="842" t="s">
        <v>5148</v>
      </c>
      <c r="J907" s="972" t="s">
        <v>5149</v>
      </c>
      <c r="K907" s="972" t="s">
        <v>5150</v>
      </c>
      <c r="L907" s="748" t="s">
        <v>748</v>
      </c>
      <c r="M907" s="972" t="s">
        <v>748</v>
      </c>
      <c r="N907" s="972" t="s">
        <v>5151</v>
      </c>
      <c r="O907" s="972" t="s">
        <v>5152</v>
      </c>
      <c r="P907" s="77"/>
      <c r="Q907" s="77"/>
      <c r="R907" s="77"/>
      <c r="S907" s="15"/>
      <c r="T907" s="15"/>
      <c r="U907" s="15"/>
      <c r="V907" s="15"/>
      <c r="W907" s="15"/>
      <c r="X907" s="15"/>
      <c r="Y907" s="15"/>
      <c r="Z907" s="15"/>
    </row>
    <row r="908" spans="1:26" ht="28.5" customHeight="1">
      <c r="A908" s="843"/>
      <c r="B908" s="773"/>
      <c r="C908" s="774">
        <v>0.5</v>
      </c>
      <c r="D908" s="1020">
        <v>0.5</v>
      </c>
      <c r="E908" s="1013">
        <v>1</v>
      </c>
      <c r="F908" s="1013">
        <v>0</v>
      </c>
      <c r="G908" s="1020">
        <v>0.7</v>
      </c>
      <c r="H908" s="1022">
        <v>0.8</v>
      </c>
      <c r="I908" s="842"/>
      <c r="J908" s="1025" t="s">
        <v>2450</v>
      </c>
      <c r="K908" s="1016" t="s">
        <v>4091</v>
      </c>
      <c r="L908" s="862" t="s">
        <v>4092</v>
      </c>
      <c r="M908" s="1016" t="s">
        <v>748</v>
      </c>
      <c r="N908" s="1016" t="s">
        <v>2441</v>
      </c>
      <c r="O908" s="1017" t="s">
        <v>4093</v>
      </c>
      <c r="P908" s="77"/>
      <c r="Q908" s="77"/>
      <c r="R908" s="77"/>
      <c r="S908" s="15"/>
      <c r="T908" s="15"/>
      <c r="U908" s="15"/>
      <c r="V908" s="15"/>
      <c r="W908" s="15"/>
      <c r="X908" s="15"/>
      <c r="Y908" s="15"/>
      <c r="Z908" s="15"/>
    </row>
    <row r="909" spans="1:26" ht="75.75" customHeight="1">
      <c r="A909" s="343" t="s">
        <v>736</v>
      </c>
      <c r="B909" s="144" t="s">
        <v>4094</v>
      </c>
      <c r="C909" s="971">
        <v>0.5</v>
      </c>
      <c r="D909" s="971">
        <v>0.7</v>
      </c>
      <c r="E909" s="971">
        <v>0</v>
      </c>
      <c r="F909" s="971">
        <v>0.5</v>
      </c>
      <c r="G909" s="971">
        <v>0.7</v>
      </c>
      <c r="H909" s="971">
        <v>0.5</v>
      </c>
      <c r="I909" s="842" t="s">
        <v>5153</v>
      </c>
      <c r="J909" s="972" t="s">
        <v>5154</v>
      </c>
      <c r="K909" s="972" t="s">
        <v>1068</v>
      </c>
      <c r="L909" s="748" t="s">
        <v>748</v>
      </c>
      <c r="M909" s="972" t="s">
        <v>5155</v>
      </c>
      <c r="N909" s="972" t="s">
        <v>5156</v>
      </c>
      <c r="O909" s="972" t="s">
        <v>5157</v>
      </c>
      <c r="P909" s="77"/>
      <c r="Q909" s="77"/>
      <c r="R909" s="77"/>
      <c r="S909" s="15"/>
      <c r="T909" s="15"/>
      <c r="U909" s="15"/>
      <c r="V909" s="15"/>
      <c r="W909" s="15"/>
      <c r="X909" s="15"/>
      <c r="Y909" s="15"/>
      <c r="Z909" s="15"/>
    </row>
    <row r="910" spans="1:26" ht="24" customHeight="1">
      <c r="A910" s="843"/>
      <c r="B910" s="773"/>
      <c r="C910" s="1013">
        <v>0.3</v>
      </c>
      <c r="D910" s="1013">
        <v>0.7</v>
      </c>
      <c r="E910" s="1018">
        <v>0.7</v>
      </c>
      <c r="F910" s="1013">
        <v>0.5</v>
      </c>
      <c r="G910" s="1020">
        <v>0.7</v>
      </c>
      <c r="H910" s="1013">
        <v>0.5</v>
      </c>
      <c r="I910" s="842"/>
      <c r="J910" s="1025" t="s">
        <v>2450</v>
      </c>
      <c r="K910" s="1016" t="s">
        <v>811</v>
      </c>
      <c r="L910" s="862" t="s">
        <v>4095</v>
      </c>
      <c r="M910" s="1016" t="s">
        <v>4096</v>
      </c>
      <c r="N910" s="1016" t="s">
        <v>4097</v>
      </c>
      <c r="O910" s="1017" t="s">
        <v>4098</v>
      </c>
      <c r="P910" s="77"/>
      <c r="Q910" s="77"/>
      <c r="R910" s="77"/>
      <c r="S910" s="15"/>
      <c r="T910" s="15"/>
      <c r="U910" s="15"/>
      <c r="V910" s="15"/>
      <c r="W910" s="15"/>
      <c r="X910" s="15"/>
      <c r="Y910" s="15"/>
      <c r="Z910" s="15"/>
    </row>
    <row r="911" spans="1:26" ht="77.25" customHeight="1">
      <c r="A911" s="343" t="s">
        <v>736</v>
      </c>
      <c r="B911" s="144" t="s">
        <v>4099</v>
      </c>
      <c r="C911" s="971">
        <v>0.5</v>
      </c>
      <c r="D911" s="971">
        <v>0.7</v>
      </c>
      <c r="E911" s="971">
        <v>0.3</v>
      </c>
      <c r="F911" s="971">
        <v>0.3</v>
      </c>
      <c r="G911" s="971">
        <v>0.5</v>
      </c>
      <c r="H911" s="971">
        <v>0</v>
      </c>
      <c r="I911" s="842" t="s">
        <v>5158</v>
      </c>
      <c r="J911" s="972" t="s">
        <v>5159</v>
      </c>
      <c r="K911" s="972" t="s">
        <v>5160</v>
      </c>
      <c r="L911" s="748" t="s">
        <v>4101</v>
      </c>
      <c r="M911" s="972" t="s">
        <v>4101</v>
      </c>
      <c r="N911" s="972" t="s">
        <v>2462</v>
      </c>
      <c r="O911" s="972" t="s">
        <v>748</v>
      </c>
      <c r="P911" s="77"/>
      <c r="Q911" s="77"/>
      <c r="R911" s="77"/>
      <c r="S911" s="15"/>
      <c r="T911" s="15"/>
      <c r="U911" s="15"/>
      <c r="V911" s="15"/>
      <c r="W911" s="15"/>
      <c r="X911" s="15"/>
      <c r="Y911" s="15"/>
      <c r="Z911" s="15"/>
    </row>
    <row r="912" spans="1:26" ht="26.25" customHeight="1">
      <c r="A912" s="843"/>
      <c r="B912" s="773"/>
      <c r="C912" s="1013">
        <v>0.5</v>
      </c>
      <c r="D912" s="1013">
        <v>0.5</v>
      </c>
      <c r="E912" s="1013">
        <v>0.3</v>
      </c>
      <c r="F912" s="1013">
        <v>0.3</v>
      </c>
      <c r="G912" s="1013">
        <v>0.5</v>
      </c>
      <c r="H912" s="1013">
        <v>0</v>
      </c>
      <c r="I912" s="842"/>
      <c r="J912" s="1025" t="s">
        <v>2450</v>
      </c>
      <c r="K912" s="855" t="s">
        <v>4100</v>
      </c>
      <c r="L912" s="863" t="s">
        <v>4101</v>
      </c>
      <c r="M912" s="855" t="s">
        <v>748</v>
      </c>
      <c r="N912" s="855" t="s">
        <v>2462</v>
      </c>
      <c r="O912" s="864" t="s">
        <v>748</v>
      </c>
      <c r="P912" s="77"/>
      <c r="Q912" s="77"/>
      <c r="R912" s="77"/>
      <c r="S912" s="15"/>
      <c r="T912" s="15"/>
      <c r="U912" s="15"/>
      <c r="V912" s="15"/>
      <c r="W912" s="15"/>
      <c r="X912" s="15"/>
      <c r="Y912" s="15"/>
      <c r="Z912" s="15"/>
    </row>
    <row r="913" spans="1:26" ht="26.25" customHeight="1">
      <c r="A913" s="343"/>
      <c r="B913" s="144"/>
      <c r="C913" s="971"/>
      <c r="D913" s="971"/>
      <c r="E913" s="971"/>
      <c r="F913" s="971"/>
      <c r="G913" s="971"/>
      <c r="H913" s="971"/>
      <c r="I913" s="842"/>
      <c r="J913" s="972"/>
      <c r="K913" s="75"/>
      <c r="L913" s="743"/>
      <c r="M913" s="75"/>
      <c r="N913" s="75"/>
      <c r="O913" s="744"/>
      <c r="P913" s="77"/>
      <c r="Q913" s="77"/>
      <c r="R913" s="77"/>
      <c r="S913" s="15"/>
      <c r="T913" s="15"/>
      <c r="U913" s="15"/>
      <c r="V913" s="15"/>
      <c r="W913" s="15"/>
      <c r="X913" s="15"/>
      <c r="Y913" s="15"/>
      <c r="Z913" s="15"/>
    </row>
    <row r="914" spans="1:26" ht="31.5" customHeight="1">
      <c r="A914" s="745" t="s">
        <v>2448</v>
      </c>
      <c r="B914" s="70" t="s">
        <v>517</v>
      </c>
      <c r="C914" s="687"/>
      <c r="D914" s="687"/>
      <c r="E914" s="687"/>
      <c r="F914" s="687"/>
      <c r="G914" s="687"/>
      <c r="H914" s="687"/>
      <c r="I914" s="842"/>
      <c r="J914" s="74"/>
      <c r="K914" s="74"/>
      <c r="L914" s="74"/>
      <c r="M914" s="74"/>
      <c r="N914" s="74"/>
      <c r="O914" s="74"/>
      <c r="P914" s="76"/>
      <c r="Q914" s="76"/>
      <c r="R914" s="76"/>
      <c r="S914" s="23"/>
      <c r="T914" s="23"/>
      <c r="U914" s="23"/>
      <c r="V914" s="23"/>
      <c r="W914" s="23"/>
      <c r="X914" s="23"/>
      <c r="Y914" s="23"/>
      <c r="Z914" s="23"/>
    </row>
    <row r="915" spans="1:26" ht="33.75" customHeight="1">
      <c r="A915" s="714" t="s">
        <v>736</v>
      </c>
      <c r="B915" s="144" t="s">
        <v>2449</v>
      </c>
      <c r="C915" s="271">
        <v>1</v>
      </c>
      <c r="D915" s="271">
        <v>0.5</v>
      </c>
      <c r="E915" s="271">
        <v>0.6</v>
      </c>
      <c r="F915" s="271">
        <v>0.2</v>
      </c>
      <c r="G915" s="271">
        <v>0.3</v>
      </c>
      <c r="H915" s="271">
        <v>0.8</v>
      </c>
      <c r="I915" s="842" t="s">
        <v>5161</v>
      </c>
      <c r="J915" s="972" t="s">
        <v>5162</v>
      </c>
      <c r="K915" s="972" t="s">
        <v>5163</v>
      </c>
      <c r="L915" s="972" t="s">
        <v>5164</v>
      </c>
      <c r="M915" s="972" t="s">
        <v>5165</v>
      </c>
      <c r="N915" s="972" t="s">
        <v>5166</v>
      </c>
      <c r="O915" s="972" t="s">
        <v>5167</v>
      </c>
      <c r="P915" s="77"/>
      <c r="Q915" s="77"/>
      <c r="R915" s="77"/>
      <c r="S915" s="15"/>
      <c r="T915" s="15"/>
      <c r="U915" s="15"/>
      <c r="V915" s="15"/>
      <c r="W915" s="15"/>
      <c r="X915" s="15"/>
      <c r="Y915" s="15"/>
      <c r="Z915" s="15"/>
    </row>
    <row r="916" spans="1:26" ht="27" customHeight="1">
      <c r="A916" s="45"/>
      <c r="B916" s="773"/>
      <c r="C916" s="774">
        <v>1</v>
      </c>
      <c r="D916" s="774">
        <v>0.5</v>
      </c>
      <c r="E916" s="774">
        <v>0.6</v>
      </c>
      <c r="F916" s="774">
        <v>0.2</v>
      </c>
      <c r="G916" s="865">
        <v>0.3</v>
      </c>
      <c r="H916" s="774">
        <v>0.8</v>
      </c>
      <c r="I916" s="842"/>
      <c r="J916" s="1025" t="s">
        <v>2450</v>
      </c>
      <c r="K916" s="1025" t="s">
        <v>2450</v>
      </c>
      <c r="L916" s="1025" t="s">
        <v>2450</v>
      </c>
      <c r="M916" s="855" t="s">
        <v>2450</v>
      </c>
      <c r="N916" s="855" t="s">
        <v>2450</v>
      </c>
      <c r="O916" s="855" t="s">
        <v>2450</v>
      </c>
      <c r="P916" s="77"/>
      <c r="Q916" s="77"/>
      <c r="R916" s="77"/>
      <c r="S916" s="15"/>
      <c r="T916" s="15"/>
      <c r="U916" s="15"/>
      <c r="V916" s="15"/>
      <c r="W916" s="15"/>
      <c r="X916" s="15"/>
      <c r="Y916" s="15"/>
      <c r="Z916" s="15"/>
    </row>
    <row r="917" spans="1:26" ht="74.25" customHeight="1">
      <c r="A917" s="714" t="s">
        <v>736</v>
      </c>
      <c r="B917" s="254" t="s">
        <v>4102</v>
      </c>
      <c r="C917" s="8">
        <v>0.5</v>
      </c>
      <c r="D917" s="271">
        <v>1</v>
      </c>
      <c r="E917" s="271">
        <v>0</v>
      </c>
      <c r="F917" s="271">
        <v>0</v>
      </c>
      <c r="G917" s="271">
        <v>0</v>
      </c>
      <c r="H917" s="271">
        <v>0</v>
      </c>
      <c r="I917" s="842" t="s">
        <v>5168</v>
      </c>
      <c r="J917" s="972" t="s">
        <v>5169</v>
      </c>
      <c r="K917" s="972" t="s">
        <v>5170</v>
      </c>
      <c r="L917" s="748" t="s">
        <v>748</v>
      </c>
      <c r="M917" s="972" t="s">
        <v>748</v>
      </c>
      <c r="N917" s="866" t="s">
        <v>748</v>
      </c>
      <c r="O917" s="972" t="s">
        <v>748</v>
      </c>
      <c r="P917" s="77"/>
      <c r="Q917" s="77"/>
      <c r="R917" s="77"/>
      <c r="S917" s="15"/>
      <c r="T917" s="15"/>
      <c r="U917" s="15"/>
      <c r="V917" s="15"/>
      <c r="W917" s="15"/>
      <c r="X917" s="15"/>
      <c r="Y917" s="15"/>
      <c r="Z917" s="15"/>
    </row>
    <row r="918" spans="1:26" ht="24" customHeight="1">
      <c r="A918" s="45"/>
      <c r="B918" s="867"/>
      <c r="C918" s="868">
        <v>0.7</v>
      </c>
      <c r="D918" s="869">
        <v>1</v>
      </c>
      <c r="E918" s="774">
        <v>0</v>
      </c>
      <c r="F918" s="774">
        <v>0</v>
      </c>
      <c r="G918" s="774">
        <v>0</v>
      </c>
      <c r="H918" s="774">
        <v>0</v>
      </c>
      <c r="I918" s="842"/>
      <c r="J918" s="1025" t="s">
        <v>4103</v>
      </c>
      <c r="K918" s="855" t="s">
        <v>4104</v>
      </c>
      <c r="L918" s="863" t="s">
        <v>748</v>
      </c>
      <c r="M918" s="1025" t="s">
        <v>748</v>
      </c>
      <c r="N918" s="855" t="s">
        <v>748</v>
      </c>
      <c r="O918" s="856" t="s">
        <v>748</v>
      </c>
      <c r="P918" s="77"/>
      <c r="Q918" s="77"/>
      <c r="R918" s="77"/>
      <c r="S918" s="15"/>
      <c r="T918" s="15"/>
      <c r="U918" s="15"/>
      <c r="V918" s="15"/>
      <c r="W918" s="15"/>
      <c r="X918" s="15"/>
      <c r="Y918" s="15"/>
      <c r="Z918" s="15"/>
    </row>
    <row r="919" spans="1:26" ht="45.75" customHeight="1">
      <c r="A919" s="714" t="s">
        <v>736</v>
      </c>
      <c r="B919" s="144" t="s">
        <v>4105</v>
      </c>
      <c r="C919" s="271">
        <v>1</v>
      </c>
      <c r="D919" s="865" t="s">
        <v>442</v>
      </c>
      <c r="E919" s="271">
        <v>1</v>
      </c>
      <c r="F919" s="271">
        <v>0</v>
      </c>
      <c r="G919" s="271">
        <v>1</v>
      </c>
      <c r="H919" s="271">
        <v>0.5</v>
      </c>
      <c r="I919" s="842" t="s">
        <v>5168</v>
      </c>
      <c r="J919" s="972" t="s">
        <v>811</v>
      </c>
      <c r="K919" s="972" t="s">
        <v>5171</v>
      </c>
      <c r="L919" s="748" t="s">
        <v>811</v>
      </c>
      <c r="M919" s="972" t="s">
        <v>748</v>
      </c>
      <c r="N919" s="972" t="s">
        <v>811</v>
      </c>
      <c r="O919" s="972" t="s">
        <v>5172</v>
      </c>
      <c r="P919" s="77"/>
      <c r="Q919" s="77"/>
      <c r="R919" s="77"/>
      <c r="S919" s="15"/>
      <c r="T919" s="15"/>
      <c r="U919" s="15"/>
      <c r="V919" s="15"/>
      <c r="W919" s="15"/>
      <c r="X919" s="15"/>
      <c r="Y919" s="15"/>
      <c r="Z919" s="15"/>
    </row>
    <row r="920" spans="1:26" ht="24.75" customHeight="1">
      <c r="A920" s="45"/>
      <c r="B920" s="773"/>
      <c r="C920" s="774">
        <v>1</v>
      </c>
      <c r="D920" s="865">
        <v>0</v>
      </c>
      <c r="E920" s="774">
        <v>1</v>
      </c>
      <c r="F920" s="774">
        <v>0</v>
      </c>
      <c r="G920" s="774">
        <v>1</v>
      </c>
      <c r="H920" s="774">
        <v>1</v>
      </c>
      <c r="I920" s="842"/>
      <c r="J920" s="1025" t="s">
        <v>811</v>
      </c>
      <c r="K920" s="855" t="s">
        <v>1060</v>
      </c>
      <c r="L920" s="870" t="s">
        <v>811</v>
      </c>
      <c r="M920" s="1025" t="s">
        <v>748</v>
      </c>
      <c r="N920" s="855" t="s">
        <v>811</v>
      </c>
      <c r="O920" s="856" t="s">
        <v>4106</v>
      </c>
      <c r="P920" s="77"/>
      <c r="Q920" s="77"/>
      <c r="R920" s="77"/>
      <c r="S920" s="15"/>
      <c r="T920" s="15"/>
      <c r="U920" s="15"/>
      <c r="V920" s="15"/>
      <c r="W920" s="15"/>
      <c r="X920" s="15"/>
      <c r="Y920" s="15"/>
      <c r="Z920" s="15"/>
    </row>
    <row r="921" spans="1:26" ht="24.75" customHeight="1">
      <c r="A921" s="714"/>
      <c r="B921" s="144"/>
      <c r="C921" s="271"/>
      <c r="D921" s="271"/>
      <c r="E921" s="271"/>
      <c r="F921" s="271"/>
      <c r="G921" s="271"/>
      <c r="H921" s="271"/>
      <c r="I921" s="842"/>
      <c r="J921" s="972"/>
      <c r="K921" s="75"/>
      <c r="L921" s="748"/>
      <c r="M921" s="972"/>
      <c r="N921" s="75"/>
      <c r="O921" s="744"/>
      <c r="P921" s="77"/>
      <c r="Q921" s="77"/>
      <c r="R921" s="77"/>
      <c r="S921" s="15"/>
      <c r="T921" s="15"/>
      <c r="U921" s="15"/>
      <c r="V921" s="15"/>
      <c r="W921" s="15"/>
      <c r="X921" s="15"/>
      <c r="Y921" s="15"/>
      <c r="Z921" s="15"/>
    </row>
    <row r="922" spans="1:26" ht="13.5" customHeight="1">
      <c r="A922" s="736" t="s">
        <v>2456</v>
      </c>
      <c r="B922" s="683" t="s">
        <v>520</v>
      </c>
      <c r="C922" s="687"/>
      <c r="D922" s="687"/>
      <c r="E922" s="687"/>
      <c r="F922" s="687"/>
      <c r="G922" s="687"/>
      <c r="H922" s="687"/>
      <c r="I922" s="842"/>
      <c r="J922" s="74"/>
      <c r="K922" s="74"/>
      <c r="L922" s="74"/>
      <c r="M922" s="74"/>
      <c r="N922" s="74"/>
      <c r="O922" s="74"/>
      <c r="P922" s="76"/>
      <c r="Q922" s="76"/>
      <c r="R922" s="76"/>
      <c r="S922" s="23"/>
      <c r="T922" s="23"/>
      <c r="U922" s="23"/>
      <c r="V922" s="23"/>
      <c r="W922" s="23"/>
      <c r="X922" s="23"/>
      <c r="Y922" s="23"/>
      <c r="Z922" s="23"/>
    </row>
    <row r="923" spans="1:26" ht="93" customHeight="1">
      <c r="A923" s="2" t="s">
        <v>736</v>
      </c>
      <c r="B923" s="144" t="s">
        <v>2457</v>
      </c>
      <c r="C923" s="271"/>
      <c r="D923" s="271"/>
      <c r="E923" s="271"/>
      <c r="F923" s="271"/>
      <c r="G923" s="271"/>
      <c r="H923" s="271"/>
      <c r="I923" s="842"/>
      <c r="J923" s="75"/>
      <c r="K923" s="75"/>
      <c r="L923" s="75"/>
      <c r="M923" s="75"/>
      <c r="N923" s="75"/>
      <c r="O923" s="75"/>
      <c r="P923" s="77"/>
      <c r="Q923" s="77"/>
      <c r="R923" s="77"/>
      <c r="S923" s="15"/>
      <c r="T923" s="15"/>
      <c r="U923" s="15"/>
      <c r="V923" s="15"/>
      <c r="W923" s="15"/>
      <c r="X923" s="15"/>
      <c r="Y923" s="15"/>
      <c r="Z923" s="15"/>
    </row>
    <row r="924" spans="1:26" ht="72" customHeight="1">
      <c r="A924" s="2"/>
      <c r="B924" s="972" t="s">
        <v>4107</v>
      </c>
      <c r="C924" s="971">
        <v>1</v>
      </c>
      <c r="D924" s="971">
        <v>1</v>
      </c>
      <c r="E924" s="971">
        <v>1</v>
      </c>
      <c r="F924" s="971">
        <v>1</v>
      </c>
      <c r="G924" s="971">
        <v>0</v>
      </c>
      <c r="H924" s="971">
        <v>0</v>
      </c>
      <c r="I924" s="842" t="s">
        <v>38</v>
      </c>
      <c r="J924" s="972" t="s">
        <v>811</v>
      </c>
      <c r="K924" s="972" t="s">
        <v>811</v>
      </c>
      <c r="L924" s="972" t="s">
        <v>5173</v>
      </c>
      <c r="M924" s="972" t="s">
        <v>4110</v>
      </c>
      <c r="N924" s="844" t="s">
        <v>748</v>
      </c>
      <c r="O924" s="972" t="s">
        <v>748</v>
      </c>
      <c r="P924" s="77"/>
      <c r="Q924" s="77"/>
      <c r="R924" s="77"/>
      <c r="S924" s="15"/>
      <c r="T924" s="15"/>
      <c r="U924" s="15"/>
      <c r="V924" s="15"/>
      <c r="W924" s="15"/>
      <c r="X924" s="15"/>
      <c r="Y924" s="15"/>
      <c r="Z924" s="15"/>
    </row>
    <row r="925" spans="1:26" ht="27.75" customHeight="1">
      <c r="A925" s="757"/>
      <c r="B925" s="1025"/>
      <c r="C925" s="1013">
        <v>1</v>
      </c>
      <c r="D925" s="1013">
        <v>1</v>
      </c>
      <c r="E925" s="1013">
        <v>1</v>
      </c>
      <c r="F925" s="1013">
        <v>1</v>
      </c>
      <c r="G925" s="1013">
        <v>0</v>
      </c>
      <c r="H925" s="1013">
        <v>0</v>
      </c>
      <c r="I925" s="842" t="s">
        <v>4108</v>
      </c>
      <c r="J925" s="1025" t="s">
        <v>811</v>
      </c>
      <c r="K925" s="1016" t="s">
        <v>960</v>
      </c>
      <c r="L925" s="1017" t="s">
        <v>4109</v>
      </c>
      <c r="M925" s="1016" t="s">
        <v>4110</v>
      </c>
      <c r="N925" s="1016" t="s">
        <v>748</v>
      </c>
      <c r="O925" s="1017" t="s">
        <v>748</v>
      </c>
      <c r="P925" s="77"/>
      <c r="Q925" s="77"/>
      <c r="R925" s="77"/>
      <c r="S925" s="15"/>
      <c r="T925" s="15"/>
      <c r="U925" s="15"/>
      <c r="V925" s="15"/>
      <c r="W925" s="15"/>
      <c r="X925" s="15"/>
      <c r="Y925" s="15"/>
      <c r="Z925" s="15"/>
    </row>
    <row r="926" spans="1:26" ht="71.25" customHeight="1">
      <c r="A926" s="2"/>
      <c r="B926" s="972" t="s">
        <v>4111</v>
      </c>
      <c r="C926" s="971">
        <v>0</v>
      </c>
      <c r="D926" s="971">
        <v>0.5</v>
      </c>
      <c r="E926" s="971">
        <v>0.3</v>
      </c>
      <c r="F926" s="971">
        <v>1</v>
      </c>
      <c r="G926" s="971">
        <v>1</v>
      </c>
      <c r="H926" s="971">
        <v>0</v>
      </c>
      <c r="I926" s="842"/>
      <c r="J926" s="972" t="s">
        <v>748</v>
      </c>
      <c r="K926" s="972" t="s">
        <v>5174</v>
      </c>
      <c r="L926" s="972" t="s">
        <v>5175</v>
      </c>
      <c r="M926" s="972" t="s">
        <v>811</v>
      </c>
      <c r="N926" s="972" t="s">
        <v>5176</v>
      </c>
      <c r="O926" s="972" t="s">
        <v>748</v>
      </c>
      <c r="P926" s="77"/>
      <c r="Q926" s="77"/>
      <c r="R926" s="77"/>
      <c r="S926" s="15"/>
      <c r="T926" s="15"/>
      <c r="U926" s="15"/>
      <c r="V926" s="15"/>
      <c r="W926" s="15"/>
      <c r="X926" s="15"/>
      <c r="Y926" s="15"/>
      <c r="Z926" s="15"/>
    </row>
    <row r="927" spans="1:26" ht="26.25" customHeight="1">
      <c r="A927" s="757"/>
      <c r="B927" s="1025"/>
      <c r="C927" s="1020">
        <v>0.7</v>
      </c>
      <c r="D927" s="1013">
        <v>0.5</v>
      </c>
      <c r="E927" s="1013">
        <v>0.3</v>
      </c>
      <c r="F927" s="1020">
        <v>0.5</v>
      </c>
      <c r="G927" s="1013">
        <v>1</v>
      </c>
      <c r="H927" s="1013">
        <v>0</v>
      </c>
      <c r="I927" s="842"/>
      <c r="J927" s="1025" t="s">
        <v>4112</v>
      </c>
      <c r="K927" s="1016" t="s">
        <v>2411</v>
      </c>
      <c r="L927" s="871" t="s">
        <v>4113</v>
      </c>
      <c r="M927" s="1016" t="s">
        <v>4114</v>
      </c>
      <c r="N927" s="1016" t="s">
        <v>2468</v>
      </c>
      <c r="O927" s="1017" t="s">
        <v>748</v>
      </c>
      <c r="P927" s="77"/>
      <c r="Q927" s="77"/>
      <c r="R927" s="77"/>
      <c r="S927" s="15"/>
      <c r="T927" s="15"/>
      <c r="U927" s="15"/>
      <c r="V927" s="15"/>
      <c r="W927" s="15"/>
      <c r="X927" s="15"/>
      <c r="Y927" s="15"/>
      <c r="Z927" s="15"/>
    </row>
    <row r="928" spans="1:26" ht="48.75" customHeight="1">
      <c r="A928" s="2"/>
      <c r="B928" s="972" t="s">
        <v>2469</v>
      </c>
      <c r="C928" s="971">
        <v>1</v>
      </c>
      <c r="D928" s="971">
        <v>1</v>
      </c>
      <c r="E928" s="971">
        <v>1</v>
      </c>
      <c r="F928" s="971">
        <v>1</v>
      </c>
      <c r="G928" s="971">
        <v>1</v>
      </c>
      <c r="H928" s="971">
        <v>1</v>
      </c>
      <c r="I928" s="842" t="s">
        <v>38</v>
      </c>
      <c r="J928" s="972" t="s">
        <v>811</v>
      </c>
      <c r="K928" s="972" t="s">
        <v>811</v>
      </c>
      <c r="L928" s="972" t="s">
        <v>811</v>
      </c>
      <c r="M928" s="972" t="s">
        <v>811</v>
      </c>
      <c r="N928" s="972" t="s">
        <v>811</v>
      </c>
      <c r="O928" s="972" t="s">
        <v>811</v>
      </c>
      <c r="P928" s="77"/>
      <c r="Q928" s="77"/>
      <c r="R928" s="77"/>
      <c r="S928" s="15"/>
      <c r="T928" s="15"/>
      <c r="U928" s="15"/>
      <c r="V928" s="15"/>
      <c r="W928" s="15"/>
      <c r="X928" s="15"/>
      <c r="Y928" s="15"/>
      <c r="Z928" s="15"/>
    </row>
    <row r="929" spans="1:26" ht="27.75" customHeight="1">
      <c r="A929" s="757"/>
      <c r="B929" s="1025"/>
      <c r="C929" s="1013">
        <v>1</v>
      </c>
      <c r="D929" s="1013">
        <v>1</v>
      </c>
      <c r="E929" s="1013">
        <v>1</v>
      </c>
      <c r="F929" s="1013">
        <v>1</v>
      </c>
      <c r="G929" s="1013">
        <v>1</v>
      </c>
      <c r="H929" s="1013">
        <v>1</v>
      </c>
      <c r="I929" s="842" t="s">
        <v>4108</v>
      </c>
      <c r="J929" s="1025" t="s">
        <v>811</v>
      </c>
      <c r="K929" s="1025" t="s">
        <v>811</v>
      </c>
      <c r="L929" s="1017" t="s">
        <v>811</v>
      </c>
      <c r="M929" s="1016" t="s">
        <v>4115</v>
      </c>
      <c r="N929" s="1016" t="s">
        <v>811</v>
      </c>
      <c r="O929" s="1017" t="s">
        <v>811</v>
      </c>
      <c r="P929" s="77"/>
      <c r="Q929" s="77"/>
      <c r="R929" s="77"/>
      <c r="S929" s="15"/>
      <c r="T929" s="15"/>
      <c r="U929" s="15"/>
      <c r="V929" s="15"/>
      <c r="W929" s="15"/>
      <c r="X929" s="15"/>
      <c r="Y929" s="15"/>
      <c r="Z929" s="15"/>
    </row>
    <row r="930" spans="1:26" ht="50.25" customHeight="1">
      <c r="A930" s="2"/>
      <c r="B930" s="872" t="s">
        <v>2471</v>
      </c>
      <c r="C930" s="971">
        <v>1</v>
      </c>
      <c r="D930" s="971">
        <v>1</v>
      </c>
      <c r="E930" s="971">
        <v>1</v>
      </c>
      <c r="F930" s="971">
        <v>1</v>
      </c>
      <c r="G930" s="971">
        <v>1</v>
      </c>
      <c r="H930" s="971">
        <v>1</v>
      </c>
      <c r="I930" s="842"/>
      <c r="J930" s="972" t="s">
        <v>5177</v>
      </c>
      <c r="K930" s="972">
        <v>2009</v>
      </c>
      <c r="L930" s="972" t="s">
        <v>4117</v>
      </c>
      <c r="M930" s="972">
        <v>2010</v>
      </c>
      <c r="N930" s="972" t="s">
        <v>4118</v>
      </c>
      <c r="O930" s="972" t="s">
        <v>4119</v>
      </c>
      <c r="P930" s="77"/>
      <c r="Q930" s="77"/>
      <c r="R930" s="77"/>
      <c r="S930" s="15"/>
      <c r="T930" s="15"/>
      <c r="U930" s="15"/>
      <c r="V930" s="15"/>
      <c r="W930" s="15"/>
      <c r="X930" s="15"/>
      <c r="Y930" s="15"/>
      <c r="Z930" s="15"/>
    </row>
    <row r="931" spans="1:26" ht="30.75" customHeight="1">
      <c r="A931" s="757"/>
      <c r="B931" s="873"/>
      <c r="C931" s="1013">
        <v>1</v>
      </c>
      <c r="D931" s="1013">
        <v>1</v>
      </c>
      <c r="E931" s="1013">
        <v>1</v>
      </c>
      <c r="F931" s="1013">
        <v>1</v>
      </c>
      <c r="G931" s="1013">
        <v>1</v>
      </c>
      <c r="H931" s="1013">
        <v>1</v>
      </c>
      <c r="I931" s="842" t="s">
        <v>38</v>
      </c>
      <c r="J931" s="1025" t="s">
        <v>4116</v>
      </c>
      <c r="K931" s="855">
        <v>2012</v>
      </c>
      <c r="L931" s="856" t="s">
        <v>4117</v>
      </c>
      <c r="M931" s="855">
        <v>2010</v>
      </c>
      <c r="N931" s="855" t="s">
        <v>4118</v>
      </c>
      <c r="O931" s="856" t="s">
        <v>4119</v>
      </c>
      <c r="P931" s="77"/>
      <c r="Q931" s="77"/>
      <c r="R931" s="77"/>
      <c r="S931" s="15"/>
      <c r="T931" s="15"/>
      <c r="U931" s="15"/>
      <c r="V931" s="15"/>
      <c r="W931" s="15"/>
      <c r="X931" s="15"/>
      <c r="Y931" s="15"/>
      <c r="Z931" s="15"/>
    </row>
    <row r="932" spans="1:26" ht="65.25" customHeight="1">
      <c r="A932" s="2"/>
      <c r="B932" s="972" t="s">
        <v>2473</v>
      </c>
      <c r="C932" s="1012">
        <v>1</v>
      </c>
      <c r="D932" s="971">
        <v>1</v>
      </c>
      <c r="E932" s="971">
        <v>1</v>
      </c>
      <c r="F932" s="971">
        <v>1</v>
      </c>
      <c r="G932" s="971">
        <v>1</v>
      </c>
      <c r="H932" s="971">
        <v>1</v>
      </c>
      <c r="I932" s="842" t="s">
        <v>38</v>
      </c>
      <c r="J932" s="972" t="s">
        <v>5178</v>
      </c>
      <c r="K932" s="972" t="s">
        <v>811</v>
      </c>
      <c r="L932" s="972" t="s">
        <v>811</v>
      </c>
      <c r="M932" s="972" t="s">
        <v>1005</v>
      </c>
      <c r="N932" s="972" t="s">
        <v>811</v>
      </c>
      <c r="O932" s="972" t="s">
        <v>811</v>
      </c>
      <c r="P932" s="77"/>
      <c r="Q932" s="77"/>
      <c r="R932" s="77"/>
      <c r="S932" s="15"/>
      <c r="T932" s="15"/>
      <c r="U932" s="15"/>
      <c r="V932" s="15"/>
      <c r="W932" s="15"/>
      <c r="X932" s="15"/>
      <c r="Y932" s="15"/>
      <c r="Z932" s="15"/>
    </row>
    <row r="933" spans="1:26" ht="13.5" customHeight="1">
      <c r="A933" s="757"/>
      <c r="B933" s="1025"/>
      <c r="C933" s="1013">
        <v>1</v>
      </c>
      <c r="D933" s="1013">
        <v>1</v>
      </c>
      <c r="E933" s="1013">
        <v>1</v>
      </c>
      <c r="F933" s="1013">
        <v>1</v>
      </c>
      <c r="G933" s="1013">
        <v>1</v>
      </c>
      <c r="H933" s="1013">
        <v>1</v>
      </c>
      <c r="I933" s="842" t="s">
        <v>4108</v>
      </c>
      <c r="J933" s="1025" t="s">
        <v>4120</v>
      </c>
      <c r="K933" s="855" t="s">
        <v>4121</v>
      </c>
      <c r="L933" s="856" t="s">
        <v>811</v>
      </c>
      <c r="M933" s="855" t="s">
        <v>811</v>
      </c>
      <c r="N933" s="855" t="s">
        <v>811</v>
      </c>
      <c r="O933" s="856" t="s">
        <v>811</v>
      </c>
      <c r="P933" s="77"/>
      <c r="Q933" s="77"/>
      <c r="R933" s="77"/>
      <c r="S933" s="15"/>
      <c r="T933" s="15"/>
      <c r="U933" s="15"/>
      <c r="V933" s="15"/>
      <c r="W933" s="15"/>
      <c r="X933" s="15"/>
      <c r="Y933" s="15"/>
      <c r="Z933" s="15"/>
    </row>
    <row r="934" spans="1:26" ht="79.5" customHeight="1">
      <c r="A934" s="2" t="s">
        <v>736</v>
      </c>
      <c r="B934" s="144" t="s">
        <v>2474</v>
      </c>
      <c r="C934" s="271">
        <v>0.3</v>
      </c>
      <c r="D934" s="271">
        <v>0.1</v>
      </c>
      <c r="E934" s="271">
        <v>0.5</v>
      </c>
      <c r="F934" s="271">
        <v>0.1</v>
      </c>
      <c r="G934" s="271">
        <v>0</v>
      </c>
      <c r="H934" s="271">
        <v>1</v>
      </c>
      <c r="I934" s="842" t="s">
        <v>123</v>
      </c>
      <c r="J934" s="972" t="s">
        <v>5179</v>
      </c>
      <c r="K934" s="972" t="s">
        <v>5180</v>
      </c>
      <c r="L934" s="972" t="s">
        <v>5181</v>
      </c>
      <c r="M934" s="972" t="s">
        <v>5182</v>
      </c>
      <c r="N934" s="972" t="s">
        <v>2480</v>
      </c>
      <c r="O934" s="972" t="s">
        <v>5183</v>
      </c>
      <c r="P934" s="77"/>
      <c r="Q934" s="77"/>
      <c r="R934" s="77"/>
      <c r="S934" s="15"/>
      <c r="T934" s="15"/>
      <c r="U934" s="15"/>
      <c r="V934" s="15"/>
      <c r="W934" s="15"/>
      <c r="X934" s="15"/>
      <c r="Y934" s="15"/>
      <c r="Z934" s="15"/>
    </row>
    <row r="935" spans="1:26" ht="27.75" customHeight="1">
      <c r="A935" s="757"/>
      <c r="B935" s="1026"/>
      <c r="C935" s="774">
        <v>0.5</v>
      </c>
      <c r="D935" s="774">
        <v>0.5</v>
      </c>
      <c r="E935" s="774">
        <v>0.5</v>
      </c>
      <c r="F935" s="865">
        <v>0.5</v>
      </c>
      <c r="G935" s="774">
        <v>0</v>
      </c>
      <c r="H935" s="1013">
        <v>0.5</v>
      </c>
      <c r="I935" s="842" t="s">
        <v>4122</v>
      </c>
      <c r="J935" s="1025" t="s">
        <v>4123</v>
      </c>
      <c r="K935" s="854" t="s">
        <v>4124</v>
      </c>
      <c r="L935" s="1017" t="s">
        <v>4125</v>
      </c>
      <c r="M935" s="1016" t="s">
        <v>4126</v>
      </c>
      <c r="N935" s="1016" t="s">
        <v>2480</v>
      </c>
      <c r="O935" s="1017" t="s">
        <v>4127</v>
      </c>
      <c r="P935" s="77"/>
      <c r="Q935" s="77"/>
      <c r="R935" s="77"/>
      <c r="S935" s="15"/>
      <c r="T935" s="15"/>
      <c r="U935" s="15"/>
      <c r="V935" s="15"/>
      <c r="W935" s="15"/>
      <c r="X935" s="15"/>
      <c r="Y935" s="15"/>
      <c r="Z935" s="15"/>
    </row>
    <row r="936" spans="1:26" ht="27.75" customHeight="1">
      <c r="A936" s="2"/>
      <c r="B936" s="931"/>
      <c r="C936" s="271"/>
      <c r="D936" s="271"/>
      <c r="E936" s="271"/>
      <c r="F936" s="271"/>
      <c r="G936" s="271"/>
      <c r="H936" s="971"/>
      <c r="I936" s="842"/>
      <c r="J936" s="972"/>
      <c r="K936" s="911"/>
      <c r="L936" s="973"/>
      <c r="M936" s="911"/>
      <c r="N936" s="911"/>
      <c r="O936" s="973"/>
      <c r="P936" s="77"/>
      <c r="Q936" s="77"/>
      <c r="R936" s="77"/>
      <c r="S936" s="15"/>
      <c r="T936" s="15"/>
      <c r="U936" s="15"/>
      <c r="V936" s="15"/>
      <c r="W936" s="15"/>
      <c r="X936" s="15"/>
      <c r="Y936" s="15"/>
      <c r="Z936" s="15"/>
    </row>
    <row r="937" spans="1:26" ht="33" customHeight="1">
      <c r="A937" s="2609" t="s">
        <v>5184</v>
      </c>
      <c r="B937" s="2607"/>
      <c r="C937" s="700">
        <f t="shared" ref="C937:H937" si="163">AVERAGE(C941,C943,C945,C947,C951,C953,C955,C957,C959,C961,C963,C965)</f>
        <v>0.43677688257937847</v>
      </c>
      <c r="D937" s="700">
        <f t="shared" si="163"/>
        <v>0.51951328799806618</v>
      </c>
      <c r="E937" s="700">
        <f t="shared" si="163"/>
        <v>0.67778458816543308</v>
      </c>
      <c r="F937" s="700">
        <f t="shared" si="163"/>
        <v>0.53688554168016533</v>
      </c>
      <c r="G937" s="700">
        <f t="shared" si="163"/>
        <v>0.56399034304902773</v>
      </c>
      <c r="H937" s="700">
        <f t="shared" si="163"/>
        <v>0.52332937452782813</v>
      </c>
      <c r="I937" s="842"/>
      <c r="J937" s="974"/>
      <c r="K937" s="912"/>
      <c r="L937" s="975"/>
      <c r="M937" s="912"/>
      <c r="N937" s="912"/>
      <c r="O937" s="975"/>
      <c r="P937" s="76"/>
      <c r="Q937" s="76"/>
      <c r="R937" s="76"/>
      <c r="S937" s="23"/>
      <c r="T937" s="23"/>
      <c r="U937" s="23"/>
      <c r="V937" s="23"/>
      <c r="W937" s="23"/>
      <c r="X937" s="23"/>
      <c r="Y937" s="23"/>
      <c r="Z937" s="23"/>
    </row>
    <row r="938" spans="1:26" ht="19.5" customHeight="1">
      <c r="A938" s="754"/>
      <c r="B938" s="149"/>
      <c r="C938" s="755">
        <v>0.32</v>
      </c>
      <c r="D938" s="755">
        <v>0.55000000000000004</v>
      </c>
      <c r="E938" s="755">
        <v>0.74</v>
      </c>
      <c r="F938" s="755">
        <v>0.59</v>
      </c>
      <c r="G938" s="755">
        <v>0.5</v>
      </c>
      <c r="H938" s="755">
        <v>0.49</v>
      </c>
      <c r="I938" s="842"/>
      <c r="J938" s="972"/>
      <c r="K938" s="911"/>
      <c r="L938" s="973"/>
      <c r="M938" s="911"/>
      <c r="N938" s="911"/>
      <c r="O938" s="973"/>
      <c r="P938" s="77"/>
      <c r="Q938" s="77"/>
      <c r="R938" s="77"/>
      <c r="S938" s="15"/>
      <c r="T938" s="15"/>
      <c r="U938" s="15"/>
      <c r="V938" s="15"/>
      <c r="W938" s="15"/>
      <c r="X938" s="15"/>
      <c r="Y938" s="15"/>
      <c r="Z938" s="15"/>
    </row>
    <row r="939" spans="1:26" ht="13.5" customHeight="1">
      <c r="A939" s="736" t="s">
        <v>2482</v>
      </c>
      <c r="B939" s="70" t="s">
        <v>4129</v>
      </c>
      <c r="C939" s="687"/>
      <c r="D939" s="687"/>
      <c r="E939" s="687"/>
      <c r="F939" s="687"/>
      <c r="G939" s="687"/>
      <c r="H939" s="687"/>
      <c r="I939" s="842"/>
      <c r="J939" s="74"/>
      <c r="K939" s="74"/>
      <c r="L939" s="74"/>
      <c r="M939" s="74"/>
      <c r="N939" s="74"/>
      <c r="O939" s="74"/>
      <c r="P939" s="76"/>
      <c r="Q939" s="76"/>
      <c r="R939" s="76"/>
      <c r="S939" s="23"/>
      <c r="T939" s="23"/>
      <c r="U939" s="23"/>
      <c r="V939" s="23"/>
      <c r="W939" s="23"/>
      <c r="X939" s="23"/>
      <c r="Y939" s="23"/>
      <c r="Z939" s="23"/>
    </row>
    <row r="940" spans="1:26" ht="48" customHeight="1">
      <c r="A940" s="714" t="s">
        <v>736</v>
      </c>
      <c r="B940" s="144" t="s">
        <v>444</v>
      </c>
      <c r="C940" s="271">
        <v>0.52</v>
      </c>
      <c r="D940" s="271">
        <v>0.78</v>
      </c>
      <c r="E940" s="271">
        <v>1</v>
      </c>
      <c r="F940" s="271">
        <v>0.92</v>
      </c>
      <c r="G940" s="271">
        <v>0</v>
      </c>
      <c r="H940" s="271">
        <v>0.01</v>
      </c>
      <c r="I940" s="842" t="s">
        <v>437</v>
      </c>
      <c r="J940" s="1027">
        <v>0.156</v>
      </c>
      <c r="K940" s="1027">
        <v>0.156</v>
      </c>
      <c r="L940" s="1027">
        <v>2.8000000000000001E-2</v>
      </c>
      <c r="M940" s="1027">
        <v>4.9000000000000002E-2</v>
      </c>
      <c r="N940" s="1027">
        <v>0.29299999999999998</v>
      </c>
      <c r="O940" s="1028">
        <v>0.28999999999999998</v>
      </c>
      <c r="P940" s="77"/>
      <c r="Q940" s="77"/>
      <c r="R940" s="77"/>
      <c r="S940" s="15"/>
      <c r="T940" s="15"/>
      <c r="U940" s="15"/>
      <c r="V940" s="15"/>
      <c r="W940" s="15"/>
      <c r="X940" s="15"/>
      <c r="Y940" s="15"/>
      <c r="Z940" s="15"/>
    </row>
    <row r="941" spans="1:26" ht="21.75" customHeight="1">
      <c r="A941" s="45"/>
      <c r="B941" s="773"/>
      <c r="C941" s="774">
        <f>(O941-J941)/P941</f>
        <v>0.54951734000715058</v>
      </c>
      <c r="D941" s="865">
        <f>(O941-K941)/P941</f>
        <v>0.56381837683232039</v>
      </c>
      <c r="E941" s="774">
        <f>(O941-L941)/P941</f>
        <v>1</v>
      </c>
      <c r="F941" s="774">
        <f>(O941-M941)/P941</f>
        <v>0.92491955666785852</v>
      </c>
      <c r="G941" s="774">
        <f>(O941-N941)/P941</f>
        <v>0.63174830175187702</v>
      </c>
      <c r="H941" s="774">
        <f>(O941-O941)/P941</f>
        <v>0</v>
      </c>
      <c r="I941" s="874"/>
      <c r="J941" s="1029">
        <v>0.154</v>
      </c>
      <c r="K941" s="1029">
        <v>0.15</v>
      </c>
      <c r="L941" s="1029">
        <v>2.8000000000000001E-2</v>
      </c>
      <c r="M941" s="1029">
        <v>4.9000000000000002E-2</v>
      </c>
      <c r="N941" s="875">
        <v>0.13100000000000001</v>
      </c>
      <c r="O941" s="876">
        <v>0.30769999999999997</v>
      </c>
      <c r="P941" s="77">
        <f>(O941-L941)/1</f>
        <v>0.27969999999999995</v>
      </c>
      <c r="Q941" s="77"/>
      <c r="R941" s="77"/>
      <c r="S941" s="15"/>
      <c r="T941" s="15"/>
      <c r="U941" s="15"/>
      <c r="V941" s="15"/>
      <c r="W941" s="15"/>
      <c r="X941" s="15"/>
      <c r="Y941" s="15"/>
      <c r="Z941" s="15"/>
    </row>
    <row r="942" spans="1:26" ht="21.75" customHeight="1">
      <c r="A942" s="714"/>
      <c r="B942" s="144"/>
      <c r="C942" s="271">
        <v>0</v>
      </c>
      <c r="D942" s="271">
        <v>1</v>
      </c>
      <c r="E942" s="271">
        <v>0.68</v>
      </c>
      <c r="F942" s="271">
        <v>0.92</v>
      </c>
      <c r="G942" s="271">
        <v>0.95</v>
      </c>
      <c r="H942" s="877" t="s">
        <v>442</v>
      </c>
      <c r="I942" s="874"/>
      <c r="J942" s="1027"/>
      <c r="K942" s="1027"/>
      <c r="L942" s="1027"/>
      <c r="M942" s="1027"/>
      <c r="N942" s="878"/>
      <c r="O942" s="879"/>
      <c r="P942" s="77"/>
      <c r="Q942" s="77"/>
      <c r="R942" s="77"/>
      <c r="S942" s="15"/>
      <c r="T942" s="15"/>
      <c r="U942" s="15"/>
      <c r="V942" s="15"/>
      <c r="W942" s="15"/>
      <c r="X942" s="15"/>
      <c r="Y942" s="15"/>
      <c r="Z942" s="15"/>
    </row>
    <row r="943" spans="1:26" ht="72" customHeight="1">
      <c r="A943" s="714"/>
      <c r="B943" s="880" t="s">
        <v>2484</v>
      </c>
      <c r="C943" s="774">
        <f>(2459896.3-2459896.3)/P943</f>
        <v>0</v>
      </c>
      <c r="D943" s="774">
        <f>(2459896.3-263576.6)/P943</f>
        <v>0.90308667181767799</v>
      </c>
      <c r="E943" s="774">
        <f>(2459896.3-1371734)/P943</f>
        <v>0.44743252537618711</v>
      </c>
      <c r="F943" s="774">
        <f>(2459896.3-824427)/P943</f>
        <v>0.67247519885059881</v>
      </c>
      <c r="G943" s="774">
        <f>(2459896.3-668905)/P943</f>
        <v>0.73642301363112872</v>
      </c>
      <c r="H943" s="774">
        <f>(2459896.3-27882)/P943</f>
        <v>1</v>
      </c>
      <c r="I943" s="842"/>
      <c r="J943" s="757" t="s">
        <v>4130</v>
      </c>
      <c r="K943" s="843" t="s">
        <v>4131</v>
      </c>
      <c r="L943" s="1016" t="s">
        <v>2487</v>
      </c>
      <c r="M943" s="1030" t="s">
        <v>2488</v>
      </c>
      <c r="N943" s="1031" t="s">
        <v>4132</v>
      </c>
      <c r="O943" s="1030" t="s">
        <v>4133</v>
      </c>
      <c r="P943" s="77">
        <f>(2459896.3-27882)/1</f>
        <v>2432014.2999999998</v>
      </c>
      <c r="Q943" s="77"/>
      <c r="R943" s="77"/>
      <c r="S943" s="15"/>
      <c r="T943" s="15"/>
      <c r="U943" s="15"/>
      <c r="V943" s="15"/>
      <c r="W943" s="15"/>
      <c r="X943" s="15"/>
      <c r="Y943" s="15"/>
      <c r="Z943" s="15"/>
    </row>
    <row r="944" spans="1:26" ht="30.75" customHeight="1">
      <c r="A944" s="714" t="s">
        <v>736</v>
      </c>
      <c r="B944" s="144" t="s">
        <v>445</v>
      </c>
      <c r="C944" s="271">
        <v>0.17</v>
      </c>
      <c r="D944" s="271">
        <v>0.17</v>
      </c>
      <c r="E944" s="971">
        <v>0.5</v>
      </c>
      <c r="F944" s="971">
        <v>1</v>
      </c>
      <c r="G944" s="971">
        <v>0.92</v>
      </c>
      <c r="H944" s="971">
        <v>0</v>
      </c>
      <c r="I944" s="842" t="s">
        <v>437</v>
      </c>
      <c r="J944" s="149" t="s">
        <v>5185</v>
      </c>
      <c r="K944" s="1032" t="s">
        <v>4135</v>
      </c>
      <c r="L944" s="1032" t="s">
        <v>5186</v>
      </c>
      <c r="M944" s="1033" t="s">
        <v>2494</v>
      </c>
      <c r="N944" s="1033" t="s">
        <v>4137</v>
      </c>
      <c r="O944" s="1033" t="s">
        <v>4138</v>
      </c>
      <c r="P944" s="77"/>
      <c r="Q944" s="77"/>
      <c r="R944" s="77"/>
      <c r="S944" s="15"/>
      <c r="T944" s="15"/>
      <c r="U944" s="15"/>
      <c r="V944" s="15"/>
      <c r="W944" s="15"/>
      <c r="X944" s="15"/>
      <c r="Y944" s="15"/>
      <c r="Z944" s="15"/>
    </row>
    <row r="945" spans="1:26" ht="13.5" customHeight="1">
      <c r="A945" s="45"/>
      <c r="B945" s="773"/>
      <c r="C945" s="774">
        <f>(440-288.9)/P945</f>
        <v>0.62958333333333338</v>
      </c>
      <c r="D945" s="774">
        <f>(440-400)/P945</f>
        <v>0.16666666666666666</v>
      </c>
      <c r="E945" s="1013">
        <f>(440-408.8)/P945</f>
        <v>0.12999999999999995</v>
      </c>
      <c r="F945" s="1013">
        <f>(440-200)/P945</f>
        <v>1</v>
      </c>
      <c r="G945" s="1013">
        <f>(440-220)/P945</f>
        <v>0.91666666666666663</v>
      </c>
      <c r="H945" s="1013">
        <f>(440-440)/P945</f>
        <v>0</v>
      </c>
      <c r="I945" s="842"/>
      <c r="J945" s="135" t="s">
        <v>4134</v>
      </c>
      <c r="K945" s="1034" t="s">
        <v>4135</v>
      </c>
      <c r="L945" s="1034" t="s">
        <v>4136</v>
      </c>
      <c r="M945" s="1035" t="s">
        <v>2494</v>
      </c>
      <c r="N945" s="1034" t="s">
        <v>4137</v>
      </c>
      <c r="O945" s="1036" t="s">
        <v>4138</v>
      </c>
      <c r="P945" s="77">
        <f>440-200</f>
        <v>240</v>
      </c>
      <c r="Q945" s="77"/>
      <c r="R945" s="77"/>
      <c r="S945" s="15"/>
      <c r="T945" s="15"/>
      <c r="U945" s="15"/>
      <c r="V945" s="15"/>
      <c r="W945" s="15"/>
      <c r="X945" s="15"/>
      <c r="Y945" s="15"/>
      <c r="Z945" s="15"/>
    </row>
    <row r="946" spans="1:26" ht="34.5" customHeight="1">
      <c r="A946" s="714" t="s">
        <v>736</v>
      </c>
      <c r="B946" s="144" t="s">
        <v>446</v>
      </c>
      <c r="C946" s="271">
        <v>0.54</v>
      </c>
      <c r="D946" s="271">
        <v>0.08</v>
      </c>
      <c r="E946" s="271">
        <v>1</v>
      </c>
      <c r="F946" s="271">
        <v>0</v>
      </c>
      <c r="G946" s="271">
        <v>0.03</v>
      </c>
      <c r="H946" s="271">
        <v>0</v>
      </c>
      <c r="I946" s="842" t="s">
        <v>437</v>
      </c>
      <c r="J946" s="1037">
        <v>8</v>
      </c>
      <c r="K946" s="1037">
        <v>1</v>
      </c>
      <c r="L946" s="1037">
        <v>12</v>
      </c>
      <c r="M946" s="1037">
        <v>0</v>
      </c>
      <c r="N946" s="1037">
        <v>0.4</v>
      </c>
      <c r="O946" s="1037">
        <v>0</v>
      </c>
      <c r="P946" s="77"/>
      <c r="Q946" s="77"/>
      <c r="R946" s="77"/>
      <c r="S946" s="15"/>
      <c r="T946" s="15"/>
      <c r="U946" s="15"/>
      <c r="V946" s="15"/>
      <c r="W946" s="15"/>
      <c r="X946" s="15"/>
      <c r="Y946" s="15"/>
      <c r="Z946" s="15"/>
    </row>
    <row r="947" spans="1:26" ht="13.5" customHeight="1">
      <c r="A947" s="45"/>
      <c r="B947" s="773"/>
      <c r="C947" s="774">
        <f>(J947-M947)/P947</f>
        <v>0.38750000000000001</v>
      </c>
      <c r="D947" s="774">
        <f>(K947-M947)/P947</f>
        <v>0.1</v>
      </c>
      <c r="E947" s="774">
        <f>(L947-M947)/P947</f>
        <v>1</v>
      </c>
      <c r="F947" s="774">
        <v>0</v>
      </c>
      <c r="G947" s="774">
        <f>(N947-M947)/P947</f>
        <v>3.4375000000000003E-2</v>
      </c>
      <c r="H947" s="774">
        <f>(O947-M947)/P947</f>
        <v>0.9375</v>
      </c>
      <c r="I947" s="842"/>
      <c r="J947" s="757">
        <v>6.2</v>
      </c>
      <c r="K947" s="881">
        <v>1.6</v>
      </c>
      <c r="L947" s="1038">
        <v>16</v>
      </c>
      <c r="M947" s="1039">
        <v>0</v>
      </c>
      <c r="N947" s="1039">
        <v>0.55000000000000004</v>
      </c>
      <c r="O947" s="1040">
        <v>15</v>
      </c>
      <c r="P947" s="772">
        <f>L947-M947</f>
        <v>16</v>
      </c>
      <c r="Q947" s="77"/>
      <c r="R947" s="77"/>
      <c r="S947" s="15"/>
      <c r="T947" s="15"/>
      <c r="U947" s="15"/>
      <c r="V947" s="15"/>
      <c r="W947" s="15"/>
      <c r="X947" s="15"/>
      <c r="Y947" s="15"/>
      <c r="Z947" s="15"/>
    </row>
    <row r="948" spans="1:26" ht="13.5" customHeight="1">
      <c r="A948" s="45"/>
      <c r="B948" s="773"/>
      <c r="C948" s="774"/>
      <c r="D948" s="774"/>
      <c r="E948" s="774"/>
      <c r="F948" s="774"/>
      <c r="G948" s="774"/>
      <c r="H948" s="774"/>
      <c r="I948" s="842"/>
      <c r="J948" s="757"/>
      <c r="K948" s="881"/>
      <c r="L948" s="1038"/>
      <c r="M948" s="1039"/>
      <c r="N948" s="1039"/>
      <c r="O948" s="1038"/>
      <c r="P948" s="772"/>
      <c r="Q948" s="77"/>
      <c r="R948" s="77"/>
      <c r="S948" s="15"/>
      <c r="T948" s="15"/>
      <c r="U948" s="15"/>
      <c r="V948" s="15"/>
      <c r="W948" s="15"/>
      <c r="X948" s="15"/>
      <c r="Y948" s="15"/>
      <c r="Z948" s="15"/>
    </row>
    <row r="949" spans="1:26" ht="13.5" customHeight="1">
      <c r="A949" s="736" t="s">
        <v>2497</v>
      </c>
      <c r="B949" s="775" t="s">
        <v>4139</v>
      </c>
      <c r="C949" s="687"/>
      <c r="D949" s="687"/>
      <c r="E949" s="687"/>
      <c r="F949" s="687"/>
      <c r="G949" s="687"/>
      <c r="H949" s="687"/>
      <c r="I949" s="842"/>
      <c r="J949" s="912"/>
      <c r="K949" s="912"/>
      <c r="L949" s="912"/>
      <c r="M949" s="912"/>
      <c r="N949" s="912"/>
      <c r="O949" s="912"/>
      <c r="P949" s="76"/>
      <c r="Q949" s="76"/>
      <c r="R949" s="76"/>
      <c r="S949" s="23"/>
      <c r="T949" s="23"/>
      <c r="U949" s="23"/>
      <c r="V949" s="23"/>
      <c r="W949" s="23"/>
      <c r="X949" s="23"/>
      <c r="Y949" s="23"/>
      <c r="Z949" s="23"/>
    </row>
    <row r="950" spans="1:26" ht="63" customHeight="1">
      <c r="A950" s="714" t="s">
        <v>736</v>
      </c>
      <c r="B950" s="144" t="s">
        <v>4140</v>
      </c>
      <c r="C950" s="877" t="s">
        <v>442</v>
      </c>
      <c r="D950" s="271">
        <v>0.9</v>
      </c>
      <c r="E950" s="271">
        <v>1</v>
      </c>
      <c r="F950" s="271">
        <v>0</v>
      </c>
      <c r="G950" s="271">
        <v>0.21</v>
      </c>
      <c r="H950" s="271">
        <v>0.24</v>
      </c>
      <c r="I950" s="842" t="s">
        <v>437</v>
      </c>
      <c r="J950" s="882">
        <v>0.56379999999999997</v>
      </c>
      <c r="K950" s="1041">
        <v>0.42859999999999998</v>
      </c>
      <c r="L950" s="1041">
        <v>0.50860000000000005</v>
      </c>
      <c r="M950" s="1041">
        <v>-0.29330000000000001</v>
      </c>
      <c r="N950" s="1041">
        <v>-0.12540000000000001</v>
      </c>
      <c r="O950" s="1041">
        <v>-0.1027</v>
      </c>
      <c r="P950" s="77"/>
      <c r="Q950" s="77"/>
      <c r="R950" s="77"/>
      <c r="S950" s="15"/>
      <c r="T950" s="15"/>
      <c r="U950" s="15"/>
      <c r="V950" s="15"/>
      <c r="W950" s="15"/>
      <c r="X950" s="15"/>
      <c r="Y950" s="15"/>
      <c r="Z950" s="15"/>
    </row>
    <row r="951" spans="1:26" ht="13.5" customHeight="1">
      <c r="A951" s="45"/>
      <c r="B951" s="773"/>
      <c r="C951" s="774">
        <f>(J951-M951)/P951</f>
        <v>1</v>
      </c>
      <c r="D951" s="774">
        <f>(K951-M951)/P951</f>
        <v>0.83199327973118919</v>
      </c>
      <c r="E951" s="774">
        <f>(L951-M951)/P951</f>
        <v>0.9623184927397096</v>
      </c>
      <c r="F951" s="774">
        <f>(M951-M951)/P951</f>
        <v>0</v>
      </c>
      <c r="G951" s="774">
        <f>(N951-M951)/P951</f>
        <v>0.20148805952238089</v>
      </c>
      <c r="H951" s="774">
        <f>(O951-M951)/P951</f>
        <v>0.22872914916596662</v>
      </c>
      <c r="I951" s="842"/>
      <c r="J951" s="883">
        <v>0.54</v>
      </c>
      <c r="K951" s="1042">
        <v>0.4</v>
      </c>
      <c r="L951" s="1042">
        <v>0.50860000000000005</v>
      </c>
      <c r="M951" s="884">
        <v>-0.29330000000000001</v>
      </c>
      <c r="N951" s="1042">
        <v>-0.12540000000000001</v>
      </c>
      <c r="O951" s="1042">
        <v>-0.1027</v>
      </c>
      <c r="P951" s="77">
        <f>(J951-M951)/1</f>
        <v>0.83330000000000004</v>
      </c>
      <c r="Q951" s="77"/>
      <c r="R951" s="77"/>
      <c r="S951" s="15"/>
      <c r="T951" s="15"/>
      <c r="U951" s="15"/>
      <c r="V951" s="15"/>
      <c r="W951" s="15"/>
      <c r="X951" s="15"/>
      <c r="Y951" s="15"/>
      <c r="Z951" s="15"/>
    </row>
    <row r="952" spans="1:26" ht="42" customHeight="1">
      <c r="A952" s="714" t="s">
        <v>736</v>
      </c>
      <c r="B952" s="144" t="s">
        <v>526</v>
      </c>
      <c r="C952" s="271">
        <v>0.82</v>
      </c>
      <c r="D952" s="271">
        <v>0.7</v>
      </c>
      <c r="E952" s="271">
        <v>1</v>
      </c>
      <c r="F952" s="271">
        <v>0.42</v>
      </c>
      <c r="G952" s="271">
        <v>0</v>
      </c>
      <c r="H952" s="271">
        <v>0.94</v>
      </c>
      <c r="I952" s="842" t="s">
        <v>437</v>
      </c>
      <c r="J952" s="1027">
        <v>8.8999999999999996E-2</v>
      </c>
      <c r="K952" s="885">
        <v>0.13</v>
      </c>
      <c r="L952" s="1027">
        <v>1.0999999999999999E-2</v>
      </c>
      <c r="M952" s="1027">
        <v>0.26</v>
      </c>
      <c r="N952" s="1027">
        <v>0.439</v>
      </c>
      <c r="O952" s="1027">
        <v>3.5000000000000003E-2</v>
      </c>
      <c r="P952" s="77"/>
      <c r="Q952" s="77"/>
      <c r="R952" s="77"/>
      <c r="S952" s="15"/>
      <c r="T952" s="15"/>
      <c r="U952" s="15"/>
      <c r="V952" s="15"/>
      <c r="W952" s="15"/>
      <c r="X952" s="15"/>
      <c r="Y952" s="15"/>
      <c r="Z952" s="15"/>
    </row>
    <row r="953" spans="1:26" ht="13.5" customHeight="1">
      <c r="A953" s="45"/>
      <c r="B953" s="773"/>
      <c r="C953" s="774">
        <f>(O953-J953)/P953</f>
        <v>0.80025641025641037</v>
      </c>
      <c r="D953" s="774">
        <f>(O953-11.5%)/P953</f>
        <v>0.73076923076923084</v>
      </c>
      <c r="E953" s="774">
        <f>(O953-L953)/P953</f>
        <v>1</v>
      </c>
      <c r="F953" s="774">
        <f>(O953-M953)/P953</f>
        <v>0</v>
      </c>
      <c r="G953" s="774">
        <f>(O953-N953)/P953</f>
        <v>0.18205128205128207</v>
      </c>
      <c r="H953" s="774">
        <f>(O953-O953)/P953</f>
        <v>0</v>
      </c>
      <c r="I953" s="842"/>
      <c r="J953" s="1029">
        <v>8.7900000000000006E-2</v>
      </c>
      <c r="K953" s="1043" t="s">
        <v>4141</v>
      </c>
      <c r="L953" s="1029">
        <v>0.01</v>
      </c>
      <c r="M953" s="1029">
        <v>0.4</v>
      </c>
      <c r="N953" s="1029">
        <v>0.32900000000000001</v>
      </c>
      <c r="O953" s="1044">
        <v>0.4</v>
      </c>
      <c r="P953" s="77">
        <f>(O953-L953)/1</f>
        <v>0.39</v>
      </c>
      <c r="Q953" s="77"/>
      <c r="R953" s="77"/>
      <c r="S953" s="15"/>
      <c r="T953" s="15"/>
      <c r="U953" s="15"/>
      <c r="V953" s="15"/>
      <c r="W953" s="15"/>
      <c r="X953" s="15"/>
      <c r="Y953" s="15"/>
      <c r="Z953" s="15"/>
    </row>
    <row r="954" spans="1:26" ht="13.5" customHeight="1">
      <c r="A954" s="714" t="s">
        <v>736</v>
      </c>
      <c r="B954" s="144" t="s">
        <v>448</v>
      </c>
      <c r="C954" s="271">
        <v>0</v>
      </c>
      <c r="D954" s="271">
        <v>0.93</v>
      </c>
      <c r="E954" s="271">
        <v>0.56999999999999995</v>
      </c>
      <c r="F954" s="271">
        <v>0.92</v>
      </c>
      <c r="G954" s="271">
        <v>0.81</v>
      </c>
      <c r="H954" s="271">
        <v>1</v>
      </c>
      <c r="I954" s="842" t="s">
        <v>437</v>
      </c>
      <c r="J954" s="971">
        <v>33.299999999999997</v>
      </c>
      <c r="K954" s="271">
        <v>3.13</v>
      </c>
      <c r="L954" s="911">
        <v>14.8</v>
      </c>
      <c r="M954" s="971">
        <v>3.5</v>
      </c>
      <c r="N954" s="971">
        <v>7.1</v>
      </c>
      <c r="O954" s="971">
        <v>1</v>
      </c>
      <c r="P954" s="77"/>
      <c r="Q954" s="77"/>
      <c r="R954" s="77"/>
      <c r="S954" s="15"/>
      <c r="T954" s="15"/>
      <c r="U954" s="15"/>
      <c r="V954" s="15"/>
      <c r="W954" s="15"/>
      <c r="X954" s="15"/>
      <c r="Y954" s="15"/>
      <c r="Z954" s="15"/>
    </row>
    <row r="955" spans="1:26" ht="13.5" customHeight="1">
      <c r="A955" s="45"/>
      <c r="B955" s="773"/>
      <c r="C955" s="774">
        <f>(J955-J955)/P955</f>
        <v>0</v>
      </c>
      <c r="D955" s="774">
        <v>0.9</v>
      </c>
      <c r="E955" s="774">
        <f>(J955-L955)/P955</f>
        <v>0.70009643201542915</v>
      </c>
      <c r="F955" s="774">
        <f>(J955-M955)/P955</f>
        <v>0.89681774349083898</v>
      </c>
      <c r="G955" s="774">
        <f>(J955-N955)/P955</f>
        <v>0.72324011571841851</v>
      </c>
      <c r="H955" s="774">
        <f>(J955-O955)/P955</f>
        <v>1</v>
      </c>
      <c r="I955" s="842"/>
      <c r="J955" s="757">
        <v>31.4</v>
      </c>
      <c r="K955" s="1045" t="s">
        <v>4142</v>
      </c>
      <c r="L955" s="1016">
        <v>9.6199999999999992</v>
      </c>
      <c r="M955" s="1016">
        <v>3.5</v>
      </c>
      <c r="N955" s="1013">
        <v>8.9</v>
      </c>
      <c r="O955" s="1017">
        <v>0.28999999999999998</v>
      </c>
      <c r="P955" s="77">
        <f>(J955-O955)/1</f>
        <v>31.11</v>
      </c>
      <c r="Q955" s="77"/>
      <c r="R955" s="77"/>
      <c r="S955" s="15"/>
      <c r="T955" s="15"/>
      <c r="U955" s="15"/>
      <c r="V955" s="15"/>
      <c r="W955" s="15"/>
      <c r="X955" s="15"/>
      <c r="Y955" s="15"/>
      <c r="Z955" s="15"/>
    </row>
    <row r="956" spans="1:26" ht="13.5" customHeight="1">
      <c r="A956" s="714" t="s">
        <v>736</v>
      </c>
      <c r="B956" s="144" t="s">
        <v>449</v>
      </c>
      <c r="C956" s="271">
        <v>0</v>
      </c>
      <c r="D956" s="271">
        <v>0.69</v>
      </c>
      <c r="E956" s="271">
        <v>0.11</v>
      </c>
      <c r="F956" s="271">
        <v>0.8</v>
      </c>
      <c r="G956" s="271">
        <v>0.89</v>
      </c>
      <c r="H956" s="271">
        <v>1</v>
      </c>
      <c r="I956" s="842" t="s">
        <v>437</v>
      </c>
      <c r="J956" s="971">
        <v>20.3</v>
      </c>
      <c r="K956" s="271">
        <v>8.4</v>
      </c>
      <c r="L956" s="971">
        <v>18.399999999999999</v>
      </c>
      <c r="M956" s="971">
        <v>6.5</v>
      </c>
      <c r="N956" s="971">
        <v>4.9000000000000004</v>
      </c>
      <c r="O956" s="971">
        <v>3</v>
      </c>
      <c r="P956" s="77"/>
      <c r="Q956" s="77"/>
      <c r="R956" s="77"/>
      <c r="S956" s="15"/>
      <c r="T956" s="15"/>
      <c r="U956" s="15"/>
      <c r="V956" s="15"/>
      <c r="W956" s="15"/>
      <c r="X956" s="15"/>
      <c r="Y956" s="15"/>
      <c r="Z956" s="15"/>
    </row>
    <row r="957" spans="1:26" ht="13.5" customHeight="1">
      <c r="A957" s="45"/>
      <c r="B957" s="773"/>
      <c r="C957" s="774">
        <f>(L957-J957)/P957</f>
        <v>0.41775325977933797</v>
      </c>
      <c r="D957" s="774">
        <f>(L957-K957)/P957</f>
        <v>0.66399197592778336</v>
      </c>
      <c r="E957" s="774">
        <f>(L957-L957)/P957</f>
        <v>0</v>
      </c>
      <c r="F957" s="774">
        <f>(L957-M957)/P957</f>
        <v>0.7893681043129388</v>
      </c>
      <c r="G957" s="774">
        <f>(L957-N957)/P957</f>
        <v>0.86459378134403209</v>
      </c>
      <c r="H957" s="774">
        <f>(L957-O957)/P957</f>
        <v>1</v>
      </c>
      <c r="I957" s="842"/>
      <c r="J957" s="757">
        <v>13.91</v>
      </c>
      <c r="K957" s="1014">
        <v>9</v>
      </c>
      <c r="L957" s="1013">
        <v>22.24</v>
      </c>
      <c r="M957" s="1016">
        <v>6.5</v>
      </c>
      <c r="N957" s="1013">
        <v>5</v>
      </c>
      <c r="O957" s="1017">
        <v>2.2999999999999998</v>
      </c>
      <c r="P957" s="77">
        <f>(L957-O957)/1</f>
        <v>19.939999999999998</v>
      </c>
      <c r="Q957" s="77"/>
      <c r="R957" s="77"/>
      <c r="S957" s="15"/>
      <c r="T957" s="15"/>
      <c r="U957" s="15"/>
      <c r="V957" s="15"/>
      <c r="W957" s="15"/>
      <c r="X957" s="15"/>
      <c r="Y957" s="15"/>
      <c r="Z957" s="15"/>
    </row>
    <row r="958" spans="1:26" ht="13.5" customHeight="1">
      <c r="A958" s="714" t="s">
        <v>736</v>
      </c>
      <c r="B958" s="144" t="s">
        <v>450</v>
      </c>
      <c r="C958" s="271">
        <v>0.25</v>
      </c>
      <c r="D958" s="271">
        <v>0</v>
      </c>
      <c r="E958" s="271">
        <v>1</v>
      </c>
      <c r="F958" s="271">
        <v>0.96</v>
      </c>
      <c r="G958" s="271">
        <v>0</v>
      </c>
      <c r="H958" s="271">
        <v>0.03</v>
      </c>
      <c r="I958" s="842" t="s">
        <v>437</v>
      </c>
      <c r="J958" s="1027">
        <v>0.17599999999999999</v>
      </c>
      <c r="K958" s="1028">
        <v>0.1</v>
      </c>
      <c r="L958" s="1027">
        <v>0.41</v>
      </c>
      <c r="M958" s="972" t="s">
        <v>5187</v>
      </c>
      <c r="N958" s="1046" t="s">
        <v>5188</v>
      </c>
      <c r="O958" s="1046">
        <v>0.108</v>
      </c>
      <c r="P958" s="77"/>
      <c r="Q958" s="77"/>
      <c r="R958" s="77"/>
      <c r="S958" s="15"/>
      <c r="T958" s="15"/>
      <c r="U958" s="15"/>
      <c r="V958" s="15"/>
      <c r="W958" s="15"/>
      <c r="X958" s="15"/>
      <c r="Y958" s="15"/>
      <c r="Z958" s="15"/>
    </row>
    <row r="959" spans="1:26" ht="13.5" customHeight="1">
      <c r="A959" s="45"/>
      <c r="B959" s="773"/>
      <c r="C959" s="774">
        <f>(17.6%-N959)/P959</f>
        <v>0.25418060200668896</v>
      </c>
      <c r="D959" s="774">
        <f>(K959-N959)/P959</f>
        <v>0</v>
      </c>
      <c r="E959" s="774">
        <f>(L959-N959)/P959</f>
        <v>0.96989966555183948</v>
      </c>
      <c r="F959" s="774">
        <f>(M959-N959)/P959</f>
        <v>1</v>
      </c>
      <c r="G959" s="774">
        <f>(N959-N959)/P959</f>
        <v>0</v>
      </c>
      <c r="H959" s="774">
        <f>(O959-N959)/P959</f>
        <v>2.6755852842809336E-2</v>
      </c>
      <c r="I959" s="842"/>
      <c r="J959" s="1029" t="s">
        <v>4143</v>
      </c>
      <c r="K959" s="1047">
        <v>0.1</v>
      </c>
      <c r="L959" s="1029">
        <v>0.39</v>
      </c>
      <c r="M959" s="1029">
        <v>0.39900000000000002</v>
      </c>
      <c r="N959" s="1029">
        <v>0.1</v>
      </c>
      <c r="O959" s="1048">
        <v>0.108</v>
      </c>
      <c r="P959" s="77">
        <f>(M959-N959)/1</f>
        <v>0.29900000000000004</v>
      </c>
      <c r="Q959" s="77"/>
      <c r="R959" s="77"/>
      <c r="S959" s="15"/>
      <c r="T959" s="15"/>
      <c r="U959" s="15"/>
      <c r="V959" s="15"/>
      <c r="W959" s="15"/>
      <c r="X959" s="15"/>
      <c r="Y959" s="15"/>
      <c r="Z959" s="15"/>
    </row>
    <row r="960" spans="1:26" ht="27.75" customHeight="1">
      <c r="A960" s="714" t="s">
        <v>736</v>
      </c>
      <c r="B960" s="144" t="s">
        <v>451</v>
      </c>
      <c r="C960" s="271">
        <v>0.24</v>
      </c>
      <c r="D960" s="271">
        <v>0</v>
      </c>
      <c r="E960" s="271">
        <v>0.57999999999999996</v>
      </c>
      <c r="F960" s="271">
        <v>0.46</v>
      </c>
      <c r="G960" s="271">
        <v>0.88</v>
      </c>
      <c r="H960" s="271">
        <v>1</v>
      </c>
      <c r="I960" s="842" t="s">
        <v>437</v>
      </c>
      <c r="J960" s="1027">
        <v>5.7000000000000002E-2</v>
      </c>
      <c r="K960" s="1027">
        <v>4.2999999999999997E-2</v>
      </c>
      <c r="L960" s="1027">
        <v>7.6999999999999999E-2</v>
      </c>
      <c r="M960" s="1046">
        <v>7.0000000000000007E-2</v>
      </c>
      <c r="N960" s="1046">
        <v>9.5000000000000001E-2</v>
      </c>
      <c r="O960" s="1046">
        <v>0.10199999999999999</v>
      </c>
      <c r="P960" s="77"/>
      <c r="Q960" s="77"/>
      <c r="R960" s="77"/>
      <c r="S960" s="15"/>
      <c r="T960" s="15"/>
      <c r="U960" s="15"/>
      <c r="V960" s="15"/>
      <c r="W960" s="15"/>
      <c r="X960" s="15"/>
      <c r="Y960" s="15"/>
      <c r="Z960" s="15"/>
    </row>
    <row r="961" spans="1:26" ht="13.5" customHeight="1">
      <c r="A961" s="45"/>
      <c r="B961" s="773"/>
      <c r="C961" s="774">
        <f>(J961-K961)/P961</f>
        <v>0.20253164556962025</v>
      </c>
      <c r="D961" s="774">
        <f>(K961-K961)/P961</f>
        <v>0</v>
      </c>
      <c r="E961" s="774">
        <f>(L961-K961)/P961</f>
        <v>0.4050632911392405</v>
      </c>
      <c r="F961" s="774">
        <f>(M961-K961)/P961</f>
        <v>0.32911392405063283</v>
      </c>
      <c r="G961" s="774">
        <f>(N961-K961)/P961</f>
        <v>1</v>
      </c>
      <c r="H961" s="774">
        <f>(O961-K961)/P961</f>
        <v>0.72151898734177211</v>
      </c>
      <c r="I961" s="842"/>
      <c r="J961" s="1029">
        <v>6.0999999999999999E-2</v>
      </c>
      <c r="K961" s="886">
        <v>4.4999999999999998E-2</v>
      </c>
      <c r="L961" s="1029">
        <v>7.6999999999999999E-2</v>
      </c>
      <c r="M961" s="1029">
        <v>7.0999999999999994E-2</v>
      </c>
      <c r="N961" s="1029">
        <v>0.124</v>
      </c>
      <c r="O961" s="1049">
        <v>0.10199999999999999</v>
      </c>
      <c r="P961" s="77">
        <f>(N961-K961)/1</f>
        <v>7.9000000000000001E-2</v>
      </c>
      <c r="Q961" s="77"/>
      <c r="R961" s="77"/>
      <c r="S961" s="15"/>
      <c r="T961" s="15"/>
      <c r="U961" s="15"/>
      <c r="V961" s="15"/>
      <c r="W961" s="15"/>
      <c r="X961" s="15"/>
      <c r="Y961" s="15"/>
      <c r="Z961" s="15"/>
    </row>
    <row r="962" spans="1:26" ht="13.5" customHeight="1">
      <c r="A962" s="714" t="s">
        <v>736</v>
      </c>
      <c r="B962" s="144" t="s">
        <v>452</v>
      </c>
      <c r="C962" s="271">
        <v>0</v>
      </c>
      <c r="D962" s="271">
        <v>0.82</v>
      </c>
      <c r="E962" s="271">
        <v>1</v>
      </c>
      <c r="F962" s="271">
        <v>0.64</v>
      </c>
      <c r="G962" s="271">
        <v>0.36</v>
      </c>
      <c r="H962" s="271">
        <v>0.55000000000000004</v>
      </c>
      <c r="I962" s="842" t="s">
        <v>437</v>
      </c>
      <c r="J962" s="1027">
        <v>0.57499999999999996</v>
      </c>
      <c r="K962" s="1027">
        <v>0.26</v>
      </c>
      <c r="L962" s="1027">
        <v>0.193</v>
      </c>
      <c r="M962" s="1027">
        <v>0.33</v>
      </c>
      <c r="N962" s="1027">
        <v>0.437</v>
      </c>
      <c r="O962" s="1027">
        <v>0.36399999999999999</v>
      </c>
      <c r="P962" s="77"/>
      <c r="Q962" s="77"/>
      <c r="R962" s="77"/>
      <c r="S962" s="15"/>
      <c r="T962" s="15"/>
      <c r="U962" s="15"/>
      <c r="V962" s="15"/>
      <c r="W962" s="15"/>
      <c r="X962" s="15"/>
      <c r="Y962" s="15"/>
      <c r="Z962" s="15"/>
    </row>
    <row r="963" spans="1:26" ht="13.5" customHeight="1">
      <c r="A963" s="45"/>
      <c r="B963" s="773"/>
      <c r="C963" s="774">
        <f>(J963-J963)/P963</f>
        <v>0</v>
      </c>
      <c r="D963" s="774">
        <f>(J963-K963)/P963</f>
        <v>0.93197278911564641</v>
      </c>
      <c r="E963" s="774">
        <f>(J963-L963)/P963</f>
        <v>1</v>
      </c>
      <c r="F963" s="774">
        <f>(J963-M963)/P963</f>
        <v>0.82993197278911568</v>
      </c>
      <c r="G963" s="774">
        <f>(J963-N963)/P963</f>
        <v>0.52380952380952384</v>
      </c>
      <c r="H963" s="774">
        <f>(J963-O963)/P963</f>
        <v>0.7142857142857143</v>
      </c>
      <c r="I963" s="842"/>
      <c r="J963" s="1029">
        <v>0.57399999999999995</v>
      </c>
      <c r="K963" s="1029">
        <v>0.3</v>
      </c>
      <c r="L963" s="1029">
        <v>0.28000000000000003</v>
      </c>
      <c r="M963" s="1029">
        <v>0.33</v>
      </c>
      <c r="N963" s="1029">
        <v>0.42</v>
      </c>
      <c r="O963" s="1050">
        <v>0.36399999999999999</v>
      </c>
      <c r="P963" s="77">
        <f>(J963-L963)/1</f>
        <v>0.29399999999999993</v>
      </c>
      <c r="Q963" s="77"/>
      <c r="R963" s="77"/>
      <c r="S963" s="15"/>
      <c r="T963" s="15"/>
      <c r="U963" s="15"/>
      <c r="V963" s="15"/>
      <c r="W963" s="15"/>
      <c r="X963" s="15"/>
      <c r="Y963" s="15"/>
      <c r="Z963" s="15"/>
    </row>
    <row r="964" spans="1:26" ht="13.5" customHeight="1">
      <c r="A964" s="714" t="s">
        <v>736</v>
      </c>
      <c r="B964" s="3" t="s">
        <v>453</v>
      </c>
      <c r="C964" s="271">
        <v>1</v>
      </c>
      <c r="D964" s="271">
        <v>0.51</v>
      </c>
      <c r="E964" s="271">
        <v>0.48</v>
      </c>
      <c r="F964" s="271">
        <v>0</v>
      </c>
      <c r="G964" s="271">
        <v>0.99</v>
      </c>
      <c r="H964" s="271">
        <v>0.67</v>
      </c>
      <c r="I964" s="842" t="s">
        <v>437</v>
      </c>
      <c r="J964" s="911" t="s">
        <v>5189</v>
      </c>
      <c r="K964" s="911" t="s">
        <v>5190</v>
      </c>
      <c r="L964" s="911" t="s">
        <v>5191</v>
      </c>
      <c r="M964" s="972" t="s">
        <v>5192</v>
      </c>
      <c r="N964" s="972" t="s">
        <v>4146</v>
      </c>
      <c r="O964" s="972" t="s">
        <v>4147</v>
      </c>
      <c r="P964" s="77"/>
      <c r="Q964" s="77"/>
      <c r="R964" s="77"/>
      <c r="S964" s="15"/>
      <c r="T964" s="15"/>
      <c r="U964" s="15"/>
      <c r="V964" s="15"/>
      <c r="W964" s="15"/>
      <c r="X964" s="15"/>
      <c r="Y964" s="15"/>
      <c r="Z964" s="15"/>
    </row>
    <row r="965" spans="1:26" ht="13.5" customHeight="1">
      <c r="A965" s="45"/>
      <c r="B965" s="773"/>
      <c r="C965" s="774">
        <f>(4.9-J965)/P965</f>
        <v>1</v>
      </c>
      <c r="D965" s="774">
        <f>(4.9-K965)/P965</f>
        <v>0.44186046511627908</v>
      </c>
      <c r="E965" s="774">
        <f>(4.9-2.67)/P965</f>
        <v>0.51860465116279075</v>
      </c>
      <c r="F965" s="774">
        <f>(4.9-4.9)/P965</f>
        <v>0</v>
      </c>
      <c r="G965" s="774">
        <f>(4.9-0.8)/P965</f>
        <v>0.95348837209302317</v>
      </c>
      <c r="H965" s="774">
        <f>(4.9-2.1)/P965</f>
        <v>0.65116279069767435</v>
      </c>
      <c r="I965" s="842"/>
      <c r="J965" s="1016">
        <v>0.6</v>
      </c>
      <c r="K965" s="1016">
        <v>3</v>
      </c>
      <c r="L965" s="1051" t="s">
        <v>4144</v>
      </c>
      <c r="M965" s="1016" t="s">
        <v>4145</v>
      </c>
      <c r="N965" s="1016" t="s">
        <v>4146</v>
      </c>
      <c r="O965" s="1017" t="s">
        <v>4147</v>
      </c>
      <c r="P965" s="77">
        <f>4.9-0.6</f>
        <v>4.3000000000000007</v>
      </c>
      <c r="Q965" s="77"/>
      <c r="R965" s="77"/>
      <c r="S965" s="15"/>
      <c r="T965" s="15"/>
      <c r="U965" s="15"/>
      <c r="V965" s="15"/>
      <c r="W965" s="15"/>
      <c r="X965" s="15"/>
      <c r="Y965" s="15"/>
      <c r="Z965" s="15"/>
    </row>
    <row r="966" spans="1:26" ht="13.5" customHeight="1">
      <c r="A966" s="143"/>
      <c r="B966" s="931"/>
      <c r="C966" s="87"/>
      <c r="D966" s="87"/>
      <c r="E966" s="87"/>
      <c r="F966" s="87"/>
      <c r="G966" s="87"/>
      <c r="H966" s="87"/>
      <c r="I966" s="454"/>
      <c r="J966" s="75"/>
      <c r="K966" s="75"/>
      <c r="L966" s="75"/>
      <c r="M966" s="75"/>
      <c r="N966" s="75"/>
      <c r="O966" s="75"/>
      <c r="P966" s="149"/>
      <c r="Q966" s="149"/>
      <c r="R966" s="149"/>
      <c r="S966" s="149"/>
      <c r="T966" s="149"/>
      <c r="U966" s="149"/>
      <c r="V966" s="149"/>
      <c r="W966" s="149"/>
      <c r="X966" s="149"/>
      <c r="Y966" s="149"/>
      <c r="Z966" s="149"/>
    </row>
    <row r="967" spans="1:26" ht="42" customHeight="1">
      <c r="A967" s="596" t="s">
        <v>2509</v>
      </c>
      <c r="B967" s="158" t="s">
        <v>4148</v>
      </c>
      <c r="C967" s="350">
        <f t="shared" ref="C967:H967" si="164">AVERAGE(C968,C995,C1004,C1013)</f>
        <v>0.63749999999999996</v>
      </c>
      <c r="D967" s="350">
        <f t="shared" si="164"/>
        <v>0.49388888888888888</v>
      </c>
      <c r="E967" s="350">
        <f t="shared" si="164"/>
        <v>0.26402777777777775</v>
      </c>
      <c r="F967" s="350">
        <f t="shared" si="164"/>
        <v>0.48055555555555551</v>
      </c>
      <c r="G967" s="350">
        <f t="shared" si="164"/>
        <v>0.69791666666666663</v>
      </c>
      <c r="H967" s="350">
        <f t="shared" si="164"/>
        <v>0.66236111111111107</v>
      </c>
      <c r="I967" s="161"/>
      <c r="J967" s="63"/>
      <c r="K967" s="63"/>
      <c r="L967" s="63"/>
      <c r="M967" s="63"/>
      <c r="N967" s="63"/>
      <c r="O967" s="63"/>
      <c r="P967" s="165"/>
      <c r="Q967" s="165"/>
      <c r="R967" s="165"/>
      <c r="S967" s="161"/>
      <c r="T967" s="161"/>
      <c r="U967" s="161"/>
      <c r="V967" s="161"/>
      <c r="W967" s="161"/>
      <c r="X967" s="161"/>
      <c r="Y967" s="161"/>
      <c r="Z967" s="161"/>
    </row>
    <row r="968" spans="1:26" ht="13.5" customHeight="1">
      <c r="A968" s="816" t="s">
        <v>2511</v>
      </c>
      <c r="B968" s="517" t="s">
        <v>2512</v>
      </c>
      <c r="C968" s="498">
        <f t="shared" ref="C968:H968" si="165">AVERAGE(C969,C971,C973,C977,C981,C987,C989,C991,C993)</f>
        <v>0.55000000000000004</v>
      </c>
      <c r="D968" s="498">
        <f t="shared" si="165"/>
        <v>0.47555555555555556</v>
      </c>
      <c r="E968" s="498">
        <f t="shared" si="165"/>
        <v>0.18111111111111111</v>
      </c>
      <c r="F968" s="498">
        <f t="shared" si="165"/>
        <v>0.79722222222222217</v>
      </c>
      <c r="G968" s="498">
        <f t="shared" si="165"/>
        <v>0.66666666666666663</v>
      </c>
      <c r="H968" s="498">
        <f t="shared" si="165"/>
        <v>0.52444444444444438</v>
      </c>
      <c r="I968" s="454"/>
      <c r="J968" s="507"/>
      <c r="K968" s="507"/>
      <c r="L968" s="507"/>
      <c r="M968" s="507"/>
      <c r="N968" s="507"/>
      <c r="O968" s="507"/>
      <c r="P968" s="534"/>
      <c r="Q968" s="534"/>
      <c r="R968" s="534"/>
      <c r="S968" s="535"/>
      <c r="T968" s="535"/>
      <c r="U968" s="535"/>
      <c r="V968" s="535"/>
      <c r="W968" s="535"/>
      <c r="X968" s="535"/>
      <c r="Y968" s="535"/>
      <c r="Z968" s="535"/>
    </row>
    <row r="969" spans="1:26" ht="67.5" customHeight="1">
      <c r="A969" s="533" t="s">
        <v>736</v>
      </c>
      <c r="B969" s="517" t="s">
        <v>456</v>
      </c>
      <c r="C969" s="506">
        <v>0.5</v>
      </c>
      <c r="D969" s="506">
        <v>0.5</v>
      </c>
      <c r="E969" s="506">
        <v>0.5</v>
      </c>
      <c r="F969" s="506">
        <v>1</v>
      </c>
      <c r="G969" s="506">
        <v>1</v>
      </c>
      <c r="H969" s="506">
        <v>0.5</v>
      </c>
      <c r="I969" s="454" t="s">
        <v>3953</v>
      </c>
      <c r="J969" s="507" t="s">
        <v>5193</v>
      </c>
      <c r="K969" s="507" t="s">
        <v>4150</v>
      </c>
      <c r="L969" s="507" t="s">
        <v>5194</v>
      </c>
      <c r="M969" s="507" t="s">
        <v>5195</v>
      </c>
      <c r="N969" s="507" t="s">
        <v>5196</v>
      </c>
      <c r="O969" s="507" t="s">
        <v>4154</v>
      </c>
      <c r="P969" s="534"/>
      <c r="Q969" s="534"/>
      <c r="R969" s="534"/>
      <c r="S969" s="535"/>
      <c r="T969" s="535"/>
      <c r="U969" s="535"/>
      <c r="V969" s="535"/>
      <c r="W969" s="535"/>
      <c r="X969" s="535"/>
      <c r="Y969" s="535"/>
      <c r="Z969" s="535"/>
    </row>
    <row r="970" spans="1:26" ht="15" customHeight="1">
      <c r="A970" s="143"/>
      <c r="B970" s="931"/>
      <c r="C970" s="87"/>
      <c r="D970" s="87"/>
      <c r="E970" s="87"/>
      <c r="F970" s="87"/>
      <c r="G970" s="87"/>
      <c r="H970" s="87"/>
      <c r="I970" s="454"/>
      <c r="J970" s="87"/>
      <c r="K970" s="507"/>
      <c r="L970" s="609"/>
      <c r="M970" s="87"/>
      <c r="N970" s="347"/>
      <c r="O970" s="75"/>
      <c r="P970" s="146"/>
      <c r="Q970" s="146"/>
      <c r="R970" s="146"/>
      <c r="S970" s="149"/>
      <c r="T970" s="149"/>
      <c r="U970" s="149"/>
      <c r="V970" s="149"/>
      <c r="W970" s="149"/>
      <c r="X970" s="149"/>
      <c r="Y970" s="149"/>
      <c r="Z970" s="149"/>
    </row>
    <row r="971" spans="1:26" ht="41.25" customHeight="1">
      <c r="A971" s="533" t="s">
        <v>736</v>
      </c>
      <c r="B971" s="504" t="s">
        <v>458</v>
      </c>
      <c r="C971" s="506">
        <v>0.5</v>
      </c>
      <c r="D971" s="506">
        <v>0.5</v>
      </c>
      <c r="E971" s="506">
        <v>0</v>
      </c>
      <c r="F971" s="506">
        <v>1</v>
      </c>
      <c r="G971" s="506">
        <v>0.5</v>
      </c>
      <c r="H971" s="506">
        <v>0.5</v>
      </c>
      <c r="I971" s="438" t="s">
        <v>3857</v>
      </c>
      <c r="J971" s="507" t="s">
        <v>5197</v>
      </c>
      <c r="K971" s="507" t="s">
        <v>4156</v>
      </c>
      <c r="L971" s="507" t="s">
        <v>4157</v>
      </c>
      <c r="M971" s="507" t="s">
        <v>5198</v>
      </c>
      <c r="N971" s="507" t="s">
        <v>5199</v>
      </c>
      <c r="O971" s="507" t="s">
        <v>2524</v>
      </c>
      <c r="P971" s="534"/>
      <c r="Q971" s="534"/>
      <c r="R971" s="534"/>
      <c r="S971" s="535"/>
      <c r="T971" s="535"/>
      <c r="U971" s="535"/>
      <c r="V971" s="535"/>
      <c r="W971" s="535"/>
      <c r="X971" s="535"/>
      <c r="Y971" s="535"/>
      <c r="Z971" s="535"/>
    </row>
    <row r="972" spans="1:26" ht="13.5" customHeight="1">
      <c r="A972" s="143"/>
      <c r="B972" s="144"/>
      <c r="C972" s="87"/>
      <c r="D972" s="87"/>
      <c r="E972" s="87"/>
      <c r="F972" s="87"/>
      <c r="G972" s="87"/>
      <c r="H972" s="87"/>
      <c r="I972" s="454"/>
      <c r="J972" s="87"/>
      <c r="K972" s="354"/>
      <c r="L972" s="609"/>
      <c r="M972" s="87"/>
      <c r="N972" s="347"/>
      <c r="O972" s="75"/>
      <c r="P972" s="146"/>
      <c r="Q972" s="146"/>
      <c r="R972" s="146"/>
      <c r="S972" s="149"/>
      <c r="T972" s="149"/>
      <c r="U972" s="149"/>
      <c r="V972" s="149"/>
      <c r="W972" s="149"/>
      <c r="X972" s="149"/>
      <c r="Y972" s="149"/>
      <c r="Z972" s="149"/>
    </row>
    <row r="973" spans="1:26" ht="48.75" customHeight="1">
      <c r="A973" s="533" t="s">
        <v>736</v>
      </c>
      <c r="B973" s="504" t="s">
        <v>460</v>
      </c>
      <c r="C973" s="506">
        <f t="shared" ref="C973:H973" si="166">AVERAGE(C974:C975)</f>
        <v>0.75</v>
      </c>
      <c r="D973" s="506">
        <f t="shared" si="166"/>
        <v>1</v>
      </c>
      <c r="E973" s="506">
        <f t="shared" si="166"/>
        <v>0</v>
      </c>
      <c r="F973" s="506">
        <f t="shared" si="166"/>
        <v>1</v>
      </c>
      <c r="G973" s="506">
        <f t="shared" si="166"/>
        <v>0.75</v>
      </c>
      <c r="H973" s="506">
        <f t="shared" si="166"/>
        <v>0.75</v>
      </c>
      <c r="I973" s="454"/>
      <c r="J973" s="507"/>
      <c r="K973" s="507"/>
      <c r="L973" s="507" t="s">
        <v>4162</v>
      </c>
      <c r="M973" s="507"/>
      <c r="N973" s="507"/>
      <c r="O973" s="507"/>
      <c r="P973" s="534"/>
      <c r="Q973" s="534"/>
      <c r="R973" s="534"/>
      <c r="S973" s="535"/>
      <c r="T973" s="535"/>
      <c r="U973" s="535"/>
      <c r="V973" s="535"/>
      <c r="W973" s="535"/>
      <c r="X973" s="535"/>
      <c r="Y973" s="535"/>
      <c r="Z973" s="535"/>
    </row>
    <row r="974" spans="1:26" ht="21.75" customHeight="1">
      <c r="A974" s="533"/>
      <c r="B974" s="993" t="s">
        <v>5200</v>
      </c>
      <c r="C974" s="506">
        <v>1</v>
      </c>
      <c r="D974" s="506">
        <v>1</v>
      </c>
      <c r="E974" s="506">
        <v>0</v>
      </c>
      <c r="F974" s="506">
        <v>1</v>
      </c>
      <c r="G974" s="506">
        <v>1</v>
      </c>
      <c r="H974" s="506">
        <v>0.5</v>
      </c>
      <c r="I974" s="454" t="s">
        <v>4160</v>
      </c>
      <c r="J974" s="507" t="s">
        <v>5201</v>
      </c>
      <c r="K974" s="507" t="s">
        <v>5202</v>
      </c>
      <c r="L974" s="507" t="s">
        <v>4162</v>
      </c>
      <c r="M974" s="507" t="s">
        <v>5203</v>
      </c>
      <c r="N974" s="507" t="s">
        <v>2529</v>
      </c>
      <c r="O974" s="507" t="s">
        <v>5204</v>
      </c>
      <c r="P974" s="534"/>
      <c r="Q974" s="534"/>
      <c r="R974" s="534"/>
      <c r="S974" s="535"/>
      <c r="T974" s="535"/>
      <c r="U974" s="535"/>
      <c r="V974" s="535"/>
      <c r="W974" s="535"/>
      <c r="X974" s="535"/>
      <c r="Y974" s="535"/>
      <c r="Z974" s="535"/>
    </row>
    <row r="975" spans="1:26" ht="31.5" customHeight="1">
      <c r="A975" s="533"/>
      <c r="B975" s="993" t="s">
        <v>5205</v>
      </c>
      <c r="C975" s="506">
        <v>0.5</v>
      </c>
      <c r="D975" s="506">
        <v>1</v>
      </c>
      <c r="E975" s="506">
        <v>0</v>
      </c>
      <c r="F975" s="506">
        <v>1</v>
      </c>
      <c r="G975" s="506">
        <v>0.5</v>
      </c>
      <c r="H975" s="506">
        <v>1</v>
      </c>
      <c r="I975" s="454" t="s">
        <v>4160</v>
      </c>
      <c r="J975" s="507" t="s">
        <v>5206</v>
      </c>
      <c r="K975" s="507" t="s">
        <v>5207</v>
      </c>
      <c r="L975" s="507" t="s">
        <v>4162</v>
      </c>
      <c r="M975" s="507" t="s">
        <v>5208</v>
      </c>
      <c r="N975" s="507" t="s">
        <v>5209</v>
      </c>
      <c r="O975" s="507" t="s">
        <v>5210</v>
      </c>
      <c r="P975" s="534"/>
      <c r="Q975" s="534"/>
      <c r="R975" s="534"/>
      <c r="S975" s="535"/>
      <c r="T975" s="535"/>
      <c r="U975" s="535"/>
      <c r="V975" s="535"/>
      <c r="W975" s="535"/>
      <c r="X975" s="535"/>
      <c r="Y975" s="535"/>
      <c r="Z975" s="535"/>
    </row>
    <row r="976" spans="1:26" ht="25.5" customHeight="1">
      <c r="A976" s="143"/>
      <c r="B976" s="931"/>
      <c r="C976" s="87"/>
      <c r="D976" s="87"/>
      <c r="E976" s="87"/>
      <c r="F976" s="87"/>
      <c r="G976" s="87"/>
      <c r="H976" s="87"/>
      <c r="I976" s="454"/>
      <c r="J976" s="887"/>
      <c r="K976" s="354"/>
      <c r="L976" s="609"/>
      <c r="M976" s="87"/>
      <c r="N976" s="347"/>
      <c r="O976" s="75"/>
      <c r="P976" s="146"/>
      <c r="Q976" s="146"/>
      <c r="R976" s="146"/>
      <c r="S976" s="149"/>
      <c r="T976" s="149"/>
      <c r="U976" s="149"/>
      <c r="V976" s="149"/>
      <c r="W976" s="149"/>
      <c r="X976" s="149"/>
      <c r="Y976" s="149"/>
      <c r="Z976" s="149"/>
    </row>
    <row r="977" spans="1:26" ht="27.75" customHeight="1">
      <c r="A977" s="533" t="s">
        <v>736</v>
      </c>
      <c r="B977" s="504" t="s">
        <v>464</v>
      </c>
      <c r="C977" s="506">
        <f t="shared" ref="C977:H977" si="167">AVERAGE(C978:C979)</f>
        <v>0.5</v>
      </c>
      <c r="D977" s="506">
        <f t="shared" si="167"/>
        <v>0.25</v>
      </c>
      <c r="E977" s="506">
        <f t="shared" si="167"/>
        <v>0</v>
      </c>
      <c r="F977" s="506">
        <f t="shared" si="167"/>
        <v>1</v>
      </c>
      <c r="G977" s="506">
        <f t="shared" si="167"/>
        <v>0.75</v>
      </c>
      <c r="H977" s="506">
        <f t="shared" si="167"/>
        <v>0.5</v>
      </c>
      <c r="I977" s="454"/>
      <c r="J977" s="507"/>
      <c r="K977" s="507"/>
      <c r="L977" s="507"/>
      <c r="M977" s="507"/>
      <c r="N977" s="507"/>
      <c r="O977" s="507"/>
      <c r="P977" s="534"/>
      <c r="Q977" s="534"/>
      <c r="R977" s="534"/>
      <c r="S977" s="535"/>
      <c r="T977" s="535"/>
      <c r="U977" s="535"/>
      <c r="V977" s="535"/>
      <c r="W977" s="535"/>
      <c r="X977" s="535"/>
      <c r="Y977" s="535"/>
      <c r="Z977" s="535"/>
    </row>
    <row r="978" spans="1:26" ht="53.25" customHeight="1">
      <c r="A978" s="533"/>
      <c r="B978" s="993" t="s">
        <v>5211</v>
      </c>
      <c r="C978" s="506">
        <v>0.5</v>
      </c>
      <c r="D978" s="506">
        <v>0</v>
      </c>
      <c r="E978" s="506">
        <v>0</v>
      </c>
      <c r="F978" s="506">
        <v>1</v>
      </c>
      <c r="G978" s="506">
        <v>0.5</v>
      </c>
      <c r="H978" s="506">
        <v>0.5</v>
      </c>
      <c r="I978" s="454" t="s">
        <v>5212</v>
      </c>
      <c r="J978" s="507" t="s">
        <v>811</v>
      </c>
      <c r="K978" s="551" t="s">
        <v>748</v>
      </c>
      <c r="L978" s="507" t="s">
        <v>748</v>
      </c>
      <c r="M978" s="507" t="s">
        <v>1134</v>
      </c>
      <c r="N978" s="507" t="s">
        <v>5213</v>
      </c>
      <c r="O978" s="507" t="s">
        <v>5214</v>
      </c>
      <c r="P978" s="534"/>
      <c r="Q978" s="534"/>
      <c r="R978" s="534"/>
      <c r="S978" s="535"/>
      <c r="T978" s="535"/>
      <c r="U978" s="535"/>
      <c r="V978" s="535"/>
      <c r="W978" s="535"/>
      <c r="X978" s="535"/>
      <c r="Y978" s="535"/>
      <c r="Z978" s="535"/>
    </row>
    <row r="979" spans="1:26" ht="66" customHeight="1">
      <c r="A979" s="533"/>
      <c r="B979" s="993" t="s">
        <v>5215</v>
      </c>
      <c r="C979" s="506">
        <v>0.5</v>
      </c>
      <c r="D979" s="506">
        <v>0.5</v>
      </c>
      <c r="E979" s="506">
        <v>0</v>
      </c>
      <c r="F979" s="506">
        <v>1</v>
      </c>
      <c r="G979" s="506">
        <v>1</v>
      </c>
      <c r="H979" s="506">
        <v>0.5</v>
      </c>
      <c r="I979" s="454" t="s">
        <v>4168</v>
      </c>
      <c r="J979" s="507" t="s">
        <v>5216</v>
      </c>
      <c r="K979" s="507" t="s">
        <v>5217</v>
      </c>
      <c r="L979" s="507" t="s">
        <v>748</v>
      </c>
      <c r="M979" s="507" t="s">
        <v>5218</v>
      </c>
      <c r="N979" s="507" t="s">
        <v>5219</v>
      </c>
      <c r="O979" s="507" t="s">
        <v>5220</v>
      </c>
      <c r="P979" s="534"/>
      <c r="Q979" s="534"/>
      <c r="R979" s="534"/>
      <c r="S979" s="535"/>
      <c r="T979" s="535"/>
      <c r="U979" s="535"/>
      <c r="V979" s="535"/>
      <c r="W979" s="535"/>
      <c r="X979" s="535"/>
      <c r="Y979" s="535"/>
      <c r="Z979" s="535"/>
    </row>
    <row r="980" spans="1:26" ht="17.25" customHeight="1">
      <c r="A980" s="143"/>
      <c r="B980" s="144"/>
      <c r="C980" s="87"/>
      <c r="D980" s="87"/>
      <c r="E980" s="87"/>
      <c r="F980" s="87"/>
      <c r="G980" s="87"/>
      <c r="H980" s="87"/>
      <c r="I980" s="454"/>
      <c r="J980" s="87"/>
      <c r="K980" s="354"/>
      <c r="L980" s="609"/>
      <c r="M980" s="75"/>
      <c r="N980" s="347"/>
      <c r="O980" s="75"/>
      <c r="P980" s="146"/>
      <c r="Q980" s="146"/>
      <c r="R980" s="146"/>
      <c r="S980" s="149"/>
      <c r="T980" s="149"/>
      <c r="U980" s="149"/>
      <c r="V980" s="149"/>
      <c r="W980" s="149"/>
      <c r="X980" s="149"/>
      <c r="Y980" s="149"/>
      <c r="Z980" s="149"/>
    </row>
    <row r="981" spans="1:26" ht="73.5" customHeight="1">
      <c r="A981" s="533" t="s">
        <v>736</v>
      </c>
      <c r="B981" s="517" t="s">
        <v>5221</v>
      </c>
      <c r="C981" s="506">
        <f t="shared" ref="C981:H981" si="168">AVERAGE(C982:C985)</f>
        <v>0.5</v>
      </c>
      <c r="D981" s="506">
        <f t="shared" si="168"/>
        <v>0.5</v>
      </c>
      <c r="E981" s="506">
        <f t="shared" si="168"/>
        <v>0</v>
      </c>
      <c r="F981" s="506">
        <f t="shared" si="168"/>
        <v>0.875</v>
      </c>
      <c r="G981" s="506">
        <f t="shared" si="168"/>
        <v>0.5</v>
      </c>
      <c r="H981" s="506">
        <f t="shared" si="168"/>
        <v>0.5</v>
      </c>
      <c r="I981" s="454"/>
      <c r="J981" s="507" t="s">
        <v>5222</v>
      </c>
      <c r="K981" s="507"/>
      <c r="L981" s="509"/>
      <c r="M981" s="507"/>
      <c r="N981" s="509"/>
      <c r="O981" s="507"/>
      <c r="P981" s="534"/>
      <c r="Q981" s="534"/>
      <c r="R981" s="534"/>
      <c r="S981" s="535"/>
      <c r="T981" s="535"/>
      <c r="U981" s="535"/>
      <c r="V981" s="535"/>
      <c r="W981" s="535"/>
      <c r="X981" s="535"/>
      <c r="Y981" s="535"/>
      <c r="Z981" s="535"/>
    </row>
    <row r="982" spans="1:26" ht="31.5" customHeight="1">
      <c r="A982" s="533"/>
      <c r="B982" s="993" t="s">
        <v>4177</v>
      </c>
      <c r="C982" s="506">
        <v>0.5</v>
      </c>
      <c r="D982" s="506">
        <v>0.5</v>
      </c>
      <c r="E982" s="506">
        <v>0</v>
      </c>
      <c r="F982" s="506">
        <v>1</v>
      </c>
      <c r="G982" s="506">
        <v>0.5</v>
      </c>
      <c r="H982" s="506">
        <v>0.5</v>
      </c>
      <c r="I982" s="454" t="s">
        <v>4160</v>
      </c>
      <c r="J982" s="507" t="s">
        <v>5223</v>
      </c>
      <c r="K982" s="507" t="s">
        <v>4179</v>
      </c>
      <c r="L982" s="507" t="s">
        <v>4180</v>
      </c>
      <c r="M982" s="507" t="s">
        <v>5224</v>
      </c>
      <c r="N982" s="508" t="s">
        <v>5225</v>
      </c>
      <c r="O982" s="507" t="s">
        <v>4182</v>
      </c>
      <c r="P982" s="534"/>
      <c r="Q982" s="534"/>
      <c r="R982" s="534"/>
      <c r="S982" s="535"/>
      <c r="T982" s="535"/>
      <c r="U982" s="535"/>
      <c r="V982" s="535"/>
      <c r="W982" s="535"/>
      <c r="X982" s="535"/>
      <c r="Y982" s="535"/>
      <c r="Z982" s="535"/>
    </row>
    <row r="983" spans="1:26" ht="21" customHeight="1">
      <c r="A983" s="533"/>
      <c r="B983" s="993" t="s">
        <v>470</v>
      </c>
      <c r="C983" s="506">
        <v>0.5</v>
      </c>
      <c r="D983" s="506">
        <v>0.5</v>
      </c>
      <c r="E983" s="506">
        <v>0</v>
      </c>
      <c r="F983" s="506">
        <v>1</v>
      </c>
      <c r="G983" s="506">
        <v>0.5</v>
      </c>
      <c r="H983" s="506">
        <v>0.5</v>
      </c>
      <c r="I983" s="454" t="s">
        <v>4160</v>
      </c>
      <c r="J983" s="507" t="s">
        <v>5226</v>
      </c>
      <c r="K983" s="507" t="s">
        <v>4184</v>
      </c>
      <c r="L983" s="507" t="s">
        <v>4180</v>
      </c>
      <c r="M983" s="507" t="s">
        <v>811</v>
      </c>
      <c r="N983" s="507" t="s">
        <v>5227</v>
      </c>
      <c r="O983" s="507" t="s">
        <v>4182</v>
      </c>
      <c r="P983" s="534"/>
      <c r="Q983" s="534"/>
      <c r="R983" s="534"/>
      <c r="S983" s="535"/>
      <c r="T983" s="535"/>
      <c r="U983" s="535"/>
      <c r="V983" s="535"/>
      <c r="W983" s="535"/>
      <c r="X983" s="535"/>
      <c r="Y983" s="535"/>
      <c r="Z983" s="535"/>
    </row>
    <row r="984" spans="1:26" ht="27" customHeight="1">
      <c r="A984" s="533"/>
      <c r="B984" s="993" t="s">
        <v>471</v>
      </c>
      <c r="C984" s="506">
        <v>0.5</v>
      </c>
      <c r="D984" s="506">
        <v>0.5</v>
      </c>
      <c r="E984" s="506">
        <v>0</v>
      </c>
      <c r="F984" s="506">
        <v>0.5</v>
      </c>
      <c r="G984" s="506">
        <v>0.5</v>
      </c>
      <c r="H984" s="506">
        <v>0.5</v>
      </c>
      <c r="I984" s="454"/>
      <c r="J984" s="507" t="s">
        <v>5228</v>
      </c>
      <c r="K984" s="507" t="s">
        <v>4187</v>
      </c>
      <c r="L984" s="507" t="s">
        <v>4180</v>
      </c>
      <c r="M984" s="507" t="s">
        <v>5229</v>
      </c>
      <c r="N984" s="507" t="s">
        <v>5227</v>
      </c>
      <c r="O984" s="507" t="s">
        <v>4182</v>
      </c>
      <c r="P984" s="534"/>
      <c r="Q984" s="534"/>
      <c r="R984" s="534"/>
      <c r="S984" s="535"/>
      <c r="T984" s="535"/>
      <c r="U984" s="535"/>
      <c r="V984" s="535"/>
      <c r="W984" s="535"/>
      <c r="X984" s="535"/>
      <c r="Y984" s="535"/>
      <c r="Z984" s="535"/>
    </row>
    <row r="985" spans="1:26" ht="24" customHeight="1">
      <c r="A985" s="533"/>
      <c r="B985" s="993" t="s">
        <v>472</v>
      </c>
      <c r="C985" s="506">
        <v>0.5</v>
      </c>
      <c r="D985" s="506">
        <v>0.5</v>
      </c>
      <c r="E985" s="506">
        <v>0</v>
      </c>
      <c r="F985" s="506">
        <v>1</v>
      </c>
      <c r="G985" s="506">
        <v>0.5</v>
      </c>
      <c r="H985" s="506">
        <v>0.5</v>
      </c>
      <c r="I985" s="454" t="s">
        <v>4160</v>
      </c>
      <c r="J985" s="507" t="s">
        <v>4190</v>
      </c>
      <c r="K985" s="507" t="s">
        <v>4191</v>
      </c>
      <c r="L985" s="507" t="s">
        <v>4180</v>
      </c>
      <c r="M985" s="507" t="s">
        <v>811</v>
      </c>
      <c r="N985" s="507" t="s">
        <v>5227</v>
      </c>
      <c r="O985" s="507" t="s">
        <v>4182</v>
      </c>
      <c r="P985" s="534"/>
      <c r="Q985" s="534"/>
      <c r="R985" s="534"/>
      <c r="S985" s="535"/>
      <c r="T985" s="535"/>
      <c r="U985" s="535"/>
      <c r="V985" s="535"/>
      <c r="W985" s="535"/>
      <c r="X985" s="535"/>
      <c r="Y985" s="535"/>
      <c r="Z985" s="535"/>
    </row>
    <row r="986" spans="1:26" ht="27.75" customHeight="1">
      <c r="A986" s="143"/>
      <c r="B986" s="931"/>
      <c r="C986" s="87"/>
      <c r="D986" s="87"/>
      <c r="E986" s="87"/>
      <c r="F986" s="87"/>
      <c r="G986" s="87"/>
      <c r="H986" s="87"/>
      <c r="I986" s="454"/>
      <c r="J986" s="87"/>
      <c r="K986" s="354"/>
      <c r="L986" s="507" t="s">
        <v>4180</v>
      </c>
      <c r="M986" s="87"/>
      <c r="N986" s="347"/>
      <c r="O986" s="75"/>
      <c r="P986" s="146"/>
      <c r="Q986" s="146"/>
      <c r="R986" s="146"/>
      <c r="S986" s="149"/>
      <c r="T986" s="149"/>
      <c r="U986" s="149"/>
      <c r="V986" s="149"/>
      <c r="W986" s="149"/>
      <c r="X986" s="149"/>
      <c r="Y986" s="149"/>
      <c r="Z986" s="149"/>
    </row>
    <row r="987" spans="1:26" ht="70.5" customHeight="1">
      <c r="A987" s="533" t="s">
        <v>736</v>
      </c>
      <c r="B987" s="517" t="s">
        <v>5230</v>
      </c>
      <c r="C987" s="506">
        <v>0.5</v>
      </c>
      <c r="D987" s="506">
        <v>0</v>
      </c>
      <c r="E987" s="506">
        <v>0</v>
      </c>
      <c r="F987" s="506">
        <v>1</v>
      </c>
      <c r="G987" s="506">
        <v>0.5</v>
      </c>
      <c r="H987" s="506">
        <v>1</v>
      </c>
      <c r="I987" s="600" t="s">
        <v>474</v>
      </c>
      <c r="J987" s="507" t="s">
        <v>5231</v>
      </c>
      <c r="K987" s="507" t="s">
        <v>4195</v>
      </c>
      <c r="L987" s="507" t="s">
        <v>4196</v>
      </c>
      <c r="M987" s="507" t="s">
        <v>5232</v>
      </c>
      <c r="N987" s="507" t="s">
        <v>2576</v>
      </c>
      <c r="O987" s="507" t="s">
        <v>5233</v>
      </c>
      <c r="P987" s="534"/>
      <c r="Q987" s="534"/>
      <c r="R987" s="534"/>
      <c r="S987" s="535"/>
      <c r="T987" s="535"/>
      <c r="U987" s="535"/>
      <c r="V987" s="535"/>
      <c r="W987" s="535"/>
      <c r="X987" s="535"/>
      <c r="Y987" s="535"/>
      <c r="Z987" s="535"/>
    </row>
    <row r="988" spans="1:26" ht="13.5" customHeight="1">
      <c r="A988" s="143"/>
      <c r="B988" s="144"/>
      <c r="C988" s="87"/>
      <c r="D988" s="87"/>
      <c r="E988" s="87"/>
      <c r="F988" s="87"/>
      <c r="G988" s="87"/>
      <c r="H988" s="578"/>
      <c r="I988" s="454"/>
      <c r="J988" s="87"/>
      <c r="K988" s="354"/>
      <c r="L988" s="609"/>
      <c r="M988" s="87"/>
      <c r="N988" s="347"/>
      <c r="O988" s="75"/>
      <c r="P988" s="146"/>
      <c r="Q988" s="146"/>
      <c r="R988" s="146"/>
      <c r="S988" s="149"/>
      <c r="T988" s="149"/>
      <c r="U988" s="149"/>
      <c r="V988" s="149"/>
      <c r="W988" s="149"/>
      <c r="X988" s="149"/>
      <c r="Y988" s="149"/>
      <c r="Z988" s="149"/>
    </row>
    <row r="989" spans="1:26" ht="62.25" customHeight="1">
      <c r="A989" s="533" t="s">
        <v>736</v>
      </c>
      <c r="B989" s="517" t="s">
        <v>5234</v>
      </c>
      <c r="C989" s="506">
        <v>0.7</v>
      </c>
      <c r="D989" s="506">
        <v>0.53</v>
      </c>
      <c r="E989" s="506">
        <v>0.63</v>
      </c>
      <c r="F989" s="506">
        <v>0.8</v>
      </c>
      <c r="G989" s="506">
        <v>1</v>
      </c>
      <c r="H989" s="506">
        <v>0.47</v>
      </c>
      <c r="I989" s="454" t="s">
        <v>476</v>
      </c>
      <c r="J989" s="507" t="s">
        <v>5235</v>
      </c>
      <c r="K989" s="507" t="s">
        <v>5236</v>
      </c>
      <c r="L989" s="507" t="s">
        <v>5237</v>
      </c>
      <c r="M989" s="1010" t="s">
        <v>5238</v>
      </c>
      <c r="N989" s="507" t="s">
        <v>5239</v>
      </c>
      <c r="O989" s="507" t="s">
        <v>5240</v>
      </c>
      <c r="P989" s="534"/>
      <c r="Q989" s="534"/>
      <c r="R989" s="534"/>
      <c r="S989" s="535"/>
      <c r="T989" s="535"/>
      <c r="U989" s="535"/>
      <c r="V989" s="535"/>
      <c r="W989" s="535"/>
      <c r="X989" s="535"/>
      <c r="Y989" s="535"/>
      <c r="Z989" s="535"/>
    </row>
    <row r="990" spans="1:26" ht="13.5" customHeight="1">
      <c r="A990" s="143"/>
      <c r="B990" s="931"/>
      <c r="C990" s="931"/>
      <c r="D990" s="149"/>
      <c r="E990" s="456"/>
      <c r="F990" s="149"/>
      <c r="G990" s="149"/>
      <c r="H990" s="149"/>
      <c r="I990" s="454"/>
      <c r="J990" s="87"/>
      <c r="K990" s="354"/>
      <c r="L990" s="609"/>
      <c r="M990" s="87"/>
      <c r="N990" s="347"/>
      <c r="O990" s="888"/>
      <c r="P990" s="146"/>
      <c r="Q990" s="146"/>
      <c r="R990" s="146"/>
      <c r="S990" s="149"/>
      <c r="T990" s="149"/>
      <c r="U990" s="149"/>
      <c r="V990" s="149"/>
      <c r="W990" s="149"/>
      <c r="X990" s="149"/>
      <c r="Y990" s="149"/>
      <c r="Z990" s="149"/>
    </row>
    <row r="991" spans="1:26" ht="106.5" customHeight="1">
      <c r="A991" s="533" t="s">
        <v>736</v>
      </c>
      <c r="B991" s="504" t="s">
        <v>477</v>
      </c>
      <c r="C991" s="506">
        <v>0.5</v>
      </c>
      <c r="D991" s="506">
        <v>1</v>
      </c>
      <c r="E991" s="506">
        <v>0.5</v>
      </c>
      <c r="F991" s="506">
        <v>0.5</v>
      </c>
      <c r="G991" s="506">
        <v>0.5</v>
      </c>
      <c r="H991" s="506">
        <v>0.5</v>
      </c>
      <c r="I991" s="454" t="s">
        <v>4160</v>
      </c>
      <c r="J991" s="507" t="s">
        <v>5241</v>
      </c>
      <c r="K991" s="507" t="s">
        <v>5242</v>
      </c>
      <c r="L991" s="507" t="s">
        <v>5243</v>
      </c>
      <c r="M991" s="507" t="s">
        <v>4209</v>
      </c>
      <c r="N991" s="507" t="s">
        <v>5244</v>
      </c>
      <c r="O991" s="507" t="s">
        <v>4210</v>
      </c>
      <c r="P991" s="534"/>
      <c r="Q991" s="534"/>
      <c r="R991" s="534"/>
      <c r="S991" s="535"/>
      <c r="T991" s="535"/>
      <c r="U991" s="535"/>
      <c r="V991" s="535"/>
      <c r="W991" s="535"/>
      <c r="X991" s="535"/>
      <c r="Y991" s="535"/>
      <c r="Z991" s="535"/>
    </row>
    <row r="992" spans="1:26" ht="26.25" customHeight="1">
      <c r="A992" s="143"/>
      <c r="B992" s="144"/>
      <c r="C992" s="75"/>
      <c r="D992" s="87"/>
      <c r="E992" s="87"/>
      <c r="F992" s="87"/>
      <c r="G992" s="87"/>
      <c r="H992" s="87"/>
      <c r="I992" s="454"/>
      <c r="J992" s="75"/>
      <c r="K992" s="75"/>
      <c r="L992" s="609"/>
      <c r="M992" s="87"/>
      <c r="N992" s="347"/>
      <c r="O992" s="75"/>
      <c r="P992" s="146"/>
      <c r="Q992" s="146"/>
      <c r="R992" s="146"/>
      <c r="S992" s="149"/>
      <c r="T992" s="149"/>
      <c r="U992" s="149"/>
      <c r="V992" s="149"/>
      <c r="W992" s="149"/>
      <c r="X992" s="149"/>
      <c r="Y992" s="149"/>
      <c r="Z992" s="149"/>
    </row>
    <row r="993" spans="1:26" ht="109.5" customHeight="1">
      <c r="A993" s="533" t="s">
        <v>736</v>
      </c>
      <c r="B993" s="517" t="s">
        <v>478</v>
      </c>
      <c r="C993" s="506">
        <v>0.5</v>
      </c>
      <c r="D993" s="506">
        <v>0</v>
      </c>
      <c r="E993" s="506">
        <v>0</v>
      </c>
      <c r="F993" s="506">
        <v>0</v>
      </c>
      <c r="G993" s="506">
        <v>0.5</v>
      </c>
      <c r="H993" s="506">
        <v>0</v>
      </c>
      <c r="I993" s="454" t="s">
        <v>4160</v>
      </c>
      <c r="J993" s="507" t="s">
        <v>5245</v>
      </c>
      <c r="K993" s="507" t="s">
        <v>5246</v>
      </c>
      <c r="L993" s="507" t="s">
        <v>748</v>
      </c>
      <c r="M993" s="507" t="s">
        <v>748</v>
      </c>
      <c r="N993" s="507" t="s">
        <v>5247</v>
      </c>
      <c r="O993" s="507" t="s">
        <v>4429</v>
      </c>
      <c r="P993" s="534"/>
      <c r="Q993" s="534"/>
      <c r="R993" s="534"/>
      <c r="S993" s="535"/>
      <c r="T993" s="535"/>
      <c r="U993" s="535"/>
      <c r="V993" s="535"/>
      <c r="W993" s="535"/>
      <c r="X993" s="535"/>
      <c r="Y993" s="535"/>
      <c r="Z993" s="535"/>
    </row>
    <row r="994" spans="1:26" ht="13.5" customHeight="1">
      <c r="A994" s="889"/>
      <c r="B994" s="144"/>
      <c r="C994" s="87"/>
      <c r="D994" s="87"/>
      <c r="E994" s="87"/>
      <c r="F994" s="87"/>
      <c r="G994" s="87"/>
      <c r="H994" s="87"/>
      <c r="I994" s="454"/>
      <c r="J994" s="75"/>
      <c r="K994" s="890"/>
      <c r="L994" s="890"/>
      <c r="M994" s="890"/>
      <c r="N994" s="890"/>
      <c r="O994" s="890"/>
      <c r="P994" s="208"/>
      <c r="Q994" s="208"/>
      <c r="R994" s="208"/>
      <c r="S994" s="210"/>
      <c r="T994" s="210"/>
      <c r="U994" s="210"/>
      <c r="V994" s="210"/>
      <c r="W994" s="210"/>
      <c r="X994" s="210"/>
      <c r="Y994" s="210"/>
      <c r="Z994" s="210"/>
    </row>
    <row r="995" spans="1:26" ht="13.5" customHeight="1">
      <c r="A995" s="816" t="s">
        <v>2595</v>
      </c>
      <c r="B995" s="517" t="s">
        <v>479</v>
      </c>
      <c r="C995" s="506">
        <f t="shared" ref="C995:H995" si="169">AVERAGE(C996,C998,C1000,C1002)</f>
        <v>0.75</v>
      </c>
      <c r="D995" s="506">
        <f t="shared" si="169"/>
        <v>0.75</v>
      </c>
      <c r="E995" s="506">
        <f t="shared" si="169"/>
        <v>0.375</v>
      </c>
      <c r="F995" s="506">
        <f t="shared" si="169"/>
        <v>0.375</v>
      </c>
      <c r="G995" s="506">
        <f t="shared" si="169"/>
        <v>0.75</v>
      </c>
      <c r="H995" s="506">
        <f t="shared" si="169"/>
        <v>0.625</v>
      </c>
      <c r="I995" s="454"/>
      <c r="J995" s="507"/>
      <c r="K995" s="499"/>
      <c r="L995" s="499"/>
      <c r="M995" s="499"/>
      <c r="N995" s="499"/>
      <c r="O995" s="499"/>
      <c r="P995" s="558"/>
      <c r="Q995" s="558"/>
      <c r="R995" s="558"/>
      <c r="S995" s="559"/>
      <c r="T995" s="559"/>
      <c r="U995" s="559"/>
      <c r="V995" s="559"/>
      <c r="W995" s="559"/>
      <c r="X995" s="559"/>
      <c r="Y995" s="559"/>
      <c r="Z995" s="559"/>
    </row>
    <row r="996" spans="1:26" ht="99" customHeight="1">
      <c r="A996" s="533" t="s">
        <v>736</v>
      </c>
      <c r="B996" s="517" t="s">
        <v>480</v>
      </c>
      <c r="C996" s="506">
        <v>1</v>
      </c>
      <c r="D996" s="506">
        <v>1</v>
      </c>
      <c r="E996" s="506">
        <v>1</v>
      </c>
      <c r="F996" s="506">
        <v>0</v>
      </c>
      <c r="G996" s="506">
        <v>1</v>
      </c>
      <c r="H996" s="506">
        <v>0.5</v>
      </c>
      <c r="I996" s="454" t="s">
        <v>481</v>
      </c>
      <c r="J996" s="507" t="s">
        <v>5248</v>
      </c>
      <c r="K996" s="507" t="s">
        <v>811</v>
      </c>
      <c r="L996" s="507" t="s">
        <v>811</v>
      </c>
      <c r="M996" s="507" t="s">
        <v>748</v>
      </c>
      <c r="N996" s="507" t="s">
        <v>4215</v>
      </c>
      <c r="O996" s="507" t="s">
        <v>2592</v>
      </c>
      <c r="P996" s="534"/>
      <c r="Q996" s="534"/>
      <c r="R996" s="534"/>
      <c r="S996" s="535"/>
      <c r="T996" s="535"/>
      <c r="U996" s="535"/>
      <c r="V996" s="535"/>
      <c r="W996" s="535"/>
      <c r="X996" s="535"/>
      <c r="Y996" s="535"/>
      <c r="Z996" s="535"/>
    </row>
    <row r="997" spans="1:26" ht="22.5" customHeight="1">
      <c r="A997" s="143"/>
      <c r="B997" s="144"/>
      <c r="C997" s="354"/>
      <c r="D997" s="354"/>
      <c r="E997" s="609"/>
      <c r="F997" s="87"/>
      <c r="G997" s="87"/>
      <c r="H997" s="87"/>
      <c r="I997" s="454"/>
      <c r="J997" s="75"/>
      <c r="K997" s="75"/>
      <c r="L997" s="75"/>
      <c r="M997" s="75"/>
      <c r="N997" s="75"/>
      <c r="O997" s="75"/>
      <c r="P997" s="146"/>
      <c r="Q997" s="146"/>
      <c r="R997" s="146"/>
      <c r="S997" s="149"/>
      <c r="T997" s="149"/>
      <c r="U997" s="149"/>
      <c r="V997" s="149"/>
      <c r="W997" s="149"/>
      <c r="X997" s="149"/>
      <c r="Y997" s="149"/>
      <c r="Z997" s="149"/>
    </row>
    <row r="998" spans="1:26" ht="96" customHeight="1">
      <c r="A998" s="533" t="s">
        <v>736</v>
      </c>
      <c r="B998" s="517" t="s">
        <v>482</v>
      </c>
      <c r="C998" s="506">
        <v>1</v>
      </c>
      <c r="D998" s="506">
        <v>1</v>
      </c>
      <c r="E998" s="506">
        <v>0</v>
      </c>
      <c r="F998" s="506">
        <v>1</v>
      </c>
      <c r="G998" s="506">
        <v>1</v>
      </c>
      <c r="H998" s="506">
        <v>1</v>
      </c>
      <c r="I998" s="454" t="s">
        <v>123</v>
      </c>
      <c r="J998" s="507" t="s">
        <v>5249</v>
      </c>
      <c r="K998" s="507" t="s">
        <v>811</v>
      </c>
      <c r="L998" s="507" t="s">
        <v>748</v>
      </c>
      <c r="M998" s="507" t="s">
        <v>811</v>
      </c>
      <c r="N998" s="507" t="s">
        <v>4217</v>
      </c>
      <c r="O998" s="507" t="s">
        <v>811</v>
      </c>
      <c r="P998" s="534"/>
      <c r="Q998" s="534"/>
      <c r="R998" s="534"/>
      <c r="S998" s="535"/>
      <c r="T998" s="535"/>
      <c r="U998" s="535"/>
      <c r="V998" s="535"/>
      <c r="W998" s="535"/>
      <c r="X998" s="535"/>
      <c r="Y998" s="535"/>
      <c r="Z998" s="535"/>
    </row>
    <row r="999" spans="1:26" ht="13.5" customHeight="1">
      <c r="A999" s="143"/>
      <c r="B999" s="144"/>
      <c r="C999" s="87"/>
      <c r="D999" s="87"/>
      <c r="E999" s="87"/>
      <c r="F999" s="87"/>
      <c r="G999" s="87"/>
      <c r="H999" s="87"/>
      <c r="I999" s="454"/>
      <c r="J999" s="75"/>
      <c r="K999" s="75"/>
      <c r="L999" s="75"/>
      <c r="M999" s="75"/>
      <c r="N999" s="198"/>
      <c r="O999" s="75"/>
      <c r="P999" s="146"/>
      <c r="Q999" s="146"/>
      <c r="R999" s="146"/>
      <c r="S999" s="149"/>
      <c r="T999" s="149"/>
      <c r="U999" s="149"/>
      <c r="V999" s="149"/>
      <c r="W999" s="149"/>
      <c r="X999" s="149"/>
      <c r="Y999" s="149"/>
      <c r="Z999" s="149"/>
    </row>
    <row r="1000" spans="1:26" ht="55.5" customHeight="1">
      <c r="A1000" s="533" t="s">
        <v>736</v>
      </c>
      <c r="B1000" s="517" t="s">
        <v>483</v>
      </c>
      <c r="C1000" s="506">
        <v>1</v>
      </c>
      <c r="D1000" s="506">
        <v>1</v>
      </c>
      <c r="E1000" s="506">
        <v>0.5</v>
      </c>
      <c r="F1000" s="506">
        <v>0.5</v>
      </c>
      <c r="G1000" s="506">
        <v>1</v>
      </c>
      <c r="H1000" s="506">
        <v>1</v>
      </c>
      <c r="I1000" s="454" t="s">
        <v>484</v>
      </c>
      <c r="J1000" s="507" t="s">
        <v>2605</v>
      </c>
      <c r="K1000" s="507" t="s">
        <v>2605</v>
      </c>
      <c r="L1000" s="507" t="s">
        <v>5250</v>
      </c>
      <c r="M1000" s="507" t="s">
        <v>5250</v>
      </c>
      <c r="N1000" s="507" t="s">
        <v>2607</v>
      </c>
      <c r="O1000" s="507" t="s">
        <v>4219</v>
      </c>
      <c r="P1000" s="534"/>
      <c r="Q1000" s="534"/>
      <c r="R1000" s="534"/>
      <c r="S1000" s="535"/>
      <c r="T1000" s="535"/>
      <c r="U1000" s="535"/>
      <c r="V1000" s="535"/>
      <c r="W1000" s="535"/>
      <c r="X1000" s="535"/>
      <c r="Y1000" s="535"/>
      <c r="Z1000" s="535"/>
    </row>
    <row r="1001" spans="1:26" ht="13.5" customHeight="1">
      <c r="A1001" s="143"/>
      <c r="B1001" s="931"/>
      <c r="C1001" s="87"/>
      <c r="D1001" s="87"/>
      <c r="E1001" s="87"/>
      <c r="F1001" s="87"/>
      <c r="G1001" s="87"/>
      <c r="H1001" s="87"/>
      <c r="I1001" s="454"/>
      <c r="J1001" s="75"/>
      <c r="K1001" s="75"/>
      <c r="L1001" s="75"/>
      <c r="M1001" s="75"/>
      <c r="N1001" s="75"/>
      <c r="O1001" s="75"/>
      <c r="P1001" s="146"/>
      <c r="Q1001" s="146"/>
      <c r="R1001" s="146"/>
      <c r="S1001" s="149"/>
      <c r="T1001" s="149"/>
      <c r="U1001" s="149"/>
      <c r="V1001" s="149"/>
      <c r="W1001" s="149"/>
      <c r="X1001" s="149"/>
      <c r="Y1001" s="149"/>
      <c r="Z1001" s="149"/>
    </row>
    <row r="1002" spans="1:26" ht="42" customHeight="1">
      <c r="A1002" s="533" t="s">
        <v>736</v>
      </c>
      <c r="B1002" s="517" t="s">
        <v>485</v>
      </c>
      <c r="C1002" s="506">
        <v>0</v>
      </c>
      <c r="D1002" s="506">
        <v>0</v>
      </c>
      <c r="E1002" s="506">
        <v>0</v>
      </c>
      <c r="F1002" s="506">
        <v>0</v>
      </c>
      <c r="G1002" s="506">
        <v>0</v>
      </c>
      <c r="H1002" s="506">
        <v>0</v>
      </c>
      <c r="I1002" s="454" t="s">
        <v>123</v>
      </c>
      <c r="J1002" s="507" t="s">
        <v>748</v>
      </c>
      <c r="K1002" s="507" t="s">
        <v>748</v>
      </c>
      <c r="L1002" s="507" t="s">
        <v>748</v>
      </c>
      <c r="M1002" s="507" t="s">
        <v>748</v>
      </c>
      <c r="N1002" s="507" t="s">
        <v>748</v>
      </c>
      <c r="O1002" s="507" t="s">
        <v>748</v>
      </c>
      <c r="P1002" s="534"/>
      <c r="Q1002" s="534"/>
      <c r="R1002" s="534"/>
      <c r="S1002" s="535"/>
      <c r="T1002" s="535"/>
      <c r="U1002" s="535"/>
      <c r="V1002" s="535"/>
      <c r="W1002" s="535"/>
      <c r="X1002" s="535"/>
      <c r="Y1002" s="535"/>
      <c r="Z1002" s="535"/>
    </row>
    <row r="1003" spans="1:26" ht="13.5" customHeight="1">
      <c r="A1003" s="143"/>
      <c r="B1003" s="144"/>
      <c r="C1003" s="87"/>
      <c r="D1003" s="87"/>
      <c r="E1003" s="87"/>
      <c r="F1003" s="87"/>
      <c r="G1003" s="87"/>
      <c r="H1003" s="87"/>
      <c r="I1003" s="454"/>
      <c r="J1003" s="75"/>
      <c r="K1003" s="75"/>
      <c r="L1003" s="75"/>
      <c r="M1003" s="75"/>
      <c r="N1003" s="75"/>
      <c r="O1003" s="75"/>
      <c r="P1003" s="146"/>
      <c r="Q1003" s="146"/>
      <c r="R1003" s="146"/>
      <c r="S1003" s="149"/>
      <c r="T1003" s="149"/>
      <c r="U1003" s="149"/>
      <c r="V1003" s="149"/>
      <c r="W1003" s="149"/>
      <c r="X1003" s="149"/>
      <c r="Y1003" s="149"/>
      <c r="Z1003" s="149"/>
    </row>
    <row r="1004" spans="1:26" ht="13.5" customHeight="1">
      <c r="A1004" s="556" t="s">
        <v>2609</v>
      </c>
      <c r="B1004" s="517" t="s">
        <v>486</v>
      </c>
      <c r="C1004" s="506">
        <f t="shared" ref="C1004:H1004" si="170">AVERAGE(C1005,C1007,C1009,C1011)</f>
        <v>1</v>
      </c>
      <c r="D1004" s="506">
        <f t="shared" si="170"/>
        <v>0.75</v>
      </c>
      <c r="E1004" s="506">
        <f t="shared" si="170"/>
        <v>0.5</v>
      </c>
      <c r="F1004" s="506">
        <f t="shared" si="170"/>
        <v>0.75</v>
      </c>
      <c r="G1004" s="506">
        <f t="shared" si="170"/>
        <v>0.875</v>
      </c>
      <c r="H1004" s="506">
        <f t="shared" si="170"/>
        <v>0.75</v>
      </c>
      <c r="I1004" s="454"/>
      <c r="J1004" s="507"/>
      <c r="K1004" s="499"/>
      <c r="L1004" s="499"/>
      <c r="M1004" s="499"/>
      <c r="N1004" s="499"/>
      <c r="O1004" s="499"/>
      <c r="P1004" s="558"/>
      <c r="Q1004" s="558"/>
      <c r="R1004" s="558"/>
      <c r="S1004" s="559"/>
      <c r="T1004" s="559"/>
      <c r="U1004" s="559"/>
      <c r="V1004" s="559"/>
      <c r="W1004" s="559"/>
      <c r="X1004" s="559"/>
      <c r="Y1004" s="559"/>
      <c r="Z1004" s="559"/>
    </row>
    <row r="1005" spans="1:26" ht="96" customHeight="1">
      <c r="A1005" s="533" t="s">
        <v>736</v>
      </c>
      <c r="B1005" s="517" t="s">
        <v>487</v>
      </c>
      <c r="C1005" s="506">
        <v>1</v>
      </c>
      <c r="D1005" s="506">
        <v>1</v>
      </c>
      <c r="E1005" s="506">
        <v>1</v>
      </c>
      <c r="F1005" s="506">
        <v>0.5</v>
      </c>
      <c r="G1005" s="506">
        <v>1</v>
      </c>
      <c r="H1005" s="506">
        <v>0.5</v>
      </c>
      <c r="I1005" s="454" t="s">
        <v>481</v>
      </c>
      <c r="J1005" s="507" t="s">
        <v>811</v>
      </c>
      <c r="K1005" s="507" t="s">
        <v>811</v>
      </c>
      <c r="L1005" s="507" t="s">
        <v>811</v>
      </c>
      <c r="M1005" s="507" t="s">
        <v>5251</v>
      </c>
      <c r="N1005" s="507" t="s">
        <v>4221</v>
      </c>
      <c r="O1005" s="507" t="s">
        <v>4222</v>
      </c>
      <c r="P1005" s="534"/>
      <c r="Q1005" s="534"/>
      <c r="R1005" s="534"/>
      <c r="S1005" s="535"/>
      <c r="T1005" s="535"/>
      <c r="U1005" s="535"/>
      <c r="V1005" s="535"/>
      <c r="W1005" s="535"/>
      <c r="X1005" s="535"/>
      <c r="Y1005" s="535"/>
      <c r="Z1005" s="535"/>
    </row>
    <row r="1006" spans="1:26" ht="13.5" customHeight="1">
      <c r="A1006" s="143"/>
      <c r="B1006" s="144"/>
      <c r="C1006" s="87"/>
      <c r="D1006" s="87"/>
      <c r="E1006" s="87"/>
      <c r="F1006" s="87"/>
      <c r="G1006" s="87"/>
      <c r="H1006" s="87"/>
      <c r="I1006" s="454"/>
      <c r="J1006" s="198"/>
      <c r="K1006" s="75"/>
      <c r="L1006" s="75"/>
      <c r="M1006" s="75"/>
      <c r="N1006" s="75"/>
      <c r="O1006" s="75"/>
      <c r="P1006" s="146"/>
      <c r="Q1006" s="146"/>
      <c r="R1006" s="146"/>
      <c r="S1006" s="149"/>
      <c r="T1006" s="149"/>
      <c r="U1006" s="149"/>
      <c r="V1006" s="149"/>
      <c r="W1006" s="149"/>
      <c r="X1006" s="149"/>
      <c r="Y1006" s="149"/>
      <c r="Z1006" s="149"/>
    </row>
    <row r="1007" spans="1:26" ht="120" customHeight="1">
      <c r="A1007" s="533" t="s">
        <v>736</v>
      </c>
      <c r="B1007" s="517" t="s">
        <v>488</v>
      </c>
      <c r="C1007" s="506">
        <v>1</v>
      </c>
      <c r="D1007" s="506">
        <v>0</v>
      </c>
      <c r="E1007" s="506">
        <v>0</v>
      </c>
      <c r="F1007" s="506">
        <v>1</v>
      </c>
      <c r="G1007" s="506">
        <v>1</v>
      </c>
      <c r="H1007" s="506">
        <v>1</v>
      </c>
      <c r="I1007" s="454" t="s">
        <v>123</v>
      </c>
      <c r="J1007" s="507" t="s">
        <v>4223</v>
      </c>
      <c r="K1007" s="507" t="s">
        <v>748</v>
      </c>
      <c r="L1007" s="507" t="s">
        <v>748</v>
      </c>
      <c r="M1007" s="507" t="s">
        <v>811</v>
      </c>
      <c r="N1007" s="507" t="s">
        <v>4225</v>
      </c>
      <c r="O1007" s="507" t="s">
        <v>811</v>
      </c>
      <c r="P1007" s="534"/>
      <c r="Q1007" s="534"/>
      <c r="R1007" s="534"/>
      <c r="S1007" s="535"/>
      <c r="T1007" s="535"/>
      <c r="U1007" s="535"/>
      <c r="V1007" s="535"/>
      <c r="W1007" s="535"/>
      <c r="X1007" s="535"/>
      <c r="Y1007" s="535"/>
      <c r="Z1007" s="535"/>
    </row>
    <row r="1008" spans="1:26" ht="13.5" customHeight="1">
      <c r="A1008" s="143"/>
      <c r="B1008" s="144"/>
      <c r="C1008" s="87"/>
      <c r="D1008" s="87"/>
      <c r="E1008" s="87"/>
      <c r="F1008" s="87"/>
      <c r="G1008" s="87"/>
      <c r="H1008" s="87"/>
      <c r="I1008" s="454"/>
      <c r="J1008" s="198"/>
      <c r="K1008" s="75"/>
      <c r="L1008" s="75"/>
      <c r="M1008" s="75"/>
      <c r="N1008" s="75"/>
      <c r="O1008" s="75"/>
      <c r="P1008" s="146"/>
      <c r="Q1008" s="146"/>
      <c r="R1008" s="146"/>
      <c r="S1008" s="149"/>
      <c r="T1008" s="149"/>
      <c r="U1008" s="149"/>
      <c r="V1008" s="149"/>
      <c r="W1008" s="149"/>
      <c r="X1008" s="149"/>
      <c r="Y1008" s="149"/>
      <c r="Z1008" s="149"/>
    </row>
    <row r="1009" spans="1:26" ht="108" customHeight="1">
      <c r="A1009" s="533" t="s">
        <v>736</v>
      </c>
      <c r="B1009" s="517" t="s">
        <v>489</v>
      </c>
      <c r="C1009" s="506">
        <v>1</v>
      </c>
      <c r="D1009" s="506">
        <v>1</v>
      </c>
      <c r="E1009" s="506">
        <v>0</v>
      </c>
      <c r="F1009" s="506">
        <v>0.5</v>
      </c>
      <c r="G1009" s="506">
        <v>0.5</v>
      </c>
      <c r="H1009" s="506">
        <v>1</v>
      </c>
      <c r="I1009" s="454" t="s">
        <v>481</v>
      </c>
      <c r="J1009" s="507" t="s">
        <v>2617</v>
      </c>
      <c r="K1009" s="507" t="s">
        <v>811</v>
      </c>
      <c r="L1009" s="507" t="s">
        <v>748</v>
      </c>
      <c r="M1009" s="507" t="s">
        <v>2592</v>
      </c>
      <c r="N1009" s="507" t="s">
        <v>4228</v>
      </c>
      <c r="O1009" s="507" t="s">
        <v>4229</v>
      </c>
      <c r="P1009" s="534"/>
      <c r="Q1009" s="534"/>
      <c r="R1009" s="534"/>
      <c r="S1009" s="535"/>
      <c r="T1009" s="535"/>
      <c r="U1009" s="535"/>
      <c r="V1009" s="535"/>
      <c r="W1009" s="535"/>
      <c r="X1009" s="535"/>
      <c r="Y1009" s="535"/>
      <c r="Z1009" s="535"/>
    </row>
    <row r="1010" spans="1:26" ht="13.5" customHeight="1">
      <c r="A1010" s="143"/>
      <c r="B1010" s="144"/>
      <c r="C1010" s="87"/>
      <c r="D1010" s="87"/>
      <c r="E1010" s="87"/>
      <c r="F1010" s="87"/>
      <c r="G1010" s="87"/>
      <c r="H1010" s="87"/>
      <c r="I1010" s="454"/>
      <c r="J1010" s="198"/>
      <c r="K1010" s="75"/>
      <c r="L1010" s="75"/>
      <c r="M1010" s="75"/>
      <c r="N1010" s="198"/>
      <c r="O1010" s="75"/>
      <c r="P1010" s="146"/>
      <c r="Q1010" s="146"/>
      <c r="R1010" s="146"/>
      <c r="S1010" s="149"/>
      <c r="T1010" s="149"/>
      <c r="U1010" s="149"/>
      <c r="V1010" s="149"/>
      <c r="W1010" s="149"/>
      <c r="X1010" s="149"/>
      <c r="Y1010" s="149"/>
      <c r="Z1010" s="149"/>
    </row>
    <row r="1011" spans="1:26" ht="48" customHeight="1">
      <c r="A1011" s="533" t="s">
        <v>736</v>
      </c>
      <c r="B1011" s="517" t="s">
        <v>490</v>
      </c>
      <c r="C1011" s="506">
        <v>1</v>
      </c>
      <c r="D1011" s="506">
        <v>1</v>
      </c>
      <c r="E1011" s="506">
        <v>1</v>
      </c>
      <c r="F1011" s="506">
        <v>1</v>
      </c>
      <c r="G1011" s="506">
        <v>1</v>
      </c>
      <c r="H1011" s="506">
        <v>0.5</v>
      </c>
      <c r="I1011" s="454" t="s">
        <v>123</v>
      </c>
      <c r="J1011" s="507" t="s">
        <v>811</v>
      </c>
      <c r="K1011" s="507" t="s">
        <v>811</v>
      </c>
      <c r="L1011" s="507" t="s">
        <v>811</v>
      </c>
      <c r="M1011" s="507" t="s">
        <v>4230</v>
      </c>
      <c r="N1011" s="507" t="s">
        <v>4231</v>
      </c>
      <c r="O1011" s="507" t="s">
        <v>2592</v>
      </c>
      <c r="P1011" s="534"/>
      <c r="Q1011" s="534"/>
      <c r="R1011" s="534"/>
      <c r="S1011" s="535"/>
      <c r="T1011" s="535"/>
      <c r="U1011" s="535"/>
      <c r="V1011" s="535"/>
      <c r="W1011" s="535"/>
      <c r="X1011" s="535"/>
      <c r="Y1011" s="535"/>
      <c r="Z1011" s="535"/>
    </row>
    <row r="1012" spans="1:26" ht="13.5" customHeight="1">
      <c r="A1012" s="143"/>
      <c r="B1012" s="144"/>
      <c r="C1012" s="87"/>
      <c r="D1012" s="87"/>
      <c r="E1012" s="87"/>
      <c r="F1012" s="87"/>
      <c r="G1012" s="87"/>
      <c r="H1012" s="87"/>
      <c r="I1012" s="454"/>
      <c r="J1012" s="75"/>
      <c r="K1012" s="75"/>
      <c r="L1012" s="75"/>
      <c r="M1012" s="75"/>
      <c r="N1012" s="75"/>
      <c r="O1012" s="75"/>
      <c r="P1012" s="146"/>
      <c r="Q1012" s="146"/>
      <c r="R1012" s="146"/>
      <c r="S1012" s="149"/>
      <c r="T1012" s="149"/>
      <c r="U1012" s="149"/>
      <c r="V1012" s="149"/>
      <c r="W1012" s="149"/>
      <c r="X1012" s="149"/>
      <c r="Y1012" s="149"/>
      <c r="Z1012" s="149"/>
    </row>
    <row r="1013" spans="1:26" ht="27.75" customHeight="1">
      <c r="A1013" s="556" t="s">
        <v>2623</v>
      </c>
      <c r="B1013" s="517" t="s">
        <v>2624</v>
      </c>
      <c r="C1013" s="498">
        <f t="shared" ref="C1013:H1013" si="171">AVERAGE(C1014,C1016)</f>
        <v>0.25</v>
      </c>
      <c r="D1013" s="498">
        <f t="shared" si="171"/>
        <v>0</v>
      </c>
      <c r="E1013" s="498">
        <f t="shared" si="171"/>
        <v>0</v>
      </c>
      <c r="F1013" s="498">
        <f t="shared" si="171"/>
        <v>0</v>
      </c>
      <c r="G1013" s="498">
        <f t="shared" si="171"/>
        <v>0.5</v>
      </c>
      <c r="H1013" s="498">
        <f t="shared" si="171"/>
        <v>0.75</v>
      </c>
      <c r="I1013" s="454"/>
      <c r="J1013" s="507"/>
      <c r="K1013" s="499"/>
      <c r="L1013" s="499"/>
      <c r="M1013" s="499"/>
      <c r="N1013" s="499"/>
      <c r="O1013" s="499"/>
      <c r="P1013" s="558"/>
      <c r="Q1013" s="558"/>
      <c r="R1013" s="558"/>
      <c r="S1013" s="559"/>
      <c r="T1013" s="559"/>
      <c r="U1013" s="559"/>
      <c r="V1013" s="559"/>
      <c r="W1013" s="559"/>
      <c r="X1013" s="559"/>
      <c r="Y1013" s="559"/>
      <c r="Z1013" s="559"/>
    </row>
    <row r="1014" spans="1:26" ht="72" customHeight="1">
      <c r="A1014" s="533" t="s">
        <v>736</v>
      </c>
      <c r="B1014" s="517" t="s">
        <v>2625</v>
      </c>
      <c r="C1014" s="506">
        <v>0</v>
      </c>
      <c r="D1014" s="506">
        <v>0</v>
      </c>
      <c r="E1014" s="506">
        <v>0</v>
      </c>
      <c r="F1014" s="506">
        <v>0</v>
      </c>
      <c r="G1014" s="506">
        <v>0</v>
      </c>
      <c r="H1014" s="506">
        <v>1</v>
      </c>
      <c r="I1014" s="454" t="s">
        <v>123</v>
      </c>
      <c r="J1014" s="551" t="s">
        <v>2627</v>
      </c>
      <c r="K1014" s="551" t="s">
        <v>2627</v>
      </c>
      <c r="L1014" s="507" t="s">
        <v>2627</v>
      </c>
      <c r="M1014" s="507" t="s">
        <v>2627</v>
      </c>
      <c r="N1014" s="507" t="s">
        <v>4232</v>
      </c>
      <c r="O1014" s="507" t="s">
        <v>4233</v>
      </c>
      <c r="P1014" s="534"/>
      <c r="Q1014" s="534"/>
      <c r="R1014" s="534"/>
      <c r="S1014" s="535"/>
      <c r="T1014" s="535"/>
      <c r="U1014" s="535"/>
      <c r="V1014" s="535"/>
      <c r="W1014" s="535"/>
      <c r="X1014" s="535"/>
      <c r="Y1014" s="535"/>
      <c r="Z1014" s="535"/>
    </row>
    <row r="1015" spans="1:26" ht="13.5" customHeight="1">
      <c r="A1015" s="143"/>
      <c r="B1015" s="144"/>
      <c r="C1015" s="87"/>
      <c r="D1015" s="87"/>
      <c r="E1015" s="87"/>
      <c r="F1015" s="87"/>
      <c r="G1015" s="87"/>
      <c r="H1015" s="87"/>
      <c r="I1015" s="454"/>
      <c r="J1015" s="75"/>
      <c r="K1015" s="75"/>
      <c r="L1015" s="75"/>
      <c r="M1015" s="75"/>
      <c r="N1015" s="198"/>
      <c r="O1015" s="75"/>
      <c r="P1015" s="146"/>
      <c r="Q1015" s="146"/>
      <c r="R1015" s="146"/>
      <c r="S1015" s="149"/>
      <c r="T1015" s="149"/>
      <c r="U1015" s="149"/>
      <c r="V1015" s="149"/>
      <c r="W1015" s="149"/>
      <c r="X1015" s="149"/>
      <c r="Y1015" s="149"/>
      <c r="Z1015" s="149"/>
    </row>
    <row r="1016" spans="1:26" ht="120" customHeight="1">
      <c r="A1016" s="533" t="s">
        <v>736</v>
      </c>
      <c r="B1016" s="517" t="s">
        <v>199</v>
      </c>
      <c r="C1016" s="506">
        <v>0.5</v>
      </c>
      <c r="D1016" s="506">
        <v>0</v>
      </c>
      <c r="E1016" s="506">
        <v>0</v>
      </c>
      <c r="F1016" s="506">
        <v>0</v>
      </c>
      <c r="G1016" s="506">
        <v>1</v>
      </c>
      <c r="H1016" s="506">
        <v>0.5</v>
      </c>
      <c r="I1016" s="454" t="s">
        <v>481</v>
      </c>
      <c r="J1016" s="507" t="s">
        <v>5252</v>
      </c>
      <c r="K1016" s="507" t="s">
        <v>748</v>
      </c>
      <c r="L1016" s="507" t="s">
        <v>748</v>
      </c>
      <c r="M1016" s="625" t="s">
        <v>748</v>
      </c>
      <c r="N1016" s="507" t="s">
        <v>2630</v>
      </c>
      <c r="O1016" s="507" t="s">
        <v>2592</v>
      </c>
      <c r="P1016" s="534"/>
      <c r="Q1016" s="534"/>
      <c r="R1016" s="534"/>
      <c r="S1016" s="535"/>
      <c r="T1016" s="535"/>
      <c r="U1016" s="535"/>
      <c r="V1016" s="535"/>
      <c r="W1016" s="535"/>
      <c r="X1016" s="535"/>
      <c r="Y1016" s="535"/>
      <c r="Z1016" s="535"/>
    </row>
    <row r="1017" spans="1:26" ht="13.5" customHeight="1">
      <c r="A1017" s="803"/>
      <c r="B1017" s="990"/>
      <c r="C1017" s="804"/>
      <c r="D1017" s="804"/>
      <c r="E1017" s="805"/>
      <c r="F1017" s="805"/>
      <c r="G1017" s="805"/>
      <c r="H1017" s="805"/>
      <c r="I1017" s="454"/>
      <c r="J1017" s="807"/>
      <c r="K1017" s="807"/>
      <c r="L1017" s="807"/>
      <c r="M1017" s="807"/>
      <c r="N1017" s="807"/>
      <c r="O1017" s="807"/>
      <c r="P1017" s="808"/>
      <c r="Q1017" s="808"/>
      <c r="R1017" s="808"/>
      <c r="S1017" s="806"/>
      <c r="T1017" s="806"/>
      <c r="U1017" s="806"/>
      <c r="V1017" s="806"/>
      <c r="W1017" s="806"/>
      <c r="X1017" s="806"/>
      <c r="Y1017" s="806"/>
      <c r="Z1017" s="806"/>
    </row>
    <row r="1018" spans="1:26" ht="13.5" customHeight="1">
      <c r="A1018" s="803"/>
      <c r="B1018" s="990"/>
      <c r="C1018" s="804"/>
      <c r="D1018" s="804"/>
      <c r="E1018" s="805"/>
      <c r="F1018" s="805"/>
      <c r="G1018" s="805"/>
      <c r="H1018" s="805"/>
      <c r="I1018" s="454"/>
      <c r="J1018" s="807"/>
      <c r="K1018" s="807"/>
      <c r="L1018" s="807"/>
      <c r="M1018" s="807"/>
      <c r="N1018" s="807"/>
      <c r="O1018" s="807"/>
      <c r="P1018" s="808"/>
      <c r="Q1018" s="808"/>
      <c r="R1018" s="808"/>
      <c r="S1018" s="806"/>
      <c r="T1018" s="806"/>
      <c r="U1018" s="806"/>
      <c r="V1018" s="806"/>
      <c r="W1018" s="806"/>
      <c r="X1018" s="806"/>
      <c r="Y1018" s="806"/>
      <c r="Z1018" s="806"/>
    </row>
    <row r="1019" spans="1:26" ht="13.5" customHeight="1">
      <c r="A1019" s="143"/>
      <c r="B1019" s="929"/>
      <c r="C1019" s="911"/>
      <c r="D1019" s="911"/>
      <c r="E1019" s="87"/>
      <c r="F1019" s="87"/>
      <c r="G1019" s="87"/>
      <c r="H1019" s="87"/>
      <c r="I1019" s="454"/>
      <c r="J1019" s="291"/>
      <c r="K1019" s="953"/>
      <c r="L1019" s="953"/>
      <c r="M1019" s="291"/>
      <c r="N1019" s="953"/>
      <c r="O1019" s="953"/>
      <c r="P1019" s="149"/>
      <c r="Q1019" s="149"/>
      <c r="R1019" s="149"/>
      <c r="S1019" s="149"/>
      <c r="T1019" s="149"/>
      <c r="U1019" s="149"/>
      <c r="V1019" s="149"/>
      <c r="W1019" s="149"/>
      <c r="X1019" s="149"/>
      <c r="Y1019" s="149"/>
      <c r="Z1019" s="149"/>
    </row>
    <row r="1020" spans="1:26" ht="13.5" customHeight="1">
      <c r="A1020" s="143"/>
      <c r="B1020" s="929"/>
      <c r="C1020" s="911"/>
      <c r="D1020" s="911"/>
      <c r="E1020" s="87"/>
      <c r="F1020" s="87"/>
      <c r="G1020" s="87"/>
      <c r="H1020" s="87"/>
      <c r="I1020" s="454"/>
      <c r="J1020" s="291"/>
      <c r="K1020" s="953"/>
      <c r="L1020" s="953"/>
      <c r="M1020" s="291"/>
      <c r="N1020" s="953"/>
      <c r="O1020" s="953"/>
      <c r="P1020" s="149"/>
      <c r="Q1020" s="149"/>
      <c r="R1020" s="149"/>
      <c r="S1020" s="149"/>
      <c r="T1020" s="149"/>
      <c r="U1020" s="149"/>
      <c r="V1020" s="149"/>
      <c r="W1020" s="149"/>
      <c r="X1020" s="149"/>
      <c r="Y1020" s="149"/>
      <c r="Z1020" s="149"/>
    </row>
    <row r="1021" spans="1:26" ht="13.5" customHeight="1">
      <c r="A1021" s="143"/>
      <c r="B1021" s="929"/>
      <c r="C1021" s="911"/>
      <c r="D1021" s="911"/>
      <c r="E1021" s="87"/>
      <c r="F1021" s="87"/>
      <c r="G1021" s="87"/>
      <c r="H1021" s="87"/>
      <c r="I1021" s="454"/>
      <c r="J1021" s="291"/>
      <c r="K1021" s="953"/>
      <c r="L1021" s="953"/>
      <c r="M1021" s="291"/>
      <c r="N1021" s="953"/>
      <c r="O1021" s="953"/>
      <c r="P1021" s="149"/>
      <c r="Q1021" s="149"/>
      <c r="R1021" s="149"/>
      <c r="S1021" s="149"/>
      <c r="T1021" s="149"/>
      <c r="U1021" s="149"/>
      <c r="V1021" s="149"/>
      <c r="W1021" s="149"/>
      <c r="X1021" s="149"/>
      <c r="Y1021" s="149"/>
      <c r="Z1021" s="149"/>
    </row>
    <row r="1022" spans="1:26" ht="13.5" customHeight="1">
      <c r="A1022" s="143"/>
      <c r="B1022" s="929"/>
      <c r="C1022" s="911"/>
      <c r="D1022" s="911"/>
      <c r="E1022" s="87"/>
      <c r="F1022" s="87"/>
      <c r="G1022" s="87"/>
      <c r="H1022" s="87"/>
      <c r="I1022" s="454"/>
      <c r="J1022" s="291"/>
      <c r="K1022" s="953"/>
      <c r="L1022" s="953"/>
      <c r="M1022" s="291"/>
      <c r="N1022" s="953"/>
      <c r="O1022" s="953"/>
      <c r="P1022" s="149"/>
      <c r="Q1022" s="149"/>
      <c r="R1022" s="149"/>
      <c r="S1022" s="149"/>
      <c r="T1022" s="149"/>
      <c r="U1022" s="149"/>
      <c r="V1022" s="149"/>
      <c r="W1022" s="149"/>
      <c r="X1022" s="149"/>
      <c r="Y1022" s="149"/>
      <c r="Z1022" s="149"/>
    </row>
    <row r="1023" spans="1:26" ht="13.5" customHeight="1">
      <c r="A1023" s="143"/>
      <c r="B1023" s="929"/>
      <c r="C1023" s="911"/>
      <c r="D1023" s="911"/>
      <c r="E1023" s="87"/>
      <c r="F1023" s="87"/>
      <c r="G1023" s="87"/>
      <c r="H1023" s="87"/>
      <c r="I1023" s="454"/>
      <c r="J1023" s="291"/>
      <c r="K1023" s="953"/>
      <c r="L1023" s="953"/>
      <c r="M1023" s="291"/>
      <c r="N1023" s="953"/>
      <c r="O1023" s="953"/>
      <c r="P1023" s="149"/>
      <c r="Q1023" s="149"/>
      <c r="R1023" s="149"/>
      <c r="S1023" s="149"/>
      <c r="T1023" s="149"/>
      <c r="U1023" s="149"/>
      <c r="V1023" s="149"/>
      <c r="W1023" s="149"/>
      <c r="X1023" s="149"/>
      <c r="Y1023" s="149"/>
      <c r="Z1023" s="149"/>
    </row>
    <row r="1024" spans="1:26" ht="13.5" customHeight="1">
      <c r="A1024" s="143"/>
      <c r="B1024" s="929"/>
      <c r="C1024" s="911"/>
      <c r="D1024" s="911"/>
      <c r="E1024" s="87"/>
      <c r="F1024" s="87"/>
      <c r="G1024" s="87"/>
      <c r="H1024" s="87"/>
      <c r="I1024" s="454"/>
      <c r="J1024" s="291"/>
      <c r="K1024" s="953"/>
      <c r="L1024" s="953"/>
      <c r="M1024" s="291"/>
      <c r="N1024" s="953"/>
      <c r="O1024" s="953"/>
      <c r="P1024" s="149"/>
      <c r="Q1024" s="149"/>
      <c r="R1024" s="149"/>
      <c r="S1024" s="149"/>
      <c r="T1024" s="149"/>
      <c r="U1024" s="149"/>
      <c r="V1024" s="149"/>
      <c r="W1024" s="149"/>
      <c r="X1024" s="149"/>
      <c r="Y1024" s="149"/>
      <c r="Z1024" s="149"/>
    </row>
    <row r="1025" spans="1:26" ht="13.5" customHeight="1">
      <c r="A1025" s="143"/>
      <c r="B1025" s="929"/>
      <c r="C1025" s="911"/>
      <c r="D1025" s="911"/>
      <c r="E1025" s="87"/>
      <c r="F1025" s="87"/>
      <c r="G1025" s="87"/>
      <c r="H1025" s="87"/>
      <c r="I1025" s="454"/>
      <c r="J1025" s="291"/>
      <c r="K1025" s="953"/>
      <c r="L1025" s="953"/>
      <c r="M1025" s="291"/>
      <c r="N1025" s="953"/>
      <c r="O1025" s="953"/>
      <c r="P1025" s="149"/>
      <c r="Q1025" s="149"/>
      <c r="R1025" s="149"/>
      <c r="S1025" s="149"/>
      <c r="T1025" s="149"/>
      <c r="U1025" s="149"/>
      <c r="V1025" s="149"/>
      <c r="W1025" s="149"/>
      <c r="X1025" s="149"/>
      <c r="Y1025" s="149"/>
      <c r="Z1025" s="149"/>
    </row>
    <row r="1026" spans="1:26" ht="13.5" customHeight="1">
      <c r="A1026" s="143"/>
      <c r="B1026" s="929"/>
      <c r="C1026" s="911"/>
      <c r="D1026" s="911"/>
      <c r="E1026" s="87"/>
      <c r="F1026" s="87"/>
      <c r="G1026" s="87"/>
      <c r="H1026" s="87"/>
      <c r="I1026" s="454"/>
      <c r="J1026" s="291"/>
      <c r="K1026" s="953"/>
      <c r="L1026" s="953"/>
      <c r="M1026" s="291"/>
      <c r="N1026" s="953"/>
      <c r="O1026" s="953"/>
      <c r="P1026" s="149"/>
      <c r="Q1026" s="149"/>
      <c r="R1026" s="149"/>
      <c r="S1026" s="149"/>
      <c r="T1026" s="149"/>
      <c r="U1026" s="149"/>
      <c r="V1026" s="149"/>
      <c r="W1026" s="149"/>
      <c r="X1026" s="149"/>
      <c r="Y1026" s="149"/>
      <c r="Z1026" s="149"/>
    </row>
    <row r="1027" spans="1:26" ht="13.5" customHeight="1">
      <c r="A1027" s="143"/>
      <c r="B1027" s="929"/>
      <c r="C1027" s="911"/>
      <c r="D1027" s="911"/>
      <c r="E1027" s="87"/>
      <c r="F1027" s="87"/>
      <c r="G1027" s="87"/>
      <c r="H1027" s="87"/>
      <c r="I1027" s="454"/>
      <c r="J1027" s="291"/>
      <c r="K1027" s="953"/>
      <c r="L1027" s="953"/>
      <c r="M1027" s="291"/>
      <c r="N1027" s="953"/>
      <c r="O1027" s="953"/>
      <c r="P1027" s="149"/>
      <c r="Q1027" s="149"/>
      <c r="R1027" s="149"/>
      <c r="S1027" s="149"/>
      <c r="T1027" s="149"/>
      <c r="U1027" s="149"/>
      <c r="V1027" s="149"/>
      <c r="W1027" s="149"/>
      <c r="X1027" s="149"/>
      <c r="Y1027" s="149"/>
      <c r="Z1027" s="149"/>
    </row>
    <row r="1028" spans="1:26" ht="13.5" customHeight="1">
      <c r="A1028" s="143"/>
      <c r="B1028" s="929"/>
      <c r="C1028" s="911"/>
      <c r="D1028" s="911"/>
      <c r="E1028" s="87"/>
      <c r="F1028" s="87"/>
      <c r="G1028" s="87"/>
      <c r="H1028" s="87"/>
      <c r="I1028" s="454"/>
      <c r="J1028" s="291"/>
      <c r="K1028" s="953"/>
      <c r="L1028" s="953"/>
      <c r="M1028" s="291"/>
      <c r="N1028" s="953"/>
      <c r="O1028" s="953"/>
      <c r="P1028" s="149"/>
      <c r="Q1028" s="149"/>
      <c r="R1028" s="149"/>
      <c r="S1028" s="149"/>
      <c r="T1028" s="149"/>
      <c r="U1028" s="149"/>
      <c r="V1028" s="149"/>
      <c r="W1028" s="149"/>
      <c r="X1028" s="149"/>
      <c r="Y1028" s="149"/>
      <c r="Z1028" s="149"/>
    </row>
    <row r="1029" spans="1:26" ht="13.5" customHeight="1">
      <c r="A1029" s="143"/>
      <c r="B1029" s="929"/>
      <c r="C1029" s="911"/>
      <c r="D1029" s="911"/>
      <c r="E1029" s="87"/>
      <c r="F1029" s="87"/>
      <c r="G1029" s="87"/>
      <c r="H1029" s="87"/>
      <c r="I1029" s="454"/>
      <c r="J1029" s="291"/>
      <c r="K1029" s="953"/>
      <c r="L1029" s="953"/>
      <c r="M1029" s="291"/>
      <c r="N1029" s="953"/>
      <c r="O1029" s="953"/>
      <c r="P1029" s="149"/>
      <c r="Q1029" s="149"/>
      <c r="R1029" s="149"/>
      <c r="S1029" s="149"/>
      <c r="T1029" s="149"/>
      <c r="U1029" s="149"/>
      <c r="V1029" s="149"/>
      <c r="W1029" s="149"/>
      <c r="X1029" s="149"/>
      <c r="Y1029" s="149"/>
      <c r="Z1029" s="149"/>
    </row>
    <row r="1030" spans="1:26" ht="13.5" customHeight="1">
      <c r="A1030" s="143"/>
      <c r="B1030" s="929"/>
      <c r="C1030" s="911"/>
      <c r="D1030" s="911"/>
      <c r="E1030" s="87"/>
      <c r="F1030" s="87"/>
      <c r="G1030" s="87"/>
      <c r="H1030" s="87"/>
      <c r="I1030" s="454"/>
      <c r="J1030" s="291"/>
      <c r="K1030" s="953"/>
      <c r="L1030" s="953"/>
      <c r="M1030" s="291"/>
      <c r="N1030" s="953"/>
      <c r="O1030" s="953"/>
      <c r="P1030" s="149"/>
      <c r="Q1030" s="149"/>
      <c r="R1030" s="149"/>
      <c r="S1030" s="149"/>
      <c r="T1030" s="149"/>
      <c r="U1030" s="149"/>
      <c r="V1030" s="149"/>
      <c r="W1030" s="149"/>
      <c r="X1030" s="149"/>
      <c r="Y1030" s="149"/>
      <c r="Z1030" s="149"/>
    </row>
    <row r="1031" spans="1:26" ht="13.5" customHeight="1">
      <c r="A1031" s="143"/>
      <c r="B1031" s="929"/>
      <c r="C1031" s="911"/>
      <c r="D1031" s="911"/>
      <c r="E1031" s="87"/>
      <c r="F1031" s="87"/>
      <c r="G1031" s="87"/>
      <c r="H1031" s="87"/>
      <c r="I1031" s="454"/>
      <c r="J1031" s="291"/>
      <c r="K1031" s="953"/>
      <c r="L1031" s="953"/>
      <c r="M1031" s="291"/>
      <c r="N1031" s="953"/>
      <c r="O1031" s="953"/>
      <c r="P1031" s="149"/>
      <c r="Q1031" s="149"/>
      <c r="R1031" s="149"/>
      <c r="S1031" s="149"/>
      <c r="T1031" s="149"/>
      <c r="U1031" s="149"/>
      <c r="V1031" s="149"/>
      <c r="W1031" s="149"/>
      <c r="X1031" s="149"/>
      <c r="Y1031" s="149"/>
      <c r="Z1031" s="149"/>
    </row>
    <row r="1032" spans="1:26" ht="13.5" customHeight="1">
      <c r="A1032" s="143"/>
      <c r="B1032" s="929"/>
      <c r="C1032" s="911"/>
      <c r="D1032" s="911"/>
      <c r="E1032" s="87"/>
      <c r="F1032" s="87"/>
      <c r="G1032" s="87"/>
      <c r="H1032" s="87"/>
      <c r="I1032" s="454"/>
      <c r="J1032" s="291"/>
      <c r="K1032" s="953"/>
      <c r="L1032" s="953"/>
      <c r="M1032" s="291"/>
      <c r="N1032" s="953"/>
      <c r="O1032" s="953"/>
      <c r="P1032" s="149"/>
      <c r="Q1032" s="149"/>
      <c r="R1032" s="149"/>
      <c r="S1032" s="149"/>
      <c r="T1032" s="149"/>
      <c r="U1032" s="149"/>
      <c r="V1032" s="149"/>
      <c r="W1032" s="149"/>
      <c r="X1032" s="149"/>
      <c r="Y1032" s="149"/>
      <c r="Z1032" s="149"/>
    </row>
    <row r="1033" spans="1:26" ht="13.5" customHeight="1">
      <c r="A1033" s="143"/>
      <c r="B1033" s="929"/>
      <c r="C1033" s="911"/>
      <c r="D1033" s="911"/>
      <c r="E1033" s="87"/>
      <c r="F1033" s="87"/>
      <c r="G1033" s="87"/>
      <c r="H1033" s="87"/>
      <c r="I1033" s="454"/>
      <c r="J1033" s="291"/>
      <c r="K1033" s="953"/>
      <c r="L1033" s="953"/>
      <c r="M1033" s="291"/>
      <c r="N1033" s="953"/>
      <c r="O1033" s="953"/>
      <c r="P1033" s="149"/>
      <c r="Q1033" s="149"/>
      <c r="R1033" s="149"/>
      <c r="S1033" s="149"/>
      <c r="T1033" s="149"/>
      <c r="U1033" s="149"/>
      <c r="V1033" s="149"/>
      <c r="W1033" s="149"/>
      <c r="X1033" s="149"/>
      <c r="Y1033" s="149"/>
      <c r="Z1033" s="149"/>
    </row>
    <row r="1034" spans="1:26" ht="13.5" customHeight="1">
      <c r="A1034" s="143"/>
      <c r="B1034" s="929"/>
      <c r="C1034" s="911"/>
      <c r="D1034" s="911"/>
      <c r="E1034" s="87"/>
      <c r="F1034" s="87"/>
      <c r="G1034" s="87"/>
      <c r="H1034" s="87"/>
      <c r="I1034" s="454"/>
      <c r="J1034" s="291"/>
      <c r="K1034" s="953"/>
      <c r="L1034" s="953"/>
      <c r="M1034" s="291"/>
      <c r="N1034" s="953"/>
      <c r="O1034" s="953"/>
      <c r="P1034" s="149"/>
      <c r="Q1034" s="149"/>
      <c r="R1034" s="149"/>
      <c r="S1034" s="149"/>
      <c r="T1034" s="149"/>
      <c r="U1034" s="149"/>
      <c r="V1034" s="149"/>
      <c r="W1034" s="149"/>
      <c r="X1034" s="149"/>
      <c r="Y1034" s="149"/>
      <c r="Z1034" s="149"/>
    </row>
    <row r="1035" spans="1:26" ht="13.5" customHeight="1">
      <c r="A1035" s="143"/>
      <c r="B1035" s="929"/>
      <c r="C1035" s="911"/>
      <c r="D1035" s="911"/>
      <c r="E1035" s="87"/>
      <c r="F1035" s="87"/>
      <c r="G1035" s="87"/>
      <c r="H1035" s="87"/>
      <c r="I1035" s="454"/>
      <c r="J1035" s="291"/>
      <c r="K1035" s="953"/>
      <c r="L1035" s="953"/>
      <c r="M1035" s="291"/>
      <c r="N1035" s="953"/>
      <c r="O1035" s="953"/>
      <c r="P1035" s="149"/>
      <c r="Q1035" s="149"/>
      <c r="R1035" s="149"/>
      <c r="S1035" s="149"/>
      <c r="T1035" s="149"/>
      <c r="U1035" s="149"/>
      <c r="V1035" s="149"/>
      <c r="W1035" s="149"/>
      <c r="X1035" s="149"/>
      <c r="Y1035" s="149"/>
      <c r="Z1035" s="149"/>
    </row>
    <row r="1036" spans="1:26" ht="13.5" customHeight="1">
      <c r="A1036" s="143"/>
      <c r="B1036" s="929"/>
      <c r="C1036" s="911"/>
      <c r="D1036" s="911"/>
      <c r="E1036" s="87"/>
      <c r="F1036" s="87"/>
      <c r="G1036" s="87"/>
      <c r="H1036" s="87"/>
      <c r="I1036" s="454"/>
      <c r="J1036" s="291"/>
      <c r="K1036" s="953"/>
      <c r="L1036" s="953"/>
      <c r="M1036" s="291"/>
      <c r="N1036" s="953"/>
      <c r="O1036" s="953"/>
      <c r="P1036" s="149"/>
      <c r="Q1036" s="149"/>
      <c r="R1036" s="149"/>
      <c r="S1036" s="149"/>
      <c r="T1036" s="149"/>
      <c r="U1036" s="149"/>
      <c r="V1036" s="149"/>
      <c r="W1036" s="149"/>
      <c r="X1036" s="149"/>
      <c r="Y1036" s="149"/>
      <c r="Z1036" s="149"/>
    </row>
    <row r="1037" spans="1:26" ht="13.5" customHeight="1">
      <c r="A1037" s="143"/>
      <c r="B1037" s="929"/>
      <c r="C1037" s="911"/>
      <c r="D1037" s="911"/>
      <c r="E1037" s="87"/>
      <c r="F1037" s="87"/>
      <c r="G1037" s="87"/>
      <c r="H1037" s="87"/>
      <c r="I1037" s="454"/>
      <c r="J1037" s="291"/>
      <c r="K1037" s="953"/>
      <c r="L1037" s="953"/>
      <c r="M1037" s="291"/>
      <c r="N1037" s="953"/>
      <c r="O1037" s="953"/>
      <c r="P1037" s="149"/>
      <c r="Q1037" s="149"/>
      <c r="R1037" s="149"/>
      <c r="S1037" s="149"/>
      <c r="T1037" s="149"/>
      <c r="U1037" s="149"/>
      <c r="V1037" s="149"/>
      <c r="W1037" s="149"/>
      <c r="X1037" s="149"/>
      <c r="Y1037" s="149"/>
      <c r="Z1037" s="149"/>
    </row>
    <row r="1038" spans="1:26" ht="13.5" customHeight="1">
      <c r="A1038" s="143"/>
      <c r="B1038" s="929"/>
      <c r="C1038" s="911"/>
      <c r="D1038" s="911"/>
      <c r="E1038" s="87"/>
      <c r="F1038" s="87"/>
      <c r="G1038" s="87"/>
      <c r="H1038" s="87"/>
      <c r="I1038" s="454"/>
      <c r="J1038" s="291"/>
      <c r="K1038" s="953"/>
      <c r="L1038" s="953"/>
      <c r="M1038" s="291"/>
      <c r="N1038" s="953"/>
      <c r="O1038" s="953"/>
      <c r="P1038" s="149"/>
      <c r="Q1038" s="149"/>
      <c r="R1038" s="149"/>
      <c r="S1038" s="149"/>
      <c r="T1038" s="149"/>
      <c r="U1038" s="149"/>
      <c r="V1038" s="149"/>
      <c r="W1038" s="149"/>
      <c r="X1038" s="149"/>
      <c r="Y1038" s="149"/>
      <c r="Z1038" s="149"/>
    </row>
    <row r="1039" spans="1:26" ht="13.5" customHeight="1">
      <c r="A1039" s="143"/>
      <c r="B1039" s="929"/>
      <c r="C1039" s="911"/>
      <c r="D1039" s="911"/>
      <c r="E1039" s="87"/>
      <c r="F1039" s="87"/>
      <c r="G1039" s="87"/>
      <c r="H1039" s="87"/>
      <c r="I1039" s="454"/>
      <c r="J1039" s="291"/>
      <c r="K1039" s="953"/>
      <c r="L1039" s="953"/>
      <c r="M1039" s="291"/>
      <c r="N1039" s="953"/>
      <c r="O1039" s="953"/>
      <c r="P1039" s="149"/>
      <c r="Q1039" s="149"/>
      <c r="R1039" s="149"/>
      <c r="S1039" s="149"/>
      <c r="T1039" s="149"/>
      <c r="U1039" s="149"/>
      <c r="V1039" s="149"/>
      <c r="W1039" s="149"/>
      <c r="X1039" s="149"/>
      <c r="Y1039" s="149"/>
      <c r="Z1039" s="149"/>
    </row>
    <row r="1040" spans="1:26" ht="13.5" customHeight="1">
      <c r="A1040" s="143"/>
      <c r="B1040" s="929"/>
      <c r="C1040" s="911"/>
      <c r="D1040" s="911"/>
      <c r="E1040" s="87"/>
      <c r="F1040" s="87"/>
      <c r="G1040" s="87"/>
      <c r="H1040" s="87"/>
      <c r="I1040" s="454"/>
      <c r="J1040" s="291"/>
      <c r="K1040" s="953"/>
      <c r="L1040" s="953"/>
      <c r="M1040" s="291"/>
      <c r="N1040" s="953"/>
      <c r="O1040" s="953"/>
      <c r="P1040" s="149"/>
      <c r="Q1040" s="149"/>
      <c r="R1040" s="149"/>
      <c r="S1040" s="149"/>
      <c r="T1040" s="149"/>
      <c r="U1040" s="149"/>
      <c r="V1040" s="149"/>
      <c r="W1040" s="149"/>
      <c r="X1040" s="149"/>
      <c r="Y1040" s="149"/>
      <c r="Z1040" s="149"/>
    </row>
    <row r="1041" spans="1:26" ht="13.5" customHeight="1">
      <c r="A1041" s="143"/>
      <c r="B1041" s="929"/>
      <c r="C1041" s="911"/>
      <c r="D1041" s="911"/>
      <c r="E1041" s="87"/>
      <c r="F1041" s="87"/>
      <c r="G1041" s="87"/>
      <c r="H1041" s="87"/>
      <c r="I1041" s="454"/>
      <c r="J1041" s="291"/>
      <c r="K1041" s="953"/>
      <c r="L1041" s="953"/>
      <c r="M1041" s="291"/>
      <c r="N1041" s="953"/>
      <c r="O1041" s="953"/>
      <c r="P1041" s="149"/>
      <c r="Q1041" s="149"/>
      <c r="R1041" s="149"/>
      <c r="S1041" s="149"/>
      <c r="T1041" s="149"/>
      <c r="U1041" s="149"/>
      <c r="V1041" s="149"/>
      <c r="W1041" s="149"/>
      <c r="X1041" s="149"/>
      <c r="Y1041" s="149"/>
      <c r="Z1041" s="149"/>
    </row>
    <row r="1042" spans="1:26" ht="13.5" customHeight="1">
      <c r="A1042" s="143"/>
      <c r="B1042" s="929"/>
      <c r="C1042" s="911"/>
      <c r="D1042" s="911"/>
      <c r="E1042" s="87"/>
      <c r="F1042" s="87"/>
      <c r="G1042" s="87"/>
      <c r="H1042" s="87"/>
      <c r="I1042" s="454"/>
      <c r="J1042" s="291"/>
      <c r="K1042" s="953"/>
      <c r="L1042" s="953"/>
      <c r="M1042" s="291"/>
      <c r="N1042" s="953"/>
      <c r="O1042" s="953"/>
      <c r="P1042" s="149"/>
      <c r="Q1042" s="149"/>
      <c r="R1042" s="149"/>
      <c r="S1042" s="149"/>
      <c r="T1042" s="149"/>
      <c r="U1042" s="149"/>
      <c r="V1042" s="149"/>
      <c r="W1042" s="149"/>
      <c r="X1042" s="149"/>
      <c r="Y1042" s="149"/>
      <c r="Z1042" s="149"/>
    </row>
    <row r="1043" spans="1:26" ht="13.5" customHeight="1">
      <c r="A1043" s="143"/>
      <c r="B1043" s="929"/>
      <c r="C1043" s="911"/>
      <c r="D1043" s="911"/>
      <c r="E1043" s="87"/>
      <c r="F1043" s="87"/>
      <c r="G1043" s="87"/>
      <c r="H1043" s="87"/>
      <c r="I1043" s="454"/>
      <c r="J1043" s="291"/>
      <c r="K1043" s="953"/>
      <c r="L1043" s="953"/>
      <c r="M1043" s="291"/>
      <c r="N1043" s="953"/>
      <c r="O1043" s="953"/>
      <c r="P1043" s="149"/>
      <c r="Q1043" s="149"/>
      <c r="R1043" s="149"/>
      <c r="S1043" s="149"/>
      <c r="T1043" s="149"/>
      <c r="U1043" s="149"/>
      <c r="V1043" s="149"/>
      <c r="W1043" s="149"/>
      <c r="X1043" s="149"/>
      <c r="Y1043" s="149"/>
      <c r="Z1043" s="149"/>
    </row>
    <row r="1044" spans="1:26" ht="13.5" customHeight="1">
      <c r="A1044" s="143"/>
      <c r="B1044" s="929"/>
      <c r="C1044" s="911"/>
      <c r="D1044" s="911"/>
      <c r="E1044" s="87"/>
      <c r="F1044" s="87"/>
      <c r="G1044" s="87"/>
      <c r="H1044" s="87"/>
      <c r="I1044" s="454"/>
      <c r="J1044" s="291"/>
      <c r="K1044" s="953"/>
      <c r="L1044" s="953"/>
      <c r="M1044" s="291"/>
      <c r="N1044" s="953"/>
      <c r="O1044" s="953"/>
      <c r="P1044" s="149"/>
      <c r="Q1044" s="149"/>
      <c r="R1044" s="149"/>
      <c r="S1044" s="149"/>
      <c r="T1044" s="149"/>
      <c r="U1044" s="149"/>
      <c r="V1044" s="149"/>
      <c r="W1044" s="149"/>
      <c r="X1044" s="149"/>
      <c r="Y1044" s="149"/>
      <c r="Z1044" s="149"/>
    </row>
    <row r="1045" spans="1:26" ht="13.5" customHeight="1">
      <c r="A1045" s="143"/>
      <c r="B1045" s="929"/>
      <c r="C1045" s="911"/>
      <c r="D1045" s="911"/>
      <c r="E1045" s="87"/>
      <c r="F1045" s="87"/>
      <c r="G1045" s="87"/>
      <c r="H1045" s="87"/>
      <c r="I1045" s="454"/>
      <c r="J1045" s="291"/>
      <c r="K1045" s="953"/>
      <c r="L1045" s="953"/>
      <c r="M1045" s="291"/>
      <c r="N1045" s="953"/>
      <c r="O1045" s="953"/>
      <c r="P1045" s="149"/>
      <c r="Q1045" s="149"/>
      <c r="R1045" s="149"/>
      <c r="S1045" s="149"/>
      <c r="T1045" s="149"/>
      <c r="U1045" s="149"/>
      <c r="V1045" s="149"/>
      <c r="W1045" s="149"/>
      <c r="X1045" s="149"/>
      <c r="Y1045" s="149"/>
      <c r="Z1045" s="149"/>
    </row>
    <row r="1046" spans="1:26" ht="13.5" customHeight="1">
      <c r="A1046" s="143"/>
      <c r="B1046" s="929"/>
      <c r="C1046" s="911"/>
      <c r="D1046" s="911"/>
      <c r="E1046" s="87"/>
      <c r="F1046" s="87"/>
      <c r="G1046" s="87"/>
      <c r="H1046" s="87"/>
      <c r="I1046" s="454"/>
      <c r="J1046" s="291"/>
      <c r="K1046" s="953"/>
      <c r="L1046" s="953"/>
      <c r="M1046" s="291"/>
      <c r="N1046" s="953"/>
      <c r="O1046" s="953"/>
      <c r="P1046" s="149"/>
      <c r="Q1046" s="149"/>
      <c r="R1046" s="149"/>
      <c r="S1046" s="149"/>
      <c r="T1046" s="149"/>
      <c r="U1046" s="149"/>
      <c r="V1046" s="149"/>
      <c r="W1046" s="149"/>
      <c r="X1046" s="149"/>
      <c r="Y1046" s="149"/>
      <c r="Z1046" s="149"/>
    </row>
    <row r="1047" spans="1:26" ht="13.5" customHeight="1">
      <c r="A1047" s="143"/>
      <c r="B1047" s="929"/>
      <c r="C1047" s="911"/>
      <c r="D1047" s="911"/>
      <c r="E1047" s="87"/>
      <c r="F1047" s="87"/>
      <c r="G1047" s="87"/>
      <c r="H1047" s="87"/>
      <c r="I1047" s="454"/>
      <c r="J1047" s="291"/>
      <c r="K1047" s="953"/>
      <c r="L1047" s="953"/>
      <c r="M1047" s="291"/>
      <c r="N1047" s="953"/>
      <c r="O1047" s="953"/>
      <c r="P1047" s="149"/>
      <c r="Q1047" s="149"/>
      <c r="R1047" s="149"/>
      <c r="S1047" s="149"/>
      <c r="T1047" s="149"/>
      <c r="U1047" s="149"/>
      <c r="V1047" s="149"/>
      <c r="W1047" s="149"/>
      <c r="X1047" s="149"/>
      <c r="Y1047" s="149"/>
      <c r="Z1047" s="149"/>
    </row>
    <row r="1048" spans="1:26" ht="13.5" customHeight="1">
      <c r="A1048" s="143"/>
      <c r="B1048" s="929"/>
      <c r="C1048" s="911"/>
      <c r="D1048" s="911"/>
      <c r="E1048" s="87"/>
      <c r="F1048" s="87"/>
      <c r="G1048" s="87"/>
      <c r="H1048" s="87"/>
      <c r="I1048" s="454"/>
      <c r="J1048" s="291"/>
      <c r="K1048" s="953"/>
      <c r="L1048" s="953"/>
      <c r="M1048" s="291"/>
      <c r="N1048" s="953"/>
      <c r="O1048" s="953"/>
      <c r="P1048" s="149"/>
      <c r="Q1048" s="149"/>
      <c r="R1048" s="149"/>
      <c r="S1048" s="149"/>
      <c r="T1048" s="149"/>
      <c r="U1048" s="149"/>
      <c r="V1048" s="149"/>
      <c r="W1048" s="149"/>
      <c r="X1048" s="149"/>
      <c r="Y1048" s="149"/>
      <c r="Z1048" s="149"/>
    </row>
    <row r="1049" spans="1:26" ht="13.5" customHeight="1">
      <c r="A1049" s="143"/>
      <c r="B1049" s="929"/>
      <c r="C1049" s="911"/>
      <c r="D1049" s="911"/>
      <c r="E1049" s="87"/>
      <c r="F1049" s="87"/>
      <c r="G1049" s="87"/>
      <c r="H1049" s="87"/>
      <c r="I1049" s="454"/>
      <c r="J1049" s="291"/>
      <c r="K1049" s="953"/>
      <c r="L1049" s="953"/>
      <c r="M1049" s="291"/>
      <c r="N1049" s="953"/>
      <c r="O1049" s="953"/>
      <c r="P1049" s="149"/>
      <c r="Q1049" s="149"/>
      <c r="R1049" s="149"/>
      <c r="S1049" s="149"/>
      <c r="T1049" s="149"/>
      <c r="U1049" s="149"/>
      <c r="V1049" s="149"/>
      <c r="W1049" s="149"/>
      <c r="X1049" s="149"/>
      <c r="Y1049" s="149"/>
      <c r="Z1049" s="149"/>
    </row>
    <row r="1050" spans="1:26" ht="13.5" customHeight="1">
      <c r="A1050" s="143"/>
      <c r="B1050" s="929"/>
      <c r="C1050" s="911"/>
      <c r="D1050" s="911"/>
      <c r="E1050" s="87"/>
      <c r="F1050" s="87"/>
      <c r="G1050" s="87"/>
      <c r="H1050" s="87"/>
      <c r="I1050" s="454"/>
      <c r="J1050" s="291"/>
      <c r="K1050" s="953"/>
      <c r="L1050" s="953"/>
      <c r="M1050" s="291"/>
      <c r="N1050" s="953"/>
      <c r="O1050" s="953"/>
      <c r="P1050" s="149"/>
      <c r="Q1050" s="149"/>
      <c r="R1050" s="149"/>
      <c r="S1050" s="149"/>
      <c r="T1050" s="149"/>
      <c r="U1050" s="149"/>
      <c r="V1050" s="149"/>
      <c r="W1050" s="149"/>
      <c r="X1050" s="149"/>
      <c r="Y1050" s="149"/>
      <c r="Z1050" s="149"/>
    </row>
    <row r="1051" spans="1:26" ht="13.5" customHeight="1">
      <c r="A1051" s="143"/>
      <c r="B1051" s="929"/>
      <c r="C1051" s="911"/>
      <c r="D1051" s="911"/>
      <c r="E1051" s="87"/>
      <c r="F1051" s="87"/>
      <c r="G1051" s="87"/>
      <c r="H1051" s="87"/>
      <c r="I1051" s="454"/>
      <c r="J1051" s="291"/>
      <c r="K1051" s="953"/>
      <c r="L1051" s="953"/>
      <c r="M1051" s="291"/>
      <c r="N1051" s="953"/>
      <c r="O1051" s="953"/>
      <c r="P1051" s="149"/>
      <c r="Q1051" s="149"/>
      <c r="R1051" s="149"/>
      <c r="S1051" s="149"/>
      <c r="T1051" s="149"/>
      <c r="U1051" s="149"/>
      <c r="V1051" s="149"/>
      <c r="W1051" s="149"/>
      <c r="X1051" s="149"/>
      <c r="Y1051" s="149"/>
      <c r="Z1051" s="149"/>
    </row>
    <row r="1052" spans="1:26" ht="13.5" customHeight="1">
      <c r="A1052" s="143"/>
      <c r="B1052" s="929"/>
      <c r="C1052" s="911"/>
      <c r="D1052" s="911"/>
      <c r="E1052" s="87"/>
      <c r="F1052" s="87"/>
      <c r="G1052" s="87"/>
      <c r="H1052" s="87"/>
      <c r="I1052" s="454"/>
      <c r="J1052" s="291"/>
      <c r="K1052" s="953"/>
      <c r="L1052" s="953"/>
      <c r="M1052" s="291"/>
      <c r="N1052" s="953"/>
      <c r="O1052" s="953"/>
      <c r="P1052" s="149"/>
      <c r="Q1052" s="149"/>
      <c r="R1052" s="149"/>
      <c r="S1052" s="149"/>
      <c r="T1052" s="149"/>
      <c r="U1052" s="149"/>
      <c r="V1052" s="149"/>
      <c r="W1052" s="149"/>
      <c r="X1052" s="149"/>
      <c r="Y1052" s="149"/>
      <c r="Z1052" s="149"/>
    </row>
    <row r="1053" spans="1:26" ht="13.5" customHeight="1">
      <c r="A1053" s="143"/>
      <c r="B1053" s="929"/>
      <c r="C1053" s="911"/>
      <c r="D1053" s="911"/>
      <c r="E1053" s="87"/>
      <c r="F1053" s="87"/>
      <c r="G1053" s="87"/>
      <c r="H1053" s="87"/>
      <c r="I1053" s="454"/>
      <c r="J1053" s="291"/>
      <c r="K1053" s="953"/>
      <c r="L1053" s="953"/>
      <c r="M1053" s="291"/>
      <c r="N1053" s="953"/>
      <c r="O1053" s="953"/>
      <c r="P1053" s="149"/>
      <c r="Q1053" s="149"/>
      <c r="R1053" s="149"/>
      <c r="S1053" s="149"/>
      <c r="T1053" s="149"/>
      <c r="U1053" s="149"/>
      <c r="V1053" s="149"/>
      <c r="W1053" s="149"/>
      <c r="X1053" s="149"/>
      <c r="Y1053" s="149"/>
      <c r="Z1053" s="149"/>
    </row>
    <row r="1054" spans="1:26" ht="13.5" customHeight="1">
      <c r="A1054" s="143"/>
      <c r="B1054" s="929"/>
      <c r="C1054" s="911"/>
      <c r="D1054" s="911"/>
      <c r="E1054" s="87"/>
      <c r="F1054" s="87"/>
      <c r="G1054" s="87"/>
      <c r="H1054" s="87"/>
      <c r="I1054" s="454"/>
      <c r="J1054" s="291"/>
      <c r="K1054" s="953"/>
      <c r="L1054" s="953"/>
      <c r="M1054" s="291"/>
      <c r="N1054" s="953"/>
      <c r="O1054" s="953"/>
      <c r="P1054" s="149"/>
      <c r="Q1054" s="149"/>
      <c r="R1054" s="149"/>
      <c r="S1054" s="149"/>
      <c r="T1054" s="149"/>
      <c r="U1054" s="149"/>
      <c r="V1054" s="149"/>
      <c r="W1054" s="149"/>
      <c r="X1054" s="149"/>
      <c r="Y1054" s="149"/>
      <c r="Z1054" s="149"/>
    </row>
    <row r="1055" spans="1:26" ht="13.5" customHeight="1">
      <c r="A1055" s="143"/>
      <c r="B1055" s="929"/>
      <c r="C1055" s="911"/>
      <c r="D1055" s="911"/>
      <c r="E1055" s="87"/>
      <c r="F1055" s="87"/>
      <c r="G1055" s="87"/>
      <c r="H1055" s="87"/>
      <c r="I1055" s="454"/>
      <c r="J1055" s="291"/>
      <c r="K1055" s="953"/>
      <c r="L1055" s="953"/>
      <c r="M1055" s="291"/>
      <c r="N1055" s="953"/>
      <c r="O1055" s="953"/>
      <c r="P1055" s="149"/>
      <c r="Q1055" s="149"/>
      <c r="R1055" s="149"/>
      <c r="S1055" s="149"/>
      <c r="T1055" s="149"/>
      <c r="U1055" s="149"/>
      <c r="V1055" s="149"/>
      <c r="W1055" s="149"/>
      <c r="X1055" s="149"/>
      <c r="Y1055" s="149"/>
      <c r="Z1055" s="149"/>
    </row>
    <row r="1056" spans="1:26" ht="13.5" customHeight="1">
      <c r="A1056" s="143"/>
      <c r="B1056" s="929"/>
      <c r="C1056" s="911"/>
      <c r="D1056" s="911"/>
      <c r="E1056" s="87"/>
      <c r="F1056" s="87"/>
      <c r="G1056" s="87"/>
      <c r="H1056" s="87"/>
      <c r="I1056" s="454"/>
      <c r="J1056" s="291"/>
      <c r="K1056" s="953"/>
      <c r="L1056" s="953"/>
      <c r="M1056" s="291"/>
      <c r="N1056" s="953"/>
      <c r="O1056" s="953"/>
      <c r="P1056" s="149"/>
      <c r="Q1056" s="149"/>
      <c r="R1056" s="149"/>
      <c r="S1056" s="149"/>
      <c r="T1056" s="149"/>
      <c r="U1056" s="149"/>
      <c r="V1056" s="149"/>
      <c r="W1056" s="149"/>
      <c r="X1056" s="149"/>
      <c r="Y1056" s="149"/>
      <c r="Z1056" s="149"/>
    </row>
    <row r="1057" spans="1:26" ht="13.5" customHeight="1">
      <c r="A1057" s="143"/>
      <c r="B1057" s="929"/>
      <c r="C1057" s="911"/>
      <c r="D1057" s="911"/>
      <c r="E1057" s="87"/>
      <c r="F1057" s="87"/>
      <c r="G1057" s="87"/>
      <c r="H1057" s="87"/>
      <c r="I1057" s="454"/>
      <c r="J1057" s="291"/>
      <c r="K1057" s="953"/>
      <c r="L1057" s="953"/>
      <c r="M1057" s="291"/>
      <c r="N1057" s="953"/>
      <c r="O1057" s="953"/>
      <c r="P1057" s="149"/>
      <c r="Q1057" s="149"/>
      <c r="R1057" s="149"/>
      <c r="S1057" s="149"/>
      <c r="T1057" s="149"/>
      <c r="U1057" s="149"/>
      <c r="V1057" s="149"/>
      <c r="W1057" s="149"/>
      <c r="X1057" s="149"/>
      <c r="Y1057" s="149"/>
      <c r="Z1057" s="149"/>
    </row>
    <row r="1058" spans="1:26" ht="13.5" customHeight="1">
      <c r="A1058" s="143"/>
      <c r="B1058" s="929"/>
      <c r="C1058" s="911"/>
      <c r="D1058" s="911"/>
      <c r="E1058" s="87"/>
      <c r="F1058" s="87"/>
      <c r="G1058" s="87"/>
      <c r="H1058" s="87"/>
      <c r="I1058" s="454"/>
      <c r="J1058" s="291"/>
      <c r="K1058" s="953"/>
      <c r="L1058" s="953"/>
      <c r="M1058" s="291"/>
      <c r="N1058" s="953"/>
      <c r="O1058" s="953"/>
      <c r="P1058" s="149"/>
      <c r="Q1058" s="149"/>
      <c r="R1058" s="149"/>
      <c r="S1058" s="149"/>
      <c r="T1058" s="149"/>
      <c r="U1058" s="149"/>
      <c r="V1058" s="149"/>
      <c r="W1058" s="149"/>
      <c r="X1058" s="149"/>
      <c r="Y1058" s="149"/>
      <c r="Z1058" s="149"/>
    </row>
    <row r="1059" spans="1:26" ht="13.5" customHeight="1">
      <c r="A1059" s="143"/>
      <c r="B1059" s="929"/>
      <c r="C1059" s="911"/>
      <c r="D1059" s="911"/>
      <c r="E1059" s="87"/>
      <c r="F1059" s="87"/>
      <c r="G1059" s="87"/>
      <c r="H1059" s="87"/>
      <c r="I1059" s="454"/>
      <c r="J1059" s="291"/>
      <c r="K1059" s="953"/>
      <c r="L1059" s="953"/>
      <c r="M1059" s="291"/>
      <c r="N1059" s="953"/>
      <c r="O1059" s="953"/>
      <c r="P1059" s="149"/>
      <c r="Q1059" s="149"/>
      <c r="R1059" s="149"/>
      <c r="S1059" s="149"/>
      <c r="T1059" s="149"/>
      <c r="U1059" s="149"/>
      <c r="V1059" s="149"/>
      <c r="W1059" s="149"/>
      <c r="X1059" s="149"/>
      <c r="Y1059" s="149"/>
      <c r="Z1059" s="149"/>
    </row>
    <row r="1060" spans="1:26" ht="13.5" customHeight="1">
      <c r="A1060" s="143"/>
      <c r="B1060" s="929"/>
      <c r="C1060" s="911"/>
      <c r="D1060" s="911"/>
      <c r="E1060" s="87"/>
      <c r="F1060" s="87"/>
      <c r="G1060" s="87"/>
      <c r="H1060" s="87"/>
      <c r="I1060" s="454"/>
      <c r="J1060" s="291"/>
      <c r="K1060" s="953"/>
      <c r="L1060" s="953"/>
      <c r="M1060" s="291"/>
      <c r="N1060" s="953"/>
      <c r="O1060" s="953"/>
      <c r="P1060" s="149"/>
      <c r="Q1060" s="149"/>
      <c r="R1060" s="149"/>
      <c r="S1060" s="149"/>
      <c r="T1060" s="149"/>
      <c r="U1060" s="149"/>
      <c r="V1060" s="149"/>
      <c r="W1060" s="149"/>
      <c r="X1060" s="149"/>
      <c r="Y1060" s="149"/>
      <c r="Z1060" s="149"/>
    </row>
    <row r="1061" spans="1:26" ht="13.5" customHeight="1">
      <c r="A1061" s="143"/>
      <c r="B1061" s="929"/>
      <c r="C1061" s="911"/>
      <c r="D1061" s="911"/>
      <c r="E1061" s="87"/>
      <c r="F1061" s="87"/>
      <c r="G1061" s="87"/>
      <c r="H1061" s="87"/>
      <c r="I1061" s="454"/>
      <c r="J1061" s="291"/>
      <c r="K1061" s="953"/>
      <c r="L1061" s="953"/>
      <c r="M1061" s="291"/>
      <c r="N1061" s="953"/>
      <c r="O1061" s="953"/>
      <c r="P1061" s="149"/>
      <c r="Q1061" s="149"/>
      <c r="R1061" s="149"/>
      <c r="S1061" s="149"/>
      <c r="T1061" s="149"/>
      <c r="U1061" s="149"/>
      <c r="V1061" s="149"/>
      <c r="W1061" s="149"/>
      <c r="X1061" s="149"/>
      <c r="Y1061" s="149"/>
      <c r="Z1061" s="149"/>
    </row>
    <row r="1062" spans="1:26" ht="13.5" customHeight="1">
      <c r="A1062" s="143"/>
      <c r="B1062" s="929"/>
      <c r="C1062" s="911"/>
      <c r="D1062" s="911"/>
      <c r="E1062" s="87"/>
      <c r="F1062" s="87"/>
      <c r="G1062" s="87"/>
      <c r="H1062" s="87"/>
      <c r="I1062" s="454"/>
      <c r="J1062" s="291"/>
      <c r="K1062" s="953"/>
      <c r="L1062" s="953"/>
      <c r="M1062" s="291"/>
      <c r="N1062" s="953"/>
      <c r="O1062" s="953"/>
      <c r="P1062" s="149"/>
      <c r="Q1062" s="149"/>
      <c r="R1062" s="149"/>
      <c r="S1062" s="149"/>
      <c r="T1062" s="149"/>
      <c r="U1062" s="149"/>
      <c r="V1062" s="149"/>
      <c r="W1062" s="149"/>
      <c r="X1062" s="149"/>
      <c r="Y1062" s="149"/>
      <c r="Z1062" s="149"/>
    </row>
    <row r="1063" spans="1:26" ht="13.5" customHeight="1">
      <c r="A1063" s="143"/>
      <c r="B1063" s="929"/>
      <c r="C1063" s="911"/>
      <c r="D1063" s="911"/>
      <c r="E1063" s="87"/>
      <c r="F1063" s="87"/>
      <c r="G1063" s="87"/>
      <c r="H1063" s="87"/>
      <c r="I1063" s="454"/>
      <c r="J1063" s="291"/>
      <c r="K1063" s="953"/>
      <c r="L1063" s="953"/>
      <c r="M1063" s="291"/>
      <c r="N1063" s="953"/>
      <c r="O1063" s="953"/>
      <c r="P1063" s="149"/>
      <c r="Q1063" s="149"/>
      <c r="R1063" s="149"/>
      <c r="S1063" s="149"/>
      <c r="T1063" s="149"/>
      <c r="U1063" s="149"/>
      <c r="V1063" s="149"/>
      <c r="W1063" s="149"/>
      <c r="X1063" s="149"/>
      <c r="Y1063" s="149"/>
      <c r="Z1063" s="149"/>
    </row>
    <row r="1064" spans="1:26" ht="13.5" customHeight="1">
      <c r="A1064" s="143"/>
      <c r="B1064" s="929"/>
      <c r="C1064" s="911"/>
      <c r="D1064" s="911"/>
      <c r="E1064" s="87"/>
      <c r="F1064" s="87"/>
      <c r="G1064" s="87"/>
      <c r="H1064" s="87"/>
      <c r="I1064" s="454"/>
      <c r="J1064" s="291"/>
      <c r="K1064" s="953"/>
      <c r="L1064" s="953"/>
      <c r="M1064" s="291"/>
      <c r="N1064" s="953"/>
      <c r="O1064" s="953"/>
      <c r="P1064" s="149"/>
      <c r="Q1064" s="149"/>
      <c r="R1064" s="149"/>
      <c r="S1064" s="149"/>
      <c r="T1064" s="149"/>
      <c r="U1064" s="149"/>
      <c r="V1064" s="149"/>
      <c r="W1064" s="149"/>
      <c r="X1064" s="149"/>
      <c r="Y1064" s="149"/>
      <c r="Z1064" s="149"/>
    </row>
    <row r="1065" spans="1:26" ht="13.5" customHeight="1">
      <c r="A1065" s="143"/>
      <c r="B1065" s="929"/>
      <c r="C1065" s="911"/>
      <c r="D1065" s="911"/>
      <c r="E1065" s="87"/>
      <c r="F1065" s="87"/>
      <c r="G1065" s="87"/>
      <c r="H1065" s="87"/>
      <c r="I1065" s="454"/>
      <c r="J1065" s="291"/>
      <c r="K1065" s="953"/>
      <c r="L1065" s="953"/>
      <c r="M1065" s="291"/>
      <c r="N1065" s="953"/>
      <c r="O1065" s="953"/>
      <c r="P1065" s="149"/>
      <c r="Q1065" s="149"/>
      <c r="R1065" s="149"/>
      <c r="S1065" s="149"/>
      <c r="T1065" s="149"/>
      <c r="U1065" s="149"/>
      <c r="V1065" s="149"/>
      <c r="W1065" s="149"/>
      <c r="X1065" s="149"/>
      <c r="Y1065" s="149"/>
      <c r="Z1065" s="149"/>
    </row>
    <row r="1066" spans="1:26" ht="13.5" customHeight="1">
      <c r="A1066" s="143"/>
      <c r="B1066" s="929"/>
      <c r="C1066" s="911"/>
      <c r="D1066" s="911"/>
      <c r="E1066" s="87"/>
      <c r="F1066" s="87"/>
      <c r="G1066" s="87"/>
      <c r="H1066" s="87"/>
      <c r="I1066" s="454"/>
      <c r="J1066" s="291"/>
      <c r="K1066" s="953"/>
      <c r="L1066" s="953"/>
      <c r="M1066" s="291"/>
      <c r="N1066" s="953"/>
      <c r="O1066" s="953"/>
      <c r="P1066" s="149"/>
      <c r="Q1066" s="149"/>
      <c r="R1066" s="149"/>
      <c r="S1066" s="149"/>
      <c r="T1066" s="149"/>
      <c r="U1066" s="149"/>
      <c r="V1066" s="149"/>
      <c r="W1066" s="149"/>
      <c r="X1066" s="149"/>
      <c r="Y1066" s="149"/>
      <c r="Z1066" s="149"/>
    </row>
    <row r="1067" spans="1:26" ht="13.5" customHeight="1">
      <c r="A1067" s="143"/>
      <c r="B1067" s="929"/>
      <c r="C1067" s="911"/>
      <c r="D1067" s="911"/>
      <c r="E1067" s="87"/>
      <c r="F1067" s="87"/>
      <c r="G1067" s="87"/>
      <c r="H1067" s="87"/>
      <c r="I1067" s="454"/>
      <c r="J1067" s="291"/>
      <c r="K1067" s="953"/>
      <c r="L1067" s="953"/>
      <c r="M1067" s="291"/>
      <c r="N1067" s="953"/>
      <c r="O1067" s="953"/>
      <c r="P1067" s="149"/>
      <c r="Q1067" s="149"/>
      <c r="R1067" s="149"/>
      <c r="S1067" s="149"/>
      <c r="T1067" s="149"/>
      <c r="U1067" s="149"/>
      <c r="V1067" s="149"/>
      <c r="W1067" s="149"/>
      <c r="X1067" s="149"/>
      <c r="Y1067" s="149"/>
      <c r="Z1067" s="149"/>
    </row>
    <row r="1068" spans="1:26" ht="13.5" customHeight="1">
      <c r="A1068" s="143"/>
      <c r="B1068" s="929"/>
      <c r="C1068" s="911"/>
      <c r="D1068" s="911"/>
      <c r="E1068" s="87"/>
      <c r="F1068" s="87"/>
      <c r="G1068" s="87"/>
      <c r="H1068" s="87"/>
      <c r="I1068" s="454"/>
      <c r="J1068" s="291"/>
      <c r="K1068" s="953"/>
      <c r="L1068" s="953"/>
      <c r="M1068" s="291"/>
      <c r="N1068" s="953"/>
      <c r="O1068" s="953"/>
      <c r="P1068" s="149"/>
      <c r="Q1068" s="149"/>
      <c r="R1068" s="149"/>
      <c r="S1068" s="149"/>
      <c r="T1068" s="149"/>
      <c r="U1068" s="149"/>
      <c r="V1068" s="149"/>
      <c r="W1068" s="149"/>
      <c r="X1068" s="149"/>
      <c r="Y1068" s="149"/>
      <c r="Z1068" s="149"/>
    </row>
    <row r="1069" spans="1:26" ht="13.5" customHeight="1">
      <c r="A1069" s="143"/>
      <c r="B1069" s="929"/>
      <c r="C1069" s="911"/>
      <c r="D1069" s="911"/>
      <c r="E1069" s="87"/>
      <c r="F1069" s="87"/>
      <c r="G1069" s="87"/>
      <c r="H1069" s="87"/>
      <c r="I1069" s="454"/>
      <c r="J1069" s="291"/>
      <c r="K1069" s="953"/>
      <c r="L1069" s="953"/>
      <c r="M1069" s="291"/>
      <c r="N1069" s="953"/>
      <c r="O1069" s="953"/>
      <c r="P1069" s="149"/>
      <c r="Q1069" s="149"/>
      <c r="R1069" s="149"/>
      <c r="S1069" s="149"/>
      <c r="T1069" s="149"/>
      <c r="U1069" s="149"/>
      <c r="V1069" s="149"/>
      <c r="W1069" s="149"/>
      <c r="X1069" s="149"/>
      <c r="Y1069" s="149"/>
      <c r="Z1069" s="149"/>
    </row>
    <row r="1070" spans="1:26" ht="13.5" customHeight="1">
      <c r="A1070" s="143"/>
      <c r="B1070" s="929"/>
      <c r="C1070" s="911"/>
      <c r="D1070" s="911"/>
      <c r="E1070" s="87"/>
      <c r="F1070" s="87"/>
      <c r="G1070" s="87"/>
      <c r="H1070" s="87"/>
      <c r="I1070" s="454"/>
      <c r="J1070" s="291"/>
      <c r="K1070" s="953"/>
      <c r="L1070" s="953"/>
      <c r="M1070" s="291"/>
      <c r="N1070" s="953"/>
      <c r="O1070" s="953"/>
      <c r="P1070" s="149"/>
      <c r="Q1070" s="149"/>
      <c r="R1070" s="149"/>
      <c r="S1070" s="149"/>
      <c r="T1070" s="149"/>
      <c r="U1070" s="149"/>
      <c r="V1070" s="149"/>
      <c r="W1070" s="149"/>
      <c r="X1070" s="149"/>
      <c r="Y1070" s="149"/>
      <c r="Z1070" s="149"/>
    </row>
    <row r="1071" spans="1:26" ht="13.5" customHeight="1">
      <c r="A1071" s="2"/>
      <c r="B1071" s="952"/>
      <c r="C1071" s="271"/>
      <c r="D1071" s="271"/>
      <c r="E1071" s="271"/>
      <c r="F1071" s="271"/>
      <c r="G1071" s="271"/>
      <c r="H1071" s="271"/>
      <c r="I1071" s="485"/>
      <c r="J1071" s="291"/>
      <c r="K1071" s="953"/>
      <c r="L1071" s="953"/>
      <c r="M1071" s="291"/>
      <c r="N1071" s="953"/>
      <c r="O1071" s="953"/>
      <c r="P1071" s="15"/>
      <c r="Q1071" s="15"/>
      <c r="R1071" s="15"/>
      <c r="S1071" s="15"/>
      <c r="T1071" s="15"/>
      <c r="U1071" s="15"/>
      <c r="V1071" s="15"/>
      <c r="W1071" s="15"/>
      <c r="X1071" s="15"/>
      <c r="Y1071" s="15"/>
      <c r="Z1071" s="15"/>
    </row>
    <row r="1072" spans="1:26" ht="13.5" customHeight="1">
      <c r="A1072" s="2"/>
      <c r="B1072" s="952"/>
      <c r="C1072" s="271"/>
      <c r="D1072" s="271"/>
      <c r="E1072" s="271"/>
      <c r="F1072" s="271"/>
      <c r="G1072" s="271"/>
      <c r="H1072" s="271"/>
      <c r="I1072" s="485"/>
      <c r="J1072" s="291"/>
      <c r="K1072" s="953"/>
      <c r="L1072" s="953"/>
      <c r="M1072" s="291"/>
      <c r="N1072" s="953"/>
      <c r="O1072" s="953"/>
      <c r="P1072" s="15"/>
      <c r="Q1072" s="15"/>
      <c r="R1072" s="15"/>
      <c r="S1072" s="15"/>
      <c r="T1072" s="15"/>
      <c r="U1072" s="15"/>
      <c r="V1072" s="15"/>
      <c r="W1072" s="15"/>
      <c r="X1072" s="15"/>
      <c r="Y1072" s="15"/>
      <c r="Z1072" s="15"/>
    </row>
    <row r="1073" spans="1:26" ht="13.5" customHeight="1">
      <c r="A1073" s="2"/>
      <c r="B1073" s="952"/>
      <c r="C1073" s="271"/>
      <c r="D1073" s="271"/>
      <c r="E1073" s="271"/>
      <c r="F1073" s="271"/>
      <c r="G1073" s="271"/>
      <c r="H1073" s="271"/>
      <c r="I1073" s="485"/>
      <c r="J1073" s="291"/>
      <c r="K1073" s="953"/>
      <c r="L1073" s="953"/>
      <c r="M1073" s="291"/>
      <c r="N1073" s="953"/>
      <c r="O1073" s="953"/>
      <c r="P1073" s="15"/>
      <c r="Q1073" s="15"/>
      <c r="R1073" s="15"/>
      <c r="S1073" s="15"/>
      <c r="T1073" s="15"/>
      <c r="U1073" s="15"/>
      <c r="V1073" s="15"/>
      <c r="W1073" s="15"/>
      <c r="X1073" s="15"/>
      <c r="Y1073" s="15"/>
      <c r="Z1073" s="15"/>
    </row>
    <row r="1074" spans="1:26" ht="13.5" customHeight="1">
      <c r="A1074" s="2"/>
      <c r="B1074" s="952"/>
      <c r="C1074" s="271"/>
      <c r="D1074" s="271"/>
      <c r="E1074" s="271"/>
      <c r="F1074" s="271"/>
      <c r="G1074" s="271"/>
      <c r="H1074" s="271"/>
      <c r="I1074" s="485"/>
      <c r="J1074" s="291"/>
      <c r="K1074" s="953"/>
      <c r="L1074" s="953"/>
      <c r="M1074" s="291"/>
      <c r="N1074" s="953"/>
      <c r="O1074" s="953"/>
      <c r="P1074" s="15"/>
      <c r="Q1074" s="15"/>
      <c r="R1074" s="15"/>
      <c r="S1074" s="15"/>
      <c r="T1074" s="15"/>
      <c r="U1074" s="15"/>
      <c r="V1074" s="15"/>
      <c r="W1074" s="15"/>
      <c r="X1074" s="15"/>
      <c r="Y1074" s="15"/>
      <c r="Z1074" s="15"/>
    </row>
    <row r="1075" spans="1:26" ht="13.5" customHeight="1">
      <c r="A1075" s="2"/>
      <c r="B1075" s="952"/>
      <c r="C1075" s="271"/>
      <c r="D1075" s="271"/>
      <c r="E1075" s="271"/>
      <c r="F1075" s="271"/>
      <c r="G1075" s="271"/>
      <c r="H1075" s="271"/>
      <c r="I1075" s="485"/>
      <c r="J1075" s="291"/>
      <c r="K1075" s="953"/>
      <c r="L1075" s="953"/>
      <c r="M1075" s="291"/>
      <c r="N1075" s="953"/>
      <c r="O1075" s="953"/>
      <c r="P1075" s="15"/>
      <c r="Q1075" s="15"/>
      <c r="R1075" s="15"/>
      <c r="S1075" s="15"/>
      <c r="T1075" s="15"/>
      <c r="U1075" s="15"/>
      <c r="V1075" s="15"/>
      <c r="W1075" s="15"/>
      <c r="X1075" s="15"/>
      <c r="Y1075" s="15"/>
      <c r="Z1075" s="15"/>
    </row>
    <row r="1076" spans="1:26" ht="13.5" customHeight="1">
      <c r="A1076" s="2"/>
      <c r="B1076" s="952"/>
      <c r="C1076" s="271"/>
      <c r="D1076" s="271"/>
      <c r="E1076" s="271"/>
      <c r="F1076" s="271"/>
      <c r="G1076" s="271"/>
      <c r="H1076" s="271"/>
      <c r="I1076" s="485"/>
      <c r="J1076" s="291"/>
      <c r="K1076" s="953"/>
      <c r="L1076" s="953"/>
      <c r="M1076" s="291"/>
      <c r="N1076" s="953"/>
      <c r="O1076" s="953"/>
      <c r="P1076" s="15"/>
      <c r="Q1076" s="15"/>
      <c r="R1076" s="15"/>
      <c r="S1076" s="15"/>
      <c r="T1076" s="15"/>
      <c r="U1076" s="15"/>
      <c r="V1076" s="15"/>
      <c r="W1076" s="15"/>
      <c r="X1076" s="15"/>
      <c r="Y1076" s="15"/>
      <c r="Z1076" s="15"/>
    </row>
    <row r="1077" spans="1:26" ht="13.5" customHeight="1">
      <c r="A1077" s="2"/>
      <c r="B1077" s="952"/>
      <c r="C1077" s="271"/>
      <c r="D1077" s="271"/>
      <c r="E1077" s="271"/>
      <c r="F1077" s="271"/>
      <c r="G1077" s="271"/>
      <c r="H1077" s="271"/>
      <c r="I1077" s="485"/>
      <c r="J1077" s="291"/>
      <c r="K1077" s="953"/>
      <c r="L1077" s="953"/>
      <c r="M1077" s="291"/>
      <c r="N1077" s="953"/>
      <c r="O1077" s="953"/>
      <c r="P1077" s="15"/>
      <c r="Q1077" s="15"/>
      <c r="R1077" s="15"/>
      <c r="S1077" s="15"/>
      <c r="T1077" s="15"/>
      <c r="U1077" s="15"/>
      <c r="V1077" s="15"/>
      <c r="W1077" s="15"/>
      <c r="X1077" s="15"/>
      <c r="Y1077" s="15"/>
      <c r="Z1077" s="15"/>
    </row>
    <row r="1078" spans="1:26" ht="13.5" customHeight="1">
      <c r="A1078" s="2"/>
      <c r="B1078" s="952"/>
      <c r="C1078" s="271"/>
      <c r="D1078" s="271"/>
      <c r="E1078" s="271"/>
      <c r="F1078" s="271"/>
      <c r="G1078" s="271"/>
      <c r="H1078" s="271"/>
      <c r="I1078" s="485"/>
      <c r="J1078" s="291"/>
      <c r="K1078" s="953"/>
      <c r="L1078" s="953"/>
      <c r="M1078" s="291"/>
      <c r="N1078" s="953"/>
      <c r="O1078" s="953"/>
      <c r="P1078" s="15"/>
      <c r="Q1078" s="15"/>
      <c r="R1078" s="15"/>
      <c r="S1078" s="15"/>
      <c r="T1078" s="15"/>
      <c r="U1078" s="15"/>
      <c r="V1078" s="15"/>
      <c r="W1078" s="15"/>
      <c r="X1078" s="15"/>
      <c r="Y1078" s="15"/>
      <c r="Z1078" s="15"/>
    </row>
    <row r="1079" spans="1:26" ht="13.5" customHeight="1">
      <c r="A1079" s="2"/>
      <c r="B1079" s="952"/>
      <c r="C1079" s="271"/>
      <c r="D1079" s="271"/>
      <c r="E1079" s="271"/>
      <c r="F1079" s="271"/>
      <c r="G1079" s="271"/>
      <c r="H1079" s="271"/>
      <c r="I1079" s="485"/>
      <c r="J1079" s="291"/>
      <c r="K1079" s="953"/>
      <c r="L1079" s="953"/>
      <c r="M1079" s="291"/>
      <c r="N1079" s="953"/>
      <c r="O1079" s="953"/>
      <c r="P1079" s="15"/>
      <c r="Q1079" s="15"/>
      <c r="R1079" s="15"/>
      <c r="S1079" s="15"/>
      <c r="T1079" s="15"/>
      <c r="U1079" s="15"/>
      <c r="V1079" s="15"/>
      <c r="W1079" s="15"/>
      <c r="X1079" s="15"/>
      <c r="Y1079" s="15"/>
      <c r="Z1079" s="15"/>
    </row>
    <row r="1080" spans="1:26" ht="13.5" customHeight="1">
      <c r="A1080" s="2"/>
      <c r="B1080" s="952"/>
      <c r="C1080" s="271"/>
      <c r="D1080" s="271"/>
      <c r="E1080" s="271"/>
      <c r="F1080" s="271"/>
      <c r="G1080" s="271"/>
      <c r="H1080" s="271"/>
      <c r="I1080" s="485"/>
      <c r="J1080" s="291"/>
      <c r="K1080" s="953"/>
      <c r="L1080" s="953"/>
      <c r="M1080" s="291"/>
      <c r="N1080" s="953"/>
      <c r="O1080" s="953"/>
      <c r="P1080" s="15"/>
      <c r="Q1080" s="15"/>
      <c r="R1080" s="15"/>
      <c r="S1080" s="15"/>
      <c r="T1080" s="15"/>
      <c r="U1080" s="15"/>
      <c r="V1080" s="15"/>
      <c r="W1080" s="15"/>
      <c r="X1080" s="15"/>
      <c r="Y1080" s="15"/>
      <c r="Z1080" s="15"/>
    </row>
    <row r="1081" spans="1:26" ht="13.5" customHeight="1">
      <c r="A1081" s="2"/>
      <c r="B1081" s="952"/>
      <c r="C1081" s="271"/>
      <c r="D1081" s="271"/>
      <c r="E1081" s="271"/>
      <c r="F1081" s="271"/>
      <c r="G1081" s="271"/>
      <c r="H1081" s="271"/>
      <c r="I1081" s="485"/>
      <c r="J1081" s="291"/>
      <c r="K1081" s="953"/>
      <c r="L1081" s="953"/>
      <c r="M1081" s="291"/>
      <c r="N1081" s="953"/>
      <c r="O1081" s="953"/>
      <c r="P1081" s="15"/>
      <c r="Q1081" s="15"/>
      <c r="R1081" s="15"/>
      <c r="S1081" s="15"/>
      <c r="T1081" s="953"/>
      <c r="U1081" s="953"/>
      <c r="V1081" s="953"/>
      <c r="W1081" s="953"/>
      <c r="X1081" s="953"/>
      <c r="Y1081" s="953"/>
      <c r="Z1081" s="953"/>
    </row>
  </sheetData>
  <mergeCells count="10">
    <mergeCell ref="A882:B882"/>
    <mergeCell ref="A937:B937"/>
    <mergeCell ref="B2:H2"/>
    <mergeCell ref="J2:O2"/>
    <mergeCell ref="B5:H5"/>
    <mergeCell ref="J5:O5"/>
    <mergeCell ref="B737:H737"/>
    <mergeCell ref="B553:H553"/>
    <mergeCell ref="J737:O737"/>
    <mergeCell ref="J553:O553"/>
  </mergeCells>
  <hyperlinks>
    <hyperlink ref="N801" r:id="rId1" display="http://www.energy-community.org/pls/portal/docs/1068177.PDF"/>
  </hyperlinks>
  <pageMargins left="0.7" right="0.7" top="0.75" bottom="0.75" header="0.3" footer="0.3"/>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 2017</vt:lpstr>
      <vt:lpstr>Approximation 2017</vt:lpstr>
      <vt:lpstr>Approximation 2015-16</vt:lpstr>
      <vt:lpstr>Approximation 2014</vt:lpstr>
      <vt:lpstr>Approximation 2013</vt:lpstr>
      <vt:lpstr>Approximation 2012</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Rasa Uzdavinyte</dc:creator>
  <cp:lastModifiedBy>tania</cp:lastModifiedBy>
  <cp:revision/>
  <cp:lastPrinted>2019-01-23T14:05:55Z</cp:lastPrinted>
  <dcterms:created xsi:type="dcterms:W3CDTF">2017-01-18T11:23:43Z</dcterms:created>
  <dcterms:modified xsi:type="dcterms:W3CDTF">2019-01-28T16:32:14Z</dcterms:modified>
</cp:coreProperties>
</file>